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mc:AlternateContent xmlns:mc="http://schemas.openxmlformats.org/markup-compatibility/2006">
    <mc:Choice Requires="x15">
      <x15ac:absPath xmlns:x15ac="http://schemas.microsoft.com/office/spreadsheetml/2010/11/ac" url="C:\Users\Usuario\OneDrive\Documentos\SANTA FE DE ANTIOQUIA\VIVIENDA\10 VIVIENDAS MONSEÑOR PARDO\"/>
    </mc:Choice>
  </mc:AlternateContent>
  <xr:revisionPtr revIDLastSave="10" documentId="13_ncr:1_{7D8EEBAE-2B89-4289-9889-0777604754FD}" xr6:coauthVersionLast="41" xr6:coauthVersionMax="47" xr10:uidLastSave="{3516ABC6-BC9C-4570-9482-567D320F2163}"/>
  <bookViews>
    <workbookView xWindow="-108" yWindow="-108" windowWidth="23256" windowHeight="12456" xr2:uid="{E1F6518F-2727-415F-8916-A7AF58ED5505}"/>
  </bookViews>
  <sheets>
    <sheet name="PRESUPUESTO DE OBRA" sheetId="2" r:id="rId1"/>
    <sheet name="AU 1" sheetId="3"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s>
  <definedNames>
    <definedName name="\p">'[1]OPS&amp;OMS'!$Z$2:$AE$23</definedName>
    <definedName name="________min2" localSheetId="1">#REF!</definedName>
    <definedName name="________min2">#REF!</definedName>
    <definedName name="________PAG1">'[1]OPS&amp;OMS'!$A$1:$D$26</definedName>
    <definedName name="________Pag10" localSheetId="1">#REF!</definedName>
    <definedName name="________Pag10">#REF!</definedName>
    <definedName name="________PAG2">'[1]OPS&amp;OMS'!$D$1:$E$68</definedName>
    <definedName name="________PAG3">'[1]OPS&amp;OMS'!$A$70:$D$115</definedName>
    <definedName name="________PAG4">'[1]OPS&amp;OMS'!$117:$8194</definedName>
    <definedName name="________PAG5">'[1]OPS&amp;OMS'!$A$186:$D$236</definedName>
    <definedName name="________R" localSheetId="1">#REF!</definedName>
    <definedName name="________R">#REF!</definedName>
    <definedName name="________TLL3" localSheetId="1">#REF!</definedName>
    <definedName name="________TLL3">#REF!</definedName>
    <definedName name="________TP1" localSheetId="1">#REF!</definedName>
    <definedName name="________TP1">#REF!</definedName>
    <definedName name="_______min2" localSheetId="1">#REF!</definedName>
    <definedName name="_______min2">#REF!</definedName>
    <definedName name="_______PAG1">'[1]OPS&amp;OMS'!$A$1:$D$26</definedName>
    <definedName name="_______Pag10" localSheetId="1">#REF!</definedName>
    <definedName name="_______Pag10">#REF!</definedName>
    <definedName name="_______PAG2">'[1]OPS&amp;OMS'!$D$1:$E$68</definedName>
    <definedName name="_______PAG3">'[1]OPS&amp;OMS'!$A$70:$D$115</definedName>
    <definedName name="_______PAG4">'[1]OPS&amp;OMS'!$117:$8194</definedName>
    <definedName name="_______PAG5">'[1]OPS&amp;OMS'!$A$186:$D$236</definedName>
    <definedName name="_______R" localSheetId="1">#REF!</definedName>
    <definedName name="_______R">#REF!</definedName>
    <definedName name="_______TLL3" localSheetId="1">#REF!</definedName>
    <definedName name="_______TLL3">#REF!</definedName>
    <definedName name="_______TP1" localSheetId="1">#REF!</definedName>
    <definedName name="_______TP1">#REF!</definedName>
    <definedName name="______min2" localSheetId="1">#REF!</definedName>
    <definedName name="______min2">#REF!</definedName>
    <definedName name="______PAG1">'[1]OPS&amp;OMS'!$A$1:$D$26</definedName>
    <definedName name="______Pag10" localSheetId="1">#REF!</definedName>
    <definedName name="______Pag10">#REF!</definedName>
    <definedName name="______PAG2">'[1]OPS&amp;OMS'!$D$1:$E$68</definedName>
    <definedName name="______PAG3">'[1]OPS&amp;OMS'!$A$70:$D$115</definedName>
    <definedName name="______PAG4">'[1]OPS&amp;OMS'!$117:$8194</definedName>
    <definedName name="______PAG5">'[1]OPS&amp;OMS'!$A$186:$D$236</definedName>
    <definedName name="______R" localSheetId="1">#REF!</definedName>
    <definedName name="______R">#REF!</definedName>
    <definedName name="______TLL3" localSheetId="1">#REF!</definedName>
    <definedName name="______TLL3">#REF!</definedName>
    <definedName name="______TP1" localSheetId="1">#REF!</definedName>
    <definedName name="______TP1">#REF!</definedName>
    <definedName name="_____min2" localSheetId="1">#REF!</definedName>
    <definedName name="_____min2">#REF!</definedName>
    <definedName name="_____PAG1">'[1]OPS&amp;OMS'!$A$1:$D$26</definedName>
    <definedName name="_____Pag10" localSheetId="1">#REF!</definedName>
    <definedName name="_____Pag10">#REF!</definedName>
    <definedName name="_____PAG2">'[1]OPS&amp;OMS'!$D$1:$E$68</definedName>
    <definedName name="_____PAG3">'[1]OPS&amp;OMS'!$A$70:$D$115</definedName>
    <definedName name="_____PAG4">'[1]OPS&amp;OMS'!$117:$8194</definedName>
    <definedName name="_____PAG5">'[1]OPS&amp;OMS'!$A$186:$D$236</definedName>
    <definedName name="_____R" localSheetId="1">#REF!</definedName>
    <definedName name="_____R">#REF!</definedName>
    <definedName name="_____TLL3" localSheetId="1">#REF!</definedName>
    <definedName name="_____TLL3">#REF!</definedName>
    <definedName name="_____TP1" localSheetId="1">#REF!</definedName>
    <definedName name="_____TP1">#REF!</definedName>
    <definedName name="____min2" localSheetId="1">#REF!</definedName>
    <definedName name="____min2">#REF!</definedName>
    <definedName name="____PAG1">'[1]OPS&amp;OMS'!$A$1:$D$26</definedName>
    <definedName name="____Pag10" localSheetId="1">#REF!</definedName>
    <definedName name="____Pag10">#REF!</definedName>
    <definedName name="____PAG2">'[1]OPS&amp;OMS'!$D$1:$E$68</definedName>
    <definedName name="____PAG3">'[1]OPS&amp;OMS'!$A$70:$D$115</definedName>
    <definedName name="____PAG4">'[1]OPS&amp;OMS'!$117:$8194</definedName>
    <definedName name="____PAG5">'[1]OPS&amp;OMS'!$A$186:$D$236</definedName>
    <definedName name="____R" localSheetId="1">#REF!</definedName>
    <definedName name="____R">#REF!</definedName>
    <definedName name="____TLL3" localSheetId="1">#REF!</definedName>
    <definedName name="____TLL3">#REF!</definedName>
    <definedName name="____TP1" localSheetId="1">#REF!</definedName>
    <definedName name="____TP1">#REF!</definedName>
    <definedName name="___min2" localSheetId="1">#REF!</definedName>
    <definedName name="___min2">#REF!</definedName>
    <definedName name="___PAG1">'[1]OPS&amp;OMS'!$A$1:$D$26</definedName>
    <definedName name="___Pag10" localSheetId="1">#REF!</definedName>
    <definedName name="___Pag10">#REF!</definedName>
    <definedName name="___PAG2">'[1]OPS&amp;OMS'!$D$1:$E$68</definedName>
    <definedName name="___PAG3">'[1]OPS&amp;OMS'!$A$70:$D$115</definedName>
    <definedName name="___PAG4">'[1]OPS&amp;OMS'!$117:$8194</definedName>
    <definedName name="___PAG5">'[1]OPS&amp;OMS'!$A$186:$D$236</definedName>
    <definedName name="___R" localSheetId="1">#REF!</definedName>
    <definedName name="___R">#REF!</definedName>
    <definedName name="___TLL3" localSheetId="1">#REF!</definedName>
    <definedName name="___TLL3">#REF!</definedName>
    <definedName name="___TP1" localSheetId="1">#REF!</definedName>
    <definedName name="___TP1">#REF!</definedName>
    <definedName name="__min2" localSheetId="1">#REF!</definedName>
    <definedName name="__min2">#REF!</definedName>
    <definedName name="__PAG1">'[1]OPS&amp;OMS'!$A$1:$D$26</definedName>
    <definedName name="__Pag10" localSheetId="1">#REF!</definedName>
    <definedName name="__Pag10">#REF!</definedName>
    <definedName name="__PAG2">'[1]OPS&amp;OMS'!$D$1:$E$68</definedName>
    <definedName name="__PAG3">'[1]OPS&amp;OMS'!$A$70:$D$115</definedName>
    <definedName name="__PAG4">'[1]OPS&amp;OMS'!$117:$8194</definedName>
    <definedName name="__PAG5">'[1]OPS&amp;OMS'!$A$186:$D$236</definedName>
    <definedName name="__R" localSheetId="1">#REF!</definedName>
    <definedName name="__R">#REF!</definedName>
    <definedName name="__TLL3" localSheetId="1">#REF!</definedName>
    <definedName name="__TLL3">#REF!</definedName>
    <definedName name="__TP1" localSheetId="1">#REF!</definedName>
    <definedName name="__TP1">#REF!</definedName>
    <definedName name="_Fill" localSheetId="1" hidden="1">#REF!</definedName>
    <definedName name="_Fill" hidden="1">#REF!</definedName>
    <definedName name="_xlnm._FilterDatabase" localSheetId="0" hidden="1">'PRESUPUESTO DE OBRA'!$B$8:$F$207</definedName>
    <definedName name="_min2" localSheetId="1">#REF!</definedName>
    <definedName name="_min2">#REF!</definedName>
    <definedName name="_mor15" localSheetId="1">#REF!</definedName>
    <definedName name="_mor15">#REF!</definedName>
    <definedName name="_O">'[1]OPS&amp;OMS'!$I$14</definedName>
    <definedName name="_P">'[1]OPS&amp;OMS'!$I$7</definedName>
    <definedName name="_PAG1">'[1]OPS&amp;OMS'!$A$1:$D$26</definedName>
    <definedName name="_Pag10" localSheetId="1">#REF!</definedName>
    <definedName name="_Pag10">#REF!</definedName>
    <definedName name="_PAG2">'[1]OPS&amp;OMS'!$D$1:$E$68</definedName>
    <definedName name="_PAG3">'[1]OPS&amp;OMS'!$A$70:$D$115</definedName>
    <definedName name="_PAG4">'[1]OPS&amp;OMS'!$117:$8194</definedName>
    <definedName name="_PAG5">'[1]OPS&amp;OMS'!$A$186:$D$236</definedName>
    <definedName name="_R" localSheetId="1">#REF!</definedName>
    <definedName name="_R">#REF!</definedName>
    <definedName name="_Rc" localSheetId="1">#REF!</definedName>
    <definedName name="_Rc">#REF!</definedName>
    <definedName name="_TLL3" localSheetId="1">#REF!</definedName>
    <definedName name="_TLL3">#REF!</definedName>
    <definedName name="_TP1" localSheetId="1">#REF!</definedName>
    <definedName name="_TP1">#REF!</definedName>
    <definedName name="A" localSheetId="0">#REF!</definedName>
    <definedName name="A">'[2]Presupuesto-cobertura'!#REF!</definedName>
    <definedName name="A_impresión_IM">[3]ALC!#REF!</definedName>
    <definedName name="aa">'[2]Presupuesto-cobertura'!$G$1</definedName>
    <definedName name="Ab" localSheetId="1">#REF!</definedName>
    <definedName name="Ab">#REF!</definedName>
    <definedName name="Ac" localSheetId="1">#REF!</definedName>
    <definedName name="Ac">#REF!</definedName>
    <definedName name="ACERO" localSheetId="1">#REF!</definedName>
    <definedName name="ACERO">#REF!</definedName>
    <definedName name="ACERO2" localSheetId="1">#REF!</definedName>
    <definedName name="ACERO2">#REF!</definedName>
    <definedName name="ACERO37" localSheetId="1">#REF!</definedName>
    <definedName name="ACERO37">#REF!</definedName>
    <definedName name="ACERO6" localSheetId="1">#REF!</definedName>
    <definedName name="ACERO6">#REF!</definedName>
    <definedName name="Ad" localSheetId="1">#REF!</definedName>
    <definedName name="Ad">#REF!</definedName>
    <definedName name="Ae" localSheetId="1">#REF!</definedName>
    <definedName name="Ae">#REF!</definedName>
    <definedName name="Af" localSheetId="1">#REF!</definedName>
    <definedName name="Af">#REF!</definedName>
    <definedName name="AFINADOCUBIERTA" localSheetId="1">#REF!</definedName>
    <definedName name="AFINADOCUBIERTA">#REF!</definedName>
    <definedName name="Ag" localSheetId="1">#REF!</definedName>
    <definedName name="Ag">#REF!</definedName>
    <definedName name="AGUA" localSheetId="1">#REF!</definedName>
    <definedName name="AGUA">#REF!</definedName>
    <definedName name="Ah" localSheetId="1">#REF!</definedName>
    <definedName name="Ah">#REF!</definedName>
    <definedName name="Ai" localSheetId="1">#REF!</definedName>
    <definedName name="Ai">#REF!</definedName>
    <definedName name="Ak" localSheetId="1">#REF!</definedName>
    <definedName name="Ak">#REF!</definedName>
    <definedName name="ALFAGIAS" localSheetId="1">#REF!</definedName>
    <definedName name="ALFAGIAS">#REF!</definedName>
    <definedName name="ALNEGRO" localSheetId="1">#REF!</definedName>
    <definedName name="ALNEGRO">#REF!</definedName>
    <definedName name="Am" localSheetId="1">#REF!</definedName>
    <definedName name="Am">#REF!</definedName>
    <definedName name="An" localSheetId="1">#REF!</definedName>
    <definedName name="An">#REF!</definedName>
    <definedName name="ANDEN" localSheetId="1">#REF!</definedName>
    <definedName name="ANDEN">#REF!</definedName>
    <definedName name="Angulo_de_platina__1_x1_x1_8">'[4]L. MAT.'!#REF!</definedName>
    <definedName name="Añ" localSheetId="1">#REF!</definedName>
    <definedName name="Añ">#REF!</definedName>
    <definedName name="Ao" localSheetId="1">#REF!</definedName>
    <definedName name="Ao">#REF!</definedName>
    <definedName name="Ap" localSheetId="1">#REF!</definedName>
    <definedName name="Ap">#REF!</definedName>
    <definedName name="aq" localSheetId="1">#REF!</definedName>
    <definedName name="aq">#REF!</definedName>
    <definedName name="Ar" localSheetId="1">#REF!</definedName>
    <definedName name="Ar">#REF!</definedName>
    <definedName name="_xlnm.Print_Area" localSheetId="1">'AU 1'!$B$2:$I$72</definedName>
    <definedName name="_xlnm.Print_Area" localSheetId="0">'PRESUPUESTO DE OBRA'!$A$1:$J$215</definedName>
    <definedName name="_xlnm.Print_Area">#REF!</definedName>
    <definedName name="arial" localSheetId="1">#REF!</definedName>
    <definedName name="arial">#REF!</definedName>
    <definedName name="As" localSheetId="1">#REF!</definedName>
    <definedName name="As">#REF!</definedName>
    <definedName name="At" localSheetId="1">#REF!</definedName>
    <definedName name="At">#REF!</definedName>
    <definedName name="Au" localSheetId="1">#REF!</definedName>
    <definedName name="Au">#REF!</definedName>
    <definedName name="Ax" localSheetId="1">#REF!</definedName>
    <definedName name="Ax">#REF!</definedName>
    <definedName name="Ay" localSheetId="1">#REF!</definedName>
    <definedName name="Ay">#REF!</definedName>
    <definedName name="Ba" localSheetId="1">#REF!</definedName>
    <definedName name="Ba">#REF!</definedName>
    <definedName name="BALASTO" localSheetId="1">#REF!</definedName>
    <definedName name="BALASTO">#REF!</definedName>
    <definedName name="bar">'[5]Presupuesto 2003'!#REF!</definedName>
    <definedName name="baranda">'[5]Presupuesto 2003'!$J$1</definedName>
    <definedName name="BARNIZTOT" localSheetId="1">#REF!</definedName>
    <definedName name="BARNIZTOT">#REF!</definedName>
    <definedName name="BASE" localSheetId="1">#REF!</definedName>
    <definedName name="BASE">#REF!</definedName>
    <definedName name="Bb" localSheetId="1">#REF!</definedName>
    <definedName name="Bb">#REF!</definedName>
    <definedName name="Bc" localSheetId="1">#REF!</definedName>
    <definedName name="Bc">#REF!</definedName>
    <definedName name="Bd" localSheetId="1">#REF!</definedName>
    <definedName name="Bd">#REF!</definedName>
    <definedName name="Be" localSheetId="1">#REF!</definedName>
    <definedName name="Be">#REF!</definedName>
    <definedName name="Bf" localSheetId="1">#REF!</definedName>
    <definedName name="Bf">#REF!</definedName>
    <definedName name="Bg" localSheetId="1">#REF!</definedName>
    <definedName name="Bg">#REF!</definedName>
    <definedName name="Bh" localSheetId="1">#REF!</definedName>
    <definedName name="Bh">#REF!</definedName>
    <definedName name="Bi" localSheetId="1">#REF!</definedName>
    <definedName name="Bi">#REF!</definedName>
    <definedName name="Bk" localSheetId="1">#REF!</definedName>
    <definedName name="Bk">#REF!</definedName>
    <definedName name="BLOQCEMEN" localSheetId="1">#REF!</definedName>
    <definedName name="BLOQCEMEN">#REF!</definedName>
    <definedName name="Bm" localSheetId="1">#REF!</definedName>
    <definedName name="Bm">#REF!</definedName>
    <definedName name="Bn" localSheetId="1">#REF!</definedName>
    <definedName name="Bn">#REF!</definedName>
    <definedName name="BORDILLOS" localSheetId="1">#REF!</definedName>
    <definedName name="BORDILLOS">#REF!</definedName>
    <definedName name="BREA" localSheetId="1">#REF!</definedName>
    <definedName name="BREA">#REF!</definedName>
    <definedName name="Breaker_Indus.Merlin_G.3x150A">'[4]L. MAT.'!#REF!</definedName>
    <definedName name="Brilladora">'[4]L. MAT.'!#REF!</definedName>
    <definedName name="C.1" localSheetId="1">#REF!</definedName>
    <definedName name="C.1">#REF!</definedName>
    <definedName name="C.10" localSheetId="1">#REF!</definedName>
    <definedName name="C.10">#REF!</definedName>
    <definedName name="C.11" localSheetId="1">#REF!</definedName>
    <definedName name="C.11">#REF!</definedName>
    <definedName name="C.2" localSheetId="1">#REF!</definedName>
    <definedName name="C.2">#REF!</definedName>
    <definedName name="C.3" localSheetId="1">#REF!</definedName>
    <definedName name="C.3">#REF!</definedName>
    <definedName name="C.4" localSheetId="1">#REF!</definedName>
    <definedName name="C.4">#REF!</definedName>
    <definedName name="C.5" localSheetId="1">#REF!</definedName>
    <definedName name="C.5">#REF!</definedName>
    <definedName name="C.6" localSheetId="1">#REF!</definedName>
    <definedName name="C.6">#REF!</definedName>
    <definedName name="C.7" localSheetId="1">#REF!</definedName>
    <definedName name="C.7">#REF!</definedName>
    <definedName name="C.8" localSheetId="1">#REF!</definedName>
    <definedName name="C.8">#REF!</definedName>
    <definedName name="C.9" localSheetId="1">#REF!</definedName>
    <definedName name="C.9">#REF!</definedName>
    <definedName name="Ca" localSheetId="1">#REF!</definedName>
    <definedName name="Ca">#REF!</definedName>
    <definedName name="CABALLETE" localSheetId="1">#REF!</definedName>
    <definedName name="CABALLETE">#REF!</definedName>
    <definedName name="CABALLETETOTAL" localSheetId="1">#REF!</definedName>
    <definedName name="CABALLETETOTAL">#REF!</definedName>
    <definedName name="CAJADESARE" localSheetId="1">#REF!</definedName>
    <definedName name="CAJADESARE">#REF!</definedName>
    <definedName name="CAJAS60" localSheetId="1">#REF!</definedName>
    <definedName name="CAJAS60">#REF!</definedName>
    <definedName name="CARBUROTOT" localSheetId="1">#REF!</definedName>
    <definedName name="CARBUROTOT">#REF!</definedName>
    <definedName name="CASETONES" localSheetId="1">#REF!</definedName>
    <definedName name="CASETONES">#REF!</definedName>
    <definedName name="cau" localSheetId="1">#REF!</definedName>
    <definedName name="cau">#REF!</definedName>
    <definedName name="CB" localSheetId="1">#REF!</definedName>
    <definedName name="CB">#REF!</definedName>
    <definedName name="Cc" localSheetId="1">#REF!</definedName>
    <definedName name="Cc">#REF!</definedName>
    <definedName name="Cd" localSheetId="1">#REF!</definedName>
    <definedName name="Cd">#REF!</definedName>
    <definedName name="Ce" localSheetId="1">#REF!</definedName>
    <definedName name="Ce">#REF!</definedName>
    <definedName name="CEMENTBLAN." localSheetId="1">#REF!</definedName>
    <definedName name="CEMENTBLAN.">#REF!</definedName>
    <definedName name="CEMENTO" localSheetId="1">#REF!</definedName>
    <definedName name="CEMENTO">#REF!</definedName>
    <definedName name="CENEFAMALLA" localSheetId="1">#REF!</definedName>
    <definedName name="CENEFAMALLA">#REF!</definedName>
    <definedName name="Cera_para_pisos">'[4]L. MAT.'!#REF!</definedName>
    <definedName name="Cf" localSheetId="1">#REF!</definedName>
    <definedName name="Cf">#REF!</definedName>
    <definedName name="Cg" localSheetId="1">#REF!</definedName>
    <definedName name="Cg">#REF!</definedName>
    <definedName name="Ch" localSheetId="1">#REF!</definedName>
    <definedName name="Ch">#REF!</definedName>
    <definedName name="CHEQUE3_4" localSheetId="1">#REF!</definedName>
    <definedName name="CHEQUE3_4">#REF!</definedName>
    <definedName name="Ci" localSheetId="1">#REF!</definedName>
    <definedName name="Ci">#REF!</definedName>
    <definedName name="CIELORASOTOT" localSheetId="1">#REF!</definedName>
    <definedName name="CIELORASOTOT">#REF!</definedName>
    <definedName name="Cj" localSheetId="1">#REF!</definedName>
    <definedName name="Cj">#REF!</definedName>
    <definedName name="Ck" localSheetId="1">#REF!</definedName>
    <definedName name="Ck">#REF!</definedName>
    <definedName name="Cll" localSheetId="1">#REF!</definedName>
    <definedName name="Cll">#REF!</definedName>
    <definedName name="CLOSETTOT" localSheetId="1">#REF!</definedName>
    <definedName name="CLOSETTOT">#REF!</definedName>
    <definedName name="Cm" localSheetId="1">#REF!</definedName>
    <definedName name="Cm">#REF!</definedName>
    <definedName name="Cn" localSheetId="1">#REF!</definedName>
    <definedName name="Cn">#REF!</definedName>
    <definedName name="Cñ" localSheetId="1">#REF!</definedName>
    <definedName name="Cñ">#REF!</definedName>
    <definedName name="Co" localSheetId="1">#REF!</definedName>
    <definedName name="Co">#REF!</definedName>
    <definedName name="Codos_PVC_3">'[4]L. MAT.'!#REF!</definedName>
    <definedName name="coe" localSheetId="1">#REF!</definedName>
    <definedName name="coe">#REF!</definedName>
    <definedName name="COLAMARRE2" localSheetId="1">#REF!</definedName>
    <definedName name="COLAMARRE2">#REF!</definedName>
    <definedName name="COLUMNA20X20" localSheetId="1">#REF!</definedName>
    <definedName name="COLUMNA20X20">#REF!</definedName>
    <definedName name="COLUMNAS20X30" localSheetId="1">#REF!</definedName>
    <definedName name="COLUMNAS20X30">#REF!</definedName>
    <definedName name="CONCRE123" localSheetId="1">#REF!</definedName>
    <definedName name="CONCRE123">#REF!</definedName>
    <definedName name="CONCRE124" localSheetId="1">#REF!</definedName>
    <definedName name="CONCRE124">#REF!</definedName>
    <definedName name="CONCRE3" localSheetId="1">#REF!</definedName>
    <definedName name="CONCRE3">#REF!</definedName>
    <definedName name="CONCRETO0_05" localSheetId="1">#REF!</definedName>
    <definedName name="CONCRETO0_05">#REF!</definedName>
    <definedName name="Cq" localSheetId="1">#REF!</definedName>
    <definedName name="Cq">#REF!</definedName>
    <definedName name="Cr" localSheetId="1">#REF!</definedName>
    <definedName name="Cr">#REF!</definedName>
    <definedName name="crrc" localSheetId="1">#REF!</definedName>
    <definedName name="crrc">#REF!</definedName>
    <definedName name="crrd" localSheetId="1">#REF!</definedName>
    <definedName name="crrd">#REF!</definedName>
    <definedName name="cruce" localSheetId="1">#REF!</definedName>
    <definedName name="cruce">#REF!</definedName>
    <definedName name="CRUCE_200_CANAL_S1" localSheetId="1">#REF!</definedName>
    <definedName name="CRUCE_200_CANAL_S1">#REF!</definedName>
    <definedName name="CRUCE_200_CANAL_S2" localSheetId="1">#REF!</definedName>
    <definedName name="CRUCE_200_CANAL_S2">#REF!</definedName>
    <definedName name="CRUCE_200_CANAL_S3" localSheetId="1">#REF!</definedName>
    <definedName name="CRUCE_200_CANAL_S3">#REF!</definedName>
    <definedName name="CRUCE_200_CANAL_S4" localSheetId="1">#REF!</definedName>
    <definedName name="CRUCE_200_CANAL_S4">#REF!</definedName>
    <definedName name="CRUCE_200_CANAL_S5" localSheetId="1">#REF!</definedName>
    <definedName name="CRUCE_200_CANAL_S5">#REF!</definedName>
    <definedName name="CRUCE_200_CANAL_S6" localSheetId="1">#REF!</definedName>
    <definedName name="CRUCE_200_CANAL_S6">#REF!</definedName>
    <definedName name="CRUCE_8__A_S1" localSheetId="1">#REF!</definedName>
    <definedName name="CRUCE_8__A_S1">#REF!</definedName>
    <definedName name="CRUCE_8__A_S2" localSheetId="1">#REF!</definedName>
    <definedName name="CRUCE_8__A_S2">#REF!</definedName>
    <definedName name="CRUCE_8__A_S3" localSheetId="1">#REF!</definedName>
    <definedName name="CRUCE_8__A_S3">#REF!</definedName>
    <definedName name="CRUCE_8__A_S4" localSheetId="1">#REF!</definedName>
    <definedName name="CRUCE_8__A_S4">#REF!</definedName>
    <definedName name="CRUCE_8__A_S5" localSheetId="1">#REF!</definedName>
    <definedName name="CRUCE_8__A_S5">#REF!</definedName>
    <definedName name="CRUCE_8__A_S6" localSheetId="1">#REF!</definedName>
    <definedName name="CRUCE_8__A_S6">#REF!</definedName>
    <definedName name="CRUCE12__A_S1" localSheetId="1">#REF!</definedName>
    <definedName name="CRUCE12__A_S1">#REF!</definedName>
    <definedName name="CRUCE12__A_S2" localSheetId="1">#REF!</definedName>
    <definedName name="CRUCE12__A_S2">#REF!</definedName>
    <definedName name="CRUCE12__A_S3" localSheetId="1">#REF!</definedName>
    <definedName name="CRUCE12__A_S3">#REF!</definedName>
    <definedName name="CRUCE12__A_S4" localSheetId="1">#REF!</definedName>
    <definedName name="CRUCE12__A_S4">#REF!</definedName>
    <definedName name="CRUCE12__A_S5" localSheetId="1">#REF!</definedName>
    <definedName name="CRUCE12__A_S5">#REF!</definedName>
    <definedName name="CRUCE12__A_S6" localSheetId="1">#REF!</definedName>
    <definedName name="CRUCE12__A_S6">#REF!</definedName>
    <definedName name="CRUCE12_B_S1" localSheetId="1">#REF!</definedName>
    <definedName name="CRUCE12_B_S1">#REF!</definedName>
    <definedName name="CRUCE12_B_S2" localSheetId="1">#REF!</definedName>
    <definedName name="CRUCE12_B_S2">#REF!</definedName>
    <definedName name="CRUCE12_B_S3" localSheetId="1">#REF!</definedName>
    <definedName name="CRUCE12_B_S3">#REF!</definedName>
    <definedName name="CRUCE12_B_S4" localSheetId="1">#REF!</definedName>
    <definedName name="CRUCE12_B_S4">#REF!</definedName>
    <definedName name="CRUCE12_B_S5" localSheetId="1">#REF!</definedName>
    <definedName name="CRUCE12_B_S5">#REF!</definedName>
    <definedName name="CRUCE12_B_S6" localSheetId="1">#REF!</definedName>
    <definedName name="CRUCE12_B_S6">#REF!</definedName>
    <definedName name="CRUCE160_CANAL_S1" localSheetId="1">#REF!</definedName>
    <definedName name="CRUCE160_CANAL_S1">#REF!</definedName>
    <definedName name="CRUCE160_CANAL_S2" localSheetId="1">#REF!</definedName>
    <definedName name="CRUCE160_CANAL_S2">#REF!</definedName>
    <definedName name="CRUCE160_CANAL_S3" localSheetId="1">#REF!</definedName>
    <definedName name="CRUCE160_CANAL_S3">#REF!</definedName>
    <definedName name="CRUCE160_CANAL_S4" localSheetId="1">#REF!</definedName>
    <definedName name="CRUCE160_CANAL_S4">#REF!</definedName>
    <definedName name="CRUCE160_CANAL_S5" localSheetId="1">#REF!</definedName>
    <definedName name="CRUCE160_CANAL_S5">#REF!</definedName>
    <definedName name="CRUCE160_CANAL_S6" localSheetId="1">#REF!</definedName>
    <definedName name="CRUCE160_CANAL_S6">#REF!</definedName>
    <definedName name="CRUCE90_CANAL_S1" localSheetId="1">#REF!</definedName>
    <definedName name="CRUCE90_CANAL_S1">#REF!</definedName>
    <definedName name="CRUCE90_CANAL_S2" localSheetId="1">#REF!</definedName>
    <definedName name="CRUCE90_CANAL_S2">#REF!</definedName>
    <definedName name="CRUCE90_CANAL_S3" localSheetId="1">#REF!</definedName>
    <definedName name="CRUCE90_CANAL_S3">#REF!</definedName>
    <definedName name="CRUCE90_CANAL_S4" localSheetId="1">#REF!</definedName>
    <definedName name="CRUCE90_CANAL_S4">#REF!</definedName>
    <definedName name="CRUCE90_CANAL_S5" localSheetId="1">#REF!</definedName>
    <definedName name="CRUCE90_CANAL_S5">#REF!</definedName>
    <definedName name="CRUCE90_CANAL_S6" localSheetId="1">#REF!</definedName>
    <definedName name="CRUCE90_CANAL_S6">#REF!</definedName>
    <definedName name="CRUCE90_S1" localSheetId="1">#REF!</definedName>
    <definedName name="CRUCE90_S1">#REF!</definedName>
    <definedName name="CRUCE90_S2" localSheetId="1">#REF!</definedName>
    <definedName name="CRUCE90_S2">#REF!</definedName>
    <definedName name="CRUCE90_S3" localSheetId="1">#REF!</definedName>
    <definedName name="CRUCE90_S3">#REF!</definedName>
    <definedName name="CRUCE90_S4" localSheetId="1">#REF!</definedName>
    <definedName name="CRUCE90_S4">#REF!</definedName>
    <definedName name="CRUCE90_S5" localSheetId="1">#REF!</definedName>
    <definedName name="CRUCE90_S5">#REF!</definedName>
    <definedName name="CRUCE90_S6" localSheetId="1">#REF!</definedName>
    <definedName name="CRUCE90_S6">#REF!</definedName>
    <definedName name="Cs" localSheetId="1">#REF!</definedName>
    <definedName name="Cs">#REF!</definedName>
    <definedName name="Ct" localSheetId="1">#REF!</definedName>
    <definedName name="Ct">#REF!</definedName>
    <definedName name="Cu" localSheetId="1">#REF!</definedName>
    <definedName name="Cu">#REF!</definedName>
    <definedName name="CUADRI1" localSheetId="1">#REF!</definedName>
    <definedName name="CUADRI1">#REF!</definedName>
    <definedName name="CUADRI2" localSheetId="1">#REF!</definedName>
    <definedName name="CUADRI2">#REF!</definedName>
    <definedName name="CUADRI3" localSheetId="1">#REF!</definedName>
    <definedName name="CUADRI3">#REF!</definedName>
    <definedName name="CUADRI4" localSheetId="1">#REF!</definedName>
    <definedName name="CUADRI4">#REF!</definedName>
    <definedName name="CUADRI5" localSheetId="1">#REF!</definedName>
    <definedName name="CUADRI5">#REF!</definedName>
    <definedName name="CUADRI6" localSheetId="1">#REF!</definedName>
    <definedName name="CUADRI6">#REF!</definedName>
    <definedName name="CUADRI7" localSheetId="1">#REF!</definedName>
    <definedName name="CUADRI7">#REF!</definedName>
    <definedName name="CUADRI9" localSheetId="1">#REF!</definedName>
    <definedName name="CUADRI9">#REF!</definedName>
    <definedName name="CUADRO">#N/A</definedName>
    <definedName name="CUBIERTATOTAL" localSheetId="1">#REF!</definedName>
    <definedName name="CUBIERTATOTAL">#REF!</definedName>
    <definedName name="Cv" localSheetId="1">#REF!</definedName>
    <definedName name="Cv">#REF!</definedName>
    <definedName name="Cw" localSheetId="1">#REF!</definedName>
    <definedName name="Cw">#REF!</definedName>
    <definedName name="Cx" localSheetId="1">#REF!</definedName>
    <definedName name="Cx">#REF!</definedName>
    <definedName name="Cy" localSheetId="1">#REF!</definedName>
    <definedName name="Cy">#REF!</definedName>
    <definedName name="D" localSheetId="1">#REF!</definedName>
    <definedName name="D">#REF!</definedName>
    <definedName name="DATOS">'[1]OPS&amp;OMS'!$A$1:$D$26</definedName>
    <definedName name="ddddd" localSheetId="1">#REF!</definedName>
    <definedName name="ddddd">#REF!</definedName>
    <definedName name="DESCAPOTOT" localSheetId="1">#REF!</definedName>
    <definedName name="DESCAPOTOT">#REF!</definedName>
    <definedName name="DINTELES" localSheetId="1">#REF!</definedName>
    <definedName name="DINTELES">#REF!</definedName>
    <definedName name="Director_Administrativo" localSheetId="1">#REF!</definedName>
    <definedName name="Director_Administrativo">#REF!</definedName>
    <definedName name="DOM160X20_S1" localSheetId="1">#REF!</definedName>
    <definedName name="DOM160X20_S1">#REF!</definedName>
    <definedName name="DOM160X20_S2" localSheetId="1">#REF!</definedName>
    <definedName name="DOM160X20_S2">#REF!</definedName>
    <definedName name="DOM160X20_S3" localSheetId="1">#REF!</definedName>
    <definedName name="DOM160X20_S3">#REF!</definedName>
    <definedName name="DOM160X20_S4" localSheetId="1">#REF!</definedName>
    <definedName name="DOM160X20_S4">#REF!</definedName>
    <definedName name="DOM160X20_S5" localSheetId="1">#REF!</definedName>
    <definedName name="DOM160X20_S5">#REF!</definedName>
    <definedName name="DOM160X20_S6" localSheetId="1">#REF!</definedName>
    <definedName name="DOM160X20_S6">#REF!</definedName>
    <definedName name="DOM160X32_S1" localSheetId="1">#REF!</definedName>
    <definedName name="DOM160X32_S1">#REF!</definedName>
    <definedName name="DOM160X32_S2" localSheetId="1">#REF!</definedName>
    <definedName name="DOM160X32_S2">#REF!</definedName>
    <definedName name="DOM160X32_S3" localSheetId="1">#REF!</definedName>
    <definedName name="DOM160X32_S3">#REF!</definedName>
    <definedName name="DOM160X32_S4" localSheetId="1">#REF!</definedName>
    <definedName name="DOM160X32_S4">#REF!</definedName>
    <definedName name="DOM160X32_S5" localSheetId="1">#REF!</definedName>
    <definedName name="DOM160X32_S5">#REF!</definedName>
    <definedName name="DOM160X32_S6" localSheetId="1">#REF!</definedName>
    <definedName name="DOM160X32_S6">#REF!</definedName>
    <definedName name="DOM200X20_S1" localSheetId="1">#REF!</definedName>
    <definedName name="DOM200X20_S1">#REF!</definedName>
    <definedName name="DOM200X20_S2" localSheetId="1">#REF!</definedName>
    <definedName name="DOM200X20_S2">#REF!</definedName>
    <definedName name="DOM200X20_S3" localSheetId="1">#REF!</definedName>
    <definedName name="DOM200X20_S3">#REF!</definedName>
    <definedName name="DOM200X20_S4" localSheetId="1">#REF!</definedName>
    <definedName name="DOM200X20_S4">#REF!</definedName>
    <definedName name="DOM200X20_S5" localSheetId="1">#REF!</definedName>
    <definedName name="DOM200X20_S5">#REF!</definedName>
    <definedName name="DOM200X20_S6" localSheetId="1">#REF!</definedName>
    <definedName name="DOM200X20_S6">#REF!</definedName>
    <definedName name="DOM200X32_S1" localSheetId="1">#REF!</definedName>
    <definedName name="DOM200X32_S1">#REF!</definedName>
    <definedName name="DOM200X32_S2" localSheetId="1">#REF!</definedName>
    <definedName name="DOM200X32_S2">#REF!</definedName>
    <definedName name="DOM200X32_S3" localSheetId="1">#REF!</definedName>
    <definedName name="DOM200X32_S3">#REF!</definedName>
    <definedName name="DOM200X32_S4" localSheetId="1">#REF!</definedName>
    <definedName name="DOM200X32_S4">#REF!</definedName>
    <definedName name="DOM200X32_S5" localSheetId="1">#REF!</definedName>
    <definedName name="DOM200X32_S5">#REF!</definedName>
    <definedName name="DOM200X32_S6" localSheetId="1">#REF!</definedName>
    <definedName name="DOM200X32_S6">#REF!</definedName>
    <definedName name="DOM90X20_S1" localSheetId="1">#REF!</definedName>
    <definedName name="DOM90X20_S1">#REF!</definedName>
    <definedName name="DOM90X20_S2" localSheetId="1">#REF!</definedName>
    <definedName name="DOM90X20_S2">#REF!</definedName>
    <definedName name="DOM90X20_S3" localSheetId="1">#REF!</definedName>
    <definedName name="DOM90X20_S3">#REF!</definedName>
    <definedName name="DOM90X20_S4" localSheetId="1">#REF!</definedName>
    <definedName name="DOM90X20_S4">#REF!</definedName>
    <definedName name="DOM90X20_S5" localSheetId="1">#REF!</definedName>
    <definedName name="DOM90X20_S5">#REF!</definedName>
    <definedName name="DOM90X20_S6" localSheetId="1">#REF!</definedName>
    <definedName name="DOM90X20_S6">#REF!</definedName>
    <definedName name="DOM90X32_S1" localSheetId="1">#REF!</definedName>
    <definedName name="DOM90X32_S1">#REF!</definedName>
    <definedName name="DOM90X32_S2" localSheetId="1">#REF!</definedName>
    <definedName name="DOM90X32_S2">#REF!</definedName>
    <definedName name="DOM90X32_S3" localSheetId="1">#REF!</definedName>
    <definedName name="DOM90X32_S3">#REF!</definedName>
    <definedName name="DOM90X32_S4" localSheetId="1">#REF!</definedName>
    <definedName name="DOM90X32_S4">#REF!</definedName>
    <definedName name="DOM90X32_S5" localSheetId="1">#REF!</definedName>
    <definedName name="DOM90X32_S5">#REF!</definedName>
    <definedName name="DOM90X32_S6" localSheetId="1">#REF!</definedName>
    <definedName name="DOM90X32_S6">#REF!</definedName>
    <definedName name="DOMESP90X63_S1" localSheetId="1">#REF!</definedName>
    <definedName name="DOMESP90X63_S1">#REF!</definedName>
    <definedName name="DOMESP90X63_S2" localSheetId="1">#REF!</definedName>
    <definedName name="DOMESP90X63_S2">#REF!</definedName>
    <definedName name="DOMESP90X63_S3" localSheetId="1">#REF!</definedName>
    <definedName name="DOMESP90X63_S3">#REF!</definedName>
    <definedName name="DOMESP90X63_S4" localSheetId="1">#REF!</definedName>
    <definedName name="DOMESP90X63_S4">#REF!</definedName>
    <definedName name="DOMESP90X63_S5" localSheetId="1">#REF!</definedName>
    <definedName name="DOMESP90X63_S5">#REF!</definedName>
    <definedName name="DOMESP90X63_S6" localSheetId="1">#REF!</definedName>
    <definedName name="DOMESP90X63_S6">#REF!</definedName>
    <definedName name="DotA" localSheetId="1">#REF!</definedName>
    <definedName name="DotA">#REF!</definedName>
    <definedName name="DUCHATAYRONATOT" localSheetId="1">#REF!</definedName>
    <definedName name="DUCHATAYRONATOT">#REF!</definedName>
    <definedName name="E" localSheetId="1">#REF!</definedName>
    <definedName name="e" localSheetId="0">#REF!</definedName>
    <definedName name="E">#REF!</definedName>
    <definedName name="ELEMENVERT" localSheetId="1">#REF!</definedName>
    <definedName name="ELEMENVERT">#REF!</definedName>
    <definedName name="ENCHAP11" localSheetId="1">#REF!</definedName>
    <definedName name="ENCHAP11">#REF!</definedName>
    <definedName name="ENCHAP20" localSheetId="1">#REF!</definedName>
    <definedName name="ENCHAP20">#REF!</definedName>
    <definedName name="ENCHAPBAÑO" localSheetId="1">#REF!</definedName>
    <definedName name="ENCHAPBAÑO">#REF!</definedName>
    <definedName name="ENCHAPLABOR" localSheetId="1">#REF!</definedName>
    <definedName name="ENCHAPLABOR">#REF!</definedName>
    <definedName name="ENCHAPTABLETA" localSheetId="1">#REF!</definedName>
    <definedName name="ENCHAPTABLETA">#REF!</definedName>
    <definedName name="ES1_1" localSheetId="1">#REF!</definedName>
    <definedName name="ES1_1">#REF!</definedName>
    <definedName name="ES1_10" localSheetId="1">#REF!</definedName>
    <definedName name="ES1_10">#REF!</definedName>
    <definedName name="ES1_11" localSheetId="1">#REF!</definedName>
    <definedName name="ES1_11">#REF!</definedName>
    <definedName name="ES1_12" localSheetId="1">#REF!</definedName>
    <definedName name="ES1_12">#REF!</definedName>
    <definedName name="ES1_13" localSheetId="1">#REF!</definedName>
    <definedName name="ES1_13">#REF!</definedName>
    <definedName name="ES1_14" localSheetId="1">#REF!</definedName>
    <definedName name="ES1_14">#REF!</definedName>
    <definedName name="ES1_15" localSheetId="1">#REF!</definedName>
    <definedName name="ES1_15">#REF!</definedName>
    <definedName name="ES1_16" localSheetId="1">#REF!</definedName>
    <definedName name="ES1_16">#REF!</definedName>
    <definedName name="ES1_17" localSheetId="1">#REF!</definedName>
    <definedName name="ES1_17">#REF!</definedName>
    <definedName name="ES1_18" localSheetId="1">#REF!</definedName>
    <definedName name="ES1_18">#REF!</definedName>
    <definedName name="ES1_19" localSheetId="1">#REF!</definedName>
    <definedName name="ES1_19">#REF!</definedName>
    <definedName name="ES1_2" localSheetId="1">#REF!</definedName>
    <definedName name="ES1_2">#REF!</definedName>
    <definedName name="ES1_20" localSheetId="1">#REF!</definedName>
    <definedName name="ES1_20">#REF!</definedName>
    <definedName name="ES1_21" localSheetId="1">#REF!</definedName>
    <definedName name="ES1_21">#REF!</definedName>
    <definedName name="ES1_22" localSheetId="1">#REF!</definedName>
    <definedName name="ES1_22">#REF!</definedName>
    <definedName name="ES1_23" localSheetId="1">#REF!</definedName>
    <definedName name="ES1_23">#REF!</definedName>
    <definedName name="ES1_24" localSheetId="1">#REF!</definedName>
    <definedName name="ES1_24">#REF!</definedName>
    <definedName name="ES1_25" localSheetId="1">#REF!</definedName>
    <definedName name="ES1_25">#REF!</definedName>
    <definedName name="ES1_26" localSheetId="1">#REF!</definedName>
    <definedName name="ES1_26">#REF!</definedName>
    <definedName name="ES1_27" localSheetId="1">#REF!</definedName>
    <definedName name="ES1_27">#REF!</definedName>
    <definedName name="ES1_28" localSheetId="1">#REF!</definedName>
    <definedName name="ES1_28">#REF!</definedName>
    <definedName name="ES1_29" localSheetId="1">#REF!</definedName>
    <definedName name="ES1_29">#REF!</definedName>
    <definedName name="ES1_3" localSheetId="1">#REF!</definedName>
    <definedName name="ES1_3">#REF!</definedName>
    <definedName name="ES1_30" localSheetId="1">#REF!</definedName>
    <definedName name="ES1_30">#REF!</definedName>
    <definedName name="ES1_31" localSheetId="1">#REF!</definedName>
    <definedName name="ES1_31">#REF!</definedName>
    <definedName name="ES1_32" localSheetId="1">#REF!</definedName>
    <definedName name="ES1_32">#REF!</definedName>
    <definedName name="ES1_33" localSheetId="1">#REF!</definedName>
    <definedName name="ES1_33">#REF!</definedName>
    <definedName name="ES1_34" localSheetId="1">#REF!</definedName>
    <definedName name="ES1_34">#REF!</definedName>
    <definedName name="ES1_35" localSheetId="1">#REF!</definedName>
    <definedName name="ES1_35">#REF!</definedName>
    <definedName name="ES1_36" localSheetId="1">#REF!</definedName>
    <definedName name="ES1_36">#REF!</definedName>
    <definedName name="ES1_37" localSheetId="1">#REF!</definedName>
    <definedName name="ES1_37">#REF!</definedName>
    <definedName name="ES1_38" localSheetId="1">#REF!</definedName>
    <definedName name="ES1_38">#REF!</definedName>
    <definedName name="ES1_39" localSheetId="1">#REF!</definedName>
    <definedName name="ES1_39">#REF!</definedName>
    <definedName name="ES1_4" localSheetId="1">#REF!</definedName>
    <definedName name="ES1_4">#REF!</definedName>
    <definedName name="ES1_40" localSheetId="1">#REF!</definedName>
    <definedName name="ES1_40">#REF!</definedName>
    <definedName name="ES1_41" localSheetId="1">#REF!</definedName>
    <definedName name="ES1_41">#REF!</definedName>
    <definedName name="ES1_42" localSheetId="1">#REF!</definedName>
    <definedName name="ES1_42">#REF!</definedName>
    <definedName name="ES1_43" localSheetId="1">#REF!</definedName>
    <definedName name="ES1_43">#REF!</definedName>
    <definedName name="ES1_5" localSheetId="1">#REF!</definedName>
    <definedName name="ES1_5">#REF!</definedName>
    <definedName name="ES1_6" localSheetId="1">#REF!</definedName>
    <definedName name="ES1_6">#REF!</definedName>
    <definedName name="ES1_7" localSheetId="1">#REF!</definedName>
    <definedName name="ES1_7">#REF!</definedName>
    <definedName name="ES1_8" localSheetId="1">#REF!</definedName>
    <definedName name="ES1_8">#REF!</definedName>
    <definedName name="ES1_9" localSheetId="1">#REF!</definedName>
    <definedName name="ES1_9">#REF!</definedName>
    <definedName name="ES2_1" localSheetId="1">#REF!</definedName>
    <definedName name="ES2_1">#REF!</definedName>
    <definedName name="ES2_10" localSheetId="1">#REF!</definedName>
    <definedName name="ES2_10">#REF!</definedName>
    <definedName name="ES2_11" localSheetId="1">#REF!</definedName>
    <definedName name="ES2_11">#REF!</definedName>
    <definedName name="ES2_12" localSheetId="1">#REF!</definedName>
    <definedName name="ES2_12">#REF!</definedName>
    <definedName name="ES2_13" localSheetId="1">#REF!</definedName>
    <definedName name="ES2_13">#REF!</definedName>
    <definedName name="ES2_14" localSheetId="1">#REF!</definedName>
    <definedName name="ES2_14">#REF!</definedName>
    <definedName name="ES2_15" localSheetId="1">#REF!</definedName>
    <definedName name="ES2_15">#REF!</definedName>
    <definedName name="ES2_16" localSheetId="1">#REF!</definedName>
    <definedName name="ES2_16">#REF!</definedName>
    <definedName name="ES2_17" localSheetId="1">#REF!</definedName>
    <definedName name="ES2_17">#REF!</definedName>
    <definedName name="ES2_18" localSheetId="1">#REF!</definedName>
    <definedName name="ES2_18">#REF!</definedName>
    <definedName name="ES2_19" localSheetId="1">#REF!</definedName>
    <definedName name="ES2_19">#REF!</definedName>
    <definedName name="ES2_2" localSheetId="1">#REF!</definedName>
    <definedName name="ES2_2">#REF!</definedName>
    <definedName name="ES2_20" localSheetId="1">#REF!</definedName>
    <definedName name="ES2_20">#REF!</definedName>
    <definedName name="ES2_21" localSheetId="1">#REF!</definedName>
    <definedName name="ES2_21">#REF!</definedName>
    <definedName name="ES2_22" localSheetId="1">#REF!</definedName>
    <definedName name="ES2_22">#REF!</definedName>
    <definedName name="ES2_23" localSheetId="1">#REF!</definedName>
    <definedName name="ES2_23">#REF!</definedName>
    <definedName name="ES2_24" localSheetId="1">#REF!</definedName>
    <definedName name="ES2_24">#REF!</definedName>
    <definedName name="ES2_25" localSheetId="1">#REF!</definedName>
    <definedName name="ES2_25">#REF!</definedName>
    <definedName name="ES2_26" localSheetId="1">#REF!</definedName>
    <definedName name="ES2_26">#REF!</definedName>
    <definedName name="ES2_27" localSheetId="1">#REF!</definedName>
    <definedName name="ES2_27">#REF!</definedName>
    <definedName name="ES2_28" localSheetId="1">#REF!</definedName>
    <definedName name="ES2_28">#REF!</definedName>
    <definedName name="ES2_29" localSheetId="1">#REF!</definedName>
    <definedName name="ES2_29">#REF!</definedName>
    <definedName name="ES2_3" localSheetId="1">#REF!</definedName>
    <definedName name="ES2_3">#REF!</definedName>
    <definedName name="ES2_30" localSheetId="1">#REF!</definedName>
    <definedName name="ES2_30">#REF!</definedName>
    <definedName name="ES2_31" localSheetId="1">#REF!</definedName>
    <definedName name="ES2_31">#REF!</definedName>
    <definedName name="ES2_32" localSheetId="1">#REF!</definedName>
    <definedName name="ES2_32">#REF!</definedName>
    <definedName name="ES2_33" localSheetId="1">#REF!</definedName>
    <definedName name="ES2_33">#REF!</definedName>
    <definedName name="ES2_34" localSheetId="1">#REF!</definedName>
    <definedName name="ES2_34">#REF!</definedName>
    <definedName name="ES2_35" localSheetId="1">#REF!</definedName>
    <definedName name="ES2_35">#REF!</definedName>
    <definedName name="ES2_36" localSheetId="1">#REF!</definedName>
    <definedName name="ES2_36">#REF!</definedName>
    <definedName name="ES2_37" localSheetId="1">#REF!</definedName>
    <definedName name="ES2_37">#REF!</definedName>
    <definedName name="ES2_38" localSheetId="1">#REF!</definedName>
    <definedName name="ES2_38">#REF!</definedName>
    <definedName name="ES2_39" localSheetId="1">#REF!</definedName>
    <definedName name="ES2_39">#REF!</definedName>
    <definedName name="ES2_4" localSheetId="1">#REF!</definedName>
    <definedName name="ES2_4">#REF!</definedName>
    <definedName name="ES2_40" localSheetId="1">#REF!</definedName>
    <definedName name="ES2_40">#REF!</definedName>
    <definedName name="ES2_41" localSheetId="1">#REF!</definedName>
    <definedName name="ES2_41">#REF!</definedName>
    <definedName name="ES2_42" localSheetId="1">#REF!</definedName>
    <definedName name="ES2_42">#REF!</definedName>
    <definedName name="ES2_43" localSheetId="1">#REF!</definedName>
    <definedName name="ES2_43">#REF!</definedName>
    <definedName name="ES2_5" localSheetId="1">#REF!</definedName>
    <definedName name="ES2_5">#REF!</definedName>
    <definedName name="ES2_6" localSheetId="1">#REF!</definedName>
    <definedName name="ES2_6">#REF!</definedName>
    <definedName name="ES2_7" localSheetId="1">#REF!</definedName>
    <definedName name="ES2_7">#REF!</definedName>
    <definedName name="ES2_8" localSheetId="1">#REF!</definedName>
    <definedName name="ES2_8">#REF!</definedName>
    <definedName name="ES2_9" localSheetId="1">#REF!</definedName>
    <definedName name="ES2_9">#REF!</definedName>
    <definedName name="ES3_1" localSheetId="1">#REF!</definedName>
    <definedName name="ES3_1">#REF!</definedName>
    <definedName name="ES3_10" localSheetId="1">#REF!</definedName>
    <definedName name="ES3_10">#REF!</definedName>
    <definedName name="ES3_11" localSheetId="1">#REF!</definedName>
    <definedName name="ES3_11">#REF!</definedName>
    <definedName name="ES3_12" localSheetId="1">#REF!</definedName>
    <definedName name="ES3_12">#REF!</definedName>
    <definedName name="ES3_13" localSheetId="1">#REF!</definedName>
    <definedName name="ES3_13">#REF!</definedName>
    <definedName name="ES3_14" localSheetId="1">#REF!</definedName>
    <definedName name="ES3_14">#REF!</definedName>
    <definedName name="ES3_15" localSheetId="1">#REF!</definedName>
    <definedName name="ES3_15">#REF!</definedName>
    <definedName name="ES3_16" localSheetId="1">#REF!</definedName>
    <definedName name="ES3_16">#REF!</definedName>
    <definedName name="ES3_17" localSheetId="1">#REF!</definedName>
    <definedName name="ES3_17">#REF!</definedName>
    <definedName name="ES3_18" localSheetId="1">#REF!</definedName>
    <definedName name="ES3_18">#REF!</definedName>
    <definedName name="ES3_19" localSheetId="1">#REF!</definedName>
    <definedName name="ES3_19">#REF!</definedName>
    <definedName name="ES3_2" localSheetId="1">#REF!</definedName>
    <definedName name="ES3_2">#REF!</definedName>
    <definedName name="ES3_20" localSheetId="1">#REF!</definedName>
    <definedName name="ES3_20">#REF!</definedName>
    <definedName name="ES3_21" localSheetId="1">#REF!</definedName>
    <definedName name="ES3_21">#REF!</definedName>
    <definedName name="ES3_22" localSheetId="1">#REF!</definedName>
    <definedName name="ES3_22">#REF!</definedName>
    <definedName name="ES3_23" localSheetId="1">#REF!</definedName>
    <definedName name="ES3_23">#REF!</definedName>
    <definedName name="ES3_24" localSheetId="1">#REF!</definedName>
    <definedName name="ES3_24">#REF!</definedName>
    <definedName name="ES3_25" localSheetId="1">#REF!</definedName>
    <definedName name="ES3_25">#REF!</definedName>
    <definedName name="ES3_26" localSheetId="1">#REF!</definedName>
    <definedName name="ES3_26">#REF!</definedName>
    <definedName name="ES3_27" localSheetId="1">#REF!</definedName>
    <definedName name="ES3_27">#REF!</definedName>
    <definedName name="ES3_28" localSheetId="1">#REF!</definedName>
    <definedName name="ES3_28">#REF!</definedName>
    <definedName name="ES3_29" localSheetId="1">#REF!</definedName>
    <definedName name="ES3_29">#REF!</definedName>
    <definedName name="ES3_3" localSheetId="1">#REF!</definedName>
    <definedName name="ES3_3">#REF!</definedName>
    <definedName name="ES3_30" localSheetId="1">#REF!</definedName>
    <definedName name="ES3_30">#REF!</definedName>
    <definedName name="ES3_31" localSheetId="1">#REF!</definedName>
    <definedName name="ES3_31">#REF!</definedName>
    <definedName name="ES3_32" localSheetId="1">#REF!</definedName>
    <definedName name="ES3_32">#REF!</definedName>
    <definedName name="ES3_33" localSheetId="1">#REF!</definedName>
    <definedName name="ES3_33">#REF!</definedName>
    <definedName name="ES3_34" localSheetId="1">#REF!</definedName>
    <definedName name="ES3_34">#REF!</definedName>
    <definedName name="ES3_35" localSheetId="1">#REF!</definedName>
    <definedName name="ES3_35">#REF!</definedName>
    <definedName name="ES3_36" localSheetId="1">#REF!</definedName>
    <definedName name="ES3_36">#REF!</definedName>
    <definedName name="ES3_37" localSheetId="1">#REF!</definedName>
    <definedName name="ES3_37">#REF!</definedName>
    <definedName name="ES3_38" localSheetId="1">#REF!</definedName>
    <definedName name="ES3_38">#REF!</definedName>
    <definedName name="ES3_39" localSheetId="1">#REF!</definedName>
    <definedName name="ES3_39">#REF!</definedName>
    <definedName name="ES3_4" localSheetId="1">#REF!</definedName>
    <definedName name="ES3_4">#REF!</definedName>
    <definedName name="ES3_40" localSheetId="1">#REF!</definedName>
    <definedName name="ES3_40">#REF!</definedName>
    <definedName name="ES3_41" localSheetId="1">#REF!</definedName>
    <definedName name="ES3_41">#REF!</definedName>
    <definedName name="ES3_42" localSheetId="1">#REF!</definedName>
    <definedName name="ES3_42">#REF!</definedName>
    <definedName name="ES3_43" localSheetId="1">#REF!</definedName>
    <definedName name="ES3_43">#REF!</definedName>
    <definedName name="ES3_5" localSheetId="1">#REF!</definedName>
    <definedName name="ES3_5">#REF!</definedName>
    <definedName name="ES3_6" localSheetId="1">#REF!</definedName>
    <definedName name="ES3_6">#REF!</definedName>
    <definedName name="ES3_7" localSheetId="1">#REF!</definedName>
    <definedName name="ES3_7">#REF!</definedName>
    <definedName name="ES3_8" localSheetId="1">#REF!</definedName>
    <definedName name="ES3_8">#REF!</definedName>
    <definedName name="ES3_9" localSheetId="1">#REF!</definedName>
    <definedName name="ES3_9">#REF!</definedName>
    <definedName name="ES4_1" localSheetId="1">#REF!</definedName>
    <definedName name="ES4_1">#REF!</definedName>
    <definedName name="ES4_10" localSheetId="1">#REF!</definedName>
    <definedName name="ES4_10">#REF!</definedName>
    <definedName name="ES4_11" localSheetId="1">#REF!</definedName>
    <definedName name="ES4_11">#REF!</definedName>
    <definedName name="ES4_12" localSheetId="1">#REF!</definedName>
    <definedName name="ES4_12">#REF!</definedName>
    <definedName name="ES4_13" localSheetId="1">#REF!</definedName>
    <definedName name="ES4_13">#REF!</definedName>
    <definedName name="ES4_14" localSheetId="1">#REF!</definedName>
    <definedName name="ES4_14">#REF!</definedName>
    <definedName name="ES4_15" localSheetId="1">#REF!</definedName>
    <definedName name="ES4_15">#REF!</definedName>
    <definedName name="ES4_16" localSheetId="1">#REF!</definedName>
    <definedName name="ES4_16">#REF!</definedName>
    <definedName name="ES4_17" localSheetId="1">#REF!</definedName>
    <definedName name="ES4_17">#REF!</definedName>
    <definedName name="ES4_18" localSheetId="1">#REF!</definedName>
    <definedName name="ES4_18">#REF!</definedName>
    <definedName name="ES4_19" localSheetId="1">#REF!</definedName>
    <definedName name="ES4_19">#REF!</definedName>
    <definedName name="ES4_2" localSheetId="1">#REF!</definedName>
    <definedName name="ES4_2">#REF!</definedName>
    <definedName name="ES4_20" localSheetId="1">#REF!</definedName>
    <definedName name="ES4_20">#REF!</definedName>
    <definedName name="ES4_21" localSheetId="1">#REF!</definedName>
    <definedName name="ES4_21">#REF!</definedName>
    <definedName name="ES4_22" localSheetId="1">#REF!</definedName>
    <definedName name="ES4_22">#REF!</definedName>
    <definedName name="ES4_23" localSheetId="1">#REF!</definedName>
    <definedName name="ES4_23">#REF!</definedName>
    <definedName name="ES4_24" localSheetId="1">#REF!</definedName>
    <definedName name="ES4_24">#REF!</definedName>
    <definedName name="ES4_25" localSheetId="1">#REF!</definedName>
    <definedName name="ES4_25">#REF!</definedName>
    <definedName name="ES4_26" localSheetId="1">#REF!</definedName>
    <definedName name="ES4_26">#REF!</definedName>
    <definedName name="ES4_27" localSheetId="1">#REF!</definedName>
    <definedName name="ES4_27">#REF!</definedName>
    <definedName name="ES4_28" localSheetId="1">#REF!</definedName>
    <definedName name="ES4_28">#REF!</definedName>
    <definedName name="ES4_29" localSheetId="1">#REF!</definedName>
    <definedName name="ES4_29">#REF!</definedName>
    <definedName name="ES4_3" localSheetId="1">#REF!</definedName>
    <definedName name="ES4_3">#REF!</definedName>
    <definedName name="ES4_30" localSheetId="1">#REF!</definedName>
    <definedName name="ES4_30">#REF!</definedName>
    <definedName name="ES4_31" localSheetId="1">#REF!</definedName>
    <definedName name="ES4_31">#REF!</definedName>
    <definedName name="ES4_32" localSheetId="1">#REF!</definedName>
    <definedName name="ES4_32">#REF!</definedName>
    <definedName name="ES4_33" localSheetId="1">#REF!</definedName>
    <definedName name="ES4_33">#REF!</definedName>
    <definedName name="ES4_34" localSheetId="1">#REF!</definedName>
    <definedName name="ES4_34">#REF!</definedName>
    <definedName name="ES4_35" localSheetId="1">#REF!</definedName>
    <definedName name="ES4_35">#REF!</definedName>
    <definedName name="ES4_36" localSheetId="1">#REF!</definedName>
    <definedName name="ES4_36">#REF!</definedName>
    <definedName name="ES4_37" localSheetId="1">#REF!</definedName>
    <definedName name="ES4_37">#REF!</definedName>
    <definedName name="ES4_38" localSheetId="1">#REF!</definedName>
    <definedName name="ES4_38">#REF!</definedName>
    <definedName name="ES4_39" localSheetId="1">#REF!</definedName>
    <definedName name="ES4_39">#REF!</definedName>
    <definedName name="ES4_4" localSheetId="1">#REF!</definedName>
    <definedName name="ES4_4">#REF!</definedName>
    <definedName name="ES4_40" localSheetId="1">#REF!</definedName>
    <definedName name="ES4_40">#REF!</definedName>
    <definedName name="ES4_41" localSheetId="1">#REF!</definedName>
    <definedName name="ES4_41">#REF!</definedName>
    <definedName name="ES4_42" localSheetId="1">#REF!</definedName>
    <definedName name="ES4_42">#REF!</definedName>
    <definedName name="ES4_43" localSheetId="1">#REF!</definedName>
    <definedName name="ES4_43">#REF!</definedName>
    <definedName name="ES4_5" localSheetId="1">#REF!</definedName>
    <definedName name="ES4_5">#REF!</definedName>
    <definedName name="ES4_6" localSheetId="1">#REF!</definedName>
    <definedName name="ES4_6">#REF!</definedName>
    <definedName name="ES4_7" localSheetId="1">#REF!</definedName>
    <definedName name="ES4_7">#REF!</definedName>
    <definedName name="ES4_8" localSheetId="1">#REF!</definedName>
    <definedName name="ES4_8">#REF!</definedName>
    <definedName name="ES4_9" localSheetId="1">#REF!</definedName>
    <definedName name="ES4_9">#REF!</definedName>
    <definedName name="ES5_1" localSheetId="1">#REF!</definedName>
    <definedName name="ES5_1">#REF!</definedName>
    <definedName name="ES5_10" localSheetId="1">#REF!</definedName>
    <definedName name="ES5_10">#REF!</definedName>
    <definedName name="ES5_11" localSheetId="1">#REF!</definedName>
    <definedName name="ES5_11">#REF!</definedName>
    <definedName name="ES5_12" localSheetId="1">#REF!</definedName>
    <definedName name="ES5_12">#REF!</definedName>
    <definedName name="ES5_13" localSheetId="1">#REF!</definedName>
    <definedName name="ES5_13">#REF!</definedName>
    <definedName name="ES5_14" localSheetId="1">#REF!</definedName>
    <definedName name="ES5_14">#REF!</definedName>
    <definedName name="ES5_15" localSheetId="1">#REF!</definedName>
    <definedName name="ES5_15">#REF!</definedName>
    <definedName name="ES5_16" localSheetId="1">#REF!</definedName>
    <definedName name="ES5_16">#REF!</definedName>
    <definedName name="ES5_17" localSheetId="1">#REF!</definedName>
    <definedName name="ES5_17">#REF!</definedName>
    <definedName name="ES5_18" localSheetId="1">#REF!</definedName>
    <definedName name="ES5_18">#REF!</definedName>
    <definedName name="ES5_19" localSheetId="1">#REF!</definedName>
    <definedName name="ES5_19">#REF!</definedName>
    <definedName name="ES5_2" localSheetId="1">#REF!</definedName>
    <definedName name="ES5_2">#REF!</definedName>
    <definedName name="ES5_20" localSheetId="1">#REF!</definedName>
    <definedName name="ES5_20">#REF!</definedName>
    <definedName name="ES5_21" localSheetId="1">#REF!</definedName>
    <definedName name="ES5_21">#REF!</definedName>
    <definedName name="ES5_22" localSheetId="1">#REF!</definedName>
    <definedName name="ES5_22">#REF!</definedName>
    <definedName name="ES5_23" localSheetId="1">#REF!</definedName>
    <definedName name="ES5_23">#REF!</definedName>
    <definedName name="ES5_24" localSheetId="1">#REF!</definedName>
    <definedName name="ES5_24">#REF!</definedName>
    <definedName name="ES5_25" localSheetId="1">#REF!</definedName>
    <definedName name="ES5_25">#REF!</definedName>
    <definedName name="ES5_26" localSheetId="1">#REF!</definedName>
    <definedName name="ES5_26">#REF!</definedName>
    <definedName name="ES5_27" localSheetId="1">#REF!</definedName>
    <definedName name="ES5_27">#REF!</definedName>
    <definedName name="ES5_28" localSheetId="1">#REF!</definedName>
    <definedName name="ES5_28">#REF!</definedName>
    <definedName name="ES5_29" localSheetId="1">#REF!</definedName>
    <definedName name="ES5_29">#REF!</definedName>
    <definedName name="ES5_3" localSheetId="1">#REF!</definedName>
    <definedName name="ES5_3">#REF!</definedName>
    <definedName name="ES5_30" localSheetId="1">#REF!</definedName>
    <definedName name="ES5_30">#REF!</definedName>
    <definedName name="ES5_31" localSheetId="1">#REF!</definedName>
    <definedName name="ES5_31">#REF!</definedName>
    <definedName name="ES5_32" localSheetId="1">#REF!</definedName>
    <definedName name="ES5_32">#REF!</definedName>
    <definedName name="ES5_33" localSheetId="1">#REF!</definedName>
    <definedName name="ES5_33">#REF!</definedName>
    <definedName name="ES5_34" localSheetId="1">#REF!</definedName>
    <definedName name="ES5_34">#REF!</definedName>
    <definedName name="ES5_35" localSheetId="1">#REF!</definedName>
    <definedName name="ES5_35">#REF!</definedName>
    <definedName name="ES5_36" localSheetId="1">#REF!</definedName>
    <definedName name="ES5_36">#REF!</definedName>
    <definedName name="ES5_37" localSheetId="1">#REF!</definedName>
    <definedName name="ES5_37">#REF!</definedName>
    <definedName name="ES5_38" localSheetId="1">#REF!</definedName>
    <definedName name="ES5_38">#REF!</definedName>
    <definedName name="ES5_39" localSheetId="1">#REF!</definedName>
    <definedName name="ES5_39">#REF!</definedName>
    <definedName name="ES5_4" localSheetId="1">#REF!</definedName>
    <definedName name="ES5_4">#REF!</definedName>
    <definedName name="ES5_40" localSheetId="1">#REF!</definedName>
    <definedName name="ES5_40">#REF!</definedName>
    <definedName name="ES5_41" localSheetId="1">#REF!</definedName>
    <definedName name="ES5_41">#REF!</definedName>
    <definedName name="ES5_42" localSheetId="1">#REF!</definedName>
    <definedName name="ES5_42">#REF!</definedName>
    <definedName name="ES5_43" localSheetId="1">#REF!</definedName>
    <definedName name="ES5_43">#REF!</definedName>
    <definedName name="ES5_5" localSheetId="1">#REF!</definedName>
    <definedName name="ES5_5">#REF!</definedName>
    <definedName name="ES5_6" localSheetId="1">#REF!</definedName>
    <definedName name="ES5_6">#REF!</definedName>
    <definedName name="ES5_7" localSheetId="1">#REF!</definedName>
    <definedName name="ES5_7">#REF!</definedName>
    <definedName name="ES5_8" localSheetId="1">#REF!</definedName>
    <definedName name="ES5_8">#REF!</definedName>
    <definedName name="ES5_9" localSheetId="1">#REF!</definedName>
    <definedName name="ES5_9">#REF!</definedName>
    <definedName name="ES6_1" localSheetId="1">#REF!</definedName>
    <definedName name="ES6_1">#REF!</definedName>
    <definedName name="ES6_10" localSheetId="1">#REF!</definedName>
    <definedName name="ES6_10">#REF!</definedName>
    <definedName name="ES6_11" localSheetId="1">#REF!</definedName>
    <definedName name="ES6_11">#REF!</definedName>
    <definedName name="ES6_12" localSheetId="1">#REF!</definedName>
    <definedName name="ES6_12">#REF!</definedName>
    <definedName name="ES6_13" localSheetId="1">#REF!</definedName>
    <definedName name="ES6_13">#REF!</definedName>
    <definedName name="ES6_14" localSheetId="1">#REF!</definedName>
    <definedName name="ES6_14">#REF!</definedName>
    <definedName name="ES6_15" localSheetId="1">#REF!</definedName>
    <definedName name="ES6_15">#REF!</definedName>
    <definedName name="ES6_16" localSheetId="1">#REF!</definedName>
    <definedName name="ES6_16">#REF!</definedName>
    <definedName name="ES6_17" localSheetId="1">#REF!</definedName>
    <definedName name="ES6_17">#REF!</definedName>
    <definedName name="ES6_18" localSheetId="1">#REF!</definedName>
    <definedName name="ES6_18">#REF!</definedName>
    <definedName name="ES6_19" localSheetId="1">#REF!</definedName>
    <definedName name="ES6_19">#REF!</definedName>
    <definedName name="ES6_2" localSheetId="1">#REF!</definedName>
    <definedName name="ES6_2">#REF!</definedName>
    <definedName name="ES6_20" localSheetId="1">#REF!</definedName>
    <definedName name="ES6_20">#REF!</definedName>
    <definedName name="ES6_21" localSheetId="1">#REF!</definedName>
    <definedName name="ES6_21">#REF!</definedName>
    <definedName name="ES6_22" localSheetId="1">#REF!</definedName>
    <definedName name="ES6_22">#REF!</definedName>
    <definedName name="ES6_23" localSheetId="1">#REF!</definedName>
    <definedName name="ES6_23">#REF!</definedName>
    <definedName name="ES6_24" localSheetId="1">#REF!</definedName>
    <definedName name="ES6_24">#REF!</definedName>
    <definedName name="ES6_25" localSheetId="1">#REF!</definedName>
    <definedName name="ES6_25">#REF!</definedName>
    <definedName name="ES6_26" localSheetId="1">#REF!</definedName>
    <definedName name="ES6_26">#REF!</definedName>
    <definedName name="ES6_27" localSheetId="1">#REF!</definedName>
    <definedName name="ES6_27">#REF!</definedName>
    <definedName name="ES6_28" localSheetId="1">#REF!</definedName>
    <definedName name="ES6_28">#REF!</definedName>
    <definedName name="ES6_29" localSheetId="1">#REF!</definedName>
    <definedName name="ES6_29">#REF!</definedName>
    <definedName name="ES6_3" localSheetId="1">#REF!</definedName>
    <definedName name="ES6_3">#REF!</definedName>
    <definedName name="ES6_30" localSheetId="1">#REF!</definedName>
    <definedName name="ES6_30">#REF!</definedName>
    <definedName name="ES6_31" localSheetId="1">#REF!</definedName>
    <definedName name="ES6_31">#REF!</definedName>
    <definedName name="ES6_32" localSheetId="1">#REF!</definedName>
    <definedName name="ES6_32">#REF!</definedName>
    <definedName name="ES6_33" localSheetId="1">#REF!</definedName>
    <definedName name="ES6_33">#REF!</definedName>
    <definedName name="ES6_34" localSheetId="1">#REF!</definedName>
    <definedName name="ES6_34">#REF!</definedName>
    <definedName name="ES6_35" localSheetId="1">#REF!</definedName>
    <definedName name="ES6_35">#REF!</definedName>
    <definedName name="ES6_36" localSheetId="1">#REF!</definedName>
    <definedName name="ES6_36">#REF!</definedName>
    <definedName name="ES6_37" localSheetId="1">#REF!</definedName>
    <definedName name="ES6_37">#REF!</definedName>
    <definedName name="ES6_38" localSheetId="1">#REF!</definedName>
    <definedName name="ES6_38">#REF!</definedName>
    <definedName name="ES6_39" localSheetId="1">#REF!</definedName>
    <definedName name="ES6_39">#REF!</definedName>
    <definedName name="ES6_4" localSheetId="1">#REF!</definedName>
    <definedName name="ES6_4">#REF!</definedName>
    <definedName name="ES6_40" localSheetId="1">#REF!</definedName>
    <definedName name="ES6_40">#REF!</definedName>
    <definedName name="ES6_41" localSheetId="1">#REF!</definedName>
    <definedName name="ES6_41">#REF!</definedName>
    <definedName name="ES6_42" localSheetId="1">#REF!</definedName>
    <definedName name="ES6_42">#REF!</definedName>
    <definedName name="ES6_43" localSheetId="1">#REF!</definedName>
    <definedName name="ES6_43">#REF!</definedName>
    <definedName name="ES6_5" localSheetId="1">#REF!</definedName>
    <definedName name="ES6_5">#REF!</definedName>
    <definedName name="ES6_6" localSheetId="1">#REF!</definedName>
    <definedName name="ES6_6">#REF!</definedName>
    <definedName name="ES6_7" localSheetId="1">#REF!</definedName>
    <definedName name="ES6_7">#REF!</definedName>
    <definedName name="ES6_8" localSheetId="1">#REF!</definedName>
    <definedName name="ES6_8">#REF!</definedName>
    <definedName name="ES6_9" localSheetId="1">#REF!</definedName>
    <definedName name="ES6_9">#REF!</definedName>
    <definedName name="ESCALERA" localSheetId="1">#REF!</definedName>
    <definedName name="ESCALERA">#REF!</definedName>
    <definedName name="ESMALTMADETOT" localSheetId="1">#REF!</definedName>
    <definedName name="ESMALTMADETOT">#REF!</definedName>
    <definedName name="fausto" localSheetId="1">#REF!</definedName>
    <definedName name="fausto">#REF!</definedName>
    <definedName name="FAYALAD" localSheetId="1">#REF!</definedName>
    <definedName name="FAYALAD">#REF!</definedName>
    <definedName name="fdf" localSheetId="1">#REF!</definedName>
    <definedName name="fdf">#REF!</definedName>
    <definedName name="fm" localSheetId="1">#REF!</definedName>
    <definedName name="fm">#REF!</definedName>
    <definedName name="FORMACOL" localSheetId="1">#REF!</definedName>
    <definedName name="FORMACOL">#REF!</definedName>
    <definedName name="FORMALOSA" localSheetId="1">#REF!</definedName>
    <definedName name="FORMALOSA">#REF!</definedName>
    <definedName name="FORMAV" localSheetId="1">#REF!</definedName>
    <definedName name="FORMAV">#REF!</definedName>
    <definedName name="FORMAVIGACIMIEN" localSheetId="1">#REF!</definedName>
    <definedName name="FORMAVIGACIMIEN">#REF!</definedName>
    <definedName name="FORMAZAPATA" localSheetId="1">#REF!</definedName>
    <definedName name="FORMAZAPATA">#REF!</definedName>
    <definedName name="Ga" localSheetId="1">#REF!</definedName>
    <definedName name="Ga">#REF!</definedName>
    <definedName name="Gb" localSheetId="1">#REF!</definedName>
    <definedName name="Gb">#REF!</definedName>
    <definedName name="Gc" localSheetId="1">#REF!</definedName>
    <definedName name="Gc">#REF!</definedName>
    <definedName name="Gd" localSheetId="1">#REF!</definedName>
    <definedName name="Gd">#REF!</definedName>
    <definedName name="Ge" localSheetId="1">#REF!</definedName>
    <definedName name="Ge">#REF!</definedName>
    <definedName name="Gf" localSheetId="1">#REF!</definedName>
    <definedName name="Gf">#REF!</definedName>
    <definedName name="Gg" localSheetId="1">#REF!</definedName>
    <definedName name="Gg">#REF!</definedName>
    <definedName name="Gh" localSheetId="1">#REF!</definedName>
    <definedName name="Gh">#REF!</definedName>
    <definedName name="Gi" localSheetId="1">#REF!</definedName>
    <definedName name="Gi">#REF!</definedName>
    <definedName name="Gk" localSheetId="1">#REF!</definedName>
    <definedName name="Gk">#REF!</definedName>
    <definedName name="GRANIPLAST" localSheetId="1">#REF!</definedName>
    <definedName name="GRANIPLAST">#REF!</definedName>
    <definedName name="Gv" localSheetId="1">#REF!</definedName>
    <definedName name="Gv">#REF!</definedName>
    <definedName name="Gw" localSheetId="1">#REF!</definedName>
    <definedName name="Gw">#REF!</definedName>
    <definedName name="H" localSheetId="1">[13]FINANZAS!#REF!</definedName>
    <definedName name="H">[6]FINANZAS!#REF!</definedName>
    <definedName name="Ha" localSheetId="1">#REF!</definedName>
    <definedName name="Ha">#REF!</definedName>
    <definedName name="Hb" localSheetId="1">#REF!</definedName>
    <definedName name="Hb">#REF!</definedName>
    <definedName name="HG" localSheetId="1">#REF!</definedName>
    <definedName name="HG">#REF!</definedName>
    <definedName name="HIDR160PE_S1" localSheetId="1">#REF!</definedName>
    <definedName name="HIDR160PE_S1">#REF!</definedName>
    <definedName name="HIDR160PE_S2" localSheetId="1">#REF!</definedName>
    <definedName name="HIDR160PE_S2">#REF!</definedName>
    <definedName name="HIDR160PE_S3" localSheetId="1">#REF!</definedName>
    <definedName name="HIDR160PE_S3">#REF!</definedName>
    <definedName name="HIDR160PE_S4" localSheetId="1">#REF!</definedName>
    <definedName name="HIDR160PE_S4">#REF!</definedName>
    <definedName name="HIDR160PE_S5" localSheetId="1">#REF!</definedName>
    <definedName name="HIDR160PE_S5">#REF!</definedName>
    <definedName name="HIDR160PE_S6" localSheetId="1">#REF!</definedName>
    <definedName name="HIDR160PE_S6">#REF!</definedName>
    <definedName name="HIDR200PE_S1" localSheetId="1">#REF!</definedName>
    <definedName name="HIDR200PE_S1">#REF!</definedName>
    <definedName name="HIDR200PE_S2" localSheetId="1">#REF!</definedName>
    <definedName name="HIDR200PE_S2">#REF!</definedName>
    <definedName name="HIDR200PE_S3" localSheetId="1">#REF!</definedName>
    <definedName name="HIDR200PE_S3">#REF!</definedName>
    <definedName name="HIDR200PE_S4" localSheetId="1">#REF!</definedName>
    <definedName name="HIDR200PE_S4">#REF!</definedName>
    <definedName name="HIDR200PE_S5" localSheetId="1">#REF!</definedName>
    <definedName name="HIDR200PE_S5">#REF!</definedName>
    <definedName name="HIDR200PE_S6" localSheetId="1">#REF!</definedName>
    <definedName name="HIDR200PE_S6">#REF!</definedName>
    <definedName name="HJ" localSheetId="1">#REF!</definedName>
    <definedName name="HJ">#REF!</definedName>
    <definedName name="HORAA" localSheetId="1">#REF!</definedName>
    <definedName name="HORAA">#REF!</definedName>
    <definedName name="HY" localSheetId="1">#REF!</definedName>
    <definedName name="HY">#REF!</definedName>
    <definedName name="I">'[5]Presupuesto 2003'!$J$1</definedName>
    <definedName name="II" localSheetId="1">#REF!</definedName>
    <definedName name="II">#REF!</definedName>
    <definedName name="III" localSheetId="1">#REF!</definedName>
    <definedName name="III">#REF!</definedName>
    <definedName name="IMPER" localSheetId="1">#REF!</definedName>
    <definedName name="IMPER">#REF!</definedName>
    <definedName name="INCRNOVATOT" localSheetId="1">#REF!</definedName>
    <definedName name="INCRNOVATOT">#REF!</definedName>
    <definedName name="INDEX">'[5]Presupuesto 2003'!#REF!</definedName>
    <definedName name="Index.">'[5]Presupuesto 2003'!#REF!</definedName>
    <definedName name="INDEXa">'[5]Presupuesto 2003'!#REF!</definedName>
    <definedName name="INDEXACIÓN">'[5]Presupuesto 2003'!#REF!</definedName>
    <definedName name="Instalación_TM_incluye15Breake">'[4]L. MAT.'!#REF!</definedName>
    <definedName name="IT" localSheetId="1">#REF!</definedName>
    <definedName name="IT">#REF!</definedName>
    <definedName name="j" localSheetId="1" hidden="1">'[7]Datos-Gráfica'!#REF!</definedName>
    <definedName name="j" hidden="1">'[7]Datos-Gráfica'!#REF!</definedName>
    <definedName name="Ja" localSheetId="1">#REF!</definedName>
    <definedName name="Ja">#REF!</definedName>
    <definedName name="JAPF" localSheetId="1">#REF!</definedName>
    <definedName name="JAPF">#REF!</definedName>
    <definedName name="Jb" localSheetId="1">#REF!</definedName>
    <definedName name="Jb">#REF!</definedName>
    <definedName name="Jc" localSheetId="1">#REF!</definedName>
    <definedName name="Jc">#REF!</definedName>
    <definedName name="Jd" localSheetId="1">#REF!</definedName>
    <definedName name="Jd">#REF!</definedName>
    <definedName name="Je" localSheetId="1">#REF!</definedName>
    <definedName name="Je">#REF!</definedName>
    <definedName name="Jf" localSheetId="1">#REF!</definedName>
    <definedName name="Jf">#REF!</definedName>
    <definedName name="José" localSheetId="1">#REF!</definedName>
    <definedName name="José">#REF!</definedName>
    <definedName name="jqm" localSheetId="1">#REF!</definedName>
    <definedName name="jqm">#REF!</definedName>
    <definedName name="ka" localSheetId="1">#REF!</definedName>
    <definedName name="ka">#REF!</definedName>
    <definedName name="Ki" localSheetId="1">#REF!</definedName>
    <definedName name="Ki">#REF!</definedName>
    <definedName name="kkkk" localSheetId="1">[14]Lagunas!#REF!</definedName>
    <definedName name="kkkk">[8]Lagunas!#REF!</definedName>
    <definedName name="La" localSheetId="1">#REF!</definedName>
    <definedName name="La">#REF!</definedName>
    <definedName name="LAMPARATOT" localSheetId="1">#REF!</definedName>
    <definedName name="LAMPARATOT">#REF!</definedName>
    <definedName name="LAVAB" localSheetId="1">#REF!</definedName>
    <definedName name="LAVAB">#REF!</definedName>
    <definedName name="LAVABLA" localSheetId="1">#REF!</definedName>
    <definedName name="LAVABLA">#REF!</definedName>
    <definedName name="LAVANOVATOT" localSheetId="1">#REF!</definedName>
    <definedName name="LAVANOVATOT">#REF!</definedName>
    <definedName name="LAVAPLATOT" localSheetId="1">#REF!</definedName>
    <definedName name="LAVAPLATOT">#REF!</definedName>
    <definedName name="Lb" localSheetId="1">#REF!</definedName>
    <definedName name="Lb">#REF!</definedName>
    <definedName name="Ld" localSheetId="1">#REF!</definedName>
    <definedName name="Ld">#REF!</definedName>
    <definedName name="Le" localSheetId="1">#REF!</definedName>
    <definedName name="Le">#REF!</definedName>
    <definedName name="LEVANTE10" localSheetId="1">#REF!</definedName>
    <definedName name="LEVANTE10">#REF!</definedName>
    <definedName name="LEVANTE20" localSheetId="1">#REF!</definedName>
    <definedName name="LEVANTE20">#REF!</definedName>
    <definedName name="Lf" localSheetId="1">#REF!</definedName>
    <definedName name="Lf">#REF!</definedName>
    <definedName name="Lh" localSheetId="1">#REF!</definedName>
    <definedName name="Lh">#REF!</definedName>
    <definedName name="Li" localSheetId="1">#REF!</definedName>
    <definedName name="Li">#REF!</definedName>
    <definedName name="LISTON2" localSheetId="1">#REF!</definedName>
    <definedName name="LISTON2">#REF!</definedName>
    <definedName name="LISTON4" localSheetId="1">#REF!</definedName>
    <definedName name="LISTON4">#REF!</definedName>
    <definedName name="Lj" localSheetId="1">#REF!</definedName>
    <definedName name="Lj">#REF!</definedName>
    <definedName name="Lk" localSheetId="1">#REF!</definedName>
    <definedName name="Lk">#REF!</definedName>
    <definedName name="LLAVE1_2" localSheetId="1">#REF!</definedName>
    <definedName name="LLAVE1_2">#REF!</definedName>
    <definedName name="LLAVE3_4TOT" localSheetId="1">#REF!</definedName>
    <definedName name="LLAVE3_4TOT">#REF!</definedName>
    <definedName name="LLAVEMANGUETOT" localSheetId="1">#REF!</definedName>
    <definedName name="LLAVEMANGUETOT">#REF!</definedName>
    <definedName name="Lll" localSheetId="1">#REF!</definedName>
    <definedName name="Lll">#REF!</definedName>
    <definedName name="Lm" localSheetId="1">#REF!</definedName>
    <definedName name="Lm">#REF!</definedName>
    <definedName name="Ln" localSheetId="1">#REF!</definedName>
    <definedName name="Ln">#REF!</definedName>
    <definedName name="Lñ" localSheetId="1">#REF!</definedName>
    <definedName name="Lñ">#REF!</definedName>
    <definedName name="Lo" localSheetId="1">#REF!</definedName>
    <definedName name="Lo">#REF!</definedName>
    <definedName name="Lp" localSheetId="1">#REF!</definedName>
    <definedName name="Lp">#REF!</definedName>
    <definedName name="Lq" localSheetId="1">#REF!</definedName>
    <definedName name="Lq">#REF!</definedName>
    <definedName name="Lr" localSheetId="1">#REF!</definedName>
    <definedName name="Lr">#REF!</definedName>
    <definedName name="Ls" localSheetId="1">#REF!</definedName>
    <definedName name="Ls">#REF!</definedName>
    <definedName name="Lt" localSheetId="1">#REF!</definedName>
    <definedName name="Lt">#REF!</definedName>
    <definedName name="Lu" localSheetId="1">#REF!</definedName>
    <definedName name="Lu">#REF!</definedName>
    <definedName name="Lz" localSheetId="1">#REF!</definedName>
    <definedName name="Lz">#REF!</definedName>
    <definedName name="Ma" localSheetId="1">#REF!</definedName>
    <definedName name="Ma">#REF!</definedName>
    <definedName name="mama" hidden="1">'[9]Datos-Gráfica-Apartada'!#REF!</definedName>
    <definedName name="MANGLE" localSheetId="1">#REF!</definedName>
    <definedName name="MANGLE">#REF!</definedName>
    <definedName name="maxdeficit" localSheetId="1">#REF!</definedName>
    <definedName name="maxdeficit">#REF!</definedName>
    <definedName name="Mb" localSheetId="1">#REF!</definedName>
    <definedName name="Mb">#REF!</definedName>
    <definedName name="MESONGRANITO" localSheetId="1">#REF!</definedName>
    <definedName name="MESONGRANITO">#REF!</definedName>
    <definedName name="MEZCLA" localSheetId="1">#REF!</definedName>
    <definedName name="MEZCLA">#REF!</definedName>
    <definedName name="min" localSheetId="1">#REF!</definedName>
    <definedName name="min">#REF!</definedName>
    <definedName name="MORTERO4" localSheetId="1">#REF!</definedName>
    <definedName name="MORTERO4">#REF!</definedName>
    <definedName name="MORTERO5" localSheetId="1">#REF!</definedName>
    <definedName name="MORTERO5">#REF!</definedName>
    <definedName name="MUEBLEINFTOT" localSheetId="1">#REF!</definedName>
    <definedName name="MUEBLEINFTOT">#REF!</definedName>
    <definedName name="Na" localSheetId="1">#REF!</definedName>
    <definedName name="Na">#REF!</definedName>
    <definedName name="Nb" localSheetId="1">#REF!</definedName>
    <definedName name="Nb">#REF!</definedName>
    <definedName name="Nc" localSheetId="1">#REF!</definedName>
    <definedName name="Nc">#REF!</definedName>
    <definedName name="Nd" localSheetId="1">#REF!</definedName>
    <definedName name="Nd">#REF!</definedName>
    <definedName name="Ne" localSheetId="1">#REF!</definedName>
    <definedName name="Ne">#REF!</definedName>
    <definedName name="O" localSheetId="1">#REF!</definedName>
    <definedName name="O">#REF!</definedName>
    <definedName name="P" localSheetId="1">#REF!</definedName>
    <definedName name="P">#REF!</definedName>
    <definedName name="Pa" localSheetId="1">#REF!</definedName>
    <definedName name="Pa">#REF!</definedName>
    <definedName name="PAÑETE" localSheetId="1">#REF!</definedName>
    <definedName name="PAÑETE">#REF!</definedName>
    <definedName name="PAVIMENTO" localSheetId="1">#REF!</definedName>
    <definedName name="PAVIMENTO">#REF!</definedName>
    <definedName name="Pb" localSheetId="1">#REF!</definedName>
    <definedName name="Pb">#REF!</definedName>
    <definedName name="Pc" localSheetId="1">#REF!</definedName>
    <definedName name="Pc">#REF!</definedName>
    <definedName name="Pd" localSheetId="1">#REF!</definedName>
    <definedName name="Pd">#REF!</definedName>
    <definedName name="Pe" localSheetId="1">#REF!</definedName>
    <definedName name="Pe">#REF!</definedName>
    <definedName name="PEGANTE" localSheetId="1">#REF!</definedName>
    <definedName name="PEGANTE">#REF!</definedName>
    <definedName name="Pegante_PVC">'[4]L. MAT.'!#REF!</definedName>
    <definedName name="PERGOLA" localSheetId="1">#REF!</definedName>
    <definedName name="PERGOLA">#REF!</definedName>
    <definedName name="PeriodoD" localSheetId="1">#REF!</definedName>
    <definedName name="PeriodoD">#REF!</definedName>
    <definedName name="PISOTABLON" localSheetId="1">#REF!</definedName>
    <definedName name="PISOTABLON">#REF!</definedName>
    <definedName name="PLACAENTREPISO" localSheetId="1">#REF!</definedName>
    <definedName name="PLACAENTREPISO">#REF!</definedName>
    <definedName name="PLACAMESON" localSheetId="1">#REF!</definedName>
    <definedName name="PLACAMESON">#REF!</definedName>
    <definedName name="Placas_.9x.9_Azul_labrador">'[4]L. MAT.'!#REF!</definedName>
    <definedName name="Poblacion" localSheetId="1">#REF!</definedName>
    <definedName name="Poblacion">#REF!</definedName>
    <definedName name="POYOS" localSheetId="1">#REF!</definedName>
    <definedName name="POYOS">#REF!</definedName>
    <definedName name="PRELIMINARES" localSheetId="1">#REF!</definedName>
    <definedName name="PRELIMINARES">#REF!</definedName>
    <definedName name="Prestaciones_sociales">[4]P.S.!$C$33</definedName>
    <definedName name="Presupuest" localSheetId="1">#REF!</definedName>
    <definedName name="Presupuest">#REF!</definedName>
    <definedName name="Presupuesto" localSheetId="1">#REF!</definedName>
    <definedName name="Presupuesto">#REF!</definedName>
    <definedName name="PRINT_AREA">#N/A</definedName>
    <definedName name="PRINT_AREA_MI">#N/A</definedName>
    <definedName name="PRINT_TITLES">#N/A</definedName>
    <definedName name="PRINT_TITLES_MI">#N/A</definedName>
    <definedName name="PUERTA2" localSheetId="1">#REF!</definedName>
    <definedName name="PUERTA2">#REF!</definedName>
    <definedName name="PUERTALUMTOT" localSheetId="1">#REF!</definedName>
    <definedName name="PUERTALUMTOT">#REF!</definedName>
    <definedName name="PUERTAMADETOT" localSheetId="1">#REF!</definedName>
    <definedName name="PUERTAMADETOT">#REF!</definedName>
    <definedName name="PUERTMADECERRAT" localSheetId="1">#REF!</definedName>
    <definedName name="PUERTMADECERRAT">#REF!</definedName>
    <definedName name="Pulidora">'[4]L. MAT.'!#REF!</definedName>
    <definedName name="PUNTILLA" localSheetId="1">#REF!</definedName>
    <definedName name="PUNTILLA">#REF!</definedName>
    <definedName name="PUNTOHIDRA" localSheetId="1">#REF!</definedName>
    <definedName name="PUNTOHIDRA">#REF!</definedName>
    <definedName name="PUNTOSANIT" localSheetId="1">#REF!</definedName>
    <definedName name="PUNTOSANIT">#REF!</definedName>
    <definedName name="q" localSheetId="1">#REF!</definedName>
    <definedName name="q">#REF!</definedName>
    <definedName name="qm" localSheetId="1">#REF!</definedName>
    <definedName name="qm">#REF!</definedName>
    <definedName name="R.1" localSheetId="1">#REF!</definedName>
    <definedName name="R.1">#REF!</definedName>
    <definedName name="R.10" localSheetId="1">#REF!</definedName>
    <definedName name="R.10">#REF!</definedName>
    <definedName name="R.11" localSheetId="1">#REF!</definedName>
    <definedName name="R.11">#REF!</definedName>
    <definedName name="R.12" localSheetId="1">#REF!</definedName>
    <definedName name="R.12">#REF!</definedName>
    <definedName name="R.13" localSheetId="1">#REF!</definedName>
    <definedName name="R.13">#REF!</definedName>
    <definedName name="R.14" localSheetId="1">#REF!</definedName>
    <definedName name="R.14">#REF!</definedName>
    <definedName name="R.15" localSheetId="1">#REF!</definedName>
    <definedName name="R.15">#REF!</definedName>
    <definedName name="R.16" localSheetId="1">#REF!</definedName>
    <definedName name="R.16">#REF!</definedName>
    <definedName name="R.17" localSheetId="1">#REF!</definedName>
    <definedName name="R.17">#REF!</definedName>
    <definedName name="R.18" localSheetId="1">#REF!</definedName>
    <definedName name="R.18">#REF!</definedName>
    <definedName name="R.19" localSheetId="1">#REF!</definedName>
    <definedName name="R.19">#REF!</definedName>
    <definedName name="R.2" localSheetId="1">#REF!</definedName>
    <definedName name="R.2">#REF!</definedName>
    <definedName name="R.3" localSheetId="1">#REF!</definedName>
    <definedName name="R.3">#REF!</definedName>
    <definedName name="R.4" localSheetId="1">#REF!</definedName>
    <definedName name="R.4">#REF!</definedName>
    <definedName name="R.5" localSheetId="1">#REF!</definedName>
    <definedName name="R.5">#REF!</definedName>
    <definedName name="R.6" localSheetId="1">#REF!</definedName>
    <definedName name="R.6">#REF!</definedName>
    <definedName name="R.7" localSheetId="1">#REF!</definedName>
    <definedName name="R.7">#REF!</definedName>
    <definedName name="R.8" localSheetId="1">#REF!</definedName>
    <definedName name="R.8">#REF!</definedName>
    <definedName name="R.9" localSheetId="1">#REF!</definedName>
    <definedName name="R.9">#REF!</definedName>
    <definedName name="Ra" localSheetId="1">#REF!</definedName>
    <definedName name="Ra">#REF!</definedName>
    <definedName name="rata" localSheetId="1">#REF!</definedName>
    <definedName name="rata">#REF!</definedName>
    <definedName name="Rb" localSheetId="1">#REF!</definedName>
    <definedName name="Rb">#REF!</definedName>
    <definedName name="Rd" localSheetId="1">#REF!</definedName>
    <definedName name="Rd">#REF!</definedName>
    <definedName name="Re" localSheetId="1">#REF!</definedName>
    <definedName name="Re">#REF!</definedName>
    <definedName name="REDOBLON" localSheetId="1">#REF!</definedName>
    <definedName name="REDOBLON">#REF!</definedName>
    <definedName name="REJISOS2TOT" localSheetId="1">#REF!</definedName>
    <definedName name="REJISOS2TOT">#REF!</definedName>
    <definedName name="rell" localSheetId="1">#REF!</definedName>
    <definedName name="rell">#REF!</definedName>
    <definedName name="RELLENO" localSheetId="1">#REF!</definedName>
    <definedName name="RELLENO">#REF!</definedName>
    <definedName name="RELLENOALUV" localSheetId="1">#REF!</definedName>
    <definedName name="RELLENOALUV">#REF!</definedName>
    <definedName name="REMATE" localSheetId="1">#REF!</definedName>
    <definedName name="REMATE">#REF!</definedName>
    <definedName name="RETIROTOT" localSheetId="1">#REF!</definedName>
    <definedName name="RETIROTOT">#REF!</definedName>
    <definedName name="Rf" localSheetId="1">#REF!</definedName>
    <definedName name="Rf">#REF!</definedName>
    <definedName name="Rg" localSheetId="1">#REF!</definedName>
    <definedName name="Rg">#REF!</definedName>
    <definedName name="Rh" localSheetId="1">#REF!</definedName>
    <definedName name="Rh">#REF!</definedName>
    <definedName name="Ri" localSheetId="1">#REF!</definedName>
    <definedName name="Ri">#REF!</definedName>
    <definedName name="RIEL" localSheetId="1">#REF!</definedName>
    <definedName name="RIEL">#REF!</definedName>
    <definedName name="Rk" localSheetId="1">#REF!</definedName>
    <definedName name="Rk">#REF!</definedName>
    <definedName name="Rm" localSheetId="1">#REF!</definedName>
    <definedName name="Rm">#REF!</definedName>
    <definedName name="Rmm" localSheetId="1">#REF!</definedName>
    <definedName name="Rmm">#REF!</definedName>
    <definedName name="Rn" localSheetId="1">#REF!</definedName>
    <definedName name="Rn">#REF!</definedName>
    <definedName name="Rñ" localSheetId="1">#REF!</definedName>
    <definedName name="Rñ">#REF!</definedName>
    <definedName name="Ro" localSheetId="1">#REF!</definedName>
    <definedName name="Ro">#REF!</definedName>
    <definedName name="Rp" localSheetId="1">#REF!</definedName>
    <definedName name="Rp">#REF!</definedName>
    <definedName name="Rq" localSheetId="1">#REF!</definedName>
    <definedName name="Rq">#REF!</definedName>
    <definedName name="Rs" localSheetId="1">#REF!</definedName>
    <definedName name="Rs">#REF!</definedName>
    <definedName name="Rt" localSheetId="1">#REF!</definedName>
    <definedName name="Rt">#REF!</definedName>
    <definedName name="Rv" localSheetId="1">#REF!</definedName>
    <definedName name="Rv">#REF!</definedName>
    <definedName name="Rw" localSheetId="1">#REF!</definedName>
    <definedName name="Rw">#REF!</definedName>
    <definedName name="Rx" localSheetId="1">#REF!</definedName>
    <definedName name="Rx">#REF!</definedName>
    <definedName name="Ry" localSheetId="1">#REF!</definedName>
    <definedName name="Ry">#REF!</definedName>
    <definedName name="Rz" localSheetId="1">#REF!</definedName>
    <definedName name="Rz">#REF!</definedName>
    <definedName name="Sa" localSheetId="1">#REF!</definedName>
    <definedName name="Sa">#REF!</definedName>
    <definedName name="SANIB" localSheetId="1">#REF!</definedName>
    <definedName name="SANIB">#REF!</definedName>
    <definedName name="SANIBLA" localSheetId="1">#REF!</definedName>
    <definedName name="SANIBLA">#REF!</definedName>
    <definedName name="SANITNOVATOT" localSheetId="1">#REF!</definedName>
    <definedName name="SANITNOVATOT">#REF!</definedName>
    <definedName name="Sb" localSheetId="1">#REF!</definedName>
    <definedName name="Sb">#REF!</definedName>
    <definedName name="Sc" localSheetId="1">#REF!</definedName>
    <definedName name="Sc">#REF!</definedName>
    <definedName name="Sd" localSheetId="1">#REF!</definedName>
    <definedName name="Sd">#REF!</definedName>
    <definedName name="Se" localSheetId="1">#REF!</definedName>
    <definedName name="Se">#REF!</definedName>
    <definedName name="Sf" localSheetId="1">#REF!</definedName>
    <definedName name="Sf">#REF!</definedName>
    <definedName name="Sg" localSheetId="1">#REF!</definedName>
    <definedName name="Sg">#REF!</definedName>
    <definedName name="Sh" localSheetId="1">#REF!</definedName>
    <definedName name="Sh">#REF!</definedName>
    <definedName name="SOBRECIMIEN20" localSheetId="1">#REF!</definedName>
    <definedName name="SOBRECIMIEN20">#REF!</definedName>
    <definedName name="T" localSheetId="1">#REF!</definedName>
    <definedName name="T">#REF!</definedName>
    <definedName name="T.1" localSheetId="1">#REF!</definedName>
    <definedName name="T.1">#REF!</definedName>
    <definedName name="T.10" localSheetId="1">#REF!</definedName>
    <definedName name="T.10">#REF!</definedName>
    <definedName name="T.11" localSheetId="1">#REF!</definedName>
    <definedName name="T.11">#REF!</definedName>
    <definedName name="T.12" localSheetId="1">#REF!</definedName>
    <definedName name="T.12">#REF!</definedName>
    <definedName name="T.13" localSheetId="1">#REF!</definedName>
    <definedName name="T.13">#REF!</definedName>
    <definedName name="T.14" localSheetId="1">#REF!</definedName>
    <definedName name="T.14">#REF!</definedName>
    <definedName name="T.15" localSheetId="1">#REF!</definedName>
    <definedName name="T.15">#REF!</definedName>
    <definedName name="T.16" localSheetId="1">#REF!</definedName>
    <definedName name="T.16">#REF!</definedName>
    <definedName name="T.17" localSheetId="1">#REF!</definedName>
    <definedName name="T.17">#REF!</definedName>
    <definedName name="T.2" localSheetId="1">#REF!</definedName>
    <definedName name="T.2">#REF!</definedName>
    <definedName name="T.3" localSheetId="1">#REF!</definedName>
    <definedName name="T.3">#REF!</definedName>
    <definedName name="T.4" localSheetId="1">#REF!</definedName>
    <definedName name="T.4">#REF!</definedName>
    <definedName name="T.5" localSheetId="1">#REF!</definedName>
    <definedName name="T.5">#REF!</definedName>
    <definedName name="T.6" localSheetId="1">#REF!</definedName>
    <definedName name="T.6">#REF!</definedName>
    <definedName name="T.7" localSheetId="1">#REF!</definedName>
    <definedName name="T.7">#REF!</definedName>
    <definedName name="T.8" localSheetId="1">#REF!</definedName>
    <definedName name="T.8">#REF!</definedName>
    <definedName name="T.9" localSheetId="1">#REF!</definedName>
    <definedName name="T.9">#REF!</definedName>
    <definedName name="Ta" localSheetId="1">#REF!</definedName>
    <definedName name="Ta">#REF!</definedName>
    <definedName name="TABLA1.2.2" localSheetId="1">[15]A.P.U!#REF!</definedName>
    <definedName name="TABLA1.2.2">[10]A.P.U!#REF!</definedName>
    <definedName name="Tablero_trifásico_12_circuitos">'[4]L. MAT.'!#REF!</definedName>
    <definedName name="TABLETA" localSheetId="1">#REF!</definedName>
    <definedName name="TABLETA">#REF!</definedName>
    <definedName name="TABLON" localSheetId="1">#REF!</definedName>
    <definedName name="TABLON">#REF!</definedName>
    <definedName name="Tanq" localSheetId="1">#REF!</definedName>
    <definedName name="Tanq">#REF!</definedName>
    <definedName name="TANQUEELEVATOT" localSheetId="1">#REF!</definedName>
    <definedName name="TANQUEELEVATOT">#REF!</definedName>
    <definedName name="Tb" localSheetId="1">#REF!</definedName>
    <definedName name="Tb">#REF!</definedName>
    <definedName name="Tc" localSheetId="1">#REF!</definedName>
    <definedName name="Tc">#REF!</definedName>
    <definedName name="Td" localSheetId="1">#REF!</definedName>
    <definedName name="Td">#REF!</definedName>
    <definedName name="Te" localSheetId="1">#REF!</definedName>
    <definedName name="Te">#REF!</definedName>
    <definedName name="Tec_Adesivo">'[4]L. MAT.'!#REF!</definedName>
    <definedName name="TEJA6" localSheetId="1">#REF!</definedName>
    <definedName name="TEJA6">#REF!</definedName>
    <definedName name="Tf" localSheetId="1">#REF!</definedName>
    <definedName name="Tf">#REF!</definedName>
    <definedName name="Tg" localSheetId="1">#REF!</definedName>
    <definedName name="Tg">#REF!</definedName>
    <definedName name="Th" localSheetId="1">#REF!</definedName>
    <definedName name="Th">#REF!</definedName>
    <definedName name="Ti" localSheetId="1">#REF!</definedName>
    <definedName name="Ti">#REF!</definedName>
    <definedName name="_xlnm.Print_Titles" localSheetId="0">'PRESUPUESTO DE OBRA'!$1:$6</definedName>
    <definedName name="Títulos_a_imprimir_IM" localSheetId="1">[13]FINANZAS!#REF!</definedName>
    <definedName name="Títulos_a_imprimir_IM">[6]FINANZAS!#REF!</definedName>
    <definedName name="Tj" localSheetId="1">#REF!</definedName>
    <definedName name="Tj">#REF!</definedName>
    <definedName name="Tk" localSheetId="1">#REF!</definedName>
    <definedName name="Tk">#REF!</definedName>
    <definedName name="Tll" localSheetId="1">#REF!</definedName>
    <definedName name="Tll">#REF!</definedName>
    <definedName name="Tm" localSheetId="1">#REF!</definedName>
    <definedName name="Tm">#REF!</definedName>
    <definedName name="Tn" localSheetId="1">#REF!</definedName>
    <definedName name="Tn">#REF!</definedName>
    <definedName name="Tñ" localSheetId="1">#REF!</definedName>
    <definedName name="Tñ">#REF!</definedName>
    <definedName name="To" localSheetId="1">#REF!</definedName>
    <definedName name="To">#REF!</definedName>
    <definedName name="Total">[11]Requisición1!#REF!</definedName>
    <definedName name="TOTALITEM1.1" localSheetId="1">[15]A.P.U!#REF!</definedName>
    <definedName name="TOTALITEM1.1">[10]A.P.U!#REF!</definedName>
    <definedName name="TOTALITEM1.1.1" localSheetId="1">[15]A.P.U!#REF!</definedName>
    <definedName name="TOTALITEM1.1.1">[10]A.P.U!#REF!</definedName>
    <definedName name="TOTALITEM1.1.2" localSheetId="1">[15]A.P.U!#REF!</definedName>
    <definedName name="TOTALITEM1.1.2">[10]A.P.U!#REF!</definedName>
    <definedName name="TOTALITEM1.1.3" localSheetId="1">[15]A.P.U!#REF!</definedName>
    <definedName name="TOTALITEM1.1.3">[10]A.P.U!#REF!</definedName>
    <definedName name="TOTALITEM1.1.4" localSheetId="1">[15]A.P.U!#REF!</definedName>
    <definedName name="TOTALITEM1.1.4">[10]A.P.U!#REF!</definedName>
    <definedName name="TOTALITEM1.2.1" localSheetId="1">[15]A.P.U!#REF!</definedName>
    <definedName name="TOTALITEM1.2.1">[10]A.P.U!#REF!</definedName>
    <definedName name="TOTALITEM1.2.2" localSheetId="1">[15]A.P.U!#REF!</definedName>
    <definedName name="TOTALITEM1.2.2">[10]A.P.U!#REF!</definedName>
    <definedName name="TOTALITEM1.2.3" localSheetId="1">[15]A.P.U!#REF!</definedName>
    <definedName name="TOTALITEM1.2.3">[10]A.P.U!#REF!</definedName>
    <definedName name="TOTALITEM1.2.4" localSheetId="1">[15]A.P.U!#REF!</definedName>
    <definedName name="TOTALITEM1.2.4">[10]A.P.U!#REF!</definedName>
    <definedName name="TOTALITEM1.2.5" localSheetId="1">[15]A.P.U!#REF!</definedName>
    <definedName name="TOTALITEM1.2.5">[10]A.P.U!#REF!</definedName>
    <definedName name="TOTALITEM1.2.6" localSheetId="1">[15]A.P.U!#REF!</definedName>
    <definedName name="TOTALITEM1.2.6">[10]A.P.U!#REF!</definedName>
    <definedName name="TOTALITEM1.3.1" localSheetId="1">[15]A.P.U!#REF!</definedName>
    <definedName name="TOTALITEM1.3.1">[10]A.P.U!#REF!</definedName>
    <definedName name="TOTALITEM1.4" localSheetId="1">[15]A.P.U!#REF!</definedName>
    <definedName name="TOTALITEM1.4">[10]A.P.U!#REF!</definedName>
    <definedName name="TOTALITEM1.5" localSheetId="1">[15]A.P.U!#REF!</definedName>
    <definedName name="TOTALITEM1.5">[10]A.P.U!#REF!</definedName>
    <definedName name="TOTALITEM1.6" localSheetId="1">[15]A.P.U!#REF!</definedName>
    <definedName name="TOTALITEM1.6">[10]A.P.U!#REF!</definedName>
    <definedName name="TOTALITEM1.7" localSheetId="1">[15]A.P.U!#REF!</definedName>
    <definedName name="TOTALITEM1.7">[10]A.P.U!#REF!</definedName>
    <definedName name="TOTALITEM1.8" localSheetId="1">[15]A.P.U!#REF!</definedName>
    <definedName name="TOTALITEM1.8">[10]A.P.U!#REF!</definedName>
    <definedName name="TOTALITEM10.1" localSheetId="1">[15]A.P.U!#REF!</definedName>
    <definedName name="TOTALITEM10.1">[10]A.P.U!#REF!</definedName>
    <definedName name="TOTALITEM11.1" localSheetId="1">[15]A.P.U!#REF!</definedName>
    <definedName name="TOTALITEM11.1">[10]A.P.U!#REF!</definedName>
    <definedName name="TOTALITEM11.2" localSheetId="1">[15]A.P.U!#REF!</definedName>
    <definedName name="TOTALITEM11.2">[10]A.P.U!#REF!</definedName>
    <definedName name="TOTALITEM11.3" localSheetId="1">[15]A.P.U!#REF!</definedName>
    <definedName name="TOTALITEM11.3">[10]A.P.U!#REF!</definedName>
    <definedName name="TOTALITEM11.4" localSheetId="1">[15]A.P.U!#REF!</definedName>
    <definedName name="TOTALITEM11.4">[10]A.P.U!#REF!</definedName>
    <definedName name="TOTALITEM11.5" localSheetId="1">[15]A.P.U!#REF!</definedName>
    <definedName name="TOTALITEM11.5">[10]A.P.U!#REF!</definedName>
    <definedName name="TOTALITEM11.6" localSheetId="1">[15]A.P.U!#REF!</definedName>
    <definedName name="TOTALITEM11.6">[10]A.P.U!#REF!</definedName>
    <definedName name="TOTALITEM12.1" localSheetId="1">[15]A.P.U!#REF!</definedName>
    <definedName name="TOTALITEM12.1">[10]A.P.U!#REF!</definedName>
    <definedName name="TOTALITEM12.10" localSheetId="1">[15]A.P.U!#REF!</definedName>
    <definedName name="TOTALITEM12.10">[10]A.P.U!#REF!</definedName>
    <definedName name="TOTALITEM12.2" localSheetId="1">[15]A.P.U!#REF!</definedName>
    <definedName name="TOTALITEM12.2">[10]A.P.U!#REF!</definedName>
    <definedName name="TOTALITEM12.3" localSheetId="1">[15]A.P.U!#REF!</definedName>
    <definedName name="TOTALITEM12.3">[10]A.P.U!#REF!</definedName>
    <definedName name="TOTALITEM12.4" localSheetId="1">[15]A.P.U!#REF!</definedName>
    <definedName name="TOTALITEM12.4">[10]A.P.U!#REF!</definedName>
    <definedName name="TOTALITEM12.5" localSheetId="1">[15]A.P.U!#REF!</definedName>
    <definedName name="TOTALITEM12.5">[10]A.P.U!#REF!</definedName>
    <definedName name="TOTALITEM12.6" localSheetId="1">[15]A.P.U!#REF!</definedName>
    <definedName name="TOTALITEM12.6">[10]A.P.U!#REF!</definedName>
    <definedName name="TOTALITEM12.7" localSheetId="1">[15]A.P.U!#REF!</definedName>
    <definedName name="TOTALITEM12.7">[10]A.P.U!#REF!</definedName>
    <definedName name="TOTALITEM12.8" localSheetId="1">[15]A.P.U!#REF!</definedName>
    <definedName name="TOTALITEM12.8">[10]A.P.U!#REF!</definedName>
    <definedName name="TOTALITEM12.9" localSheetId="1">[15]A.P.U!#REF!</definedName>
    <definedName name="TOTALITEM12.9">[10]A.P.U!#REF!</definedName>
    <definedName name="TOTALITEM13.1.1" localSheetId="1">[15]A.P.U!#REF!</definedName>
    <definedName name="TOTALITEM13.1.1">[10]A.P.U!#REF!</definedName>
    <definedName name="TOTALITEM13.1.2" localSheetId="1">[15]A.P.U!#REF!</definedName>
    <definedName name="TOTALITEM13.1.2">[10]A.P.U!#REF!</definedName>
    <definedName name="TOTALITEM13.1.3" localSheetId="1">[15]A.P.U!#REF!</definedName>
    <definedName name="TOTALITEM13.1.3">[10]A.P.U!#REF!</definedName>
    <definedName name="TOTALITEM13.2.2" localSheetId="1">[15]A.P.U!#REF!</definedName>
    <definedName name="TOTALITEM13.2.2">[10]A.P.U!#REF!</definedName>
    <definedName name="TOTALITEM14.2" localSheetId="1">[15]A.P.U!#REF!</definedName>
    <definedName name="TOTALITEM14.2">[10]A.P.U!#REF!</definedName>
    <definedName name="TOTALITEM14.3" localSheetId="1">[15]A.P.U!#REF!</definedName>
    <definedName name="TOTALITEM14.3">[10]A.P.U!#REF!</definedName>
    <definedName name="TOTALITEM14.4" localSheetId="1">[15]A.P.U!#REF!</definedName>
    <definedName name="TOTALITEM14.4">[10]A.P.U!#REF!</definedName>
    <definedName name="TOTALITEM14.5" localSheetId="1">[15]A.P.U!#REF!</definedName>
    <definedName name="TOTALITEM14.5">[10]A.P.U!#REF!</definedName>
    <definedName name="TOTALITEM14.6" localSheetId="1">[15]A.P.U!#REF!</definedName>
    <definedName name="TOTALITEM14.6">[10]A.P.U!#REF!</definedName>
    <definedName name="TOTALITEM15" localSheetId="1">[15]A.P.U!#REF!</definedName>
    <definedName name="TOTALITEM15">[10]A.P.U!#REF!</definedName>
    <definedName name="TOTALITEM16" localSheetId="1">[15]A.P.U!#REF!</definedName>
    <definedName name="TOTALITEM16">[10]A.P.U!#REF!</definedName>
    <definedName name="TOTALITEM2.1" localSheetId="1">[15]A.P.U!#REF!</definedName>
    <definedName name="TOTALITEM2.1">[10]A.P.U!#REF!</definedName>
    <definedName name="TOTALITEM2.10" localSheetId="1">[15]A.P.U!#REF!</definedName>
    <definedName name="TOTALITEM2.10">[10]A.P.U!#REF!</definedName>
    <definedName name="TOTALITEM2.11.1" localSheetId="1">[15]A.P.U!#REF!</definedName>
    <definedName name="TOTALITEM2.11.1">[10]A.P.U!#REF!</definedName>
    <definedName name="TOTALITEM2.11.2" localSheetId="1">[15]A.P.U!#REF!</definedName>
    <definedName name="TOTALITEM2.11.2">[10]A.P.U!#REF!</definedName>
    <definedName name="TOTALITEM2.12.1" localSheetId="1">[15]A.P.U!#REF!</definedName>
    <definedName name="TOTALITEM2.12.1">[10]A.P.U!#REF!</definedName>
    <definedName name="TOTALITEM2.2" localSheetId="1">[15]A.P.U!#REF!</definedName>
    <definedName name="TOTALITEM2.2">[10]A.P.U!#REF!</definedName>
    <definedName name="TOTALITEM2.3" localSheetId="1">[15]A.P.U!#REF!</definedName>
    <definedName name="TOTALITEM2.3">[10]A.P.U!#REF!</definedName>
    <definedName name="TOTALITEM2.4" localSheetId="1">[15]A.P.U!#REF!</definedName>
    <definedName name="TOTALITEM2.4">[10]A.P.U!#REF!</definedName>
    <definedName name="TOTALITEM2.5" localSheetId="1">[15]A.P.U!#REF!</definedName>
    <definedName name="TOTALITEM2.5">[10]A.P.U!#REF!</definedName>
    <definedName name="TOTALITEM2.6" localSheetId="1">[15]A.P.U!#REF!</definedName>
    <definedName name="TOTALITEM2.6">[10]A.P.U!#REF!</definedName>
    <definedName name="TOTALITEM2.7" localSheetId="1">[15]A.P.U!#REF!</definedName>
    <definedName name="TOTALITEM2.7">[10]A.P.U!#REF!</definedName>
    <definedName name="TOTALITEM3.1.1" localSheetId="1">[15]A.P.U!#REF!</definedName>
    <definedName name="TOTALITEM3.1.1">[10]A.P.U!#REF!</definedName>
    <definedName name="TOTALITEM3.1.2" localSheetId="1">[15]A.P.U!#REF!</definedName>
    <definedName name="TOTALITEM3.1.2">[10]A.P.U!#REF!</definedName>
    <definedName name="TOTALITEM3.2" localSheetId="1">[15]A.P.U!#REF!</definedName>
    <definedName name="TOTALITEM3.2">[10]A.P.U!#REF!</definedName>
    <definedName name="TOTALITEM3.3" localSheetId="1">[15]A.P.U!#REF!</definedName>
    <definedName name="TOTALITEM3.3">[10]A.P.U!#REF!</definedName>
    <definedName name="TOTALITEM3.4.1" localSheetId="1">[15]A.P.U!#REF!</definedName>
    <definedName name="TOTALITEM3.4.1">[10]A.P.U!#REF!</definedName>
    <definedName name="TOTALITEM3.4.2" localSheetId="1">[15]A.P.U!#REF!</definedName>
    <definedName name="TOTALITEM3.4.2">[10]A.P.U!#REF!</definedName>
    <definedName name="TOTALITEM3.4.3" localSheetId="1">[15]A.P.U!#REF!</definedName>
    <definedName name="TOTALITEM3.4.3">[10]A.P.U!#REF!</definedName>
    <definedName name="TOTALITEM3.5.1" localSheetId="1">[15]A.P.U!#REF!</definedName>
    <definedName name="TOTALITEM3.5.1">[10]A.P.U!#REF!</definedName>
    <definedName name="TOTALITEM3.5.2" localSheetId="1">[15]A.P.U!#REF!</definedName>
    <definedName name="TOTALITEM3.5.2">[10]A.P.U!#REF!</definedName>
    <definedName name="TOTALITEM3.5.3" localSheetId="1">[15]A.P.U!#REF!</definedName>
    <definedName name="TOTALITEM3.5.3">[10]A.P.U!#REF!</definedName>
    <definedName name="TOTALITEM4.1.2" localSheetId="1">[15]A.P.U!#REF!</definedName>
    <definedName name="TOTALITEM4.1.2">[10]A.P.U!#REF!</definedName>
    <definedName name="TOTALITEM4.1.3" localSheetId="1">[15]A.P.U!#REF!</definedName>
    <definedName name="TOTALITEM4.1.3">[10]A.P.U!#REF!</definedName>
    <definedName name="TOTALITEM4.1.4" localSheetId="1">[15]A.P.U!#REF!</definedName>
    <definedName name="TOTALITEM4.1.4">[10]A.P.U!#REF!</definedName>
    <definedName name="TOTALITEM4.2" localSheetId="1">[15]A.P.U!#REF!</definedName>
    <definedName name="TOTALITEM4.2">[10]A.P.U!#REF!</definedName>
    <definedName name="TOTALITEM4.3" localSheetId="1">[15]A.P.U!#REF!</definedName>
    <definedName name="TOTALITEM4.3">[10]A.P.U!#REF!</definedName>
    <definedName name="TOTALITEM4.4" localSheetId="1">[15]A.P.U!#REF!</definedName>
    <definedName name="TOTALITEM4.4">[10]A.P.U!#REF!</definedName>
    <definedName name="TOTALITEM4.5" localSheetId="1">[15]A.P.U!#REF!</definedName>
    <definedName name="TOTALITEM4.5">[10]A.P.U!#REF!</definedName>
    <definedName name="TOTALITEM4.6" localSheetId="1">[15]A.P.U!#REF!</definedName>
    <definedName name="TOTALITEM4.6">[10]A.P.U!#REF!</definedName>
    <definedName name="TOTALITEM5.1" localSheetId="1">[15]A.P.U!#REF!</definedName>
    <definedName name="TOTALITEM5.1">[10]A.P.U!#REF!</definedName>
    <definedName name="TOTALITEM5.2" localSheetId="1">[15]A.P.U!#REF!</definedName>
    <definedName name="TOTALITEM5.2">[10]A.P.U!#REF!</definedName>
    <definedName name="TOTALITEM5.3" localSheetId="1">[15]A.P.U!#REF!</definedName>
    <definedName name="TOTALITEM5.3">[10]A.P.U!#REF!</definedName>
    <definedName name="TOTALITEM5.4" localSheetId="1">[15]A.P.U!#REF!</definedName>
    <definedName name="TOTALITEM5.4">[10]A.P.U!#REF!</definedName>
    <definedName name="TOTALITEM6.1" localSheetId="1">[15]A.P.U!#REF!</definedName>
    <definedName name="TOTALITEM6.1">[10]A.P.U!#REF!</definedName>
    <definedName name="TOTALITEM6.2" localSheetId="1">[15]A.P.U!#REF!</definedName>
    <definedName name="TOTALITEM6.2">[10]A.P.U!#REF!</definedName>
    <definedName name="TOTALITEM6.3" localSheetId="1">[15]A.P.U!#REF!</definedName>
    <definedName name="TOTALITEM6.3">[10]A.P.U!#REF!</definedName>
    <definedName name="TOTALITEM7.1" localSheetId="1">[15]A.P.U!#REF!</definedName>
    <definedName name="TOTALITEM7.1">[10]A.P.U!#REF!</definedName>
    <definedName name="TOTALITEM7.2" localSheetId="1">[15]A.P.U!#REF!</definedName>
    <definedName name="TOTALITEM7.2">[10]A.P.U!#REF!</definedName>
    <definedName name="TOTALITEM7.3" localSheetId="1">[15]A.P.U!#REF!</definedName>
    <definedName name="TOTALITEM7.3">[10]A.P.U!#REF!</definedName>
    <definedName name="TOTALITEM7.4" localSheetId="1">[15]A.P.U!#REF!</definedName>
    <definedName name="TOTALITEM7.4">[10]A.P.U!#REF!</definedName>
    <definedName name="TOTALITEM7.5" localSheetId="1">[15]A.P.U!#REF!</definedName>
    <definedName name="TOTALITEM7.5">[10]A.P.U!#REF!</definedName>
    <definedName name="TOTALITEM8.1" localSheetId="1">[15]A.P.U!#REF!</definedName>
    <definedName name="TOTALITEM8.1">[10]A.P.U!#REF!</definedName>
    <definedName name="TOTALITEM8.2" localSheetId="1">[15]A.P.U!#REF!</definedName>
    <definedName name="TOTALITEM8.2">[10]A.P.U!#REF!</definedName>
    <definedName name="TOTALITEM8.3" localSheetId="1">[15]A.P.U!#REF!</definedName>
    <definedName name="TOTALITEM8.3">[10]A.P.U!#REF!</definedName>
    <definedName name="TOTALITEM8.4" localSheetId="1">[15]A.P.U!#REF!</definedName>
    <definedName name="TOTALITEM8.4">[10]A.P.U!#REF!</definedName>
    <definedName name="TOTALITEM8.5" localSheetId="1">[15]A.P.U!#REF!</definedName>
    <definedName name="TOTALITEM8.5">[10]A.P.U!#REF!</definedName>
    <definedName name="TOTALITEM8.6" localSheetId="1">[15]A.P.U!#REF!</definedName>
    <definedName name="TOTALITEM8.6">[10]A.P.U!#REF!</definedName>
    <definedName name="TOTALITEM8.7" localSheetId="1">[15]A.P.U!#REF!</definedName>
    <definedName name="TOTALITEM8.7">[10]A.P.U!#REF!</definedName>
    <definedName name="TOTALITEM8.8" localSheetId="1">[15]A.P.U!#REF!</definedName>
    <definedName name="TOTALITEM8.8">[10]A.P.U!#REF!</definedName>
    <definedName name="TOTALITEM9.1" localSheetId="1">[15]A.P.U!#REF!</definedName>
    <definedName name="TOTALITEM9.1">[10]A.P.U!#REF!</definedName>
    <definedName name="TOTALITEM9.2" localSheetId="1">[15]A.P.U!#REF!</definedName>
    <definedName name="TOTALITEM9.2">[10]A.P.U!#REF!</definedName>
    <definedName name="TOTALITEM9.3" localSheetId="1">[15]A.P.U!#REF!</definedName>
    <definedName name="TOTALITEM9.3">[10]A.P.U!#REF!</definedName>
    <definedName name="TOTALITEM9.4" localSheetId="1">[15]A.P.U!#REF!</definedName>
    <definedName name="TOTALITEM9.4">[10]A.P.U!#REF!</definedName>
    <definedName name="TOTALITEM9.5" localSheetId="1">[15]A.P.U!#REF!</definedName>
    <definedName name="TOTALITEM9.5">[10]A.P.U!#REF!</definedName>
    <definedName name="TOTALITEM9.6" localSheetId="1">[15]A.P.U!#REF!</definedName>
    <definedName name="TOTALITEM9.6">[10]A.P.U!#REF!</definedName>
    <definedName name="TOTALITEM9.7" localSheetId="1">[15]A.P.U!#REF!</definedName>
    <definedName name="TOTALITEM9.7">[10]A.P.U!#REF!</definedName>
    <definedName name="TOTALITEM9.8" localSheetId="1">[15]A.P.U!#REF!</definedName>
    <definedName name="TOTALITEM9.8">[10]A.P.U!#REF!</definedName>
    <definedName name="TOTALITEN1.2.4" localSheetId="1">[15]A.P.U!#REF!</definedName>
    <definedName name="TOTALITEN1.2.4">[10]A.P.U!#REF!</definedName>
    <definedName name="Tp" localSheetId="1">#REF!</definedName>
    <definedName name="Tp">#REF!</definedName>
    <definedName name="Tq" localSheetId="1">#REF!</definedName>
    <definedName name="Tq">#REF!</definedName>
    <definedName name="Tr" localSheetId="1">#REF!</definedName>
    <definedName name="Tr">#REF!</definedName>
    <definedName name="TRAMPAGRASA" localSheetId="1">#REF!</definedName>
    <definedName name="TRAMPAGRASA">#REF!</definedName>
    <definedName name="Ts" localSheetId="1">#REF!</definedName>
    <definedName name="Ts">#REF!</definedName>
    <definedName name="Tt" localSheetId="1">#REF!</definedName>
    <definedName name="Tt">#REF!</definedName>
    <definedName name="Tu" localSheetId="1">#REF!</definedName>
    <definedName name="Tu">#REF!</definedName>
    <definedName name="TUBLLUV4" localSheetId="1">#REF!</definedName>
    <definedName name="TUBLLUV4">#REF!</definedName>
    <definedName name="TUBLLUVIA1.5TOT" localSheetId="1">#REF!</definedName>
    <definedName name="TUBLLUVIA1.5TOT">#REF!</definedName>
    <definedName name="TUBLLUVIA4TOTAL" localSheetId="1">#REF!</definedName>
    <definedName name="TUBLLUVIA4TOTAL">#REF!</definedName>
    <definedName name="TUBPRE1_2TOT" localSheetId="1">#REF!</definedName>
    <definedName name="TUBPRE1_2TOT">#REF!</definedName>
    <definedName name="TUBPRE3_4TOT" localSheetId="1">#REF!</definedName>
    <definedName name="TUBPRE3_4TOT">#REF!</definedName>
    <definedName name="TUBSANIT2" localSheetId="1">#REF!</definedName>
    <definedName name="TUBSANIT2">#REF!</definedName>
    <definedName name="TUBSANIT2TOTAL" localSheetId="1">#REF!</definedName>
    <definedName name="TUBSANIT2TOTAL">#REF!</definedName>
    <definedName name="TUBSANIT4" localSheetId="1">#REF!</definedName>
    <definedName name="TUBSANIT4">#REF!</definedName>
    <definedName name="TUBSANIT4TOTAL" localSheetId="1">#REF!</definedName>
    <definedName name="TUBSANIT4TOTAL">#REF!</definedName>
    <definedName name="Tw" localSheetId="1">#REF!</definedName>
    <definedName name="Tw">#REF!</definedName>
    <definedName name="Tx" localSheetId="1">#REF!</definedName>
    <definedName name="Tx">#REF!</definedName>
    <definedName name="Ty" localSheetId="1">#REF!</definedName>
    <definedName name="Ty">#REF!</definedName>
    <definedName name="Tz" localSheetId="1">#REF!</definedName>
    <definedName name="Tz">#REF!</definedName>
    <definedName name="U" localSheetId="1">#REF!</definedName>
    <definedName name="U">#REF!</definedName>
    <definedName name="Ua" localSheetId="1">#REF!</definedName>
    <definedName name="Ua">#REF!</definedName>
    <definedName name="Ub" localSheetId="1">#REF!</definedName>
    <definedName name="Ub">#REF!</definedName>
    <definedName name="Uc" localSheetId="1">#REF!</definedName>
    <definedName name="Uc">#REF!</definedName>
    <definedName name="Ud" localSheetId="1">#REF!</definedName>
    <definedName name="Ud">#REF!</definedName>
    <definedName name="Ue" localSheetId="1">#REF!</definedName>
    <definedName name="Ue">#REF!</definedName>
    <definedName name="Uf" localSheetId="1">#REF!</definedName>
    <definedName name="Uf">#REF!</definedName>
    <definedName name="Ug" localSheetId="1">#REF!</definedName>
    <definedName name="Ug">#REF!</definedName>
    <definedName name="Uh" localSheetId="1">#REF!</definedName>
    <definedName name="Uh">#REF!</definedName>
    <definedName name="Uj" localSheetId="1">#REF!</definedName>
    <definedName name="Uj">#REF!</definedName>
    <definedName name="Uk" localSheetId="1">#REF!</definedName>
    <definedName name="Uk">#REF!</definedName>
    <definedName name="Ull" localSheetId="1">#REF!</definedName>
    <definedName name="Ull">#REF!</definedName>
    <definedName name="Um" localSheetId="1">#REF!</definedName>
    <definedName name="Um">#REF!</definedName>
    <definedName name="Un" localSheetId="1">#REF!</definedName>
    <definedName name="Un">#REF!</definedName>
    <definedName name="unitarios" localSheetId="1">#REF!</definedName>
    <definedName name="unitarios">#REF!</definedName>
    <definedName name="Uñ" localSheetId="1">#REF!</definedName>
    <definedName name="Uñ">#REF!</definedName>
    <definedName name="Uo" localSheetId="1">#REF!</definedName>
    <definedName name="Uo">#REF!</definedName>
    <definedName name="Up" localSheetId="1">#REF!</definedName>
    <definedName name="Up">#REF!</definedName>
    <definedName name="Uq" localSheetId="1">#REF!</definedName>
    <definedName name="Uq">#REF!</definedName>
    <definedName name="Ur" localSheetId="1">#REF!</definedName>
    <definedName name="Ur">#REF!</definedName>
    <definedName name="Us" localSheetId="1">#REF!</definedName>
    <definedName name="Us">#REF!</definedName>
    <definedName name="ut" localSheetId="1">#REF!</definedName>
    <definedName name="ut">#REF!</definedName>
    <definedName name="Uv" localSheetId="1">#REF!</definedName>
    <definedName name="Uv">#REF!</definedName>
    <definedName name="Uw" localSheetId="1">#REF!</definedName>
    <definedName name="Uw">#REF!</definedName>
    <definedName name="Uz" localSheetId="1">#REF!</definedName>
    <definedName name="Uz">#REF!</definedName>
    <definedName name="V" localSheetId="1">[13]FINANZAS!#REF!</definedName>
    <definedName name="V">[6]FINANZAS!#REF!</definedName>
    <definedName name="Va" localSheetId="1">#REF!</definedName>
    <definedName name="Va">#REF!</definedName>
    <definedName name="VAL_100PE_S1" localSheetId="1">#REF!</definedName>
    <definedName name="VAL_100PE_S1">#REF!</definedName>
    <definedName name="VAL_100PE_S2" localSheetId="1">#REF!</definedName>
    <definedName name="VAL_100PE_S2">#REF!</definedName>
    <definedName name="VAL_100PE_S3" localSheetId="1">#REF!</definedName>
    <definedName name="VAL_100PE_S3">#REF!</definedName>
    <definedName name="VAL_100PE_S4" localSheetId="1">#REF!</definedName>
    <definedName name="VAL_100PE_S4">#REF!</definedName>
    <definedName name="VAL_100PE_S5" localSheetId="1">#REF!</definedName>
    <definedName name="VAL_100PE_S5">#REF!</definedName>
    <definedName name="VAL_100PE_S6" localSheetId="1">#REF!</definedName>
    <definedName name="VAL_100PE_S6">#REF!</definedName>
    <definedName name="VAL150PE_S1" localSheetId="1">#REF!</definedName>
    <definedName name="VAL150PE_S1">#REF!</definedName>
    <definedName name="VAL150PE_S2" localSheetId="1">#REF!</definedName>
    <definedName name="VAL150PE_S2">#REF!</definedName>
    <definedName name="VAL150PE_S3" localSheetId="1">#REF!</definedName>
    <definedName name="VAL150PE_S3">#REF!</definedName>
    <definedName name="VAL150PE_S4" localSheetId="1">#REF!</definedName>
    <definedName name="VAL150PE_S4">#REF!</definedName>
    <definedName name="VAL150PE_S5" localSheetId="1">#REF!</definedName>
    <definedName name="VAL150PE_S5">#REF!</definedName>
    <definedName name="VAL150PE_S6" localSheetId="1">#REF!</definedName>
    <definedName name="VAL150PE_S6">#REF!</definedName>
    <definedName name="VAL200PE_S1" localSheetId="1">#REF!</definedName>
    <definedName name="VAL200PE_S1">#REF!</definedName>
    <definedName name="VAL200PE_S2" localSheetId="1">#REF!</definedName>
    <definedName name="VAL200PE_S2">#REF!</definedName>
    <definedName name="VAL200PE_S3" localSheetId="1">#REF!</definedName>
    <definedName name="VAL200PE_S3">#REF!</definedName>
    <definedName name="VAL200PE_S4" localSheetId="1">#REF!</definedName>
    <definedName name="VAL200PE_S4">#REF!</definedName>
    <definedName name="VAL200PE_S5" localSheetId="1">#REF!</definedName>
    <definedName name="VAL200PE_S5">#REF!</definedName>
    <definedName name="VAL200PE_S6" localSheetId="1">#REF!</definedName>
    <definedName name="VAL200PE_S6">#REF!</definedName>
    <definedName name="VAL250PE_S1" localSheetId="1">#REF!</definedName>
    <definedName name="VAL250PE_S1">#REF!</definedName>
    <definedName name="VAL250PE_S2" localSheetId="1">#REF!</definedName>
    <definedName name="VAL250PE_S2">#REF!</definedName>
    <definedName name="VAL250PE_S3" localSheetId="1">#REF!</definedName>
    <definedName name="VAL250PE_S3">#REF!</definedName>
    <definedName name="VAL250PE_S4" localSheetId="1">#REF!</definedName>
    <definedName name="VAL250PE_S4">#REF!</definedName>
    <definedName name="VAL250PE_S5" localSheetId="1">#REF!</definedName>
    <definedName name="VAL250PE_S5">#REF!</definedName>
    <definedName name="VAL250PE_S6" localSheetId="1">#REF!</definedName>
    <definedName name="VAL250PE_S6">#REF!</definedName>
    <definedName name="VAL300HD_S1" localSheetId="1">#REF!</definedName>
    <definedName name="VAL300HD_S1">#REF!</definedName>
    <definedName name="VAL300HD_S2" localSheetId="1">#REF!</definedName>
    <definedName name="VAL300HD_S2">#REF!</definedName>
    <definedName name="VAL300HD_S3" localSheetId="1">#REF!</definedName>
    <definedName name="VAL300HD_S3">#REF!</definedName>
    <definedName name="VAL300HD_S4" localSheetId="1">#REF!</definedName>
    <definedName name="VAL300HD_S4">#REF!</definedName>
    <definedName name="VAL300HD_S5" localSheetId="1">#REF!</definedName>
    <definedName name="VAL300HD_S5">#REF!</definedName>
    <definedName name="VAL300HD_S6" localSheetId="1">#REF!</definedName>
    <definedName name="VAL300HD_S6">#REF!</definedName>
    <definedName name="VAL300PVC_S1" localSheetId="1">#REF!</definedName>
    <definedName name="VAL300PVC_S1">#REF!</definedName>
    <definedName name="VAL300PVC_S2" localSheetId="1">#REF!</definedName>
    <definedName name="VAL300PVC_S2">#REF!</definedName>
    <definedName name="VAL300PVC_S3" localSheetId="1">#REF!</definedName>
    <definedName name="VAL300PVC_S3">#REF!</definedName>
    <definedName name="VAL300PVC_S4" localSheetId="1">#REF!</definedName>
    <definedName name="VAL300PVC_S4">#REF!</definedName>
    <definedName name="VAL300PVC_S5" localSheetId="1">#REF!</definedName>
    <definedName name="VAL300PVC_S5">#REF!</definedName>
    <definedName name="VAL300PVC_S6" localSheetId="1">#REF!</definedName>
    <definedName name="VAL300PVC_S6">#REF!</definedName>
    <definedName name="VAL80PE_S1" localSheetId="1">#REF!</definedName>
    <definedName name="VAL80PE_S1">#REF!</definedName>
    <definedName name="VAL80PE_S2" localSheetId="1">#REF!</definedName>
    <definedName name="VAL80PE_S2">#REF!</definedName>
    <definedName name="VAL80PE_S3" localSheetId="1">#REF!</definedName>
    <definedName name="VAL80PE_S3">#REF!</definedName>
    <definedName name="VAL80PE_S4" localSheetId="1">#REF!</definedName>
    <definedName name="VAL80PE_S4">#REF!</definedName>
    <definedName name="VAL80PE_S5" localSheetId="1">#REF!</definedName>
    <definedName name="VAL80PE_S5">#REF!</definedName>
    <definedName name="VAL80PE_S6" localSheetId="1">#REF!</definedName>
    <definedName name="VAL80PE_S6">#REF!</definedName>
    <definedName name="Valor_Total" localSheetId="1">#REF!</definedName>
    <definedName name="Valor_Total">#REF!</definedName>
    <definedName name="Vb" localSheetId="1">#REF!</definedName>
    <definedName name="Vb">#REF!</definedName>
    <definedName name="Vc" localSheetId="1">#REF!</definedName>
    <definedName name="Vc">#REF!</definedName>
    <definedName name="Vd" localSheetId="1">#REF!</definedName>
    <definedName name="Vd">#REF!</definedName>
    <definedName name="Ve" localSheetId="1">#REF!</definedName>
    <definedName name="Ve">#REF!</definedName>
    <definedName name="VENT100_S1" localSheetId="1">#REF!</definedName>
    <definedName name="VENT100_S1">#REF!</definedName>
    <definedName name="VENT100_S2" localSheetId="1">#REF!</definedName>
    <definedName name="VENT100_S2">#REF!</definedName>
    <definedName name="VENT100_S3" localSheetId="1">#REF!</definedName>
    <definedName name="VENT100_S3">#REF!</definedName>
    <definedName name="VENT100_S4" localSheetId="1">#REF!</definedName>
    <definedName name="VENT100_S4">#REF!</definedName>
    <definedName name="VENT100_S5" localSheetId="1">#REF!</definedName>
    <definedName name="VENT100_S5">#REF!</definedName>
    <definedName name="VENT100_S6" localSheetId="1">#REF!</definedName>
    <definedName name="VENT100_S6">#REF!</definedName>
    <definedName name="VENTANATOT" localSheetId="1">#REF!</definedName>
    <definedName name="VENTANATOT">#REF!</definedName>
    <definedName name="Vf" localSheetId="1">#REF!</definedName>
    <definedName name="Vf">#REF!</definedName>
    <definedName name="Vg" localSheetId="1">#REF!</definedName>
    <definedName name="Vg">#REF!</definedName>
    <definedName name="Vh" localSheetId="1">#REF!</definedName>
    <definedName name="Vh">#REF!</definedName>
    <definedName name="VIBRA" localSheetId="1">#REF!</definedName>
    <definedName name="VIBRA">#REF!</definedName>
    <definedName name="VIGACI" localSheetId="1">#REF!</definedName>
    <definedName name="VIGACI">#REF!</definedName>
    <definedName name="VIGASUPERIOR" localSheetId="1">#REF!</definedName>
    <definedName name="VIGASUPERIOR">#REF!</definedName>
    <definedName name="VIGAT30X30" localSheetId="1">#REF!</definedName>
    <definedName name="VIGAT30X30">#REF!</definedName>
    <definedName name="VIGAT45X30" localSheetId="1">#REF!</definedName>
    <definedName name="VIGAT45X30">#REF!</definedName>
    <definedName name="VINILOTOT" localSheetId="1">#REF!</definedName>
    <definedName name="VINILOTOT">#REF!</definedName>
    <definedName name="VolTanqu" localSheetId="1">#REF!</definedName>
    <definedName name="VolTanqu">#REF!</definedName>
    <definedName name="Y" localSheetId="1">#REF!</definedName>
    <definedName name="Y">#REF!</definedName>
    <definedName name="ZAPATA" localSheetId="1">#REF!</definedName>
    <definedName name="ZAPATA">#REF!</definedName>
  </definedNames>
  <calcPr calcId="191029"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12" i="2" l="1"/>
  <c r="H210" i="2" l="1"/>
  <c r="H211" i="2" s="1"/>
  <c r="H209" i="2"/>
  <c r="H207" i="2"/>
  <c r="I75" i="3"/>
  <c r="I68" i="3"/>
  <c r="I58" i="3"/>
  <c r="G58" i="3"/>
  <c r="G57" i="3"/>
  <c r="I56" i="3"/>
  <c r="G56" i="3"/>
  <c r="G55" i="3"/>
  <c r="G54" i="3"/>
  <c r="I31" i="3"/>
  <c r="F31" i="3"/>
  <c r="I30" i="3"/>
  <c r="F30" i="3"/>
  <c r="I29" i="3"/>
  <c r="F29" i="3"/>
  <c r="I28" i="3"/>
  <c r="F28" i="3"/>
  <c r="I27" i="3"/>
  <c r="F27" i="3"/>
  <c r="I26" i="3"/>
  <c r="F26" i="3"/>
  <c r="I25" i="3"/>
  <c r="F25" i="3"/>
  <c r="I24" i="3"/>
  <c r="F24" i="3"/>
  <c r="I23" i="3"/>
  <c r="F23" i="3"/>
  <c r="I22" i="3"/>
  <c r="I32" i="3" s="1"/>
  <c r="I33" i="3" s="1"/>
  <c r="F22" i="3"/>
  <c r="I20" i="3"/>
  <c r="I19" i="3"/>
  <c r="I18" i="3"/>
  <c r="I17" i="3"/>
  <c r="I15" i="3"/>
  <c r="I14" i="3"/>
  <c r="I13" i="3"/>
  <c r="I12" i="3"/>
  <c r="G167" i="2" l="1"/>
  <c r="H167" i="2" s="1"/>
  <c r="G201" i="2"/>
  <c r="H201" i="2" s="1"/>
  <c r="G200" i="2"/>
  <c r="H200" i="2" s="1"/>
  <c r="G199" i="2"/>
  <c r="H199" i="2" s="1"/>
  <c r="G198" i="2"/>
  <c r="H198" i="2" s="1"/>
  <c r="G196" i="2"/>
  <c r="H196" i="2" s="1"/>
  <c r="G195" i="2"/>
  <c r="H195" i="2" s="1"/>
  <c r="G194" i="2"/>
  <c r="H194" i="2" s="1"/>
  <c r="G192" i="2"/>
  <c r="H192" i="2" s="1"/>
  <c r="G191" i="2"/>
  <c r="H191" i="2" s="1"/>
  <c r="G190" i="2"/>
  <c r="H190" i="2" s="1"/>
  <c r="G189" i="2"/>
  <c r="H189" i="2" s="1"/>
  <c r="G188" i="2"/>
  <c r="H188" i="2" s="1"/>
  <c r="G187" i="2"/>
  <c r="H187" i="2" s="1"/>
  <c r="G186" i="2"/>
  <c r="H186" i="2" s="1"/>
  <c r="G185" i="2"/>
  <c r="H185" i="2" s="1"/>
  <c r="G184" i="2"/>
  <c r="H184" i="2" s="1"/>
  <c r="G182" i="2"/>
  <c r="H182" i="2" s="1"/>
  <c r="G181" i="2"/>
  <c r="H181" i="2" s="1"/>
  <c r="G180" i="2"/>
  <c r="H180" i="2" s="1"/>
  <c r="G179" i="2"/>
  <c r="H179" i="2" s="1"/>
  <c r="G178" i="2"/>
  <c r="H178" i="2" s="1"/>
  <c r="G176" i="2"/>
  <c r="H176" i="2" s="1"/>
  <c r="G175" i="2"/>
  <c r="H175" i="2" s="1"/>
  <c r="G174" i="2"/>
  <c r="H174" i="2" s="1"/>
  <c r="G173" i="2"/>
  <c r="H173" i="2" s="1"/>
  <c r="G172" i="2"/>
  <c r="H172" i="2" s="1"/>
  <c r="G171" i="2"/>
  <c r="H171" i="2" s="1"/>
  <c r="G170" i="2"/>
  <c r="H170" i="2" s="1"/>
  <c r="G169" i="2"/>
  <c r="H169" i="2" s="1"/>
  <c r="G166" i="2"/>
  <c r="H166" i="2" s="1"/>
  <c r="G165" i="2"/>
  <c r="H165" i="2" s="1"/>
  <c r="G164" i="2"/>
  <c r="H164" i="2" s="1"/>
  <c r="G163" i="2"/>
  <c r="H163" i="2" s="1"/>
  <c r="G162" i="2"/>
  <c r="H162" i="2" s="1"/>
  <c r="G161" i="2"/>
  <c r="H161" i="2" s="1"/>
  <c r="G160" i="2"/>
  <c r="H160" i="2" s="1"/>
  <c r="G159" i="2"/>
  <c r="H159" i="2" s="1"/>
  <c r="G158" i="2"/>
  <c r="H158" i="2" s="1"/>
  <c r="G157" i="2"/>
  <c r="H157" i="2" s="1"/>
  <c r="G156" i="2"/>
  <c r="H156" i="2" s="1"/>
  <c r="G155" i="2"/>
  <c r="H155" i="2" s="1"/>
  <c r="G154" i="2"/>
  <c r="H154" i="2" s="1"/>
  <c r="G153" i="2"/>
  <c r="H153" i="2" s="1"/>
  <c r="F62" i="2"/>
  <c r="G62" i="2" s="1"/>
  <c r="H62" i="2" s="1"/>
  <c r="N9" i="2"/>
  <c r="N10" i="2"/>
  <c r="N11" i="2"/>
  <c r="N12" i="2"/>
  <c r="N13" i="2"/>
  <c r="N14" i="2"/>
  <c r="N15" i="2"/>
  <c r="N16" i="2"/>
  <c r="N17" i="2"/>
  <c r="N18"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65" i="2"/>
  <c r="N66" i="2"/>
  <c r="N67" i="2"/>
  <c r="N68" i="2"/>
  <c r="N69" i="2"/>
  <c r="N70" i="2"/>
  <c r="N71" i="2"/>
  <c r="N72" i="2"/>
  <c r="N73" i="2"/>
  <c r="N74" i="2"/>
  <c r="N75" i="2"/>
  <c r="N76" i="2"/>
  <c r="N77" i="2"/>
  <c r="N78" i="2"/>
  <c r="N79" i="2"/>
  <c r="N80" i="2"/>
  <c r="N81" i="2"/>
  <c r="N82" i="2"/>
  <c r="N83" i="2"/>
  <c r="N84" i="2"/>
  <c r="N85" i="2"/>
  <c r="N86" i="2"/>
  <c r="N87" i="2"/>
  <c r="N88" i="2"/>
  <c r="N89" i="2"/>
  <c r="N90" i="2"/>
  <c r="N91" i="2"/>
  <c r="N92" i="2"/>
  <c r="N93" i="2"/>
  <c r="N94" i="2"/>
  <c r="N95" i="2"/>
  <c r="N96" i="2"/>
  <c r="N97" i="2"/>
  <c r="N98" i="2"/>
  <c r="N99" i="2"/>
  <c r="N100" i="2"/>
  <c r="N101" i="2"/>
  <c r="N102" i="2"/>
  <c r="N103" i="2"/>
  <c r="N104" i="2"/>
  <c r="N105" i="2"/>
  <c r="N106" i="2"/>
  <c r="N107" i="2"/>
  <c r="N108" i="2"/>
  <c r="N109" i="2"/>
  <c r="N110" i="2"/>
  <c r="N111" i="2"/>
  <c r="N112" i="2"/>
  <c r="N113" i="2"/>
  <c r="N114" i="2"/>
  <c r="N115" i="2"/>
  <c r="N116" i="2"/>
  <c r="N117" i="2"/>
  <c r="N118" i="2"/>
  <c r="N119" i="2"/>
  <c r="N120" i="2"/>
  <c r="N121" i="2"/>
  <c r="N122" i="2"/>
  <c r="N123" i="2"/>
  <c r="N124" i="2"/>
  <c r="N125" i="2"/>
  <c r="N126" i="2"/>
  <c r="N127" i="2"/>
  <c r="N128" i="2"/>
  <c r="N129" i="2"/>
  <c r="N130" i="2"/>
  <c r="N131" i="2"/>
  <c r="N132" i="2"/>
  <c r="N133" i="2"/>
  <c r="N134" i="2"/>
  <c r="N135" i="2"/>
  <c r="N136" i="2"/>
  <c r="N137" i="2"/>
  <c r="N138" i="2"/>
  <c r="N139" i="2"/>
  <c r="N140" i="2"/>
  <c r="N141" i="2"/>
  <c r="N142" i="2"/>
  <c r="N143" i="2"/>
  <c r="N144" i="2"/>
  <c r="N145" i="2"/>
  <c r="N146" i="2"/>
  <c r="N147" i="2"/>
  <c r="N148" i="2"/>
  <c r="N149" i="2"/>
  <c r="N150" i="2"/>
  <c r="N151" i="2"/>
  <c r="G148" i="2"/>
  <c r="I148" i="2" s="1"/>
  <c r="G147" i="2"/>
  <c r="H147" i="2" s="1"/>
  <c r="G146" i="2"/>
  <c r="H146" i="2" s="1"/>
  <c r="G145" i="2"/>
  <c r="I145" i="2" s="1"/>
  <c r="G144" i="2"/>
  <c r="H144" i="2" s="1"/>
  <c r="G143" i="2"/>
  <c r="I143" i="2" s="1"/>
  <c r="F141" i="2"/>
  <c r="G141" i="2" s="1"/>
  <c r="H141" i="2" s="1"/>
  <c r="F140" i="2"/>
  <c r="G140" i="2" s="1"/>
  <c r="H140" i="2" s="1"/>
  <c r="F139" i="2"/>
  <c r="G139" i="2" s="1"/>
  <c r="I139" i="2" s="1"/>
  <c r="G138" i="2"/>
  <c r="H138" i="2" s="1"/>
  <c r="G137" i="2"/>
  <c r="H137" i="2" s="1"/>
  <c r="G136" i="2"/>
  <c r="H136" i="2" s="1"/>
  <c r="G134" i="2"/>
  <c r="G133" i="2"/>
  <c r="H133" i="2" s="1"/>
  <c r="G132" i="2"/>
  <c r="I132" i="2" s="1"/>
  <c r="G131" i="2"/>
  <c r="H131" i="2" s="1"/>
  <c r="G130" i="2"/>
  <c r="I130" i="2" s="1"/>
  <c r="G129" i="2"/>
  <c r="H129" i="2" s="1"/>
  <c r="G128" i="2"/>
  <c r="I128" i="2" s="1"/>
  <c r="G127" i="2"/>
  <c r="I127" i="2" s="1"/>
  <c r="G126" i="2"/>
  <c r="I126" i="2" s="1"/>
  <c r="G125" i="2"/>
  <c r="I125" i="2" s="1"/>
  <c r="F124" i="2"/>
  <c r="G124" i="2" s="1"/>
  <c r="H124" i="2" s="1"/>
  <c r="G123" i="2"/>
  <c r="H123" i="2" s="1"/>
  <c r="G122" i="2"/>
  <c r="G121" i="2"/>
  <c r="I121" i="2" s="1"/>
  <c r="G120" i="2"/>
  <c r="H120" i="2" s="1"/>
  <c r="G119" i="2"/>
  <c r="I119" i="2" s="1"/>
  <c r="F117" i="2"/>
  <c r="G117" i="2" s="1"/>
  <c r="I117" i="2" s="1"/>
  <c r="F116" i="2"/>
  <c r="G116" i="2" s="1"/>
  <c r="H116" i="2" s="1"/>
  <c r="F115" i="2"/>
  <c r="G115" i="2" s="1"/>
  <c r="F114" i="2"/>
  <c r="G114" i="2" s="1"/>
  <c r="I114" i="2" s="1"/>
  <c r="F112" i="2"/>
  <c r="G112" i="2" s="1"/>
  <c r="H112" i="2" s="1"/>
  <c r="F110" i="2"/>
  <c r="G110" i="2" s="1"/>
  <c r="H110" i="2" s="1"/>
  <c r="F109" i="2"/>
  <c r="G109" i="2" s="1"/>
  <c r="H109" i="2" s="1"/>
  <c r="G108" i="2"/>
  <c r="I108" i="2" s="1"/>
  <c r="G107" i="2"/>
  <c r="G106" i="2"/>
  <c r="H106" i="2" s="1"/>
  <c r="G105" i="2"/>
  <c r="I105" i="2" s="1"/>
  <c r="G104" i="2"/>
  <c r="H104" i="2" s="1"/>
  <c r="G103" i="2"/>
  <c r="I103" i="2" s="1"/>
  <c r="G101" i="2"/>
  <c r="I101" i="2" s="1"/>
  <c r="G100" i="2"/>
  <c r="H100" i="2" s="1"/>
  <c r="G99" i="2"/>
  <c r="H99" i="2" s="1"/>
  <c r="F98" i="2"/>
  <c r="G98" i="2" s="1"/>
  <c r="H98" i="2" s="1"/>
  <c r="F97" i="2"/>
  <c r="G97" i="2" s="1"/>
  <c r="H97" i="2" s="1"/>
  <c r="G95" i="2"/>
  <c r="I95" i="2" s="1"/>
  <c r="G94" i="2"/>
  <c r="I94" i="2" s="1"/>
  <c r="G93" i="2"/>
  <c r="I93" i="2" s="1"/>
  <c r="G91" i="2"/>
  <c r="H91" i="2" s="1"/>
  <c r="G90" i="2"/>
  <c r="I90" i="2" s="1"/>
  <c r="F89" i="2"/>
  <c r="G89" i="2" s="1"/>
  <c r="H89" i="2" s="1"/>
  <c r="G88" i="2"/>
  <c r="I88" i="2" s="1"/>
  <c r="G87" i="2"/>
  <c r="I87" i="2" s="1"/>
  <c r="G86" i="2"/>
  <c r="I86" i="2" s="1"/>
  <c r="G85" i="2"/>
  <c r="I85" i="2" s="1"/>
  <c r="G84" i="2"/>
  <c r="I84" i="2" s="1"/>
  <c r="G83" i="2"/>
  <c r="I83" i="2" s="1"/>
  <c r="F82" i="2"/>
  <c r="G82" i="2" s="1"/>
  <c r="I82" i="2" s="1"/>
  <c r="G81" i="2"/>
  <c r="I81" i="2" s="1"/>
  <c r="G80" i="2"/>
  <c r="I80" i="2" s="1"/>
  <c r="G77" i="2"/>
  <c r="I77" i="2" s="1"/>
  <c r="G76" i="2"/>
  <c r="I76" i="2" s="1"/>
  <c r="F75" i="2"/>
  <c r="G75" i="2" s="1"/>
  <c r="H75" i="2" s="1"/>
  <c r="F74" i="2"/>
  <c r="G74" i="2" s="1"/>
  <c r="H74" i="2" s="1"/>
  <c r="F73" i="2"/>
  <c r="G73" i="2" s="1"/>
  <c r="I73" i="2" s="1"/>
  <c r="F72" i="2"/>
  <c r="G72" i="2" s="1"/>
  <c r="I72" i="2" s="1"/>
  <c r="F70" i="2"/>
  <c r="G70" i="2" s="1"/>
  <c r="I70" i="2" s="1"/>
  <c r="F69" i="2"/>
  <c r="G69" i="2" s="1"/>
  <c r="H69" i="2" s="1"/>
  <c r="F68" i="2"/>
  <c r="G68" i="2" s="1"/>
  <c r="H68" i="2" s="1"/>
  <c r="F67" i="2"/>
  <c r="G67" i="2" s="1"/>
  <c r="H67" i="2" s="1"/>
  <c r="F65" i="2"/>
  <c r="G65" i="2" s="1"/>
  <c r="I65" i="2" s="1"/>
  <c r="F64" i="2"/>
  <c r="G64" i="2" s="1"/>
  <c r="H64" i="2" s="1"/>
  <c r="F63" i="2"/>
  <c r="G63" i="2" s="1"/>
  <c r="H63" i="2" s="1"/>
  <c r="F61" i="2"/>
  <c r="G61" i="2" s="1"/>
  <c r="H61" i="2" s="1"/>
  <c r="F60" i="2"/>
  <c r="G60" i="2" s="1"/>
  <c r="I60" i="2" s="1"/>
  <c r="F59" i="2"/>
  <c r="G59" i="2" s="1"/>
  <c r="H59" i="2" s="1"/>
  <c r="G56" i="2"/>
  <c r="H56" i="2" s="1"/>
  <c r="G55" i="2"/>
  <c r="G54" i="2"/>
  <c r="H54" i="2" s="1"/>
  <c r="G53" i="2"/>
  <c r="H53" i="2" s="1"/>
  <c r="G52" i="2"/>
  <c r="H52" i="2" s="1"/>
  <c r="G51" i="2"/>
  <c r="G50" i="2"/>
  <c r="G49" i="2"/>
  <c r="G48" i="2"/>
  <c r="I48" i="2" s="1"/>
  <c r="G46" i="2"/>
  <c r="H46" i="2" s="1"/>
  <c r="G45" i="2"/>
  <c r="I45" i="2" s="1"/>
  <c r="G44" i="2"/>
  <c r="H44" i="2" s="1"/>
  <c r="G43" i="2"/>
  <c r="I43" i="2" s="1"/>
  <c r="G42" i="2"/>
  <c r="H42" i="2" s="1"/>
  <c r="G41" i="2"/>
  <c r="H41" i="2" s="1"/>
  <c r="G40" i="2"/>
  <c r="H40" i="2" s="1"/>
  <c r="G39" i="2"/>
  <c r="H39" i="2" s="1"/>
  <c r="G38" i="2"/>
  <c r="H38" i="2" s="1"/>
  <c r="G37" i="2"/>
  <c r="H37" i="2" s="1"/>
  <c r="G36" i="2"/>
  <c r="G35" i="2"/>
  <c r="G34" i="2"/>
  <c r="H34" i="2" s="1"/>
  <c r="G33" i="2"/>
  <c r="H33" i="2" s="1"/>
  <c r="G32" i="2"/>
  <c r="I32" i="2" s="1"/>
  <c r="G31" i="2"/>
  <c r="I31" i="2" s="1"/>
  <c r="G30" i="2"/>
  <c r="H30" i="2" s="1"/>
  <c r="G29" i="2"/>
  <c r="H29" i="2" s="1"/>
  <c r="G28" i="2"/>
  <c r="I28" i="2" s="1"/>
  <c r="G26" i="2"/>
  <c r="H26" i="2" s="1"/>
  <c r="G25" i="2"/>
  <c r="H25" i="2" s="1"/>
  <c r="G24" i="2"/>
  <c r="I24" i="2" s="1"/>
  <c r="G23" i="2"/>
  <c r="I23" i="2" s="1"/>
  <c r="G22" i="2"/>
  <c r="H22" i="2" s="1"/>
  <c r="G21" i="2"/>
  <c r="H21" i="2" s="1"/>
  <c r="F19" i="2"/>
  <c r="G19" i="2" s="1"/>
  <c r="H19" i="2" s="1"/>
  <c r="G18" i="2"/>
  <c r="I18" i="2" s="1"/>
  <c r="F17" i="2"/>
  <c r="G17" i="2" s="1"/>
  <c r="H17" i="2" s="1"/>
  <c r="L16" i="2"/>
  <c r="L17" i="2" s="1"/>
  <c r="F16" i="2"/>
  <c r="G16" i="2" s="1"/>
  <c r="H16" i="2" s="1"/>
  <c r="F15" i="2"/>
  <c r="G15" i="2" s="1"/>
  <c r="H15" i="2" s="1"/>
  <c r="G14" i="2"/>
  <c r="H14" i="2" s="1"/>
  <c r="G13" i="2"/>
  <c r="H13" i="2" s="1"/>
  <c r="G12" i="2"/>
  <c r="H12" i="2" s="1"/>
  <c r="G11" i="2"/>
  <c r="I11" i="2" s="1"/>
  <c r="G9" i="2"/>
  <c r="H9" i="2" s="1"/>
  <c r="H203" i="2" l="1"/>
  <c r="H105" i="2"/>
  <c r="H114" i="2"/>
  <c r="H139" i="2"/>
  <c r="H24" i="2"/>
  <c r="H28" i="2"/>
  <c r="H60" i="2"/>
  <c r="H31" i="2"/>
  <c r="H32" i="2"/>
  <c r="H85" i="2"/>
  <c r="H128" i="2"/>
  <c r="H43" i="2"/>
  <c r="H73" i="2"/>
  <c r="H127" i="2"/>
  <c r="H35" i="2"/>
  <c r="H45" i="2"/>
  <c r="H48" i="2"/>
  <c r="H95" i="2"/>
  <c r="H36" i="2"/>
  <c r="H117" i="2"/>
  <c r="H130" i="2"/>
  <c r="H126" i="2"/>
  <c r="H80" i="2"/>
  <c r="H83" i="2"/>
  <c r="H82" i="2"/>
  <c r="H81" i="2"/>
  <c r="H125" i="2"/>
  <c r="H143" i="2"/>
  <c r="H93" i="2"/>
  <c r="H55" i="2"/>
  <c r="H84" i="2"/>
  <c r="H103" i="2"/>
  <c r="H115" i="2"/>
  <c r="H148" i="2"/>
  <c r="H49" i="2"/>
  <c r="H50" i="2"/>
  <c r="H51" i="2"/>
  <c r="H65" i="2"/>
  <c r="H94" i="2"/>
  <c r="H119" i="2"/>
  <c r="H11" i="2"/>
  <c r="H72" i="2"/>
  <c r="H86" i="2"/>
  <c r="H134" i="2"/>
  <c r="H122" i="2"/>
  <c r="H23" i="2"/>
  <c r="H77" i="2"/>
  <c r="H87" i="2"/>
  <c r="H108" i="2"/>
  <c r="H121" i="2"/>
  <c r="H145" i="2"/>
  <c r="H18" i="2"/>
  <c r="H70" i="2"/>
  <c r="H76" i="2"/>
  <c r="H88" i="2"/>
  <c r="H107" i="2"/>
  <c r="H132" i="2"/>
  <c r="H101" i="2"/>
  <c r="H90" i="2"/>
  <c r="I55" i="2"/>
  <c r="I129" i="2"/>
  <c r="I120" i="2"/>
  <c r="I21" i="2"/>
  <c r="I122" i="2"/>
  <c r="I100" i="2"/>
  <c r="I134" i="2"/>
  <c r="I26" i="2"/>
  <c r="I68" i="2"/>
  <c r="I59" i="2"/>
  <c r="I133" i="2"/>
  <c r="I99" i="2"/>
  <c r="I123" i="2"/>
  <c r="I110" i="2"/>
  <c r="I97" i="2"/>
  <c r="I124" i="2"/>
  <c r="I19" i="2"/>
  <c r="I69" i="2"/>
  <c r="I67" i="2"/>
  <c r="I62" i="2"/>
  <c r="I89" i="2"/>
  <c r="I63" i="2"/>
  <c r="I109" i="2"/>
  <c r="I9" i="2"/>
  <c r="I74" i="2"/>
  <c r="I61" i="2"/>
  <c r="I131" i="2"/>
  <c r="I25" i="2"/>
  <c r="I104" i="2"/>
  <c r="I75" i="2"/>
  <c r="I112" i="2"/>
  <c r="I13" i="2"/>
  <c r="I98" i="2"/>
  <c r="I46" i="2"/>
  <c r="I54" i="2"/>
  <c r="I64" i="2"/>
  <c r="I91" i="2"/>
  <c r="L113" i="2" l="1"/>
  <c r="L142" i="2"/>
  <c r="L135" i="2"/>
  <c r="L102" i="2"/>
  <c r="L47" i="2"/>
  <c r="L57" i="2"/>
  <c r="L96" i="2"/>
  <c r="L20" i="2"/>
  <c r="I150" i="2"/>
  <c r="I205" i="2" s="1"/>
  <c r="H150" i="2"/>
  <c r="H205" i="2" s="1"/>
  <c r="L118" i="2"/>
  <c r="L71" i="2"/>
  <c r="L78" i="2"/>
  <c r="L111" i="2"/>
  <c r="L66" i="2"/>
  <c r="L27" i="2"/>
  <c r="L8" i="2"/>
  <c r="L10" i="2"/>
  <c r="L92" i="2"/>
  <c r="L150" i="2" l="1"/>
  <c r="G38" i="3"/>
  <c r="I38" i="3"/>
  <c r="G39" i="3"/>
  <c r="I39" i="3"/>
  <c r="G40" i="3"/>
  <c r="I40" i="3"/>
  <c r="G41" i="3"/>
  <c r="I41" i="3"/>
  <c r="G42" i="3"/>
  <c r="I42" i="3"/>
  <c r="G43" i="3"/>
  <c r="I43" i="3"/>
  <c r="G44" i="3"/>
  <c r="I44" i="3"/>
  <c r="I45" i="3"/>
  <c r="I46" i="3"/>
  <c r="E50" i="3"/>
  <c r="G50" i="3"/>
  <c r="I50" i="3"/>
  <c r="E51" i="3"/>
  <c r="G51" i="3"/>
  <c r="I51" i="3"/>
  <c r="E52" i="3"/>
  <c r="G52" i="3"/>
  <c r="I52" i="3"/>
  <c r="E53" i="3"/>
  <c r="G53" i="3"/>
  <c r="I53" i="3"/>
  <c r="I55" i="3"/>
  <c r="E56" i="3"/>
  <c r="I59" i="3"/>
  <c r="I60" i="3"/>
  <c r="I62" i="3"/>
  <c r="I63" i="3"/>
  <c r="I65" i="3"/>
  <c r="I66" i="3"/>
  <c r="I71" i="3"/>
  <c r="I72" i="3"/>
  <c r="I76" i="3"/>
  <c r="I77"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JAM</author>
  </authors>
  <commentList>
    <comment ref="F56" authorId="0" shapeId="0" xr:uid="{345BDF9A-09DE-49F1-8BBC-E76C3ACABEFE}">
      <text>
        <r>
          <rPr>
            <b/>
            <sz val="9"/>
            <color indexed="81"/>
            <rFont val="Tahoma"/>
            <family val="2"/>
          </rPr>
          <t>JAM:</t>
        </r>
        <r>
          <rPr>
            <sz val="9"/>
            <color indexed="81"/>
            <rFont val="Tahoma"/>
            <family val="2"/>
          </rPr>
          <t xml:space="preserve">
</t>
        </r>
        <r>
          <rPr>
            <sz val="14"/>
            <color indexed="81"/>
            <rFont val="Tahoma"/>
            <family val="2"/>
          </rPr>
          <t>0 - 1500 SMMLV  se asegura 200 SMMLV
1500 - 2500 SMMLV  se asegura 300 SMMLV
2500 - 5000 SMMLV  se asegura 400 SMMLV
5000 - 10000 SMMLV  se asegura 500 SMMLV
mayores a 10000 SMMLV se asegura 5% del contrato</t>
        </r>
      </text>
    </comment>
  </commentList>
</comments>
</file>

<file path=xl/sharedStrings.xml><?xml version="1.0" encoding="utf-8"?>
<sst xmlns="http://schemas.openxmlformats.org/spreadsheetml/2006/main" count="630" uniqueCount="462">
  <si>
    <t>DISCRIMINACION DEL AU - CONSTRUCCION BLOQUE SEIS OCTUBRE 2025</t>
  </si>
  <si>
    <t>COSTO DIRECTO DE OBRA (CD)</t>
  </si>
  <si>
    <t>A. ADMINISTRACIÓN</t>
  </si>
  <si>
    <t>TERMINO  DE EJECUCIÓN DE OBRA ( MESES )</t>
  </si>
  <si>
    <t>CANTIDAD</t>
  </si>
  <si>
    <t xml:space="preserve">DESCRIPCION DEL CARGO </t>
  </si>
  <si>
    <t>DEDICACIÓN MES</t>
  </si>
  <si>
    <t xml:space="preserve"> SALARIO MENSUAL </t>
  </si>
  <si>
    <t>FACTOR PRESTACIONAL</t>
  </si>
  <si>
    <t>PLAZO CONSTRUCCION</t>
  </si>
  <si>
    <t>CANTIDAD DE PERSONAL / DEDICACION/SALARIO / PLAZO/FACTOR PRESTACIONAL</t>
  </si>
  <si>
    <t>A</t>
  </si>
  <si>
    <t>B</t>
  </si>
  <si>
    <t>C</t>
  </si>
  <si>
    <t>D</t>
  </si>
  <si>
    <t>E</t>
  </si>
  <si>
    <t>F = A * B * C * D * E</t>
  </si>
  <si>
    <t>1. COSTOS PERSONAL + OPERATIVO</t>
  </si>
  <si>
    <t>1.1  PERSONAL PROFESIONAL Y ESPECIALISTA DE OBRA</t>
  </si>
  <si>
    <t>DIRECTOR DEL PROYECTO - ARQUITECTO</t>
  </si>
  <si>
    <t>INGENIERO RESIDENTE DE OBRA</t>
  </si>
  <si>
    <t>TECNOLOGO SISO</t>
  </si>
  <si>
    <t>CERTIFICACION TECNICA DE OBRA</t>
  </si>
  <si>
    <t>1.2  PERSONAL ADMINISTRATIVO DE OBRA</t>
  </si>
  <si>
    <t>ALMACENISTA DE OBRA</t>
  </si>
  <si>
    <t>CELADOR</t>
  </si>
  <si>
    <t>1.3  COSTOS OPERATIVOS</t>
  </si>
  <si>
    <t>PAPELERIA, FOTOCOPIAS, PLOTER Y OTROS</t>
  </si>
  <si>
    <t>SUBTOTAL COSTOS  DE PERSONAL + OPERATIVOS</t>
  </si>
  <si>
    <t>SUBTOTAL COSTOS  DE PERSONAL EN PORCENTAJE DEL COSTO DIRECTO</t>
  </si>
  <si>
    <t>2. IMPUESTOS Y GARANTÍAS</t>
  </si>
  <si>
    <t>2.1 IMPUESTOS</t>
  </si>
  <si>
    <t>DESCRIPCIÓN</t>
  </si>
  <si>
    <t>VR. BASE</t>
  </si>
  <si>
    <t>IMPUESTO %</t>
  </si>
  <si>
    <t>VALOR ($)</t>
  </si>
  <si>
    <t>IMPUESTOS MUNICIPALES - ESTAMPILLA PROCULTURA</t>
  </si>
  <si>
    <t>IMPUESTOS MUNICIPALES - ESTAMPILLA PROHOSPITAL</t>
  </si>
  <si>
    <t>IMPUESTOS MUNICIPALES- ESTAMPILLA BIENESTAR AL ADULTO MAYOR</t>
  </si>
  <si>
    <t>IMPUESTOS MUNICIPALES - PROJUSTICIA</t>
  </si>
  <si>
    <t>IMPUESTOS MUNICIPALES - TASA PRO DEPORTE Y RECREACION</t>
  </si>
  <si>
    <t>IMPUESTO NACIONAL  - FONDO DE SEGURIDAD</t>
  </si>
  <si>
    <t>SUBTOTAL IMPUESTOS</t>
  </si>
  <si>
    <t>SUBTOTAL COSTOS  IMPUESTOS EN PORCENTAJE DEL COSTO DIRECTO</t>
  </si>
  <si>
    <t>2.2 GARANTIAS</t>
  </si>
  <si>
    <t>% ASEGURADO</t>
  </si>
  <si>
    <t>VR. ASEGURADO</t>
  </si>
  <si>
    <t>VALOR TOTAL ($)</t>
  </si>
  <si>
    <t>CUMPLIMIENTO</t>
  </si>
  <si>
    <t>SALARIOS Y PRESTACIONES SOCIALES</t>
  </si>
  <si>
    <t>MANEJO ANTICIPO</t>
  </si>
  <si>
    <t>ESTABILIDAD Y CALIDAD DE LA OBRA</t>
  </si>
  <si>
    <t>GASTOS DE EXPEDICION ( POLIZA DE CUMPLIMIENTO)</t>
  </si>
  <si>
    <t>IVA DEL TOTAL (POLIZA DE CUMPLIMIENTO)</t>
  </si>
  <si>
    <t>RESPONSABILIDAD CIVIL EXTRACONTRACTUAL</t>
  </si>
  <si>
    <t>GASTOS DE EXPEDICION (RESPONSABILIDAD CIVIL EXTRACONTRACTUAL)</t>
  </si>
  <si>
    <t>IVA DEL TOTAL (RESPONSABILIDAD CIVIL EXTRACONTRACTUAL)</t>
  </si>
  <si>
    <t>SUBTOTAL GARANTÍAS</t>
  </si>
  <si>
    <t>TOTAL IMPUESTOS Y GARANTÍAS</t>
  </si>
  <si>
    <t>TOTAL IMPUESTOS Y GARANTÍAS EN PORCENTAJE DEL COSTO DIRECTO</t>
  </si>
  <si>
    <t>A. ADMINISTRACIÓN (1 + 2)</t>
  </si>
  <si>
    <t>TOTAL  ADMINISTRACIÓN (1 + 2) EN PORCENTAJE DEL COSTO DIRECTO</t>
  </si>
  <si>
    <t>U. UTILIDAD</t>
  </si>
  <si>
    <t>TOTAL UTILIDAD EN PORCENTAJE DEL COSTO DIRECTO</t>
  </si>
  <si>
    <r>
      <rPr>
        <b/>
        <sz val="16"/>
        <rFont val="Aptos Narrow"/>
        <family val="2"/>
        <scheme val="minor"/>
      </rPr>
      <t xml:space="preserve">A.U. </t>
    </r>
    <r>
      <rPr>
        <b/>
        <sz val="14"/>
        <rFont val="Aptos Narrow"/>
        <family val="2"/>
        <scheme val="minor"/>
      </rPr>
      <t>(ADMINISTRACIÓN Y UTILIDAD)</t>
    </r>
  </si>
  <si>
    <t>TOTAL A.U. (ADMINISTRACIÓN Y UTILIDAD) POR EL PORCENTAJE DEL COSTO DIRECTO</t>
  </si>
  <si>
    <t>SUMATORIA DE (A+U)</t>
  </si>
  <si>
    <t>COSTO DIRECTO</t>
  </si>
  <si>
    <t>AU</t>
  </si>
  <si>
    <t>COSTO TOTAL</t>
  </si>
  <si>
    <t>200 SMMLV</t>
  </si>
  <si>
    <t>PROYECTO VIVIENDA URBANA - SANTA FE DE ANTIOQUIA</t>
  </si>
  <si>
    <t>DESCRIPCION</t>
  </si>
  <si>
    <t>UND</t>
  </si>
  <si>
    <t>CANT</t>
  </si>
  <si>
    <t>VALOR UNITARIO</t>
  </si>
  <si>
    <t>VALOR VIVIENDA</t>
  </si>
  <si>
    <t>VALOR PROYECTO</t>
  </si>
  <si>
    <t>Valor    Proyecto</t>
  </si>
  <si>
    <t>CONSTRUCCION DE VIVIENDA</t>
  </si>
  <si>
    <t>CAPITULO 1 - PRELIMINARES  DE OBRA</t>
  </si>
  <si>
    <t>MT</t>
  </si>
  <si>
    <t>1.6</t>
  </si>
  <si>
    <t>Localización, trazado y replanteo. Se utilizará personal experto con equipo de precisión. Se hará con la frecuencia que lo indique la interventoría. Incluye demarcación con pintura, línea de trazado, corte de piso, libretas y planos.</t>
  </si>
  <si>
    <t>DIA</t>
  </si>
  <si>
    <t>CAPITULO 2 - EXCAVACIONES, LLENOS  Y RETIRO DE MATERIAL</t>
  </si>
  <si>
    <t>2.1</t>
  </si>
  <si>
    <t>DESMONTE Y LIMPIEZA e= 0.30 mt Incluye: cargue, transporte y botada de escombros en botaderos oficiales o donde indique la interventoría.</t>
  </si>
  <si>
    <r>
      <t>MT</t>
    </r>
    <r>
      <rPr>
        <sz val="10"/>
        <rFont val="Calibri"/>
        <family val="2"/>
      </rPr>
      <t>³</t>
    </r>
  </si>
  <si>
    <t>2.2</t>
  </si>
  <si>
    <t xml:space="preserve">Excavación manual TUBERIA HIDROSANITARIA ENTERRADA, en material heterogéneo de 0 - 2 mt., bajo cualquier grado de humedad. Incluye: roca descompuesta, bolas de roca de volúmen inferior a 0.35 m³. su medida será en el sitio. </t>
  </si>
  <si>
    <t>2.3</t>
  </si>
  <si>
    <t xml:space="preserve">Excavación manual, VIGA DE FUNDACION en material heterogéneo de 0 - 2 mt., bajo cualquier grado de humedad. Incluye: roca descompuesta, bolas de roca de volúmen inferior a 0.35 m³. su medida será en el sitio. </t>
  </si>
  <si>
    <t>2.4</t>
  </si>
  <si>
    <t xml:space="preserve">Excavación manual, PLACA CONTRAPISO - FUNDACION en material heterogéneo de 0 - 2 mt., bajo cualquier grado de humedad. Incluye: roca descompuesta, bolas de roca de volúmen inferior a 0.35 m³. su medida será en el sitio. </t>
  </si>
  <si>
    <t>2.5</t>
  </si>
  <si>
    <t>LLENO COMPACTADO TUBERIA HIDROSANITARIA ENTERRADA, compactado mecánicamente hasta obtener una densidad del 95% de la máxima obtenida en el ensayo del próctor modificado. Incluye el suministro, transporte, colocación de la arenilla, la compactación de la misma y transporte interno.</t>
  </si>
  <si>
    <t>2.6</t>
  </si>
  <si>
    <t>LLENOS COMPACTADO VIGA DE FUNDACION, compactado mecánicamente hasta obtener una densidad del 95% de la máxima obtenida en el ensayo del próctor modificado. Incluye el suministro, transporte, colocación de la arenilla, la compactación de la misma y transporte interno.</t>
  </si>
  <si>
    <t>2.7</t>
  </si>
  <si>
    <t>LLENOS COMPACTADO PLACA CONTRAPISO, compactado mecánicamente hasta obtener una densidad del 95% de la máxima obtenida en el ensayo del próctor modificado. Incluye el suministro, transporte, colocación de la arenilla, la compactación de la misma y transporte interno.</t>
  </si>
  <si>
    <t>2.8</t>
  </si>
  <si>
    <t xml:space="preserve">MOVIMIENTO DE MATERIAL SOBRANTE de la excavacion, incluye el cargue, transporte interno y externo, botada de material proveniente de las excavaciones en los sitios oficiales y su medida será en el sitio. </t>
  </si>
  <si>
    <t>2.9</t>
  </si>
  <si>
    <t>Construccion de Barrera de Vapor, incluye: Suministro y colocacion de Polietileno de Alta Densidad</t>
  </si>
  <si>
    <t>MT²</t>
  </si>
  <si>
    <t>CAPITULO 3 - CONCRETOS</t>
  </si>
  <si>
    <t>3.1</t>
  </si>
  <si>
    <t>Construccion de VIGA DE FUNDACION DE 40 X 50 CM en concreto de 21 Mpa. incluye: el suministro, transporte y vaciado de concreto, toda la obra falsa necesaria para el correcto vaciado, vibrado, protección y curado para estructuras, de acuerdo a las diferentes dimensiones establecida en los planos y todos los demás elementos necesarios para su correcto vaciado. No incluye acero de refuerzo, según diseño. En el vaciado se deben dejar los hierros (pelos) para el amarre de los elementos estructurales, ya que por ningún motivo se pagaran anclajes.</t>
  </si>
  <si>
    <t>3.2</t>
  </si>
  <si>
    <t>Construccion de PLACA CONTRAPISO, en concreto de 21 Mpa. incluye: el suministro, transporte y vaciado de concreto, toda la obra falsa necesaria para el correcto vaciado, vibrado, protección y curado para estructuras, de acuerdo a las diferentes dimensiones establecida en los planos y todos los demás elementos necesarios para su correcto vaciado. No incluye acero de refuerzo, según diseño. En el vaciado se deben dejar los hierros (pelos) para el amarre de los elementos estructurales, ya que por ningún motivo se pagaran anclajes.</t>
  </si>
  <si>
    <t>3.3</t>
  </si>
  <si>
    <t>Vaciado de GROUTING DOVELAS, 1500 PSI en mamposteria estructural</t>
  </si>
  <si>
    <t>3.4</t>
  </si>
  <si>
    <t>Construccion de LOSA MACIZA DE ENTREPISO en concreto de 21 Mpa. con espesor de 16 cm. Incluye suministro, transporte y vaciado de concreto, toda la obra falsa necesaria para el correcto vaciado (la super T se coloca sobre el tendido de teleras de la obra falsa) biseles para cortagotera o donde se requieran, vibrado, protección y curado para estructuras, de acuerdo a las diferentes dimensiones establecida en los planos y todos los demás elementos necesarios para su correcto vaciado. En el vaciado se deben dejar los hierros (pelos) para el amarre de los elementos estructurales, ya que por ningún motivo se pagaran anclajes. No incluye acero de refuerzo.</t>
  </si>
  <si>
    <r>
      <t>MT</t>
    </r>
    <r>
      <rPr>
        <sz val="10"/>
        <rFont val="Calibri"/>
        <family val="2"/>
      </rPr>
      <t>²</t>
    </r>
  </si>
  <si>
    <t>3.5</t>
  </si>
  <si>
    <t>Construccion de VIGA DE AMARRE PERIMETRAL en concreto de 21 Mpa.  de 12 cm x 20 cm. Incluye suministro, transporte y vaciado de concreto, toda la obra falsa necesaria para el correcto vaciado , vibrado, protección y curado para estructuras, de acuerdo a las diferentes dimensiones establecida en los planos y todos los demás elementos necesarios para su correcto vaciado. No incluye acero de refuerzo.</t>
  </si>
  <si>
    <t>3.6</t>
  </si>
  <si>
    <t>Construccion de ESCALERA Y LOSA DE DESCANSO  en concreto de 21 Mpa. Incluye suministro, transporte y colocación del concreto, mano de obra, formaleta completa, vibrado, protección, curado y todos los demás elementos necesario para su correcta construcción. No incluye acero de refuerzo.</t>
  </si>
  <si>
    <t>CAPITULO 4 - ACERO DE REFUERZO</t>
  </si>
  <si>
    <t>4.1</t>
  </si>
  <si>
    <t>Suministro, transporte, figuración e instalación de ACERO FY= 420 Mpa. para VIGA DE FUNDACION, ESTRIBOS FIGURADOS</t>
  </si>
  <si>
    <t>KG</t>
  </si>
  <si>
    <t>4.2</t>
  </si>
  <si>
    <t>Suministro, transporte, figuración e instalación de ACERO FY= 420 Mpa. para VIGA DE FUNDACION, REFUERZO LONGUITUDINAL</t>
  </si>
  <si>
    <t>4.3</t>
  </si>
  <si>
    <t>Suministro, transporte y colocación de Malla electrosoldada tipo D 131. Incluye todos los elementos necesarios para su correcta colocación. PLACA de CONTRAPISO</t>
  </si>
  <si>
    <t>4.4</t>
  </si>
  <si>
    <t>Suministro, transporte, figuración e instalación de ACERO FY= 420 Mpa. para DOVELAS ESTRUCTURALES ARRANQUE VIGA DE FUNDACION en mamposteria ,vigas de amarre perimetral</t>
  </si>
  <si>
    <t>4.5</t>
  </si>
  <si>
    <t>Suministro, transporte, figuración e instalación de ACERO FY= 420 Mpa. para DOVELAS ESTRUCTURALES PRIMER PISO en mamposteria, incluye todos los elementos necesarios para su correcta colocacion</t>
  </si>
  <si>
    <t>4.6</t>
  </si>
  <si>
    <t>Suministro, transporte, figuración e instalación de ACERO FY= 420 Mpa. para DOVELAS ESTRUCTURALES SEGUNDO PISO en mamposteria incluye todos los elementos necesarios para su correcta colocacion</t>
  </si>
  <si>
    <t>4.7</t>
  </si>
  <si>
    <t>Suministro, transporte, figuración e instalación de ACERO FY= 420 Mpa. para DOVELAS ESTRUCTURALES TERCER PISO en mamposteria incluye todos los elementos necesarios para su correcta colocacion</t>
  </si>
  <si>
    <t>4.8</t>
  </si>
  <si>
    <t>Suministro, transporte, figuración e instalación de ACERO FY= 420 Mpa. para DOVELAS ESTRUCTURALES CUARTO PISO en mamposteria incluye todos los elementos necesarios para su correcta colocacion</t>
  </si>
  <si>
    <t>4.9</t>
  </si>
  <si>
    <t>Suministro, transporte, figuración e instalación de ACERO FY= 420 Mpa. para DOVELAS ESTRUCTURALES QUINTO PISO en mamposteria incluye todos los elementos necesarios para su correcta colocacion</t>
  </si>
  <si>
    <t>4.10</t>
  </si>
  <si>
    <t>Suministro, transporte, figuración e instalación de ACERO FY= 420 Mpa. para DOVELAS ESTRUCTURALES CUCHILLAS + CULATAS SEGUNDO PISOS en mamposteria incluye todos los elementos necesarios para su correcta colocacion</t>
  </si>
  <si>
    <t>4.11</t>
  </si>
  <si>
    <t>Suministro, transporte, figuración e instalación de ACERO FY= 420 Mpa. para LOSA DE ENTREPISO / VIGA DE AMARRE 12 x 20, incluye todos los elementos necesarios para su correcta colocacion</t>
  </si>
  <si>
    <t>4.12</t>
  </si>
  <si>
    <t>Suministro, transporte, figuración e instalación de ACERO FY= 420 Mpa. para LOSA DE ENTREPISO / BASTON MOMENTO NEGATIVO, incluye todos los elementos necesarios para su correcta colocacion</t>
  </si>
  <si>
    <t>4.13</t>
  </si>
  <si>
    <t>Suministro, transporte, figuración e instalación de ACERO FY= 420 Mpa. para LOSA DE ENTREPISO / CONECTOR DE CORTANTE, incluye todos los elementos necesarios para su correcta colocacion</t>
  </si>
  <si>
    <t>4.14</t>
  </si>
  <si>
    <t>Suministro, transporte, figuración e instalación de ACERO FY= 420 Mpa. para LOSA DE ENTREPISO / VIGA de AMARRE  PUNTO FIJO 20 x 20, incluye todos los elementos necesarios para su correcta colocacion</t>
  </si>
  <si>
    <t>4.15</t>
  </si>
  <si>
    <t>Suministro, transporte, figuración e instalación de ACERO FY= 420 Mpa. para LOSA DE ENTREPISO / NERVIO de BORDE 12 x 20, incluye todos los elementos necesarios para su correcta colocacion</t>
  </si>
  <si>
    <t>4.16</t>
  </si>
  <si>
    <t>Suministro, transporte y colocación de Malla electrosoldada tipo M 084. Incluye todos los elementos necesarios para su correcta colocación. PLACA de ENTREPISO</t>
  </si>
  <si>
    <t>4.17</t>
  </si>
  <si>
    <t>Suministro, transporte, figuración e instalación de ACERO FY= 420 Mpa. para DINTELES / MAMPOSTERIA ESTRUCTURAL,seccion del dintel 12 x 20, incluye todos los elementos necesarios para su correcta colocacion</t>
  </si>
  <si>
    <t>4.18</t>
  </si>
  <si>
    <t>Suministro, transporte, figuración e instalación de ACERO FY= 420 Mpa. Para tramos de ESCALERA</t>
  </si>
  <si>
    <t>4.19</t>
  </si>
  <si>
    <t>Suministro, transporte, figuración e instalación de ACERO FY= 420 Mpa.para VIGA DE AMARRE PERIMETRAL + CINTA CULATA</t>
  </si>
  <si>
    <t>CAPITULO 5 - MAMPOSTERIA ESTRUCTURAL</t>
  </si>
  <si>
    <t>5.1</t>
  </si>
  <si>
    <t>Construcción de MAMPOSTERIA PRIMER PISO EN BLOQUE DE CONCRETO DE 12 x 20 x 40 cm. Espesor 20. resistencia 12 Mpa. Incluye el suministro y transporte del bloque, el mortero de pega 0,25:1:5,(cal-cemento-arena) espesor max=0.012 m, trabas,  Todos los cortes serán realizados a máquina. (Según norma Icontec 451, 296 y la Astm C-652 y C-34)</t>
  </si>
  <si>
    <t>5.2</t>
  </si>
  <si>
    <t>Construcción de MAMPOSTERIA SEGUNDO PISO EN BLOQUE DE CONCRETO DE 12 x 20 x 40 cm. Espesor 15. resistencia 12 Mpa. Incluye el suministro y transporte del bloque, el mortero de pega 0,25:1:5,(cal-cemento-arena) espesor max=0.012 m, trabas,  Todos los cortes serán realizados a máquina. (Según norma Icontec 451, 296 y la Astm C-652 y C-34)</t>
  </si>
  <si>
    <t>5.3</t>
  </si>
  <si>
    <t>Construcción de MAMPOSTERIA TERCER PISO EN BLOQUE DE CONCRETO DE 12 x 20 x 40 cm. Espesor 15. resistencia 12 Mpa. Incluye el suministro y transporte del bloque, el mortero de pega 0,25:1:5,(cal-cemento-arena) espesor max=0.012 m, trabas,  Todos los cortes serán realizados a máquina. (Según norma Icontec 451, 296 y la Astm C-652 y C-34)</t>
  </si>
  <si>
    <t>5.4</t>
  </si>
  <si>
    <t>Construcción de MAMPOSTERIA CUARTO PISO EN BLOQUE DE CONCRETO DE 12 x 20 x 40 cm. Espesor 15. resistencia 12 Mpa. Incluye el suministro y transporte del bloque, el mortero de pega 0,25:1:5,(cal-cemento-arena) espesor max=0.012 m, trabas,  Todos los cortes serán realizados a máquina. (Según norma Icontec 451, 296 y la Astm C-652 y C-34)</t>
  </si>
  <si>
    <t>5.5</t>
  </si>
  <si>
    <t>Construcción de MAMPOSTERIA QUINTO PISO EN BLOQUE DE CONCRETO DE 12 x 20 x 40 cm. Espesor 15. resistencia 12 Mpa. Incluye el suministro y transporte del bloque, el mortero de pega 0,25:1:5,(cal-cemento-arena) espesor max=0.012 m, trabas,  Todos los cortes serán realizados a máquina. (Según norma Icontec 451, 296 y la Astm C-652 y C-34)</t>
  </si>
  <si>
    <t>5.6</t>
  </si>
  <si>
    <t>Construcción de MAMPOSTERIA CUCHILLAS Y CULATAS EN BLOQUE DE CONCRETO DE 12 x 20 x 40 cm. Espesor 12. resistencia 12 Mpa. Incluye el suministro y transporte del bloque, el mortero de pega 0,25:1:5,(cal-cemento-arena) espesor max=0.012 m, trabas,  Todos los cortes serán realizados a máquina. (Según norma Icontec 451, 296 y la Astm C-652 y C-34)</t>
  </si>
  <si>
    <t>5.7</t>
  </si>
  <si>
    <t>Construcción de MAMPOSTERIA BUITRONES EN BLOQUE DE CONCRETO DE 10 x 20 x 40 cm. Espesor 10. resistencia 12 Mpa. Incluye el suministro y transporte del bloque, el mortero de pega 0,25:1:5,(cal-cemento-arena) espesor max=0.012 m, trabas,  Todos los cortes serán realizados a máquina. (Según norma Icontec 451, 296 y la Astm C-652 y C-34), contension primer piso, incluye construccion de cañuela y acabado superior</t>
  </si>
  <si>
    <t>5.8</t>
  </si>
  <si>
    <t>Construcción de MAMPOSTERIA APOYO APARATOS SANITARIOS EN BLOQUE DE CONCRETO DE 10 x 20 x 40 cm. Espesor 10. resistencia 12 Mpa. Incluye el suministro y transporte del bloque, el mortero de pega 0,25:1:5,(cal-cemento-arena) espesor max=0.012 m, trabas,  Todos los cortes serán realizados a máquina. (Según norma Icontec 451, 296 y la Astm C-652 y C-34), contension primer piso, incluye construccion de cañuela y acabado superior</t>
  </si>
  <si>
    <t>5.9</t>
  </si>
  <si>
    <t>Construcción de MAMPOSTERIA DINTELES EN BLOQUE DE CONCRETO DE 12 x 20 x 40 cm. Espesor 10. resistencia 12 Mpa. Incluye el suministro y transporte del bloque, el mortero de pega 0,25:1:5,(cal-cemento-arena) espesor max=0.012 m, trabas,  Todos los cortes serán realizados a máquina. (Según norma Icontec 451, 296 y la Astm C-652 y C-34), contension primer piso, incluye construccion de cañuela y acabado superior</t>
  </si>
  <si>
    <t xml:space="preserve">CAPITULO 6 - INSTALACIONES HIDRAULICAS </t>
  </si>
  <si>
    <t>RED DE AGUAS RESIDUALES</t>
  </si>
  <si>
    <t>6.1</t>
  </si>
  <si>
    <t>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</si>
  <si>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6.2</t>
  </si>
  <si>
    <t>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</si>
  <si>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6.3</t>
  </si>
  <si>
    <t>Colocación de TUBERÍA PVC-SANITARIA, COLGADA O EN BAJANTES con un DIÁMETRO DE 4", agua RESIDUAL. Incluye suministro y transporte de los materiales, bocas, accesorios, pegante, limpiador, wash primer, acabado en esmalte mate, color a definir por parte de interventoria, andamios, abrazaderas y todos los elementos necesarios para su correcta instalación y funcionamiento.</t>
  </si>
  <si>
    <t>6.4</t>
  </si>
  <si>
    <t>Colocación de TUBERÍA PVC-SANITARIA,COLGADA O EN BAJANTE con un DIÁMETRO DE 2",  de aguas residuales. Incluye suministro y transporte de los materiales, bocas, accesorios, pegante, limpiador, wash primer, acabado en esmalte mate, color a definir por parte de interventoria, andamios, abrazaderas y todos los elementos necesarios para su correcta instalación y funcionamiento.</t>
  </si>
  <si>
    <t>6.5</t>
  </si>
  <si>
    <t>Colocación de TUBERÍA PVC-SANITARIA, con un DIÁMETRO DE 6",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</si>
  <si>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6.6</t>
  </si>
  <si>
    <t>Colocación de TUBERÍA PVC-VENTILACION, con un DIÁMETRO DE 2" para REVENTILACIONES verticales y horizontales (bajantes y colectores), incluye todos los accesorios en PVC de diámetro 2" incluyendo los accesorios reducidos y fijaciones que se requieran para su correcta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</si>
  <si>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6.7</t>
  </si>
  <si>
    <t>Construcción de cajas de registro de 60 x 60 x altura hasta 120 cm. en concreto de 21Mpa. con impermeabiIizante integral tipo Sika o equivalente, con concrefibra el piso y tapa en concreto, la tapa con su respectivo herraje. Incluye suministro y transporte de los materiales, formaleta, vibrado y todos los elementos necesarios apara su correcta construcción y funcionamiento. Según diseño y especificaciones de E.P.M. La excavación, llenos, entresuelo y acero de refuerzo se pagarán en su ítem respectivo.</t>
  </si>
  <si>
    <t xml:space="preserve"> RED DE AGUAS LLUVIAS</t>
  </si>
  <si>
    <t>6.8</t>
  </si>
  <si>
    <t>Suministro, transporte e instalación de SALIDA SANITARIA DE 3".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</si>
  <si>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6.9</t>
  </si>
  <si>
    <t>Colocación de TUBERÍA PVC-SANITARIA,COLGADA O EN BAJANTE con un DIÁMETRO DE 4",  de aguas lluvias. Incluye suministro y transporte de los materiales, bocas, accesorios, pegante, limpiador, wash primer, acabado en esmalte mate, color a definir por parte de interventoria, andamios, abrazaderas y todos los elementos necesarios para su correcta instalación y funcionamiento.</t>
  </si>
  <si>
    <t>6.10</t>
  </si>
  <si>
    <t>Colocación de TUBERÍA PVC-SANITARIA, con un DIÁMETRO DE 3", para aguas lluvia ENTERRADA y/o EMPOTRADA por losas. Incluye suministro y transporte de los materiales, accesorios, pegante, limpiador y todos los elementos necesarios para su correcta instalación y funcionamiento. La excavación y los llenos se pagaran en su ítem respectivo.</t>
  </si>
  <si>
    <t>6.11</t>
  </si>
  <si>
    <t>RED DE ABASTO AGUA PRESION</t>
  </si>
  <si>
    <t>6.12</t>
  </si>
  <si>
    <t>SALIDA PRESION, punto de agua, que incluye el suministro de materiales y construccion de puntos hidraulicos  en tuberia PVC PRESION de diametro 1/2" de alta presion, desde  cada punto hasta la acometida vertical principal que va por el ducto. incluye hechura de regatas y los resanes correspondientes.</t>
  </si>
  <si>
    <t>6.13</t>
  </si>
  <si>
    <t>Suministro, transporte e instalación de tubería PVC-P, RDE 9, 500 PSI, diámetro 1/2",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</si>
  <si>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6.14</t>
  </si>
  <si>
    <t>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</si>
  <si>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6.15</t>
  </si>
  <si>
    <t>Suministro, transporte e instalación VALVULA DE BOLA 1/2". Se entregará debidamente instalada sin presencia de fugas ni fisuras, sometida al sistema ya presurizado.</t>
  </si>
  <si>
    <t>6.16</t>
  </si>
  <si>
    <t>Suministro, transporte e instalación MEDIDOR VOLUMETRICO  1/2". Se entregará debidamente instalada en el sentido de flujo requerido en los diseños sin presencia de fugas ni fisuras, sometida al sistema ya presurizado.</t>
  </si>
  <si>
    <t>6.17</t>
  </si>
  <si>
    <t>Suministro, transporte e instalación DOMICILIARIA de  1/2". Incluye collarin, mangera , cheque o valvula d eretencion,  Se entregará debidamente instalada en el sentido de flujo requerido en los diseños sin presencia de fugas ni fisuras, sometida al sistema ya presurizado.</t>
  </si>
  <si>
    <t>CAPITULO 7 - INSTALACIONES ELECTRICAS</t>
  </si>
  <si>
    <t>RED DE POTENCIA</t>
  </si>
  <si>
    <t>7.1</t>
  </si>
  <si>
    <t>Suministro, transporte e instalación de materiales para SALIDA ELECTRICA de  TOMA DOBLE con polo a tierra 15 A, .LEV  ref 5320,   125 V y según la norma NEMA 5-15R,  certificación RETIE y pruebas de conformidad UL.  Incluye  toma , la  tapa,   cajas 4"x4" con tapa suplemento, ducto pvc ,  conectores de conexión y empalme, adaptadores terminales, curvas, pega pvc,  tornillos,  conductores de cobre 12 AWG-CU-THHN/THWN-90ºC,  obra civil,  y demás accesorios y elementos  para su correcta instalación y funcionamiento.(Salida promedio de 4 mts)</t>
  </si>
  <si>
    <t>7.2</t>
  </si>
  <si>
    <t>Suministro, transporte e instalación de materiales para SALIDA ELECTRICA TOMA DOBLE con polo a tierra GFCI-15 A -  125 V , norma NEMA 5 - 15R,  con Led indicador de estado, que no dispare en falso en caso de ser expuesto a condiciones de radiofrecuencia,   REF LEV 7599-W, con certificado de conformidad RETIE ,  reconocido por la S.I.C  y certificación de Underwriters Laboratories Inc UL 1493,  por ducto pvc empotrado. Incluye  el tomacorriente con tapa, ducto pvc,  cajas 4"x4" con tapa suplemento, conectores de empalme y conexión, curvas, adaptadores terminales,  pega pvc, conductores de cobre 12 AWG-CU-THHN/THWN-90ºC, tornillos,  obra civil y demás accesorios y elementos  para su correcta instalación y funcionamiento. (salida promedio 4 mts)</t>
  </si>
  <si>
    <t>7.3</t>
  </si>
  <si>
    <t>Suministro, transporte   e  instalación  de TABLERO ELECTRICO DE 8 CIRCUTOS BIFASICO 4H, 150 Amperios ,240/120 voltios, lamina de lamina cold rolled  calibre 18 ,pintura en polvo de aplicación electrostática ,tipo epoxipoliester, barraje en cobre electrolítico 99% de pureza ,barras de neutro y tierra, para interruptores tipo QUICK-LAG. Incluye puerta bisagrada, cerradura con llave ,tarjetero , obra civil ,botada de escombros y demás accesorios necesarios para su correcta  instalación. Certificación RETIE y UL 67</t>
  </si>
  <si>
    <t>7.4</t>
  </si>
  <si>
    <t>Suministro, transporte e instalación de INTERRUPTOR AUTOMATICO MONOPOLAR  enchufable (Breaker) de 15 - 50 Amp, tipo QUICK-LAG, THQL o equivalente-ICC=10 KA, no reparable ,sellado y contramarcado. Certificación RETIE, UL, SA.</t>
  </si>
  <si>
    <t>7.5</t>
  </si>
  <si>
    <t>Suministro, transporte e instalación de ACOMETIDA MONOFASICA VIVIENDAS PRIMER PISO en cables 2No6 (F)+1No8 (N) AWG-  cobre THHN/THWN-90ºC. Incluye conectores,  encintada y demás accesorios para su correcta instalación y funcionamiento según RETIE.</t>
  </si>
  <si>
    <t>7.6</t>
  </si>
  <si>
    <t>Suministro, transporte e instalación de ACOMETIDA MONOFASICA VIVIENDAS SEGUNDO PISO en cables 2No6 (F)+1No8 (N) AWG-  cobre THHN/THWN-90ºC. Incluye conectores,  encintada y demás accesorios para su correcta instalación y funcionamiento según RETIE.</t>
  </si>
  <si>
    <t>7.7</t>
  </si>
  <si>
    <t>Suministro, transporte e instalación de PUESTA A TIERRA según norma RA6-013 de EE.PP.M con varilla copperweld de 2.4 metros(3 electrodos) . Incluye demás elementos necesarios para su correcta instalación.</t>
  </si>
  <si>
    <t>7.8</t>
  </si>
  <si>
    <t>Suministro, transporte e instalación de cable de cobre desnudo calibre No. 4 AWG,  cableado clase B, Cilíndrico, compactado, concéntrico, trenzado, formado con alambre cilíndrico sin revestimiento, construido con un núcleo central rodeado por una o más capas de hilos compactados, cableados  helicoidalmente, Norma B-8 de la ASTM.</t>
  </si>
  <si>
    <t>7.9</t>
  </si>
  <si>
    <t>Suministro, transporte e instalación de TUBERIA CONDUIT PVC  tipo DB de 1" . Incluye  obra civil ,  pega pvc, curvas, adaptadores,   y demás elementos necesarios para su correcta instalación .</t>
  </si>
  <si>
    <t>7.10</t>
  </si>
  <si>
    <t>Suministro, transporte e instalación de CONTADOR 15(100) calibrado  y aprobado por  EPM. Incluye accesorios de instalación.</t>
  </si>
  <si>
    <t>7.11</t>
  </si>
  <si>
    <t>Suministro, transporte e instalación de GABINETE CONTADORES: incluye espacio con garra bifilar para totalizador. Debe cumplir con certificación RETIE.</t>
  </si>
  <si>
    <t>7.12</t>
  </si>
  <si>
    <t>Legalización de la energía. Incluye pago y certificación de las instalaciones eléctricas por un  ente certificador y trámites de legalización ante  el operador de la red de energía (EPM).</t>
  </si>
  <si>
    <t>GL</t>
  </si>
  <si>
    <t>RED DE ILUMINACION</t>
  </si>
  <si>
    <t>7.13</t>
  </si>
  <si>
    <t>Suministro, transporte e instalación  de materiales para salida eléctrica de  alumbrado con PLAFON sobre muro, en  ducto   pvc.  Incluye ducto pvc, plafón loza, conectores  de conexión y empalme, conductores  de cobre 12 AWG-CU-THHN/THNW-90ºC(incluyendo tierra), cajas metálica galvanizada 4"x4" con tapa suplemento,  curvas, adaptadores terminales, pega pvc,  tornillos, obra civil y demás accesorios y elementos necesarios para su correcta instalación y funcionamiento.(salida promedio de 4 metros)</t>
  </si>
  <si>
    <t>7.14</t>
  </si>
  <si>
    <t>Suministro, transporte e instalación de materiales para salida eléctrica de interruptor monopolar de alumbrado 15 A, SUICHE SENCILLO, TIPO LEV referencia 1451,  10A, 125 V, segun certificación RETIE y pruebas  de conformidad UL . Incluye el interruptor,  tapa,  ducto pvc , cajas 4"x4" con tapa suplemento,  adaptadores, curvas, pega pvc, conductores 12 AWG-CU-THHN/THWN-90ºC,  conectores de conexión y empalme, tornillos,  obra civil y demás elementos y  accesorios  para su correcta instalación y funcionamiento. (salida promedio  4 mts)</t>
  </si>
  <si>
    <t>7.15</t>
  </si>
  <si>
    <t>Suministro, transporte e instalación de materiales para salida eléctrica de  interruptor bipolar de alumbrado. SUICHE DOBLE, TIPO LEV referencia ref 5224 según certificación  RETIE y pruebas de conformidad UL por ducto pvc . Incluye el interruptor, tapa, cajas 4"x4" con tapa suplemento,  conductores de cobre 12 AWG-CU-THHN-90ºC , conectores de conexión y empalme, tornillos, ducto pvc, adaptadores terminal,   obra civil y demás accesorios y elementos necesarios  para su correcta instalación y funcionamiento. (salida promedio 4 mts).</t>
  </si>
  <si>
    <t xml:space="preserve">RED TIC </t>
  </si>
  <si>
    <t>7.16</t>
  </si>
  <si>
    <t xml:space="preserve">Suministro, transporte  e instalación de materiales para salida de TV . Incluye toma TV tipo luminex  o equivalente,  caja 4x4 con tapa suplemento, ducto PVC, curvas, adaptdores, tornillos y demás accesorios y elementos necesarios para su correcta instalación.(No incluye spliters, ni el cable). </t>
  </si>
  <si>
    <t>7.17</t>
  </si>
  <si>
    <t>Suministro, transporte e instalación de tubería PVC  tipo DB de 3/4" . Incluye  obra civil ,  pega pvc, curvas, adaptadores,   y demás elementos necesarios para su correcta instalación .</t>
  </si>
  <si>
    <t>7.18</t>
  </si>
  <si>
    <t xml:space="preserve">Suministro, transporte   e  instalación  de caja de distribución  para empotrar,  con puerta,   para energía, sonido, imagen  y/o telecomunicaciones tipo metálico con lamina calibre 18 USG  con fondo en madera y pintura electrostática de 40x40x15 centímetros.Incluye chapa, llave, tarjetero, obra civil ,botada de escombros y demás accesorios necesarios para su correcta  instalación . </t>
  </si>
  <si>
    <t>7.19</t>
  </si>
  <si>
    <t>Suministro, transporte e instalación de sensor 360 de proximidad . Incluye  obra civil ,  pega pvc, curvas, adaptadores,   y demás elementos necesarios para su correcta instalación .</t>
  </si>
  <si>
    <t>7.20</t>
  </si>
  <si>
    <t>Suministro, transporte e instalación de lampara de emergencia . Incluye  obra civil ,  pega pvc, curvas, adaptadores,   y demás elementos necesarios para su correcta instalación .</t>
  </si>
  <si>
    <t>CAPITULO 8 - CARPINTERÍA METÁLICA</t>
  </si>
  <si>
    <t>8.1</t>
  </si>
  <si>
    <t>P1 Puerta ACCESO PRINCIPAL, de 0,90*2,20 en lámina calibre 20 , batiente + pintura electrostatica color nopal semibrillante. Incluye cerradura de seguridad de primera calidad,jaladera y bisagras (referencia a definir en obra).  Incluye suministro, transporte de los materiales y su instalación</t>
  </si>
  <si>
    <t>8.2</t>
  </si>
  <si>
    <t>Puerta vidriera PV2 (1,60*2,10) de dos cuerpos, un cuerpo fijo y uno corredizo colocados verticalmente, perfilería en aluminio natural + vidrio crudo de 5mm. Incluye suministro, transporte de los materiales y su instalación BALCON</t>
  </si>
  <si>
    <t>8.3</t>
  </si>
  <si>
    <t>V1 Ventana (1.00*1.20) corrediza de dos cuerpos en aluminio natural + vidrio crudo  + todos los elementos necesarios para su correcto funcionamiento. ALCOBA PRINCIPAL</t>
  </si>
  <si>
    <t>8.4</t>
  </si>
  <si>
    <t>V2 Ventana (1.00*1.20) corrediza de dos cuerpos en aluminio natural + vidrio crudo  + todos los elementos necesarios para su correcto funcionamiento. ALCOBA 2 - PRIMER PISO</t>
  </si>
  <si>
    <t>8.5</t>
  </si>
  <si>
    <t>8.6</t>
  </si>
  <si>
    <t>8.7</t>
  </si>
  <si>
    <t>Suministro, transporte e instalación de PASAMANOS BALCON en tubería calibre 16 de 1 1/2",  2 barras horizontales y una vertical cada 1 mt. Según detalle en planos. Incluye pintura anticorrosiva, acabado final en esmalte negro, pernos de expansión de 1 1/2"x3/8" rosca fina con acabado galvanizado, platinas de 1/4" x 2 1/2" y todo lo necesario para su correcto funcionamiento.</t>
  </si>
  <si>
    <t>8.8</t>
  </si>
  <si>
    <t>Suministro, transporte e instalación de PASAMANOS ESCALERA en tubería calibre 16 de 1 1/2", 2 barrras horizontales y una vertical cada 1 mt. Según detalle en planos. Incluye pintura anticorrosiva, acabado final en esmalte negro, pernos de expansión de 1 1/2"x3/8" rosca fina con acabado galvanizado, platinas de 1/4" x 2 1/2" y todo lo necesario para su correcto funcionamiento. para ESCALERA INTERIOR</t>
  </si>
  <si>
    <t>CAPITULO 9 - CARPINTERIA DE MADERA</t>
  </si>
  <si>
    <t>9.1</t>
  </si>
  <si>
    <t xml:space="preserve">Suministro e instalación de puertas en triplex entamboradas, de 0,65 a 0,70 mts de ancho por 2,10 mts de altura para BAÑO PRINCIPAL,. Incluye  pasador metalido y bisagras. </t>
  </si>
  <si>
    <t>CAPITULO 10 - ENCHAPES Y ACCESORIOS</t>
  </si>
  <si>
    <t>10.1</t>
  </si>
  <si>
    <t>Instalación de ENCHAPE CERÁMICO PISO - PARED, tipo Egeo de 20.5 x 20.5 cm. o su equivalente, color blanco. Incluye suministro y transporte de los materiales, mortero adhesivo para enchapes tipo pegacor o equivalente, lechada preparada (boquilla) tipo Concolor de sumicol o equivalente del mismo color del enchape y todos los elementos necesarios para su correcta instalación y funcionamiento.</t>
  </si>
  <si>
    <t>10.2</t>
  </si>
  <si>
    <t>Instalación de ENCHAPE CERÁMICO - PARED MESON COCINA, tipo Egeo DE 20.5 x 20.5 cm. o su equivalente, color blanco. Incluye suministro y transporte de los materiales, mortero adhesivo para enchapes tipo pegacor o equivalente, lechada preparada (boquilla) tipo Concolor de sumicol o equivalente del mismo color del enchape y todos los elementos necesarios para su correcta instalación y funcionamiento.</t>
  </si>
  <si>
    <t>10.3</t>
  </si>
  <si>
    <t>Instalación de ENCHAPE CERÁMICO PISO - PARED LAVADERO, tipo Egeo DE 20.5 x 20.5 cm. o su equivalente, color blanco. Incluye suministro y transporte de los materiales, mortero adhesivo para enchapes tipo pegacor o equivalente, lechada preparada (boquilla) tipo Concolor de sumicol o equivalente del mismo color del enchape y todos los elementos necesarios para su correcta instalación y funcionamiento.</t>
  </si>
  <si>
    <t>10.4</t>
  </si>
  <si>
    <t>Construcción de enchape en ceramica  de 20.5 x 20.5 para encharque en duchas, con h=0.07 m. Incluye  suministro y transporte de los materiales, pica, lechada y todos los elementos necesarios para su correcta construcción.</t>
  </si>
  <si>
    <t xml:space="preserve">  CAPITULO 11 -  APARATOS SANITARIOS</t>
  </si>
  <si>
    <t>11.1</t>
  </si>
  <si>
    <t>Suministro, transporte e instalación de Sanitario, color blanco bajo consumo 4 lts por descarga o similar. Diseño de dos piezas, taza alongada, grifería antisifón, anilllo cerrado, abasto metálico, válvula de regulación y todo lo necesario para su correcto funcionamiento.</t>
  </si>
  <si>
    <t>11.2</t>
  </si>
  <si>
    <t>Suministro e instalación lavamanos,  incluye grifería Galaxia 4" cromo - Grival y abasto plastico de 1/2".</t>
  </si>
  <si>
    <t>11.3</t>
  </si>
  <si>
    <t>Suministro, transporte y colocación de LAVADERO EN GRANO de 0.60 x 0.50, incluye soporte de anclaje al muro y todos los elementos necesarios apara su correcta construcción y funcionamiento.</t>
  </si>
  <si>
    <t>11.4</t>
  </si>
  <si>
    <t>Suministro, transporte y colocación de MESON EN GRANO de 1,20 x 0.55, incluye, soporte de anclaje al muro y todos los elementos necesarios apara su correcta construcción y funcionamiento.</t>
  </si>
  <si>
    <t>11.5</t>
  </si>
  <si>
    <t>Colocación de DUCHA sencilla de Grival o equivalente. Incluye suministro y transporte de los materiales, regadera cromada, llave con escudo cromados, accesorios, válvula economizadora y todos los demás elementos necesarios para su correcta instalación y funcionamiento.</t>
  </si>
  <si>
    <t>11.6</t>
  </si>
  <si>
    <t>Suministro, transporte e instalación LLAVE LAVADERO BOCA MANGUERA  1/2". Se entregará debidamente instalada en el sentido de flujo requerido en los diseños sin presencia de fugas ni fisuras, sometida al sistema ya presurizado.</t>
  </si>
  <si>
    <t>11.7</t>
  </si>
  <si>
    <t>Suministro, transporte e instalación LLAVE PARA LAVADORA de  1/2". Se entregará debidamente instalada en el sentido de flujo requerido en los diseños sin presencia de fugas ni fisuras, sometida al sistema ya presurizado.</t>
  </si>
  <si>
    <t>11.8</t>
  </si>
  <si>
    <t>Suministro, transporte e instalación CAJA PLASTICA PARA LAVADORA. Se entregará debidamente instalada en el sentido de flujo requerido en los diseños sin presencia de fugas ni fisuras, sometida al sistema ya presurizado.</t>
  </si>
  <si>
    <t>11.9</t>
  </si>
  <si>
    <t>Suministro, transporte e instalación LLAVE DE REGULACION PLASTICA SANIATRIO de  1/2". Se entregará debidamente instalada en el sentido de flujo requerido en los diseños sin presencia de fugas ni fisuras, sometida al sistema ya presurizado.</t>
  </si>
  <si>
    <t>11.10</t>
  </si>
  <si>
    <t>Suministro, transporte e instalación LLAVE DE REGULACION PLASTICA LAVAMANOS de  1/2". Se entregará debidamente instalada en el sentido de flujo requerido en los diseños sin presencia de fugas ni fisuras, sometida al sistema ya presurizado.</t>
  </si>
  <si>
    <t>11.11</t>
  </si>
  <si>
    <t>Suministro, transporte e instalación LLAVE DE REGULACION PLASTICA LAVAPLATOS de  1/2". Se entregará debidamente instalada en el sentido de flujo requerido en los diseños sin presencia de fugas ni fisuras, sometida al sistema ya presurizado.</t>
  </si>
  <si>
    <t>11.12</t>
  </si>
  <si>
    <t>Suministro, transporte e instalación ACOPLE PLASTICO de  1/2". Se entregará debidamente instalada en el sentido de flujo requerido en los diseños sin presencia de fugas ni fisuras, sometida al sistema ya presurizado.</t>
  </si>
  <si>
    <t>11.13</t>
  </si>
  <si>
    <t>Colocación de JABONERA para lavamanos tipo mancesa o equivalente. Incluye suministro y transporte de los materiales, y todos los demás elementos necesarios para su correcta construcción y funcionamiento.</t>
  </si>
  <si>
    <t>11.14</t>
  </si>
  <si>
    <t>Colocación de PAPELERA tipo mancesa o equivalente. Incluye suministro y transporte de los materiales, y todos los demás elementos necesarios para su correcta construcción y funcionamiento.</t>
  </si>
  <si>
    <t>11.15</t>
  </si>
  <si>
    <t>Colocación de TOALLERO para lavamanos tipo mancesa o equivalente. Incluye suministro y transporte de los materiales, y todos los demás elementos necesarios para su correcta construcción y funcionamiento.</t>
  </si>
  <si>
    <t>11.16</t>
  </si>
  <si>
    <t>Colocación de GANCHO para duchas tipo mancesa o equivalente. Incluye suministro y transporte de los materiales, y todos los demás elementos necesarios para su correcta construcción y funcionamiento.</t>
  </si>
  <si>
    <t xml:space="preserve">CAPITULO 12 - ACABADOS FACHADA </t>
  </si>
  <si>
    <t>12.1</t>
  </si>
  <si>
    <t xml:space="preserve">Construccion de FRONTIS en concreto, incluye formaleta, acero de refuerzo y impermeabilizacion y todo lo necesario para su correcto funcionamiento  </t>
  </si>
  <si>
    <t>12.2</t>
  </si>
  <si>
    <t>Revoque de MUROS DE FACHADA, en mortero impermeable 1:3, incluy fajas , ranuras y filetes</t>
  </si>
  <si>
    <t>12.3</t>
  </si>
  <si>
    <t xml:space="preserve">ENCHAPE de fajas de fachada en gres </t>
  </si>
  <si>
    <t>12.4</t>
  </si>
  <si>
    <t>Aplicación de PINTURA ACRÍLICA en muros para exteriores (hidrorepelente) tipo koraza o equivalente de primera calidad que cumpla con la Norma NTC 1335, con sellante para poros tipo Sellamax de Pintuco o su equivalente, 3 manos o las que sean necesarias para obtener una superficie pareja y homogénea, Incluye suministro y transporte de los materiales, preparada y adecuación de la superficie a intervenir. Color a definir aprobado por la interventoria. MUROS COLOR BLANCO</t>
  </si>
  <si>
    <t>12.5</t>
  </si>
  <si>
    <t>Aplicación de PINTURA ACRÍLICA en muros para exteriores (hidrorepelente) tipo koraza o equivalente de primera calidad que cumpla con la Norma NTC 1335, con sellante para poros tipo Sellamax de Pintuco o su equivalente, 3 manos o las que sean necesarias para obtener una superficie pareja y homogénea, Incluye suministro y transporte de los materiales, preparada y adecuación de la superficie a intervenir. Color a definir aprobado por la interventoria. MUROS COLOR AZUL</t>
  </si>
  <si>
    <t>12.6</t>
  </si>
  <si>
    <t>Suministro e instalacion de Gargola de gres de 40 cms</t>
  </si>
  <si>
    <t>CAPITULO 13 - CUBIERTA</t>
  </si>
  <si>
    <t>13.1</t>
  </si>
  <si>
    <t>Suministro, transporte y colocación de PERFIL RECTANGULAR de 76 mm x 38 mm para soporte de cubierta</t>
  </si>
  <si>
    <t>13.2</t>
  </si>
  <si>
    <t>construccion de VIGA CANAL, incluye vigetas prefabricadas y bovedillas</t>
  </si>
  <si>
    <t>13.3</t>
  </si>
  <si>
    <t>Construccion de Cubierta TEJA TERMOACUSTICA ECOROOF 37 UPVC 2.5MM BLANCO 1.07M</t>
  </si>
  <si>
    <t>13.4</t>
  </si>
  <si>
    <t>Suministro e instalacion de ruana en lamina galvanizada calibre 22</t>
  </si>
  <si>
    <t>13.5</t>
  </si>
  <si>
    <t>suministro e instalacion de manto asfaltico impremeabilizante</t>
  </si>
  <si>
    <t>13.6</t>
  </si>
  <si>
    <t>Suministro e instalacion de Lagrimal 50 cm x 20 cm 6 kilos 2 u/m2 muro de 12</t>
  </si>
  <si>
    <t>V3 Ventana (1.00*1.20) vidrio fijo de dos cuerpos en aluminio natural + vidrio opaco  + montante superior con persiana de ventilacion  + todos los elementos necesarios para su correcto funcionamiento. ALCOBA 2 - ALCOBA 3 Y CIRCULACION PISOS SUPERIORES</t>
  </si>
  <si>
    <t>V4 Ventana (0,40*0,40) corrediza de dos cuerpos en aluminio natural + vidrio crudo + todos los elementos necesarios para su correcto funcionamiento WC SOCIAL .</t>
  </si>
  <si>
    <t>EXCAVACIÓN MANUAL de material heterogéneo DE 0-4 m., bajo cualquier grado de humedad. Incluye: roca descompuesta, bolas de roca de volúmen inferior a 0.35 m³., el cargue, transporte interno y externo y botada de material preveniente de las excavaciones en los sitios donde lo indique la interventoría y su medida sera en el sitio. No incluye entibado.</t>
  </si>
  <si>
    <t xml:space="preserve">Movimiento de material sobrante de la excavacion, incluye el cargue, transporte interno y externo, botada de material proveniente de las excavaciones en los sitios oficiales y su medida será en el sitio. </t>
  </si>
  <si>
    <t>LLENOS EN MATERIAL PROVENIENTES DE LA EXCAVACIÓN, compactados mecánicamente hasta obtener una densidad del 95% de la máxima obtenida en el ensayo del próctor modificado. Incluye transporte interno.</t>
  </si>
  <si>
    <t>LLENOS EN ARENILLA, compactados mecánicamente hasta obtener una densidad del 95% de la máxima obtenida en el ensayo del próctor modificado. Incluye el suministro, transporte, colocación de la arenilla, la compactación de la misma y transporte interno.</t>
  </si>
  <si>
    <t xml:space="preserve">Construcción de ENTIBADO TEMPORAL en tablón de madera. Bajo cualquier altura y grado de humedad. Incluye suministro, transporte y colocación de elementos en madera, el cargue, transporte interno y externo y botada de material sobrantes en los sitios donde lo indique la interventoría y su medida sera en el sitio. </t>
  </si>
  <si>
    <t>Colocación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</si>
  <si>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Colocación de TUBERÍA PVC-NOVAFORT, con un DIÁMETRO DE 150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</si>
  <si>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Colocación de cilindro prefabricado en concreto para cámara de inspección de diámetro 1.2m. según especificaciones técnicas de EEPP de Medellín. Incluye suministro y transporte de los materiales, todo lo necesario para su correcta instalación.</t>
  </si>
  <si>
    <t>Construcción de mesa y cañuela para MH  con un diámetro de 1,20 m, en concreto de 21Mpa, según especificaciones técnicas de EEPP de Medellín. Incluye suministro y transporte de los materiales, todo lo necesario para su correcta construcción.</t>
  </si>
  <si>
    <t>Colocación de cono, cuello y tapa para MH con un diámetro de 1,20 m. prefabricados en concreto de 21 Mpa, según especificaciones técnicas de EEPP de Medellín. Incluye suministro y transporte de los materiales, todo lo necesario para su correcta instalación.</t>
  </si>
  <si>
    <t>Emboquillada de tubería en pared para cámara de inspección, según especificaciones técnicas de EEPP de Medellín. Incluye todo lo necesario para su correcta ejecución.</t>
  </si>
  <si>
    <t>Suministro, transporte y colocación de gancho galvanizado para cámara de inspección, según especificaciones técnicas de EEPP de Medellín. Incluye anclaje con epóxico y todo lo necesario para su correcta instalación.</t>
  </si>
  <si>
    <t>REDE EXTERIOR - ACOMETIDAS RED DE PRESION</t>
  </si>
  <si>
    <t>Colocación de TUBERÍA PVC-PRESIÓN, con un DIÁMETRO DE 2" RDE 21, 200 PSI. Incluye todos los accesorios en PVC de diámetro 2" incluyendo todos los accesorios reducidos que se requieran para su instalación. Estos deberán estar correctamente pegados usando limpiador, soldadura y teflón apropiados, sin presentar fugas, fisuras o cualquier otra clase de anomalía. Incluye además las perforaciones (canchas) pisos que lo requieran incluyendo cargue, transporte y botada de escombros en botaderos oficiales o donde indique la interventoría.</t>
  </si>
  <si>
    <t>Suministro, transporte e instalación de medidor en 1/2" con acometida de 2" (el item no incluye la tubería de acometida pues está en otro item) incluye caja de andén, tee partida o collar de derivación según como se requiera, válvula de incorporación, codos o medios codos de cobre, llave de corte universal, universal, machos cobre, filtro de 1/2",válvula de paso, cheque y accesorios necesarios para su adecuada instalación de acuerdo a las normas de EE.PP.M. Todos los accesorios serán en 1/2".</t>
  </si>
  <si>
    <t>Suministro, transporte e instalación tanque hidroacumulador (hidroflow) 100 Litros para red de acueducto. Incluye accesorios de conexión tanque, bomba y red. Deberá quedar correctamente instalado y se entregará funcionando en conjunto con el sistema de bombeo. Se deberá garantizar su hermeticidad y resistencia a las presiones requeridas.</t>
  </si>
  <si>
    <t>Suministro, transporte e instalación de sistema de bombeo con 1  bomba sumergible de 1/2HP descarga de 3",  incluye cheque mipel de 3" universal, flotador eléctrico  mércury o similar, arrancador termomagnético, alarma para mal funcionamiento de bomba, accesorios eléctricos y de pvc y todos los accesorios para su correcto funcionamiento.</t>
  </si>
  <si>
    <t>Suministro, transporte y colocación de TANQUE DE POLIETILENO DE  1000 litros para almacenamiento de agua. Incluye accesorios para llenado, rebose alimentaciòn de bombeo y todo lo necesario para su correcto funcionamiento.</t>
  </si>
  <si>
    <t>Suministro, transporte e instalación de medidor en 1" con acometida de 3" (el item no incluye la tubería de acometida pues está en otro item)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t>
  </si>
  <si>
    <t>CANALIZACION REDES EXTERIORES DE ENERGIA</t>
  </si>
  <si>
    <t>EXCAVACIÓN MANUAL de material heterogéneo DE 0-2 m., bajo cualquier grado de humedad. Incluye: roca descompuesta, bolas de roca de volúmen inferior a 0.35 m³., el cargue, transporte interno y externo y botada de material preveniente de las excavaciones en los sitios donde lo indique la interventoría y su medida sera en el sitio. No incluye entibado.</t>
  </si>
  <si>
    <t>Construcción de cajas de registro de 80 x 80 x altura hasta 100 cm. en concreto de 21Mpa. con tapa en concreto, la tapa con su respectivo herraje. Incluye suministro y transporte de los materiales, formaleta, vibrado y todos los elementos necesarios apara su correcta construcción y funcionamiento. Según diseño y especificaciones de E.P.M. La excavación, llenos, entresuelo y acero de refuerzo se pagarán en su ítem respectivo.</t>
  </si>
  <si>
    <t>Suministro, transporte e instalación de bajante  en  tubería metálica galvanizada  diámetro 1" expuesta por poste  .Incluye cinta bandit, hebillas, curva pvc, boquilla y/o capacete mgc, obra civil, unión mgc y demás elementos necesarios para su correcta instalación  .</t>
  </si>
  <si>
    <t>Suministro, transporte e instalación de tubería PVC  tipo DB de 3" por piso. Incluye obra civil, pega pvc, curvas, adaptadores y demás elementos necesarios para su correcta instalación  .</t>
  </si>
  <si>
    <t>construccion de sistema RITEL, que incluye canalizaciones internas y externas, camaras de enlace y dsitribucion, gabinete de equipos de comunicaciones(SETI), antenas TDT y todo lo necesario para su correcto funcionamiento</t>
  </si>
  <si>
    <t xml:space="preserve"> ADECUACION DE AREAS COMUNES </t>
  </si>
  <si>
    <t xml:space="preserve">DESCAPOTE A MAQUINA. Incluye el desenraice si es necesario, cargue transporte y botada de material sobrante en botaderos oficiales. Medido en sitio. </t>
  </si>
  <si>
    <t>LOCALIZACCION, TRAZADO Y REPLANTEO. Se utilizará personal experto con equipo de precisión. Se hará con la frecuencia que lo indique la interventoría. Incluye demarcación con pintura, línea de trazado, corte de piso, libretas y planos.</t>
  </si>
  <si>
    <t xml:space="preserve">Excavación con manual de material heterogéneo de 0-5m., bajo cualquier grado de humedad. Incluye: roca descompuesta, bolas de roca de volúmen inferior a 0.35 m³. su medida será en el sitio. </t>
  </si>
  <si>
    <t>LLENOS en material proveniente de la excavacion, compactados mecánicamente hasta obtener una densidad del 95% de la máxima obtenida en el ensayo del próctor modificado. Incluye transporte interno.</t>
  </si>
  <si>
    <t>Construcción de ANDÉN en concreto de 21 Mpa. ESPESOR DE 0.10 m., con vaciado alternado. Incluye suministro y transporte de los materiales, perfilación, nivelación  del terreno y adecuación de la superficie, entresuelo en piedra con un espesor de 0.15 m. y 0.05 m. de arenilla, malla electrosoldada D-84, curado y todo lo necesario para su correcta construcción y funcionamiento. Según diseño.</t>
  </si>
  <si>
    <t>Colocación de PISO EN ADOQUÍN EN CONCRETO DE 20x20x6cm COLOR AMARILLO, FUEGO O BLANCO ARENA. Incluye suministro y transporte de los materiales, cortes a máquina. Seguir recomendación del MEP y patrones de instalación del ICPC. El adoquín deberá resellarse por 2 veces con un lapso de 4 meses luego de su instalación y cumplir con la norma NTC 2017.</t>
  </si>
  <si>
    <t>Suministro, transporte y colocación de BORDILLO RECTANGULAR RECTO de 0.15 X 0.35 M X 0.80 M  (FICHA U50), borde interno, concreto de 21 Mpa, tres caras, juntas ranuradas, Incluye excavación, conformación del terreno, ajustes de concreto o pavimento donde sea necesario, mortero 1:4  de asiento y pega en las longitudes más adecuadas para el desarrollo de la obra, y todo lo necesario para su correcta construcción y funcionamiento. Según diseño.</t>
  </si>
  <si>
    <t>Suministro, transporte y colocación de bordillo para rebaje de anden U 160, prefabricado en concreto, concreto de 21 Mpa, tres caras, juntas ranuradas, Incluye excavación, conformación del terreno, ajustes de concreto o pavimento donde sea necesario, mortero 1:4  de asiento y pega en las longitudes más adecuadas para el desarrollo de la obra, y todo lo necesario para su correcta construcción y funcionamiento. Según diseño.</t>
  </si>
  <si>
    <t>PAISAJISMO</t>
  </si>
  <si>
    <t>Suministro, transporte e instalación de grama tipo macana, de 1.0 - 2000 m2, para conformación de zonas verdes. Incluye conformación, nivelación de la superficie, regado y todo lo necesario hasta su total prendimiento, capote mínimo 5 cm.</t>
  </si>
  <si>
    <t>Construcción de ESCALAS sobre terreno en concreto de 21 Mpa. color gris e impermeabilización integral, sobre entresuelo, (huellas de 0,45 m. Huellas de 0.85 m. + contrahuella de 0,17 m.) de e=0,1 m. Incluye suministro, transporte y colocación del concreto, formaleta en super "T" de 19 mm. para acabado a la vista, moldura para bordes redondeados, vibrado, protección y curado y todos los demás elementos necesarios para su correcta construcción. El entresuelo se pagara en su ítem respectivo.</t>
  </si>
  <si>
    <t xml:space="preserve">Suministro, transporte y colocación de concreto de 21 Mpa para CUNETA en "V", desarrollo 0.30 m., espesor de 0.08 m. Incluye nivelación, conformación y compactación del terreno, material granular apto para filtro con un espesor de 20 cm, malla electrosoldada D-84 y todos los demás elementos necesarios para su correcta construcción. Según diseño. </t>
  </si>
  <si>
    <t>Suministro, transporte y colocación de subbase granular de máximo Ø 2½" (bahia), reacomodado con medios mecánicos y compactado al 100% mínimo del ensayo del proctor modificado, según normas para la construcción de pavimentos en el Valle de Aburrá, versión 1994, y todo lo necesario para su correcta construcción y funcionamiento. Su medida sera tomada en sitio ya compactado.</t>
  </si>
  <si>
    <t>Suministro, transporte y colocación de base granular de máximo Ø 1½", reacomodado con medios mecánicos y compactado al 100% mínimo del ensayo del proctor modificado, según normas para la construcción de pavimentos en el Valle de Aburrá, y todo lo necesario para su correcta construcción y funcionamiento Su medida sera tomada en sitio ya compactado.</t>
  </si>
  <si>
    <t>Suministro, transporte y colocación de emulsion asfaltica cationica de rompimiento lento C.R.L.para imprimación de superficie a pavimentar. Según normas para la construcción de pavimentos en el Valle de Aburrá, versión 1994 y todo lo necesario para su correcta construcción y funcionamiento.</t>
  </si>
  <si>
    <t>Suministro, transporte y colocación de mezcla asfáltica en caliente para parcheo. Compactada con medios mecánicos y riego de liga. Según norma Área Metropolitana y todo lo necesario para su correcta construcción y funcionamiento.  La excavación y la base se pagan por su respectivo ítem.</t>
  </si>
  <si>
    <t>TOTAL OBRA URBANISMO - CONSTRUCCION DE 10 VIVIENDAS</t>
  </si>
  <si>
    <t>TOTAL - CONSTRUCCION DE 10 VIVIENDAS</t>
  </si>
  <si>
    <t>CAPITULO 14 - REDES  EXTERIORES - ALCANTARILLADO</t>
  </si>
  <si>
    <t>Suministro e instalacion de planta de tratamiento de aguas residuales para 10 vviendas , incluye tanque de ssitema septico integrado de 7500 lt , tanque d edispersion , valvulas y todas las conexiones necesarias para su correcto funcionamiento</t>
  </si>
  <si>
    <t>14.1</t>
  </si>
  <si>
    <t>14.2</t>
  </si>
  <si>
    <t>14.3</t>
  </si>
  <si>
    <t>14.4</t>
  </si>
  <si>
    <t>14.5</t>
  </si>
  <si>
    <t>14.6</t>
  </si>
  <si>
    <t>14.7</t>
  </si>
  <si>
    <t>14.8</t>
  </si>
  <si>
    <t>14.9</t>
  </si>
  <si>
    <t>14.10</t>
  </si>
  <si>
    <t>14.11</t>
  </si>
  <si>
    <t>14.12</t>
  </si>
  <si>
    <t>14.13</t>
  </si>
  <si>
    <t>14.14</t>
  </si>
  <si>
    <t>14.15</t>
  </si>
  <si>
    <t>15.1</t>
  </si>
  <si>
    <t>15.2</t>
  </si>
  <si>
    <t>15.3</t>
  </si>
  <si>
    <t>15.4</t>
  </si>
  <si>
    <t>15.5</t>
  </si>
  <si>
    <t>15.6</t>
  </si>
  <si>
    <t>15.7</t>
  </si>
  <si>
    <t>15.8</t>
  </si>
  <si>
    <t>16.1</t>
  </si>
  <si>
    <t>16.2</t>
  </si>
  <si>
    <t>16.3</t>
  </si>
  <si>
    <t>16.4</t>
  </si>
  <si>
    <t>16.5</t>
  </si>
  <si>
    <t>17.1</t>
  </si>
  <si>
    <t>17.2</t>
  </si>
  <si>
    <t>17.3</t>
  </si>
  <si>
    <t>17.4</t>
  </si>
  <si>
    <t>17.5</t>
  </si>
  <si>
    <t>17.6</t>
  </si>
  <si>
    <t>17.7</t>
  </si>
  <si>
    <t>17.8</t>
  </si>
  <si>
    <t>17.9</t>
  </si>
  <si>
    <t>18.1</t>
  </si>
  <si>
    <t>18.2</t>
  </si>
  <si>
    <t>18.3</t>
  </si>
  <si>
    <t>PARQUEADEROS</t>
  </si>
  <si>
    <t>19.1</t>
  </si>
  <si>
    <t>19.2</t>
  </si>
  <si>
    <t>19.3</t>
  </si>
  <si>
    <t>19.4</t>
  </si>
  <si>
    <t xml:space="preserve">  PRESUPUESTO DE OBRA - 10 VIVIENDAS MULTIFAMILIAR CINCO PISOS </t>
  </si>
  <si>
    <t>TOTAL OBRA NEGRA - CONSTRUCCION DE 10 VIVIENDAS</t>
  </si>
  <si>
    <r>
      <rPr>
        <b/>
        <sz val="18"/>
        <rFont val="Aptos Narrow"/>
        <family val="2"/>
        <scheme val="minor"/>
      </rPr>
      <t xml:space="preserve">PROYECTO DE VIVIENDA MONSEÑOR BENJAMIN PARDO </t>
    </r>
    <r>
      <rPr>
        <b/>
        <sz val="20"/>
        <rFont val="Aptos Narrow"/>
        <family val="2"/>
        <scheme val="minor"/>
      </rPr>
      <t xml:space="preserve">                                                                                                                                                                                                                                                         </t>
    </r>
    <r>
      <rPr>
        <b/>
        <sz val="24"/>
        <rFont val="Aptos Narrow"/>
        <family val="2"/>
        <scheme val="minor"/>
      </rPr>
      <t xml:space="preserve">  PROPUESTA CONSTRUCICON BLOQUE SEIS</t>
    </r>
  </si>
  <si>
    <r>
      <rPr>
        <b/>
        <sz val="18"/>
        <rFont val="Aptos Narrow"/>
        <family val="2"/>
        <scheme val="minor"/>
      </rPr>
      <t xml:space="preserve">PROPONENTE </t>
    </r>
    <r>
      <rPr>
        <b/>
        <sz val="22"/>
        <rFont val="Aptos Narrow"/>
        <family val="2"/>
        <scheme val="minor"/>
      </rPr>
      <t xml:space="preserve">                                                                                                                               JLV HOME DESIGN SAS</t>
    </r>
  </si>
  <si>
    <t>MAESTRO DE OBRA</t>
  </si>
  <si>
    <t>AUXILIAR DE ALMACEN</t>
  </si>
  <si>
    <t>SERVICIOS PUBLICOS ACUEDUCTO</t>
  </si>
  <si>
    <t>SERVICIOS PUBLICOS ENERGIA</t>
  </si>
  <si>
    <t>SERVICIO DE INTERNET</t>
  </si>
  <si>
    <t>ALOJAMINETO PERSONAL OPERATIVO</t>
  </si>
  <si>
    <t>DOTACION - CAMILLA RIGIDA</t>
  </si>
  <si>
    <t>DOTACION - BOTIQUIN</t>
  </si>
  <si>
    <t>DOTACION - EXTINTORES</t>
  </si>
  <si>
    <t>SEÑALIZACION DE OBRA</t>
  </si>
  <si>
    <t>COSTOS FINANCIEROS</t>
  </si>
  <si>
    <t xml:space="preserve">TIMBRE </t>
  </si>
  <si>
    <t>HONORARIOS</t>
  </si>
  <si>
    <t>IVA HONORARIOS</t>
  </si>
  <si>
    <t>TOTAL HONORARIOS</t>
  </si>
  <si>
    <t>TOTAL PROYECTO</t>
  </si>
  <si>
    <t>COSTO TOTAL OBRA</t>
  </si>
  <si>
    <t>INTERVENTORÍA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</si>
</sst>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2" formatCode="_-&quot;$&quot;\ * #,##0_-;\-&quot;$&quot;\ * #,##0_-;_-&quot;$&quot;\ * &quot;-&quot;_-;_-@_-"/>
    <numFmt numFmtId="44" formatCode="_-&quot;$&quot;\ * #,##0.00_-;\-&quot;$&quot;\ * #,##0.00_-;_-&quot;$&quot;\ * &quot;-&quot;??_-;_-@_-"/>
    <numFmt numFmtId="43" formatCode="_-* #,##0.00_-;\-* #,##0.00_-;_-* &quot;-&quot;??_-;_-@_-"/>
    <numFmt numFmtId="164" formatCode="&quot;$&quot;\ #,##0.00_);\(&quot;$&quot;\ #,##0.00\)"/>
    <numFmt numFmtId="165" formatCode="#,##0.00;[Red]#,##0.00"/>
    <numFmt numFmtId="166" formatCode="0.0"/>
    <numFmt numFmtId="167" formatCode="_-&quot;$&quot;\ * #,##0.00_-;\-&quot;$&quot;\ * #,##0.00_-;_-&quot;$&quot;\ * &quot;-&quot;_-;_-@_-"/>
    <numFmt numFmtId="168" formatCode="[$$-240A]#,##0;[Red]\([$$-240A]#,##0\)"/>
    <numFmt numFmtId="169" formatCode="[$$-240A]\ #,##0.00"/>
    <numFmt numFmtId="170" formatCode="_-[$$-240A]* #,##0_-;\-[$$-240A]* #,##0_-;_-[$$-240A]* &quot;-&quot;???_-;_-@_-"/>
    <numFmt numFmtId="171" formatCode="_-[$$-240A]\ * #,##0_-;\-[$$-240A]\ * #,##0_-;_-[$$-240A]\ * &quot;-&quot;??_-;_-@_-"/>
    <numFmt numFmtId="172" formatCode="0.000"/>
    <numFmt numFmtId="173" formatCode="_([$$-240A]\ * #,##0.00_);_([$$-240A]\ * \(#,##0.00\);_([$$-240A]\ * &quot;-&quot;_);_(@_)"/>
    <numFmt numFmtId="174" formatCode="_-[$$-240A]* #,##0_-;\-[$$-240A]* #,##0_-;_-[$$-240A]* &quot;-&quot;??_-;_-@_-"/>
    <numFmt numFmtId="175" formatCode="_([$$-240A]\ * #,##0_);_([$$-240A]\ * \(#,##0\);_([$$-240A]\ * &quot;-&quot;_);_(@_)"/>
    <numFmt numFmtId="176" formatCode="###,###,##0.000"/>
    <numFmt numFmtId="177" formatCode="_-&quot;$&quot;* #,##0_-;\-&quot;$&quot;* #,##0_-;_-&quot;$&quot;* &quot;-&quot;??_-;_-@_-"/>
    <numFmt numFmtId="178" formatCode="_-&quot;$&quot;* #,##0.00_-;\-&quot;$&quot;* #,##0.00_-;_-&quot;$&quot;* &quot;-&quot;??_-;_-@_-"/>
    <numFmt numFmtId="179" formatCode="_-[$$-240A]\ * #,##0.00_-;\-[$$-240A]\ * #,##0.00_-;_-[$$-240A]\ * &quot;-&quot;??_-;_-@_-"/>
    <numFmt numFmtId="180" formatCode="_-[$$-240A]* #,##0.0_-;\-[$$-240A]* #,##0.0_-;_-[$$-240A]* &quot;-&quot;???_-;_-@_-"/>
    <numFmt numFmtId="181" formatCode="_-&quot;$&quot;\ * #,##0_-;\-&quot;$&quot;\ * #,##0_-;_-&quot;$&quot;\ * &quot;-&quot;??_-;_-@_-"/>
    <numFmt numFmtId="182" formatCode="_-[$$-240A]* #,##0.00_-;\-[$$-240A]* #,##0.00_-;_-[$$-240A]* &quot;-&quot;??_-;_-@_-"/>
  </numFmts>
  <fonts count="39">
    <font>
      <sz val="11"/>
      <color theme="1"/>
      <name val="Aptos Narrow"/>
      <family val="2"/>
      <scheme val="minor"/>
    </font>
    <font>
      <sz val="11"/>
      <color theme="1"/>
      <name val="Aptos Narrow"/>
      <family val="2"/>
      <scheme val="minor"/>
    </font>
    <font>
      <sz val="10"/>
      <name val="Arial"/>
      <family val="2"/>
    </font>
    <font>
      <sz val="11"/>
      <name val="Times New Roman"/>
      <family val="1"/>
    </font>
    <font>
      <b/>
      <sz val="20"/>
      <name val="Aptos Narrow"/>
      <family val="2"/>
      <scheme val="minor"/>
    </font>
    <font>
      <b/>
      <sz val="18"/>
      <name val="Aptos Narrow"/>
      <family val="2"/>
      <scheme val="minor"/>
    </font>
    <font>
      <b/>
      <sz val="24"/>
      <name val="Aptos Narrow"/>
      <family val="2"/>
      <scheme val="minor"/>
    </font>
    <font>
      <b/>
      <sz val="28"/>
      <name val="Aptos Narrow"/>
      <family val="2"/>
      <scheme val="minor"/>
    </font>
    <font>
      <b/>
      <sz val="22"/>
      <name val="Aptos Narrow"/>
      <family val="2"/>
      <scheme val="minor"/>
    </font>
    <font>
      <b/>
      <sz val="11"/>
      <name val="Arial Narrow"/>
      <family val="2"/>
    </font>
    <font>
      <sz val="11"/>
      <name val="Arial Narrow"/>
      <family val="2"/>
    </font>
    <font>
      <b/>
      <sz val="14"/>
      <name val="Aptos Narrow"/>
      <family val="2"/>
      <scheme val="minor"/>
    </font>
    <font>
      <b/>
      <sz val="12"/>
      <name val="Aptos Narrow"/>
      <family val="2"/>
      <scheme val="minor"/>
    </font>
    <font>
      <sz val="12"/>
      <name val="Aptos Narrow"/>
      <family val="2"/>
      <scheme val="minor"/>
    </font>
    <font>
      <sz val="11"/>
      <name val="Aptos Narrow"/>
      <family val="2"/>
      <scheme val="minor"/>
    </font>
    <font>
      <b/>
      <sz val="11"/>
      <name val="Aptos Narrow"/>
      <family val="2"/>
      <scheme val="minor"/>
    </font>
    <font>
      <b/>
      <sz val="11"/>
      <name val="Times New Roman"/>
      <family val="1"/>
    </font>
    <font>
      <b/>
      <sz val="14"/>
      <name val="Arial Narrow"/>
      <family val="2"/>
    </font>
    <font>
      <b/>
      <sz val="12"/>
      <name val="Arial Narrow"/>
      <family val="2"/>
    </font>
    <font>
      <b/>
      <sz val="16"/>
      <name val="Aptos Narrow"/>
      <family val="2"/>
      <scheme val="minor"/>
    </font>
    <font>
      <b/>
      <sz val="9"/>
      <color indexed="81"/>
      <name val="Tahoma"/>
      <family val="2"/>
    </font>
    <font>
      <sz val="9"/>
      <color indexed="81"/>
      <name val="Tahoma"/>
      <family val="2"/>
    </font>
    <font>
      <sz val="14"/>
      <color indexed="81"/>
      <name val="Tahoma"/>
      <family val="2"/>
    </font>
    <font>
      <b/>
      <sz val="8"/>
      <name val="Arial"/>
      <family val="2"/>
    </font>
    <font>
      <sz val="18"/>
      <name val="Arial"/>
      <family val="2"/>
    </font>
    <font>
      <b/>
      <sz val="18"/>
      <name val="Arial"/>
      <family val="2"/>
    </font>
    <font>
      <sz val="12"/>
      <name val="Arial"/>
      <family val="2"/>
    </font>
    <font>
      <b/>
      <sz val="16"/>
      <name val="Arial"/>
      <family val="2"/>
    </font>
    <font>
      <sz val="11"/>
      <name val="Arial"/>
      <family val="2"/>
    </font>
    <font>
      <b/>
      <sz val="12"/>
      <name val="Arial"/>
      <family val="2"/>
    </font>
    <font>
      <b/>
      <sz val="14"/>
      <name val="Arial"/>
      <family val="2"/>
    </font>
    <font>
      <b/>
      <sz val="10"/>
      <name val="Arial"/>
      <family val="2"/>
    </font>
    <font>
      <b/>
      <sz val="12"/>
      <color rgb="FFFF0000"/>
      <name val="Arial"/>
      <family val="2"/>
    </font>
    <font>
      <sz val="10"/>
      <name val="Calibri"/>
      <family val="2"/>
    </font>
    <font>
      <sz val="10"/>
      <color theme="1"/>
      <name val="Arial"/>
      <family val="2"/>
    </font>
    <font>
      <u/>
      <sz val="8"/>
      <color theme="10"/>
      <name val="Arial"/>
      <family val="2"/>
    </font>
    <font>
      <b/>
      <sz val="11"/>
      <name val="Arial"/>
      <family val="2"/>
    </font>
    <font>
      <sz val="10"/>
      <color rgb="FF000000"/>
      <name val="Arial"/>
      <family val="2"/>
    </font>
    <font>
      <sz val="8"/>
      <name val="Aptos Narrow"/>
      <family val="2"/>
      <scheme val="minor"/>
    </font>
  </fonts>
  <fills count="13">
    <fill>
      <patternFill patternType="none"/>
    </fill>
    <fill>
      <patternFill patternType="gray125"/>
    </fill>
    <fill>
      <patternFill patternType="solid">
        <fgColor theme="0"/>
        <bgColor indexed="64"/>
      </patternFill>
    </fill>
    <fill>
      <patternFill patternType="solid">
        <fgColor theme="3" tint="0.89999084444715716"/>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3" tint="0.749992370372631"/>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3" tint="0.499984740745262"/>
        <bgColor indexed="64"/>
      </patternFill>
    </fill>
    <fill>
      <patternFill patternType="solid">
        <fgColor rgb="FFFFFF00"/>
        <bgColor indexed="64"/>
      </patternFill>
    </fill>
    <fill>
      <patternFill patternType="solid">
        <fgColor rgb="FFFFC000"/>
        <bgColor indexed="64"/>
      </patternFill>
    </fill>
  </fills>
  <borders count="2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right style="thin">
        <color indexed="64"/>
      </right>
      <top style="thin">
        <color indexed="64"/>
      </top>
      <bottom/>
      <diagonal/>
    </border>
  </borders>
  <cellStyleXfs count="15">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0" borderId="0" applyBorder="0"/>
    <xf numFmtId="0" fontId="2" fillId="0" borderId="0"/>
    <xf numFmtId="164" fontId="2" fillId="0" borderId="0" applyFont="0" applyFill="0" applyBorder="0" applyAlignment="0" applyProtection="0"/>
    <xf numFmtId="0" fontId="2" fillId="0" borderId="0" applyBorder="0"/>
    <xf numFmtId="9" fontId="2"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0" fontId="2" fillId="0" borderId="0"/>
    <xf numFmtId="9" fontId="1" fillId="0" borderId="0" applyFont="0" applyFill="0" applyBorder="0" applyAlignment="0" applyProtection="0"/>
    <xf numFmtId="0" fontId="1" fillId="0" borderId="0"/>
    <xf numFmtId="0" fontId="35" fillId="0" borderId="0" applyNumberFormat="0" applyFill="0" applyBorder="0" applyAlignment="0" applyProtection="0">
      <alignment vertical="top"/>
      <protection locked="0"/>
    </xf>
    <xf numFmtId="178" fontId="1" fillId="0" borderId="0" applyFont="0" applyFill="0" applyBorder="0" applyAlignment="0" applyProtection="0"/>
  </cellStyleXfs>
  <cellXfs count="361">
    <xf numFmtId="0" fontId="0" fillId="0" borderId="0" xfId="0"/>
    <xf numFmtId="0" fontId="3" fillId="2" borderId="0" xfId="3" applyFont="1" applyFill="1" applyAlignment="1">
      <alignment vertical="center"/>
    </xf>
    <xf numFmtId="2" fontId="3" fillId="2" borderId="0" xfId="3" applyNumberFormat="1" applyFont="1" applyFill="1" applyAlignment="1">
      <alignment vertical="center"/>
    </xf>
    <xf numFmtId="0" fontId="10" fillId="2" borderId="4" xfId="3" applyFont="1" applyFill="1" applyBorder="1" applyAlignment="1">
      <alignment vertical="center"/>
    </xf>
    <xf numFmtId="44" fontId="12" fillId="0" borderId="4" xfId="1" applyFont="1" applyBorder="1" applyAlignment="1">
      <alignment horizontal="right" vertical="center"/>
    </xf>
    <xf numFmtId="164" fontId="10" fillId="2" borderId="4" xfId="5" applyFont="1" applyFill="1" applyBorder="1" applyAlignment="1">
      <alignment vertical="center"/>
    </xf>
    <xf numFmtId="2" fontId="10" fillId="2" borderId="4" xfId="3" applyNumberFormat="1" applyFont="1" applyFill="1" applyBorder="1" applyAlignment="1">
      <alignment vertical="center"/>
    </xf>
    <xf numFmtId="0" fontId="11" fillId="2" borderId="4" xfId="3" applyFont="1" applyFill="1" applyBorder="1" applyAlignment="1">
      <alignment vertical="center"/>
    </xf>
    <xf numFmtId="0" fontId="13" fillId="2" borderId="4" xfId="3" applyFont="1" applyFill="1" applyBorder="1" applyAlignment="1">
      <alignment vertical="center"/>
    </xf>
    <xf numFmtId="0" fontId="12" fillId="2" borderId="4" xfId="3" applyFont="1" applyFill="1" applyBorder="1" applyAlignment="1">
      <alignment vertical="center"/>
    </xf>
    <xf numFmtId="2" fontId="12" fillId="2" borderId="4" xfId="3" applyNumberFormat="1" applyFont="1" applyFill="1" applyBorder="1" applyAlignment="1">
      <alignment horizontal="center" vertical="center"/>
    </xf>
    <xf numFmtId="0" fontId="3" fillId="2" borderId="0" xfId="3" applyFont="1" applyFill="1" applyAlignment="1">
      <alignment vertical="center" wrapText="1"/>
    </xf>
    <xf numFmtId="0" fontId="12" fillId="0" borderId="4" xfId="3" applyFont="1" applyBorder="1" applyAlignment="1">
      <alignment horizontal="center" vertical="center" wrapText="1"/>
    </xf>
    <xf numFmtId="0" fontId="13" fillId="0" borderId="4" xfId="3" applyFont="1" applyBorder="1" applyAlignment="1">
      <alignment vertical="center" wrapText="1"/>
    </xf>
    <xf numFmtId="2" fontId="12" fillId="0" borderId="4" xfId="3" applyNumberFormat="1" applyFont="1" applyBorder="1" applyAlignment="1">
      <alignment horizontal="center" vertical="center" wrapText="1"/>
    </xf>
    <xf numFmtId="0" fontId="12" fillId="2" borderId="4" xfId="3" applyFont="1" applyFill="1" applyBorder="1" applyAlignment="1">
      <alignment horizontal="center" vertical="center" wrapText="1"/>
    </xf>
    <xf numFmtId="0" fontId="14" fillId="2" borderId="4" xfId="6" applyFont="1" applyFill="1" applyBorder="1" applyAlignment="1">
      <alignment vertical="center" wrapText="1"/>
    </xf>
    <xf numFmtId="0" fontId="15" fillId="2" borderId="4" xfId="3" applyFont="1" applyFill="1" applyBorder="1" applyAlignment="1">
      <alignment vertical="center" wrapText="1"/>
    </xf>
    <xf numFmtId="2" fontId="12" fillId="2" borderId="4" xfId="3" applyNumberFormat="1" applyFont="1" applyFill="1" applyBorder="1" applyAlignment="1">
      <alignment horizontal="center" vertical="center" wrapText="1"/>
    </xf>
    <xf numFmtId="0" fontId="9" fillId="2" borderId="4" xfId="3" applyFont="1" applyFill="1" applyBorder="1" applyAlignment="1">
      <alignment vertical="center" wrapText="1"/>
    </xf>
    <xf numFmtId="0" fontId="9" fillId="2" borderId="4" xfId="3" applyFont="1" applyFill="1" applyBorder="1" applyAlignment="1">
      <alignment horizontal="center" vertical="center" wrapText="1"/>
    </xf>
    <xf numFmtId="2" fontId="9" fillId="2" borderId="4" xfId="3" applyNumberFormat="1" applyFont="1" applyFill="1" applyBorder="1" applyAlignment="1">
      <alignment horizontal="center" vertical="center" wrapText="1"/>
    </xf>
    <xf numFmtId="0" fontId="9" fillId="4" borderId="4" xfId="3" applyFont="1" applyFill="1" applyBorder="1" applyAlignment="1">
      <alignment vertical="center"/>
    </xf>
    <xf numFmtId="2" fontId="14" fillId="0" borderId="4" xfId="3" applyNumberFormat="1" applyFont="1" applyBorder="1" applyAlignment="1">
      <alignment horizontal="center" vertical="center"/>
    </xf>
    <xf numFmtId="0" fontId="10" fillId="0" borderId="3" xfId="6" applyFont="1" applyBorder="1" applyAlignment="1">
      <alignment vertical="center"/>
    </xf>
    <xf numFmtId="0" fontId="14" fillId="0" borderId="4" xfId="3" applyFont="1" applyBorder="1" applyAlignment="1">
      <alignment horizontal="left" vertical="center"/>
    </xf>
    <xf numFmtId="44" fontId="14" fillId="0" borderId="4" xfId="1" applyFont="1" applyBorder="1" applyAlignment="1">
      <alignment horizontal="center" vertical="center"/>
    </xf>
    <xf numFmtId="165" fontId="14" fillId="0" borderId="4" xfId="3" applyNumberFormat="1" applyFont="1" applyBorder="1" applyAlignment="1">
      <alignment horizontal="center" vertical="center"/>
    </xf>
    <xf numFmtId="2" fontId="14" fillId="0" borderId="4" xfId="6" applyNumberFormat="1" applyFont="1" applyBorder="1" applyAlignment="1">
      <alignment horizontal="center" vertical="center"/>
    </xf>
    <xf numFmtId="44" fontId="14" fillId="4" borderId="4" xfId="1" applyFont="1" applyFill="1" applyBorder="1" applyAlignment="1">
      <alignment horizontal="center" vertical="center"/>
    </xf>
    <xf numFmtId="2" fontId="14" fillId="0" borderId="3" xfId="6" applyNumberFormat="1" applyFont="1" applyBorder="1" applyAlignment="1">
      <alignment horizontal="center" vertical="center"/>
    </xf>
    <xf numFmtId="44" fontId="12" fillId="5" borderId="4" xfId="1" applyFont="1" applyFill="1" applyBorder="1" applyAlignment="1">
      <alignment horizontal="center" vertical="center"/>
    </xf>
    <xf numFmtId="10" fontId="12" fillId="0" borderId="4" xfId="2" applyNumberFormat="1" applyFont="1" applyBorder="1" applyAlignment="1">
      <alignment horizontal="right" vertical="center"/>
    </xf>
    <xf numFmtId="0" fontId="16" fillId="2" borderId="0" xfId="3" applyFont="1" applyFill="1" applyAlignment="1">
      <alignment horizontal="center" vertical="center"/>
    </xf>
    <xf numFmtId="0" fontId="14" fillId="0" borderId="4" xfId="3" applyFont="1" applyBorder="1" applyAlignment="1">
      <alignment vertical="center" wrapText="1"/>
    </xf>
    <xf numFmtId="10" fontId="14" fillId="0" borderId="4" xfId="3" applyNumberFormat="1" applyFont="1" applyBorder="1" applyAlignment="1">
      <alignment horizontal="center" vertical="center" wrapText="1"/>
    </xf>
    <xf numFmtId="44" fontId="12" fillId="4" borderId="4" xfId="1" applyFont="1" applyFill="1" applyBorder="1" applyAlignment="1">
      <alignment horizontal="center" vertical="center"/>
    </xf>
    <xf numFmtId="0" fontId="16" fillId="2" borderId="0" xfId="3" applyFont="1" applyFill="1" applyAlignment="1">
      <alignment vertical="center"/>
    </xf>
    <xf numFmtId="0" fontId="9" fillId="2" borderId="4" xfId="3" applyFont="1" applyFill="1" applyBorder="1" applyAlignment="1">
      <alignment vertical="center" textRotation="45" wrapText="1"/>
    </xf>
    <xf numFmtId="0" fontId="14" fillId="2" borderId="4" xfId="3" applyFont="1" applyFill="1" applyBorder="1" applyAlignment="1">
      <alignment vertical="center" wrapText="1"/>
    </xf>
    <xf numFmtId="44" fontId="14" fillId="0" borderId="4" xfId="1" applyFont="1" applyBorder="1" applyAlignment="1">
      <alignment horizontal="center" vertical="center" wrapText="1"/>
    </xf>
    <xf numFmtId="9" fontId="14" fillId="2" borderId="4" xfId="3" applyNumberFormat="1" applyFont="1" applyFill="1" applyBorder="1" applyAlignment="1">
      <alignment horizontal="center" vertical="center" wrapText="1"/>
    </xf>
    <xf numFmtId="44" fontId="14" fillId="2" borderId="4" xfId="1" applyFont="1" applyFill="1" applyBorder="1" applyAlignment="1">
      <alignment horizontal="center" vertical="center" wrapText="1"/>
    </xf>
    <xf numFmtId="0" fontId="14" fillId="2" borderId="1" xfId="3" applyFont="1" applyFill="1" applyBorder="1" applyAlignment="1">
      <alignment vertical="center" wrapText="1"/>
    </xf>
    <xf numFmtId="9" fontId="14" fillId="2" borderId="4" xfId="2" applyFont="1" applyFill="1" applyBorder="1" applyAlignment="1">
      <alignment horizontal="center" vertical="center" wrapText="1"/>
    </xf>
    <xf numFmtId="168" fontId="14" fillId="0" borderId="4" xfId="3" applyNumberFormat="1" applyFont="1" applyBorder="1" applyAlignment="1">
      <alignment horizontal="center" vertical="center" wrapText="1"/>
    </xf>
    <xf numFmtId="42" fontId="14" fillId="2" borderId="4" xfId="8" applyFont="1" applyFill="1" applyBorder="1" applyAlignment="1">
      <alignment horizontal="center" vertical="center" wrapText="1"/>
    </xf>
    <xf numFmtId="165" fontId="14" fillId="2" borderId="4" xfId="3" applyNumberFormat="1" applyFont="1" applyFill="1" applyBorder="1" applyAlignment="1">
      <alignment horizontal="center" vertical="center" wrapText="1"/>
    </xf>
    <xf numFmtId="0" fontId="10" fillId="2" borderId="1" xfId="3" applyFont="1" applyFill="1" applyBorder="1" applyAlignment="1">
      <alignment vertical="center"/>
    </xf>
    <xf numFmtId="0" fontId="10" fillId="2" borderId="2" xfId="3" applyFont="1" applyFill="1" applyBorder="1" applyAlignment="1">
      <alignment vertical="center"/>
    </xf>
    <xf numFmtId="10" fontId="18" fillId="2" borderId="4" xfId="2" applyNumberFormat="1" applyFont="1" applyFill="1" applyBorder="1" applyAlignment="1">
      <alignment vertical="center"/>
    </xf>
    <xf numFmtId="10" fontId="12" fillId="0" borderId="4" xfId="3" applyNumberFormat="1" applyFont="1" applyBorder="1" applyAlignment="1">
      <alignment horizontal="right" vertical="center"/>
    </xf>
    <xf numFmtId="44" fontId="12" fillId="6" borderId="4" xfId="1" applyFont="1" applyFill="1" applyBorder="1" applyAlignment="1">
      <alignment horizontal="center" vertical="center"/>
    </xf>
    <xf numFmtId="44" fontId="11" fillId="7" borderId="4" xfId="1" applyFont="1" applyFill="1" applyBorder="1" applyAlignment="1">
      <alignment horizontal="center" vertical="center"/>
    </xf>
    <xf numFmtId="169" fontId="9" fillId="2" borderId="4" xfId="3" applyNumberFormat="1" applyFont="1" applyFill="1" applyBorder="1" applyAlignment="1">
      <alignment horizontal="center" vertical="center" wrapText="1"/>
    </xf>
    <xf numFmtId="10" fontId="9" fillId="2" borderId="4" xfId="3" applyNumberFormat="1" applyFont="1" applyFill="1" applyBorder="1" applyAlignment="1">
      <alignment horizontal="right" vertical="center"/>
    </xf>
    <xf numFmtId="2" fontId="14" fillId="2" borderId="0" xfId="3" applyNumberFormat="1" applyFont="1" applyFill="1" applyAlignment="1">
      <alignment vertical="center"/>
    </xf>
    <xf numFmtId="0" fontId="14" fillId="2" borderId="0" xfId="3" applyFont="1" applyFill="1" applyAlignment="1">
      <alignment vertical="center"/>
    </xf>
    <xf numFmtId="2" fontId="11" fillId="2" borderId="6" xfId="3" applyNumberFormat="1" applyFont="1" applyFill="1" applyBorder="1" applyAlignment="1">
      <alignment vertical="center"/>
    </xf>
    <xf numFmtId="44" fontId="11" fillId="2" borderId="7" xfId="3" applyNumberFormat="1" applyFont="1" applyFill="1" applyBorder="1" applyAlignment="1">
      <alignment vertical="center"/>
    </xf>
    <xf numFmtId="2" fontId="11" fillId="2" borderId="8" xfId="3" applyNumberFormat="1" applyFont="1" applyFill="1" applyBorder="1" applyAlignment="1">
      <alignment vertical="center"/>
    </xf>
    <xf numFmtId="44" fontId="11" fillId="2" borderId="9" xfId="3" applyNumberFormat="1" applyFont="1" applyFill="1" applyBorder="1" applyAlignment="1">
      <alignment vertical="center"/>
    </xf>
    <xf numFmtId="2" fontId="11" fillId="2" borderId="10" xfId="3" applyNumberFormat="1" applyFont="1" applyFill="1" applyBorder="1" applyAlignment="1">
      <alignment vertical="center"/>
    </xf>
    <xf numFmtId="44" fontId="11" fillId="2" borderId="11" xfId="3" applyNumberFormat="1" applyFont="1" applyFill="1" applyBorder="1" applyAlignment="1">
      <alignment vertical="center"/>
    </xf>
    <xf numFmtId="0" fontId="9" fillId="2" borderId="4" xfId="3" applyFont="1" applyFill="1" applyBorder="1" applyAlignment="1">
      <alignment horizontal="center" vertical="center"/>
    </xf>
    <xf numFmtId="0" fontId="11" fillId="2" borderId="4" xfId="3" applyFont="1" applyFill="1" applyBorder="1" applyAlignment="1">
      <alignment horizontal="left" vertical="center"/>
    </xf>
    <xf numFmtId="0" fontId="12" fillId="2" borderId="4" xfId="3" applyFont="1" applyFill="1" applyBorder="1" applyAlignment="1">
      <alignment horizontal="center" vertical="center"/>
    </xf>
    <xf numFmtId="0" fontId="2" fillId="0" borderId="0" xfId="10"/>
    <xf numFmtId="0" fontId="26" fillId="0" borderId="0" xfId="10" applyFont="1" applyAlignment="1">
      <alignment horizontal="center"/>
    </xf>
    <xf numFmtId="0" fontId="29" fillId="0" borderId="1" xfId="10" applyFont="1" applyBorder="1" applyAlignment="1">
      <alignment horizontal="center" vertical="center"/>
    </xf>
    <xf numFmtId="0" fontId="30" fillId="0" borderId="1" xfId="10" applyFont="1" applyBorder="1" applyAlignment="1">
      <alignment vertical="center"/>
    </xf>
    <xf numFmtId="0" fontId="30" fillId="0" borderId="2" xfId="10" applyFont="1" applyBorder="1" applyAlignment="1">
      <alignment vertical="center"/>
    </xf>
    <xf numFmtId="0" fontId="2" fillId="0" borderId="2" xfId="10" applyBorder="1" applyAlignment="1">
      <alignment horizontal="centerContinuous"/>
    </xf>
    <xf numFmtId="0" fontId="2" fillId="0" borderId="3" xfId="10" applyBorder="1"/>
    <xf numFmtId="0" fontId="2" fillId="0" borderId="0" xfId="10" applyAlignment="1">
      <alignment horizontal="center" vertical="center"/>
    </xf>
    <xf numFmtId="44" fontId="2" fillId="0" borderId="0" xfId="1" applyFont="1" applyAlignment="1">
      <alignment horizontal="center" vertical="center"/>
    </xf>
    <xf numFmtId="0" fontId="30" fillId="9" borderId="1" xfId="10" applyFont="1" applyFill="1" applyBorder="1" applyAlignment="1">
      <alignment horizontal="center" vertical="center"/>
    </xf>
    <xf numFmtId="0" fontId="30" fillId="9" borderId="14" xfId="10" applyFont="1" applyFill="1" applyBorder="1" applyAlignment="1">
      <alignment horizontal="justify" vertical="center"/>
    </xf>
    <xf numFmtId="0" fontId="2" fillId="9" borderId="15" xfId="10" applyFill="1" applyBorder="1"/>
    <xf numFmtId="166" fontId="2" fillId="9" borderId="15" xfId="10" applyNumberFormat="1" applyFill="1" applyBorder="1"/>
    <xf numFmtId="170" fontId="31" fillId="9" borderId="15" xfId="10" applyNumberFormat="1" applyFont="1" applyFill="1" applyBorder="1" applyAlignment="1">
      <alignment horizontal="center" vertical="center"/>
    </xf>
    <xf numFmtId="171" fontId="32" fillId="8" borderId="4" xfId="10" applyNumberFormat="1" applyFont="1" applyFill="1" applyBorder="1" applyAlignment="1">
      <alignment vertical="center"/>
    </xf>
    <xf numFmtId="0" fontId="2" fillId="8" borderId="0" xfId="10" applyFill="1"/>
    <xf numFmtId="0" fontId="2" fillId="0" borderId="4" xfId="10" applyBorder="1" applyAlignment="1">
      <alignment horizontal="center" vertical="center"/>
    </xf>
    <xf numFmtId="0" fontId="2" fillId="0" borderId="5" xfId="10" applyBorder="1" applyAlignment="1">
      <alignment horizontal="justify" vertical="center" wrapText="1"/>
    </xf>
    <xf numFmtId="0" fontId="2" fillId="0" borderId="5" xfId="10" applyBorder="1" applyAlignment="1">
      <alignment horizontal="center" vertical="center"/>
    </xf>
    <xf numFmtId="172" fontId="2" fillId="0" borderId="5" xfId="10" applyNumberFormat="1" applyBorder="1" applyAlignment="1">
      <alignment horizontal="center" vertical="center"/>
    </xf>
    <xf numFmtId="173" fontId="2" fillId="0" borderId="5" xfId="10" applyNumberFormat="1" applyBorder="1" applyAlignment="1">
      <alignment horizontal="right" vertical="center"/>
    </xf>
    <xf numFmtId="171" fontId="2" fillId="0" borderId="5" xfId="10" applyNumberFormat="1" applyBorder="1" applyAlignment="1">
      <alignment vertical="center"/>
    </xf>
    <xf numFmtId="172" fontId="2" fillId="0" borderId="4" xfId="10" applyNumberFormat="1" applyBorder="1" applyAlignment="1">
      <alignment horizontal="center" vertical="center"/>
    </xf>
    <xf numFmtId="173" fontId="2" fillId="0" borderId="4" xfId="10" applyNumberFormat="1" applyBorder="1" applyAlignment="1">
      <alignment vertical="center"/>
    </xf>
    <xf numFmtId="174" fontId="2" fillId="0" borderId="4" xfId="10" applyNumberFormat="1" applyBorder="1" applyAlignment="1">
      <alignment vertical="center"/>
    </xf>
    <xf numFmtId="171" fontId="2" fillId="0" borderId="4" xfId="10" applyNumberFormat="1" applyBorder="1" applyAlignment="1">
      <alignment vertical="center"/>
    </xf>
    <xf numFmtId="0" fontId="2" fillId="0" borderId="17" xfId="10" applyBorder="1" applyAlignment="1">
      <alignment horizontal="justify" vertical="center" wrapText="1"/>
    </xf>
    <xf numFmtId="173" fontId="2" fillId="0" borderId="4" xfId="10" applyNumberFormat="1" applyBorder="1" applyAlignment="1">
      <alignment horizontal="right" vertical="center"/>
    </xf>
    <xf numFmtId="170" fontId="2" fillId="0" borderId="4" xfId="10" applyNumberFormat="1" applyBorder="1" applyAlignment="1">
      <alignment vertical="center"/>
    </xf>
    <xf numFmtId="0" fontId="30" fillId="9" borderId="1" xfId="10" applyFont="1" applyFill="1" applyBorder="1" applyAlignment="1">
      <alignment horizontal="justify" vertical="center"/>
    </xf>
    <xf numFmtId="0" fontId="2" fillId="9" borderId="2" xfId="10" applyFill="1" applyBorder="1"/>
    <xf numFmtId="166" fontId="2" fillId="9" borderId="2" xfId="10" applyNumberFormat="1" applyFill="1" applyBorder="1"/>
    <xf numFmtId="175" fontId="2" fillId="9" borderId="2" xfId="10" applyNumberFormat="1" applyFill="1" applyBorder="1"/>
    <xf numFmtId="175" fontId="31" fillId="9" borderId="2" xfId="10" applyNumberFormat="1" applyFont="1" applyFill="1" applyBorder="1" applyAlignment="1">
      <alignment vertical="center"/>
    </xf>
    <xf numFmtId="171" fontId="31" fillId="9" borderId="2" xfId="10" applyNumberFormat="1" applyFont="1" applyFill="1" applyBorder="1" applyAlignment="1">
      <alignment vertical="center"/>
    </xf>
    <xf numFmtId="171" fontId="32" fillId="0" borderId="4" xfId="10" applyNumberFormat="1" applyFont="1" applyBorder="1" applyAlignment="1">
      <alignment vertical="center"/>
    </xf>
    <xf numFmtId="171" fontId="32" fillId="0" borderId="0" xfId="10" applyNumberFormat="1" applyFont="1" applyAlignment="1">
      <alignment vertical="center"/>
    </xf>
    <xf numFmtId="0" fontId="2" fillId="0" borderId="4" xfId="10" applyBorder="1" applyAlignment="1">
      <alignment horizontal="justify" vertical="center" wrapText="1"/>
    </xf>
    <xf numFmtId="170" fontId="2" fillId="0" borderId="17" xfId="10" applyNumberFormat="1" applyBorder="1" applyAlignment="1">
      <alignment vertical="center"/>
    </xf>
    <xf numFmtId="2" fontId="2" fillId="0" borderId="4" xfId="10" applyNumberFormat="1" applyBorder="1" applyAlignment="1">
      <alignment horizontal="center" vertical="center"/>
    </xf>
    <xf numFmtId="44" fontId="2" fillId="0" borderId="4" xfId="1" applyFont="1" applyBorder="1" applyAlignment="1">
      <alignment horizontal="center" vertical="center"/>
    </xf>
    <xf numFmtId="175" fontId="2" fillId="0" borderId="5" xfId="10" applyNumberFormat="1" applyBorder="1" applyAlignment="1">
      <alignment vertical="center"/>
    </xf>
    <xf numFmtId="0" fontId="2" fillId="8" borderId="0" xfId="10" applyFill="1" applyAlignment="1">
      <alignment horizontal="center" vertical="center"/>
    </xf>
    <xf numFmtId="175" fontId="2" fillId="0" borderId="4" xfId="10" applyNumberFormat="1" applyBorder="1" applyAlignment="1">
      <alignment horizontal="right" vertical="center"/>
    </xf>
    <xf numFmtId="175" fontId="2" fillId="0" borderId="4" xfId="10" applyNumberFormat="1" applyBorder="1" applyAlignment="1">
      <alignment vertical="center"/>
    </xf>
    <xf numFmtId="0" fontId="2" fillId="0" borderId="4" xfId="12" applyFont="1" applyBorder="1" applyAlignment="1">
      <alignment horizontal="justify" vertical="center" wrapText="1"/>
    </xf>
    <xf numFmtId="176" fontId="2" fillId="0" borderId="4" xfId="12" applyNumberFormat="1" applyFont="1" applyBorder="1" applyAlignment="1">
      <alignment horizontal="center" vertical="center"/>
    </xf>
    <xf numFmtId="175" fontId="2" fillId="0" borderId="4" xfId="12" applyNumberFormat="1" applyFont="1" applyBorder="1" applyAlignment="1">
      <alignment horizontal="right" vertical="center"/>
    </xf>
    <xf numFmtId="172" fontId="2" fillId="8" borderId="0" xfId="10" applyNumberFormat="1" applyFill="1" applyAlignment="1">
      <alignment horizontal="center" vertical="center"/>
    </xf>
    <xf numFmtId="0" fontId="2" fillId="0" borderId="13" xfId="10" applyBorder="1" applyAlignment="1">
      <alignment vertical="center" wrapText="1"/>
    </xf>
    <xf numFmtId="0" fontId="34" fillId="0" borderId="13" xfId="10" applyFont="1" applyBorder="1" applyAlignment="1">
      <alignment horizontal="center" vertical="center"/>
    </xf>
    <xf numFmtId="172" fontId="2" fillId="0" borderId="13" xfId="10" applyNumberFormat="1" applyBorder="1" applyAlignment="1">
      <alignment horizontal="center" vertical="center"/>
    </xf>
    <xf numFmtId="177" fontId="34" fillId="0" borderId="13" xfId="12" applyNumberFormat="1" applyFont="1" applyBorder="1" applyAlignment="1">
      <alignment vertical="center"/>
    </xf>
    <xf numFmtId="175" fontId="2" fillId="0" borderId="13" xfId="10" applyNumberFormat="1" applyBorder="1" applyAlignment="1">
      <alignment vertical="center"/>
    </xf>
    <xf numFmtId="170" fontId="2" fillId="0" borderId="13" xfId="10" applyNumberFormat="1" applyBorder="1" applyAlignment="1">
      <alignment vertical="center"/>
    </xf>
    <xf numFmtId="175" fontId="31" fillId="9" borderId="2" xfId="10" applyNumberFormat="1" applyFont="1" applyFill="1" applyBorder="1" applyAlignment="1">
      <alignment horizontal="left" vertical="center"/>
    </xf>
    <xf numFmtId="171" fontId="31" fillId="9" borderId="2" xfId="10" applyNumberFormat="1" applyFont="1" applyFill="1" applyBorder="1" applyAlignment="1">
      <alignment horizontal="left" vertical="center"/>
    </xf>
    <xf numFmtId="171" fontId="31" fillId="9" borderId="3" xfId="10" applyNumberFormat="1" applyFont="1" applyFill="1" applyBorder="1" applyAlignment="1">
      <alignment horizontal="left" vertical="center"/>
    </xf>
    <xf numFmtId="171" fontId="32" fillId="0" borderId="4" xfId="10" applyNumberFormat="1" applyFont="1" applyBorder="1" applyAlignment="1">
      <alignment horizontal="center" vertical="center"/>
    </xf>
    <xf numFmtId="178" fontId="34" fillId="0" borderId="4" xfId="12" applyNumberFormat="1" applyFont="1" applyBorder="1" applyAlignment="1">
      <alignment vertical="center"/>
    </xf>
    <xf numFmtId="179" fontId="2" fillId="0" borderId="5" xfId="10" applyNumberFormat="1" applyBorder="1" applyAlignment="1">
      <alignment vertical="center"/>
    </xf>
    <xf numFmtId="44" fontId="2" fillId="0" borderId="0" xfId="10" applyNumberFormat="1" applyAlignment="1">
      <alignment horizontal="center" vertical="center"/>
    </xf>
    <xf numFmtId="0" fontId="2" fillId="0" borderId="4" xfId="10" applyBorder="1" applyAlignment="1">
      <alignment horizontal="left" vertical="center"/>
    </xf>
    <xf numFmtId="44" fontId="2" fillId="0" borderId="0" xfId="1" applyFont="1"/>
    <xf numFmtId="44" fontId="2" fillId="0" borderId="4" xfId="10" applyNumberFormat="1" applyBorder="1" applyAlignment="1">
      <alignment horizontal="center" vertical="center"/>
    </xf>
    <xf numFmtId="0" fontId="2" fillId="0" borderId="13" xfId="10" applyBorder="1" applyAlignment="1">
      <alignment horizontal="justify" vertical="center" wrapText="1"/>
    </xf>
    <xf numFmtId="0" fontId="2" fillId="0" borderId="13" xfId="10" applyBorder="1" applyAlignment="1">
      <alignment horizontal="center" vertical="center"/>
    </xf>
    <xf numFmtId="173" fontId="2" fillId="0" borderId="13" xfId="10" applyNumberFormat="1" applyBorder="1" applyAlignment="1">
      <alignment horizontal="right" vertical="center"/>
    </xf>
    <xf numFmtId="175" fontId="31" fillId="9" borderId="2" xfId="10" applyNumberFormat="1" applyFont="1" applyFill="1" applyBorder="1" applyAlignment="1">
      <alignment horizontal="center" vertical="center"/>
    </xf>
    <xf numFmtId="171" fontId="31" fillId="9" borderId="2" xfId="10" applyNumberFormat="1" applyFont="1" applyFill="1" applyBorder="1" applyAlignment="1">
      <alignment horizontal="center" vertical="center"/>
    </xf>
    <xf numFmtId="171" fontId="31" fillId="9" borderId="3" xfId="10" applyNumberFormat="1" applyFont="1" applyFill="1" applyBorder="1" applyAlignment="1">
      <alignment horizontal="center" vertical="center"/>
    </xf>
    <xf numFmtId="0" fontId="2" fillId="0" borderId="4" xfId="13" applyNumberFormat="1" applyFont="1" applyFill="1" applyBorder="1" applyAlignment="1" applyProtection="1">
      <alignment horizontal="center" vertical="center"/>
    </xf>
    <xf numFmtId="175" fontId="2" fillId="0" borderId="5" xfId="10" applyNumberFormat="1" applyBorder="1" applyAlignment="1">
      <alignment horizontal="right" vertical="center"/>
    </xf>
    <xf numFmtId="175" fontId="31" fillId="9" borderId="3" xfId="10" applyNumberFormat="1" applyFont="1" applyFill="1" applyBorder="1" applyAlignment="1">
      <alignment horizontal="center" vertical="center"/>
    </xf>
    <xf numFmtId="0" fontId="2" fillId="0" borderId="4" xfId="13" applyFont="1" applyBorder="1" applyAlignment="1" applyProtection="1">
      <alignment horizontal="center" vertical="center"/>
    </xf>
    <xf numFmtId="178" fontId="34" fillId="0" borderId="5" xfId="14" applyFont="1" applyFill="1" applyBorder="1" applyAlignment="1">
      <alignment horizontal="left" vertical="center"/>
    </xf>
    <xf numFmtId="170" fontId="2" fillId="0" borderId="5" xfId="10" applyNumberFormat="1" applyBorder="1" applyAlignment="1">
      <alignment vertical="center"/>
    </xf>
    <xf numFmtId="178" fontId="34" fillId="0" borderId="13" xfId="14" applyFont="1" applyFill="1" applyBorder="1" applyAlignment="1">
      <alignment horizontal="left" vertical="center"/>
    </xf>
    <xf numFmtId="2" fontId="2" fillId="0" borderId="0" xfId="10" applyNumberFormat="1" applyAlignment="1">
      <alignment horizontal="center" vertical="center"/>
    </xf>
    <xf numFmtId="0" fontId="28" fillId="0" borderId="1" xfId="10" applyFont="1" applyBorder="1" applyAlignment="1">
      <alignment horizontal="center" vertical="center"/>
    </xf>
    <xf numFmtId="0" fontId="29" fillId="0" borderId="14" xfId="10" applyFont="1" applyBorder="1" applyAlignment="1">
      <alignment horizontal="justify" vertical="center"/>
    </xf>
    <xf numFmtId="0" fontId="2" fillId="0" borderId="15" xfId="10" applyBorder="1"/>
    <xf numFmtId="166" fontId="2" fillId="0" borderId="15" xfId="10" applyNumberFormat="1" applyBorder="1"/>
    <xf numFmtId="175" fontId="2" fillId="0" borderId="15" xfId="10" applyNumberFormat="1" applyBorder="1"/>
    <xf numFmtId="175" fontId="31" fillId="0" borderId="15" xfId="10" applyNumberFormat="1" applyFont="1" applyBorder="1" applyAlignment="1">
      <alignment horizontal="center" vertical="center"/>
    </xf>
    <xf numFmtId="176" fontId="2" fillId="0" borderId="5" xfId="10" applyNumberFormat="1" applyBorder="1" applyAlignment="1">
      <alignment horizontal="center" vertical="center"/>
    </xf>
    <xf numFmtId="176" fontId="2" fillId="0" borderId="4" xfId="10" applyNumberFormat="1" applyBorder="1" applyAlignment="1">
      <alignment horizontal="center" vertical="center"/>
    </xf>
    <xf numFmtId="176" fontId="2" fillId="0" borderId="13" xfId="10" applyNumberFormat="1" applyBorder="1" applyAlignment="1">
      <alignment horizontal="center" vertical="center"/>
    </xf>
    <xf numFmtId="175" fontId="2" fillId="0" borderId="13" xfId="10" applyNumberFormat="1" applyBorder="1" applyAlignment="1">
      <alignment horizontal="right" vertical="center"/>
    </xf>
    <xf numFmtId="0" fontId="28" fillId="9" borderId="1" xfId="10" applyFont="1" applyFill="1" applyBorder="1" applyAlignment="1">
      <alignment horizontal="center" vertical="center"/>
    </xf>
    <xf numFmtId="0" fontId="29" fillId="9" borderId="1" xfId="10" applyFont="1" applyFill="1" applyBorder="1" applyAlignment="1">
      <alignment horizontal="justify" vertical="center"/>
    </xf>
    <xf numFmtId="0" fontId="2" fillId="0" borderId="4" xfId="13" applyFont="1" applyFill="1" applyBorder="1" applyAlignment="1" applyProtection="1">
      <alignment horizontal="center" vertical="center"/>
    </xf>
    <xf numFmtId="170" fontId="31" fillId="9" borderId="2" xfId="10" applyNumberFormat="1" applyFont="1" applyFill="1" applyBorder="1" applyAlignment="1">
      <alignment horizontal="center" vertical="center"/>
    </xf>
    <xf numFmtId="170" fontId="2" fillId="9" borderId="2" xfId="10" applyNumberFormat="1" applyFill="1" applyBorder="1"/>
    <xf numFmtId="170" fontId="2" fillId="9" borderId="3" xfId="10" applyNumberFormat="1" applyFill="1" applyBorder="1"/>
    <xf numFmtId="170" fontId="2" fillId="0" borderId="15" xfId="10" applyNumberFormat="1" applyBorder="1"/>
    <xf numFmtId="0" fontId="36" fillId="9" borderId="1" xfId="10" applyFont="1" applyFill="1" applyBorder="1" applyAlignment="1">
      <alignment horizontal="justify" vertical="center"/>
    </xf>
    <xf numFmtId="0" fontId="30" fillId="9" borderId="1" xfId="10" applyFont="1" applyFill="1" applyBorder="1" applyAlignment="1">
      <alignment horizontal="justify" vertical="center" wrapText="1"/>
    </xf>
    <xf numFmtId="0" fontId="2" fillId="9" borderId="2" xfId="10" applyFill="1" applyBorder="1" applyAlignment="1">
      <alignment horizontal="center" vertical="center"/>
    </xf>
    <xf numFmtId="172" fontId="2" fillId="9" borderId="2" xfId="10" applyNumberFormat="1" applyFill="1" applyBorder="1" applyAlignment="1">
      <alignment horizontal="center" vertical="center"/>
    </xf>
    <xf numFmtId="175" fontId="2" fillId="9" borderId="2" xfId="10" applyNumberFormat="1" applyFill="1" applyBorder="1" applyAlignment="1">
      <alignment horizontal="right" vertical="center"/>
    </xf>
    <xf numFmtId="170" fontId="2" fillId="9" borderId="2" xfId="10" applyNumberFormat="1" applyFill="1" applyBorder="1" applyAlignment="1">
      <alignment horizontal="right" vertical="center"/>
    </xf>
    <xf numFmtId="170" fontId="2" fillId="9" borderId="3" xfId="10" applyNumberFormat="1" applyFill="1" applyBorder="1" applyAlignment="1">
      <alignment horizontal="right" vertical="center"/>
    </xf>
    <xf numFmtId="0" fontId="2" fillId="0" borderId="17" xfId="10" applyBorder="1" applyAlignment="1">
      <alignment horizontal="center" vertical="center"/>
    </xf>
    <xf numFmtId="172" fontId="2" fillId="0" borderId="17" xfId="10" applyNumberFormat="1" applyBorder="1" applyAlignment="1">
      <alignment horizontal="center" vertical="center"/>
    </xf>
    <xf numFmtId="175" fontId="2" fillId="0" borderId="17" xfId="10" applyNumberFormat="1" applyBorder="1" applyAlignment="1">
      <alignment horizontal="right" vertical="center"/>
    </xf>
    <xf numFmtId="0" fontId="31" fillId="9" borderId="2" xfId="10" applyFont="1" applyFill="1" applyBorder="1" applyAlignment="1">
      <alignment horizontal="center" vertical="center"/>
    </xf>
    <xf numFmtId="166" fontId="31" fillId="9" borderId="2" xfId="10" applyNumberFormat="1" applyFont="1" applyFill="1" applyBorder="1" applyAlignment="1">
      <alignment horizontal="center" vertical="center"/>
    </xf>
    <xf numFmtId="175" fontId="31" fillId="9" borderId="2" xfId="10" applyNumberFormat="1" applyFont="1" applyFill="1" applyBorder="1" applyAlignment="1">
      <alignment horizontal="right" vertical="center"/>
    </xf>
    <xf numFmtId="170" fontId="31" fillId="9" borderId="2" xfId="10" applyNumberFormat="1" applyFont="1" applyFill="1" applyBorder="1" applyAlignment="1">
      <alignment horizontal="right" vertical="center"/>
    </xf>
    <xf numFmtId="170" fontId="31" fillId="9" borderId="3" xfId="10" applyNumberFormat="1" applyFont="1" applyFill="1" applyBorder="1" applyAlignment="1">
      <alignment horizontal="right" vertical="center"/>
    </xf>
    <xf numFmtId="2" fontId="2" fillId="9" borderId="2" xfId="10" applyNumberFormat="1" applyFill="1" applyBorder="1" applyAlignment="1">
      <alignment horizontal="center" vertical="center"/>
    </xf>
    <xf numFmtId="181" fontId="2" fillId="0" borderId="4" xfId="1" applyNumberFormat="1" applyFont="1" applyBorder="1" applyAlignment="1">
      <alignment vertical="center"/>
    </xf>
    <xf numFmtId="177" fontId="34" fillId="0" borderId="13" xfId="14" applyNumberFormat="1" applyFont="1" applyFill="1" applyBorder="1" applyAlignment="1">
      <alignment horizontal="left" vertical="center"/>
    </xf>
    <xf numFmtId="43" fontId="32" fillId="0" borderId="0" xfId="9" applyFont="1" applyAlignment="1">
      <alignment vertical="center"/>
    </xf>
    <xf numFmtId="0" fontId="34" fillId="0" borderId="5" xfId="10" applyFont="1" applyBorder="1" applyAlignment="1">
      <alignment horizontal="justify" vertical="center" wrapText="1"/>
    </xf>
    <xf numFmtId="0" fontId="37" fillId="0" borderId="4" xfId="12" applyFont="1" applyBorder="1" applyAlignment="1">
      <alignment vertical="center" wrapText="1"/>
    </xf>
    <xf numFmtId="182" fontId="2" fillId="10" borderId="0" xfId="10" applyNumberFormat="1" applyFill="1"/>
    <xf numFmtId="171" fontId="29" fillId="0" borderId="12" xfId="10" applyNumberFormat="1" applyFont="1" applyBorder="1" applyAlignment="1">
      <alignment vertical="center"/>
    </xf>
    <xf numFmtId="171" fontId="29" fillId="0" borderId="0" xfId="10" applyNumberFormat="1" applyFont="1" applyAlignment="1">
      <alignment vertical="center"/>
    </xf>
    <xf numFmtId="0" fontId="2" fillId="0" borderId="0" xfId="10" applyAlignment="1">
      <alignment horizontal="justify" vertical="center"/>
    </xf>
    <xf numFmtId="166" fontId="2" fillId="0" borderId="0" xfId="10" applyNumberFormat="1"/>
    <xf numFmtId="171" fontId="32" fillId="8" borderId="0" xfId="10" applyNumberFormat="1" applyFont="1" applyFill="1" applyBorder="1" applyAlignment="1">
      <alignment vertical="center"/>
    </xf>
    <xf numFmtId="171" fontId="32" fillId="0" borderId="0" xfId="10" applyNumberFormat="1" applyFont="1" applyBorder="1" applyAlignment="1">
      <alignment vertical="center"/>
    </xf>
    <xf numFmtId="171" fontId="32" fillId="0" borderId="0" xfId="10" applyNumberFormat="1" applyFont="1" applyBorder="1" applyAlignment="1">
      <alignment horizontal="center" vertical="center"/>
    </xf>
    <xf numFmtId="171" fontId="29" fillId="0" borderId="0" xfId="10" applyNumberFormat="1" applyFont="1" applyBorder="1" applyAlignment="1">
      <alignment vertical="center"/>
    </xf>
    <xf numFmtId="0" fontId="29" fillId="0" borderId="0" xfId="10" applyFont="1" applyBorder="1" applyAlignment="1">
      <alignment horizontal="center" vertical="center"/>
    </xf>
    <xf numFmtId="44" fontId="36" fillId="0" borderId="0" xfId="1" applyFont="1" applyBorder="1" applyAlignment="1">
      <alignment horizontal="center" vertical="center"/>
    </xf>
    <xf numFmtId="0" fontId="2" fillId="0" borderId="5" xfId="10" applyBorder="1" applyAlignment="1">
      <alignment horizontal="justify" vertical="center"/>
    </xf>
    <xf numFmtId="173" fontId="2" fillId="0" borderId="17" xfId="10" applyNumberFormat="1" applyBorder="1" applyAlignment="1">
      <alignment horizontal="right" vertical="center"/>
    </xf>
    <xf numFmtId="173" fontId="2" fillId="0" borderId="4" xfId="12" applyNumberFormat="1" applyFont="1" applyBorder="1" applyAlignment="1">
      <alignment horizontal="right" vertical="center"/>
    </xf>
    <xf numFmtId="0" fontId="2" fillId="0" borderId="4" xfId="12" applyFont="1" applyBorder="1" applyAlignment="1">
      <alignment horizontal="center" vertical="center"/>
    </xf>
    <xf numFmtId="0" fontId="2" fillId="0" borderId="13" xfId="12" applyFont="1" applyBorder="1" applyAlignment="1">
      <alignment horizontal="justify" vertical="center" wrapText="1"/>
    </xf>
    <xf numFmtId="0" fontId="2" fillId="0" borderId="13" xfId="12" applyFont="1" applyBorder="1" applyAlignment="1">
      <alignment horizontal="center" vertical="center"/>
    </xf>
    <xf numFmtId="176" fontId="2" fillId="0" borderId="13" xfId="12" applyNumberFormat="1" applyFont="1" applyBorder="1" applyAlignment="1">
      <alignment horizontal="center" vertical="center"/>
    </xf>
    <xf numFmtId="173" fontId="2" fillId="0" borderId="13" xfId="12" applyNumberFormat="1" applyFont="1" applyBorder="1" applyAlignment="1">
      <alignment horizontal="right" vertical="center"/>
    </xf>
    <xf numFmtId="0" fontId="2" fillId="0" borderId="5" xfId="12" applyFont="1" applyBorder="1" applyAlignment="1">
      <alignment horizontal="justify" vertical="center" wrapText="1"/>
    </xf>
    <xf numFmtId="176" fontId="2" fillId="0" borderId="5" xfId="12" applyNumberFormat="1" applyFont="1" applyBorder="1" applyAlignment="1">
      <alignment horizontal="center" vertical="center"/>
    </xf>
    <xf numFmtId="173" fontId="2" fillId="0" borderId="5" xfId="12" applyNumberFormat="1" applyFont="1" applyBorder="1" applyAlignment="1">
      <alignment horizontal="right" vertical="center"/>
    </xf>
    <xf numFmtId="0" fontId="2" fillId="0" borderId="18" xfId="10" applyBorder="1" applyAlignment="1">
      <alignment horizontal="justify" vertical="center" wrapText="1"/>
    </xf>
    <xf numFmtId="166" fontId="2" fillId="9" borderId="2" xfId="10" applyNumberFormat="1" applyFill="1" applyBorder="1" applyAlignment="1">
      <alignment horizontal="center" vertical="center"/>
    </xf>
    <xf numFmtId="0" fontId="28" fillId="9" borderId="2" xfId="10" applyFont="1" applyFill="1" applyBorder="1"/>
    <xf numFmtId="166" fontId="28" fillId="9" borderId="2" xfId="10" applyNumberFormat="1" applyFont="1" applyFill="1" applyBorder="1"/>
    <xf numFmtId="175" fontId="28" fillId="9" borderId="2" xfId="10" applyNumberFormat="1" applyFont="1" applyFill="1" applyBorder="1"/>
    <xf numFmtId="175" fontId="2" fillId="9" borderId="4" xfId="10" applyNumberFormat="1" applyFill="1" applyBorder="1"/>
    <xf numFmtId="0" fontId="2" fillId="0" borderId="4" xfId="10" applyFont="1" applyBorder="1" applyAlignment="1">
      <alignment horizontal="justify" vertical="center"/>
    </xf>
    <xf numFmtId="2" fontId="2" fillId="0" borderId="5" xfId="10" applyNumberFormat="1" applyBorder="1" applyAlignment="1">
      <alignment horizontal="center" vertical="center"/>
    </xf>
    <xf numFmtId="175" fontId="36" fillId="3" borderId="21" xfId="10" applyNumberFormat="1" applyFont="1" applyFill="1" applyBorder="1" applyAlignment="1">
      <alignment horizontal="right" vertical="center"/>
    </xf>
    <xf numFmtId="44" fontId="36" fillId="3" borderId="22" xfId="1" applyFont="1" applyFill="1" applyBorder="1" applyAlignment="1">
      <alignment horizontal="center" vertical="center"/>
    </xf>
    <xf numFmtId="175" fontId="31" fillId="6" borderId="3" xfId="10" applyNumberFormat="1" applyFont="1" applyFill="1" applyBorder="1" applyAlignment="1">
      <alignment horizontal="right" vertical="center"/>
    </xf>
    <xf numFmtId="0" fontId="29" fillId="6" borderId="19" xfId="10" applyFont="1" applyFill="1" applyBorder="1" applyAlignment="1">
      <alignment horizontal="left" vertical="center" wrapText="1"/>
    </xf>
    <xf numFmtId="0" fontId="29" fillId="6" borderId="20" xfId="10" applyFont="1" applyFill="1" applyBorder="1" applyAlignment="1">
      <alignment horizontal="left" vertical="center" wrapText="1"/>
    </xf>
    <xf numFmtId="175" fontId="36" fillId="6" borderId="21" xfId="10" applyNumberFormat="1" applyFont="1" applyFill="1" applyBorder="1" applyAlignment="1">
      <alignment horizontal="right" vertical="center"/>
    </xf>
    <xf numFmtId="175" fontId="36" fillId="6" borderId="23" xfId="10" applyNumberFormat="1" applyFont="1" applyFill="1" applyBorder="1" applyAlignment="1">
      <alignment horizontal="right" vertical="center"/>
    </xf>
    <xf numFmtId="0" fontId="29" fillId="9" borderId="4" xfId="10" applyFont="1" applyFill="1" applyBorder="1" applyAlignment="1">
      <alignment horizontal="center" vertical="center"/>
    </xf>
    <xf numFmtId="0" fontId="30" fillId="9" borderId="4" xfId="10" applyFont="1" applyFill="1" applyBorder="1" applyAlignment="1">
      <alignment horizontal="center" vertical="center"/>
    </xf>
    <xf numFmtId="175" fontId="2" fillId="9" borderId="4" xfId="10" applyNumberFormat="1" applyFill="1" applyBorder="1" applyAlignment="1">
      <alignment horizontal="right" vertical="center"/>
    </xf>
    <xf numFmtId="175" fontId="28" fillId="9" borderId="4" xfId="10" applyNumberFormat="1" applyFont="1" applyFill="1" applyBorder="1"/>
    <xf numFmtId="170" fontId="2" fillId="0" borderId="3" xfId="10" applyNumberFormat="1" applyBorder="1" applyAlignment="1">
      <alignment vertical="center"/>
    </xf>
    <xf numFmtId="170" fontId="2" fillId="0" borderId="24" xfId="10" applyNumberFormat="1" applyBorder="1" applyAlignment="1">
      <alignment vertical="center"/>
    </xf>
    <xf numFmtId="175" fontId="31" fillId="0" borderId="16" xfId="10" applyNumberFormat="1" applyFont="1" applyBorder="1" applyAlignment="1">
      <alignment vertical="center"/>
    </xf>
    <xf numFmtId="170" fontId="2" fillId="0" borderId="25" xfId="10" applyNumberFormat="1" applyBorder="1" applyAlignment="1">
      <alignment vertical="center"/>
    </xf>
    <xf numFmtId="180" fontId="2" fillId="0" borderId="16" xfId="10" applyNumberFormat="1" applyBorder="1" applyAlignment="1">
      <alignment vertical="center"/>
    </xf>
    <xf numFmtId="180" fontId="2" fillId="0" borderId="3" xfId="10" applyNumberFormat="1" applyBorder="1" applyAlignment="1">
      <alignment vertical="center"/>
    </xf>
    <xf numFmtId="170" fontId="2" fillId="0" borderId="16" xfId="10" applyNumberFormat="1" applyBorder="1" applyAlignment="1">
      <alignment vertical="center"/>
    </xf>
    <xf numFmtId="180" fontId="2" fillId="0" borderId="25" xfId="10" applyNumberFormat="1" applyBorder="1" applyAlignment="1">
      <alignment vertical="center"/>
    </xf>
    <xf numFmtId="170" fontId="2" fillId="0" borderId="3" xfId="10" applyNumberFormat="1" applyBorder="1" applyAlignment="1">
      <alignment horizontal="right" vertical="center"/>
    </xf>
    <xf numFmtId="175" fontId="2" fillId="0" borderId="14" xfId="10" applyNumberFormat="1" applyBorder="1" applyAlignment="1">
      <alignment vertical="center"/>
    </xf>
    <xf numFmtId="174" fontId="2" fillId="0" borderId="1" xfId="10" applyNumberFormat="1" applyBorder="1" applyAlignment="1">
      <alignment vertical="center"/>
    </xf>
    <xf numFmtId="174" fontId="2" fillId="0" borderId="18" xfId="10" applyNumberFormat="1" applyBorder="1" applyAlignment="1">
      <alignment vertical="center"/>
    </xf>
    <xf numFmtId="174" fontId="2" fillId="0" borderId="14" xfId="10" applyNumberFormat="1" applyBorder="1" applyAlignment="1">
      <alignment vertical="center"/>
    </xf>
    <xf numFmtId="175" fontId="31" fillId="3" borderId="3" xfId="10" applyNumberFormat="1" applyFont="1" applyFill="1" applyBorder="1" applyAlignment="1">
      <alignment horizontal="right" vertical="center"/>
    </xf>
    <xf numFmtId="175" fontId="36" fillId="3" borderId="23" xfId="10" applyNumberFormat="1" applyFont="1" applyFill="1" applyBorder="1" applyAlignment="1">
      <alignment horizontal="right" vertical="center"/>
    </xf>
    <xf numFmtId="175" fontId="31" fillId="9" borderId="3" xfId="10" applyNumberFormat="1" applyFont="1" applyFill="1" applyBorder="1" applyAlignment="1">
      <alignment vertical="center"/>
    </xf>
    <xf numFmtId="175" fontId="31" fillId="0" borderId="16" xfId="10" applyNumberFormat="1" applyFont="1" applyBorder="1" applyAlignment="1">
      <alignment horizontal="center" vertical="center"/>
    </xf>
    <xf numFmtId="170" fontId="31" fillId="9" borderId="3" xfId="10" applyNumberFormat="1" applyFont="1" applyFill="1" applyBorder="1" applyAlignment="1">
      <alignment horizontal="center" vertical="center"/>
    </xf>
    <xf numFmtId="170" fontId="2" fillId="0" borderId="16" xfId="10" applyNumberFormat="1" applyBorder="1"/>
    <xf numFmtId="0" fontId="29" fillId="3" borderId="19" xfId="10" applyFont="1" applyFill="1" applyBorder="1" applyAlignment="1">
      <alignment horizontal="left" vertical="center" wrapText="1"/>
    </xf>
    <xf numFmtId="0" fontId="29" fillId="3" borderId="20" xfId="10" applyFont="1" applyFill="1" applyBorder="1" applyAlignment="1">
      <alignment horizontal="left" vertical="center" wrapText="1"/>
    </xf>
    <xf numFmtId="0" fontId="29" fillId="6" borderId="19" xfId="10" applyFont="1" applyFill="1" applyBorder="1" applyAlignment="1">
      <alignment horizontal="left" vertical="center" wrapText="1"/>
    </xf>
    <xf numFmtId="0" fontId="29" fillId="6" borderId="20" xfId="10" applyFont="1" applyFill="1" applyBorder="1" applyAlignment="1">
      <alignment horizontal="left" vertical="center" wrapText="1"/>
    </xf>
    <xf numFmtId="0" fontId="28" fillId="8" borderId="13" xfId="10" applyFont="1" applyFill="1" applyBorder="1" applyAlignment="1">
      <alignment horizontal="center" vertical="center" wrapText="1"/>
    </xf>
    <xf numFmtId="0" fontId="28" fillId="8" borderId="5" xfId="10" applyFont="1" applyFill="1" applyBorder="1" applyAlignment="1">
      <alignment horizontal="center" vertical="center" wrapText="1"/>
    </xf>
    <xf numFmtId="0" fontId="23" fillId="0" borderId="0" xfId="10" applyFont="1" applyAlignment="1">
      <alignment horizontal="center" vertical="center"/>
    </xf>
    <xf numFmtId="0" fontId="24" fillId="0" borderId="0" xfId="10" applyFont="1" applyAlignment="1">
      <alignment horizontal="center" vertical="center"/>
    </xf>
    <xf numFmtId="0" fontId="25" fillId="0" borderId="0" xfId="10" applyFont="1" applyAlignment="1">
      <alignment horizontal="center" vertical="center"/>
    </xf>
    <xf numFmtId="0" fontId="27" fillId="0" borderId="0" xfId="10" applyFont="1" applyAlignment="1">
      <alignment horizontal="center" vertical="center"/>
    </xf>
    <xf numFmtId="0" fontId="26" fillId="8" borderId="4" xfId="10" applyFont="1" applyFill="1" applyBorder="1" applyAlignment="1">
      <alignment horizontal="center" vertical="center"/>
    </xf>
    <xf numFmtId="0" fontId="28" fillId="8" borderId="4" xfId="10" applyFont="1" applyFill="1" applyBorder="1" applyAlignment="1">
      <alignment horizontal="center" vertical="center"/>
    </xf>
    <xf numFmtId="0" fontId="28" fillId="8" borderId="13" xfId="10" applyFont="1" applyFill="1" applyBorder="1" applyAlignment="1">
      <alignment horizontal="center" vertical="center"/>
    </xf>
    <xf numFmtId="0" fontId="28" fillId="8" borderId="5" xfId="10" applyFont="1" applyFill="1" applyBorder="1" applyAlignment="1">
      <alignment horizontal="center" vertical="center"/>
    </xf>
    <xf numFmtId="166" fontId="28" fillId="8" borderId="13" xfId="10" applyNumberFormat="1" applyFont="1" applyFill="1" applyBorder="1" applyAlignment="1">
      <alignment horizontal="center" vertical="center"/>
    </xf>
    <xf numFmtId="166" fontId="28" fillId="8" borderId="5" xfId="10" applyNumberFormat="1" applyFont="1" applyFill="1" applyBorder="1" applyAlignment="1">
      <alignment horizontal="center" vertical="center"/>
    </xf>
    <xf numFmtId="0" fontId="11" fillId="2" borderId="1" xfId="3" applyFont="1" applyFill="1" applyBorder="1" applyAlignment="1">
      <alignment horizontal="left" vertical="center" wrapText="1"/>
    </xf>
    <xf numFmtId="0" fontId="11" fillId="2" borderId="3" xfId="3" applyFont="1" applyFill="1" applyBorder="1" applyAlignment="1">
      <alignment horizontal="left" vertical="center" wrapText="1"/>
    </xf>
    <xf numFmtId="0" fontId="14" fillId="0" borderId="1" xfId="3" applyFont="1" applyBorder="1" applyAlignment="1">
      <alignment horizontal="left" vertical="center" wrapText="1"/>
    </xf>
    <xf numFmtId="0" fontId="14" fillId="0" borderId="2" xfId="3" applyFont="1" applyBorder="1" applyAlignment="1">
      <alignment horizontal="left" vertical="center" wrapText="1"/>
    </xf>
    <xf numFmtId="0" fontId="14" fillId="0" borderId="3" xfId="3" applyFont="1" applyBorder="1" applyAlignment="1">
      <alignment horizontal="left" vertical="center" wrapText="1"/>
    </xf>
    <xf numFmtId="0" fontId="4" fillId="0" borderId="1" xfId="3" applyFont="1" applyBorder="1" applyAlignment="1">
      <alignment horizontal="center" vertical="center" wrapText="1"/>
    </xf>
    <xf numFmtId="0" fontId="7" fillId="0" borderId="2" xfId="3" applyFont="1" applyBorder="1" applyAlignment="1">
      <alignment horizontal="center" vertical="center" wrapText="1"/>
    </xf>
    <xf numFmtId="0" fontId="7" fillId="0" borderId="3" xfId="3" applyFont="1" applyBorder="1" applyAlignment="1">
      <alignment horizontal="center" vertical="center" wrapText="1"/>
    </xf>
    <xf numFmtId="2" fontId="8" fillId="0" borderId="1" xfId="3" applyNumberFormat="1" applyFont="1" applyBorder="1" applyAlignment="1">
      <alignment horizontal="center" vertical="center" wrapText="1"/>
    </xf>
    <xf numFmtId="2" fontId="8" fillId="0" borderId="2" xfId="3" applyNumberFormat="1" applyFont="1" applyBorder="1" applyAlignment="1">
      <alignment horizontal="center" vertical="center" wrapText="1"/>
    </xf>
    <xf numFmtId="2" fontId="8" fillId="0" borderId="3" xfId="3" applyNumberFormat="1" applyFont="1" applyBorder="1" applyAlignment="1">
      <alignment horizontal="center" vertical="center" wrapText="1"/>
    </xf>
    <xf numFmtId="0" fontId="9" fillId="0" borderId="1" xfId="3" applyFont="1" applyBorder="1" applyAlignment="1">
      <alignment horizontal="center" vertical="center" wrapText="1"/>
    </xf>
    <xf numFmtId="0" fontId="9" fillId="0" borderId="2" xfId="3" applyFont="1" applyBorder="1" applyAlignment="1">
      <alignment horizontal="center" vertical="center" wrapText="1"/>
    </xf>
    <xf numFmtId="0" fontId="9" fillId="0" borderId="3" xfId="3" applyFont="1" applyBorder="1" applyAlignment="1">
      <alignment horizontal="center" vertical="center" wrapText="1"/>
    </xf>
    <xf numFmtId="0" fontId="5" fillId="3" borderId="4" xfId="4" applyFont="1" applyFill="1" applyBorder="1" applyAlignment="1">
      <alignment horizontal="center" vertical="center" wrapText="1"/>
    </xf>
    <xf numFmtId="0" fontId="9" fillId="2" borderId="4" xfId="3" applyFont="1" applyFill="1" applyBorder="1" applyAlignment="1">
      <alignment horizontal="left" vertical="center"/>
    </xf>
    <xf numFmtId="0" fontId="12" fillId="4" borderId="1" xfId="3" applyFont="1" applyFill="1" applyBorder="1" applyAlignment="1">
      <alignment horizontal="left" vertical="center" wrapText="1"/>
    </xf>
    <xf numFmtId="0" fontId="12" fillId="4" borderId="2" xfId="3" applyFont="1" applyFill="1" applyBorder="1" applyAlignment="1">
      <alignment horizontal="left" vertical="center" wrapText="1"/>
    </xf>
    <xf numFmtId="0" fontId="12" fillId="4" borderId="3" xfId="3" applyFont="1" applyFill="1" applyBorder="1" applyAlignment="1">
      <alignment horizontal="left" vertical="center" wrapText="1"/>
    </xf>
    <xf numFmtId="0" fontId="12" fillId="4" borderId="1" xfId="3" applyFont="1" applyFill="1" applyBorder="1" applyAlignment="1">
      <alignment horizontal="left" vertical="center"/>
    </xf>
    <xf numFmtId="0" fontId="12" fillId="4" borderId="2" xfId="3" applyFont="1" applyFill="1" applyBorder="1" applyAlignment="1">
      <alignment horizontal="left" vertical="center"/>
    </xf>
    <xf numFmtId="0" fontId="12" fillId="4" borderId="3" xfId="3" applyFont="1" applyFill="1" applyBorder="1" applyAlignment="1">
      <alignment horizontal="left" vertical="center"/>
    </xf>
    <xf numFmtId="0" fontId="12" fillId="4" borderId="1" xfId="6" applyFont="1" applyFill="1" applyBorder="1" applyAlignment="1">
      <alignment horizontal="left" vertical="center"/>
    </xf>
    <xf numFmtId="0" fontId="12" fillId="4" borderId="2" xfId="6" applyFont="1" applyFill="1" applyBorder="1" applyAlignment="1">
      <alignment horizontal="left" vertical="center"/>
    </xf>
    <xf numFmtId="0" fontId="12" fillId="4" borderId="3" xfId="6" applyFont="1" applyFill="1" applyBorder="1" applyAlignment="1">
      <alignment horizontal="left" vertical="center"/>
    </xf>
    <xf numFmtId="37" fontId="12" fillId="5" borderId="4" xfId="3" applyNumberFormat="1" applyFont="1" applyFill="1" applyBorder="1" applyAlignment="1">
      <alignment horizontal="left" vertical="center"/>
    </xf>
    <xf numFmtId="37" fontId="12" fillId="0" borderId="4" xfId="3" applyNumberFormat="1" applyFont="1" applyBorder="1" applyAlignment="1">
      <alignment horizontal="left"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3" xfId="3" applyFont="1" applyFill="1" applyBorder="1" applyAlignment="1">
      <alignment horizontal="center" vertical="center"/>
    </xf>
    <xf numFmtId="0" fontId="11" fillId="2" borderId="4" xfId="3" applyFont="1" applyFill="1" applyBorder="1" applyAlignment="1">
      <alignment horizontal="left" vertical="center"/>
    </xf>
    <xf numFmtId="166" fontId="11" fillId="2" borderId="4" xfId="3" applyNumberFormat="1" applyFont="1" applyFill="1" applyBorder="1" applyAlignment="1">
      <alignment vertical="center"/>
    </xf>
    <xf numFmtId="0" fontId="12" fillId="2" borderId="4" xfId="3" applyFont="1" applyFill="1" applyBorder="1" applyAlignment="1">
      <alignment horizontal="center" vertical="center"/>
    </xf>
    <xf numFmtId="0" fontId="14" fillId="2" borderId="1" xfId="3" applyFont="1" applyFill="1" applyBorder="1" applyAlignment="1">
      <alignment horizontal="center" vertical="center"/>
    </xf>
    <xf numFmtId="0" fontId="14" fillId="2" borderId="2" xfId="3" applyFont="1" applyFill="1" applyBorder="1" applyAlignment="1">
      <alignment horizontal="center" vertical="center"/>
    </xf>
    <xf numFmtId="0" fontId="14" fillId="2" borderId="3" xfId="3" applyFont="1" applyFill="1" applyBorder="1" applyAlignment="1">
      <alignment horizontal="center" vertical="center"/>
    </xf>
    <xf numFmtId="37" fontId="12" fillId="4" borderId="4" xfId="3" applyNumberFormat="1" applyFont="1" applyFill="1" applyBorder="1" applyAlignment="1">
      <alignment horizontal="left" vertical="center"/>
    </xf>
    <xf numFmtId="37" fontId="9" fillId="2" borderId="1" xfId="3" applyNumberFormat="1" applyFont="1" applyFill="1" applyBorder="1" applyAlignment="1">
      <alignment horizontal="center" vertical="center"/>
    </xf>
    <xf numFmtId="37" fontId="9" fillId="2" borderId="2" xfId="3" applyNumberFormat="1" applyFont="1" applyFill="1" applyBorder="1" applyAlignment="1">
      <alignment horizontal="center" vertical="center"/>
    </xf>
    <xf numFmtId="37" fontId="9" fillId="2" borderId="3" xfId="3" applyNumberFormat="1" applyFont="1" applyFill="1" applyBorder="1" applyAlignment="1">
      <alignment horizontal="center" vertical="center"/>
    </xf>
    <xf numFmtId="0" fontId="17" fillId="2" borderId="4" xfId="3" applyFont="1" applyFill="1" applyBorder="1" applyAlignment="1">
      <alignment vertical="center"/>
    </xf>
    <xf numFmtId="0" fontId="9" fillId="2" borderId="4" xfId="3" applyFont="1" applyFill="1" applyBorder="1" applyAlignment="1">
      <alignment horizontal="center" vertical="center"/>
    </xf>
    <xf numFmtId="0" fontId="9" fillId="4" borderId="4" xfId="3" applyFont="1" applyFill="1" applyBorder="1" applyAlignment="1">
      <alignment horizontal="left" vertical="center" wrapText="1"/>
    </xf>
    <xf numFmtId="0" fontId="12" fillId="5" borderId="1" xfId="3" applyFont="1" applyFill="1" applyBorder="1" applyAlignment="1">
      <alignment horizontal="left" vertical="center"/>
    </xf>
    <xf numFmtId="0" fontId="12" fillId="5" borderId="2" xfId="3" applyFont="1" applyFill="1" applyBorder="1" applyAlignment="1">
      <alignment horizontal="left" vertical="center"/>
    </xf>
    <xf numFmtId="0" fontId="12" fillId="5" borderId="3" xfId="3" applyFont="1" applyFill="1" applyBorder="1" applyAlignment="1">
      <alignment horizontal="left" vertical="center"/>
    </xf>
    <xf numFmtId="0" fontId="15" fillId="0" borderId="1" xfId="3" applyFont="1" applyBorder="1" applyAlignment="1">
      <alignment horizontal="left" vertical="center"/>
    </xf>
    <xf numFmtId="0" fontId="15" fillId="0" borderId="2" xfId="3" applyFont="1" applyBorder="1" applyAlignment="1">
      <alignment horizontal="left" vertical="center"/>
    </xf>
    <xf numFmtId="0" fontId="15" fillId="0" borderId="3" xfId="3" applyFont="1" applyBorder="1" applyAlignment="1">
      <alignment horizontal="left" vertical="center"/>
    </xf>
    <xf numFmtId="0" fontId="11" fillId="7" borderId="1" xfId="3" applyFont="1" applyFill="1" applyBorder="1" applyAlignment="1">
      <alignment horizontal="left" vertical="center"/>
    </xf>
    <xf numFmtId="0" fontId="11" fillId="7" borderId="2" xfId="3" applyFont="1" applyFill="1" applyBorder="1" applyAlignment="1">
      <alignment horizontal="left" vertical="center"/>
    </xf>
    <xf numFmtId="0" fontId="11" fillId="7" borderId="3" xfId="3" applyFont="1" applyFill="1" applyBorder="1" applyAlignment="1">
      <alignment horizontal="left" vertical="center"/>
    </xf>
    <xf numFmtId="0" fontId="15" fillId="2" borderId="1" xfId="3" applyFont="1" applyFill="1" applyBorder="1" applyAlignment="1">
      <alignment horizontal="left" vertical="center"/>
    </xf>
    <xf numFmtId="0" fontId="15" fillId="2" borderId="2" xfId="3" applyFont="1" applyFill="1" applyBorder="1" applyAlignment="1">
      <alignment horizontal="left" vertical="center"/>
    </xf>
    <xf numFmtId="0" fontId="15" fillId="2" borderId="3" xfId="3" applyFont="1" applyFill="1" applyBorder="1" applyAlignment="1">
      <alignment horizontal="left" vertical="center"/>
    </xf>
    <xf numFmtId="0" fontId="11" fillId="6" borderId="1" xfId="3" applyFont="1" applyFill="1" applyBorder="1" applyAlignment="1">
      <alignment horizontal="left" vertical="center"/>
    </xf>
    <xf numFmtId="0" fontId="11" fillId="6" borderId="2" xfId="3" applyFont="1" applyFill="1" applyBorder="1" applyAlignment="1">
      <alignment horizontal="left" vertical="center"/>
    </xf>
    <xf numFmtId="0" fontId="11" fillId="6" borderId="3" xfId="3" applyFont="1" applyFill="1" applyBorder="1" applyAlignment="1">
      <alignment horizontal="left" vertical="center"/>
    </xf>
    <xf numFmtId="0" fontId="15" fillId="2" borderId="1" xfId="3" applyFont="1" applyFill="1" applyBorder="1" applyAlignment="1">
      <alignment horizontal="center" vertical="center"/>
    </xf>
    <xf numFmtId="0" fontId="15" fillId="2" borderId="2" xfId="3" applyFont="1" applyFill="1" applyBorder="1" applyAlignment="1">
      <alignment horizontal="center" vertical="center"/>
    </xf>
    <xf numFmtId="0" fontId="15" fillId="2" borderId="3" xfId="3" applyFont="1" applyFill="1" applyBorder="1" applyAlignment="1">
      <alignment horizontal="center" vertical="center"/>
    </xf>
    <xf numFmtId="10" fontId="14" fillId="0" borderId="4" xfId="7" applyNumberFormat="1" applyFont="1" applyBorder="1" applyAlignment="1">
      <alignment horizontal="center" vertical="center"/>
    </xf>
    <xf numFmtId="2" fontId="14" fillId="11" borderId="4" xfId="6" applyNumberFormat="1" applyFont="1" applyFill="1" applyBorder="1" applyAlignment="1">
      <alignment horizontal="center" vertical="center"/>
    </xf>
    <xf numFmtId="0" fontId="10" fillId="11" borderId="3" xfId="6" applyFont="1" applyFill="1" applyBorder="1" applyAlignment="1">
      <alignment vertical="center"/>
    </xf>
    <xf numFmtId="0" fontId="14" fillId="11" borderId="4" xfId="3" applyFont="1" applyFill="1" applyBorder="1" applyAlignment="1">
      <alignment horizontal="left" vertical="center"/>
    </xf>
    <xf numFmtId="10" fontId="14" fillId="11" borderId="4" xfId="7" applyNumberFormat="1" applyFont="1" applyFill="1" applyBorder="1" applyAlignment="1">
      <alignment horizontal="center" vertical="center"/>
    </xf>
    <xf numFmtId="44" fontId="14" fillId="11" borderId="4" xfId="1" applyFont="1" applyFill="1" applyBorder="1" applyAlignment="1">
      <alignment horizontal="center" vertical="center"/>
    </xf>
    <xf numFmtId="2" fontId="14" fillId="11" borderId="4" xfId="3" applyNumberFormat="1" applyFont="1" applyFill="1" applyBorder="1" applyAlignment="1">
      <alignment horizontal="center" vertical="center"/>
    </xf>
    <xf numFmtId="165" fontId="14" fillId="11" borderId="4" xfId="3" applyNumberFormat="1" applyFont="1" applyFill="1" applyBorder="1" applyAlignment="1">
      <alignment horizontal="center" vertical="center"/>
    </xf>
    <xf numFmtId="2" fontId="14" fillId="11" borderId="3" xfId="6" applyNumberFormat="1" applyFont="1" applyFill="1" applyBorder="1" applyAlignment="1">
      <alignment horizontal="center" vertical="center"/>
    </xf>
    <xf numFmtId="2" fontId="14" fillId="12" borderId="4" xfId="3" applyNumberFormat="1" applyFont="1" applyFill="1" applyBorder="1" applyAlignment="1">
      <alignment horizontal="center" vertical="center"/>
    </xf>
    <xf numFmtId="2" fontId="0" fillId="11" borderId="4" xfId="0" applyNumberFormat="1" applyFill="1" applyBorder="1" applyAlignment="1">
      <alignment horizontal="center" vertical="center"/>
    </xf>
    <xf numFmtId="0" fontId="0" fillId="11" borderId="3" xfId="0" applyFill="1" applyBorder="1" applyAlignment="1">
      <alignment vertical="center"/>
    </xf>
    <xf numFmtId="0" fontId="0" fillId="11" borderId="4" xfId="0" applyFill="1" applyBorder="1"/>
    <xf numFmtId="44" fontId="0" fillId="11" borderId="4" xfId="1" applyFont="1" applyFill="1" applyBorder="1" applyAlignment="1">
      <alignment horizontal="center" vertical="center"/>
    </xf>
    <xf numFmtId="0" fontId="0" fillId="11" borderId="5" xfId="0" applyFill="1" applyBorder="1"/>
    <xf numFmtId="44" fontId="0" fillId="11" borderId="5" xfId="1" applyFont="1" applyFill="1" applyBorder="1" applyAlignment="1">
      <alignment horizontal="center" vertical="center"/>
    </xf>
    <xf numFmtId="0" fontId="14" fillId="12" borderId="1" xfId="3" applyFont="1" applyFill="1" applyBorder="1" applyAlignment="1">
      <alignment horizontal="left" vertical="center" wrapText="1"/>
    </xf>
    <xf numFmtId="0" fontId="14" fillId="12" borderId="2" xfId="3" applyFont="1" applyFill="1" applyBorder="1" applyAlignment="1">
      <alignment horizontal="left" vertical="center" wrapText="1"/>
    </xf>
    <xf numFmtId="0" fontId="14" fillId="12" borderId="3" xfId="3" applyFont="1" applyFill="1" applyBorder="1" applyAlignment="1">
      <alignment horizontal="left" vertical="center" wrapText="1"/>
    </xf>
    <xf numFmtId="44" fontId="14" fillId="12" borderId="4" xfId="1" applyFont="1" applyFill="1" applyBorder="1" applyAlignment="1">
      <alignment horizontal="center" vertical="center" wrapText="1"/>
    </xf>
    <xf numFmtId="10" fontId="14" fillId="12" borderId="4" xfId="3" applyNumberFormat="1" applyFont="1" applyFill="1" applyBorder="1" applyAlignment="1">
      <alignment horizontal="center" vertical="center" wrapText="1"/>
    </xf>
    <xf numFmtId="0" fontId="14" fillId="12" borderId="4" xfId="3" applyFont="1" applyFill="1" applyBorder="1" applyAlignment="1">
      <alignment vertical="center" wrapText="1"/>
    </xf>
    <xf numFmtId="9" fontId="14" fillId="12" borderId="4" xfId="3" applyNumberFormat="1" applyFont="1" applyFill="1" applyBorder="1" applyAlignment="1">
      <alignment horizontal="center" vertical="center" wrapText="1"/>
    </xf>
    <xf numFmtId="167" fontId="14" fillId="12" borderId="4" xfId="8" applyNumberFormat="1" applyFont="1" applyFill="1" applyBorder="1" applyAlignment="1">
      <alignment horizontal="center" vertical="center" wrapText="1"/>
    </xf>
    <xf numFmtId="10" fontId="14" fillId="12" borderId="4" xfId="2" applyNumberFormat="1" applyFont="1" applyFill="1" applyBorder="1" applyAlignment="1">
      <alignment horizontal="center" vertical="center" wrapText="1"/>
    </xf>
    <xf numFmtId="0" fontId="14" fillId="12" borderId="1" xfId="3" applyFont="1" applyFill="1" applyBorder="1" applyAlignment="1">
      <alignment vertical="center" wrapText="1"/>
    </xf>
    <xf numFmtId="168" fontId="10" fillId="12" borderId="4" xfId="3" applyNumberFormat="1" applyFont="1" applyFill="1" applyBorder="1" applyAlignment="1">
      <alignment horizontal="center" vertical="center" wrapText="1"/>
    </xf>
    <xf numFmtId="9" fontId="10" fillId="12" borderId="4" xfId="3" applyNumberFormat="1" applyFont="1" applyFill="1" applyBorder="1" applyAlignment="1">
      <alignment horizontal="center" vertical="center" wrapText="1"/>
    </xf>
    <xf numFmtId="167" fontId="10" fillId="12" borderId="4" xfId="8" applyNumberFormat="1" applyFont="1" applyFill="1" applyBorder="1" applyAlignment="1">
      <alignment horizontal="center" vertical="center" wrapText="1"/>
    </xf>
    <xf numFmtId="165" fontId="10" fillId="12" borderId="4" xfId="3" applyNumberFormat="1" applyFont="1" applyFill="1" applyBorder="1" applyAlignment="1">
      <alignment horizontal="center" vertical="center" wrapText="1"/>
    </xf>
    <xf numFmtId="9" fontId="14" fillId="12" borderId="4" xfId="2" applyFont="1" applyFill="1" applyBorder="1" applyAlignment="1">
      <alignment horizontal="center" vertical="center" wrapText="1"/>
    </xf>
    <xf numFmtId="44" fontId="3" fillId="2" borderId="0" xfId="1" applyFont="1" applyFill="1" applyAlignment="1">
      <alignment vertical="center"/>
    </xf>
    <xf numFmtId="0" fontId="10" fillId="2" borderId="0" xfId="3" applyFont="1" applyFill="1" applyAlignment="1">
      <alignment vertical="center"/>
    </xf>
    <xf numFmtId="10" fontId="18" fillId="2" borderId="0" xfId="2" applyNumberFormat="1" applyFont="1" applyFill="1" applyAlignment="1">
      <alignment vertical="center"/>
    </xf>
    <xf numFmtId="10" fontId="15" fillId="0" borderId="4" xfId="7" applyNumberFormat="1" applyFont="1" applyBorder="1" applyAlignment="1">
      <alignment horizontal="right" vertical="center"/>
    </xf>
    <xf numFmtId="44" fontId="15" fillId="6" borderId="4" xfId="1" applyFont="1" applyFill="1" applyBorder="1" applyAlignment="1">
      <alignment horizontal="center" vertical="center"/>
    </xf>
    <xf numFmtId="44" fontId="3" fillId="2" borderId="0" xfId="3" applyNumberFormat="1" applyFont="1" applyFill="1" applyAlignment="1">
      <alignment vertical="center"/>
    </xf>
    <xf numFmtId="181" fontId="36" fillId="3" borderId="22" xfId="1" applyNumberFormat="1" applyFont="1" applyFill="1" applyBorder="1" applyAlignment="1">
      <alignment horizontal="center" vertical="center"/>
    </xf>
    <xf numFmtId="0" fontId="29" fillId="3" borderId="19" xfId="10" applyFont="1" applyFill="1" applyBorder="1" applyAlignment="1">
      <alignment vertical="center" wrapText="1"/>
    </xf>
    <xf numFmtId="0" fontId="29" fillId="3" borderId="20" xfId="10" applyFont="1" applyFill="1" applyBorder="1" applyAlignment="1">
      <alignment vertical="center" wrapText="1"/>
    </xf>
  </cellXfs>
  <cellStyles count="15">
    <cellStyle name="Hipervínculo 2" xfId="13" xr:uid="{3B366F27-0800-40EE-B80F-851A3A43261D}"/>
    <cellStyle name="Millares" xfId="9" builtinId="3"/>
    <cellStyle name="Moneda" xfId="1" builtinId="4"/>
    <cellStyle name="Moneda [0] 2" xfId="8" xr:uid="{2DCB8489-1F6C-43C9-B1C2-69233BECA526}"/>
    <cellStyle name="Moneda 2" xfId="14" xr:uid="{29A019A1-3965-4D50-A497-47D6035D01D8}"/>
    <cellStyle name="Moneda 3 2" xfId="5" xr:uid="{BAD23658-91BE-459D-93E8-261210031690}"/>
    <cellStyle name="Normal" xfId="0" builtinId="0"/>
    <cellStyle name="Normal 2 2" xfId="10" xr:uid="{D57B7016-C1B1-4763-9618-D5D892BA9CB9}"/>
    <cellStyle name="Normal 2 2 2 2" xfId="6" xr:uid="{DD65FAD0-27CB-4DBE-96B9-77C2106EFE23}"/>
    <cellStyle name="Normal 3" xfId="12" xr:uid="{7D55B71E-B867-4691-B886-6774839AFE27}"/>
    <cellStyle name="Normal 3 2" xfId="4" xr:uid="{D3D07816-780B-4F1D-8232-0BEAA0B7E002}"/>
    <cellStyle name="Normal_Libro1" xfId="3" xr:uid="{AC319F20-9893-4A46-B3DA-FBBC57BEDD0F}"/>
    <cellStyle name="Porcentaje" xfId="2" builtinId="5"/>
    <cellStyle name="Porcentaje 2" xfId="11" xr:uid="{9134D6D2-8E1A-4AD8-BA7F-A3F44A77DB21}"/>
    <cellStyle name="Porcentaje 2 2" xfId="7" xr:uid="{49975187-A73B-4B13-A2BA-33856AF13D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theme" Target="theme/theme1.xml"/><Relationship Id="rId3" Type="http://schemas.openxmlformats.org/officeDocument/2006/relationships/externalLink" Target="externalLinks/externalLink1.xml"/><Relationship Id="rId21" Type="http://schemas.openxmlformats.org/officeDocument/2006/relationships/calcChain" Target="calcChain.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10" Type="http://schemas.openxmlformats.org/officeDocument/2006/relationships/externalLink" Target="externalLinks/externalLink8.xml"/><Relationship Id="rId19"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s>
</file>

<file path=xl/drawings/_rels/vmlDrawing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MESING\Carlos%20(C)\00-VALENCIA\Matadero\Definitivo\Lagunas%20Matader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ESING\Unidad%20C\00-ACTUAL\0-Bijagual\BPIN-EBI-Bijagual\Proyecto%205ta%20Etapa%20Bij.(2)(Def).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ESING\Unidad%20C\000-Precios%20Alcantarillado\PRECIOS%20ALCANTARILLAD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ESING\Carlos%20(C)\Mis%20documentos\Licitaciones\BOCCI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00-ACTUAL\0-Carrizal%202003\Presupuesto%20y%20A.P.U..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0-Valencia\Terminal\TERMINAL%20VALENCIA\ASPECTOS%20TECNICOS\AN.PREC.TERM.FICHA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MESING\Carlos%20(C)\00-2004\Frigosin&#250;\Bombeo-Frigosinu.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0-VALENCIA\0%20-%20Matadero\Dise&#241;os-Presupuesto\Lagunas%20Matader%20Valenci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Datos%20CASF\0%20-%20VALENCIA\0%20-%20Matadero\3%20-%20Presupuesto\CVS%20Montelibano\copia%20equipo%20pavilion\Mis%20documentos\MONICA\CVS\canal%20La%20granja\PROPUESTA%20ECOGESTAR%20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Ntdatmon\Datos\windows\TEMP\Requisici&#243;n%20Herramientas%20200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AU%20CONSTRUCICON%2010%20VIVIENDAS%20-%20ACTUALIZADO%20OC%20T27%202025%203.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d.docs.live.net/0-Valencia/Terminal/TERMINAL%20VALENCIA/ASPECTOS%20TECNICOS/AN.PREC.TERM.FICHA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d.docs.live.net/0-VALENCIA/0%20-%20Matadero/Dise&#241;os-Presupuesto/Lagunas%20Matader%20Valenci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d.docs.live.net/Datos%20CASF/0%20-%20VALENCIA/0%20-%20Matadero/3%20-%20Presupuesto/CVS%20Montelibano/copia%20equipo%20pavilion/Mis%20documentos/MONICA/CVS/canal%20La%20granja/PROPUESTA%20ECOGESTAR%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oros"/>
      <sheetName val="Caudales"/>
      <sheetName val="Estructura"/>
      <sheetName val="Hoja2"/>
      <sheetName val="OPS&amp;OMS"/>
      <sheetName val="Diseño 2"/>
      <sheetName val="Diseño 3"/>
      <sheetName val="Hoja1"/>
      <sheetName val="Tesis"/>
    </sheetNames>
    <sheetDataSet>
      <sheetData sheetId="0" refreshError="1"/>
      <sheetData sheetId="1" refreshError="1"/>
      <sheetData sheetId="2" refreshError="1"/>
      <sheetData sheetId="3" refreshError="1"/>
      <sheetData sheetId="4">
        <row r="1">
          <cell r="A1" t="str">
            <v>CALCULO DE LAGUNAS DE ESTABILIZACION</v>
          </cell>
        </row>
        <row r="2">
          <cell r="A2" t="str">
            <v>ELABORADO POR EL INGENIERO LUIS SANCHEZ S. ASESOR OPS/OMS</v>
          </cell>
        </row>
        <row r="4">
          <cell r="A4" t="str">
            <v>CALCULOS REALIZADOS PARA EL SISTEMA DE TRATAMIENTO DEL MATADERO DE VALENCIA</v>
          </cell>
        </row>
        <row r="6">
          <cell r="A6" t="str">
            <v xml:space="preserve">                                  D A T O S</v>
          </cell>
        </row>
        <row r="7">
          <cell r="A7" t="str">
            <v>=</v>
          </cell>
          <cell r="B7" t="str">
            <v>=</v>
          </cell>
          <cell r="C7" t="str">
            <v>=</v>
          </cell>
          <cell r="D7" t="str">
            <v>=</v>
          </cell>
          <cell r="E7" t="str">
            <v>=</v>
          </cell>
          <cell r="I7" t="str">
            <v>/pprPAG1~agpq~</v>
          </cell>
        </row>
        <row r="8">
          <cell r="A8" t="str">
            <v>VARIABLES</v>
          </cell>
          <cell r="B8" t="str">
            <v>SIMBOLO</v>
          </cell>
          <cell r="C8" t="str">
            <v>VALOR</v>
          </cell>
          <cell r="D8" t="str">
            <v>UNIDAD</v>
          </cell>
          <cell r="E8" t="str">
            <v>FORMULA</v>
          </cell>
        </row>
        <row r="9">
          <cell r="A9" t="str">
            <v>=</v>
          </cell>
          <cell r="B9" t="str">
            <v>=</v>
          </cell>
          <cell r="C9" t="str">
            <v>=</v>
          </cell>
          <cell r="D9" t="str">
            <v>=</v>
          </cell>
          <cell r="E9" t="str">
            <v>=</v>
          </cell>
        </row>
        <row r="11">
          <cell r="A11" t="str">
            <v>POBLACION DE DISEÑO</v>
          </cell>
          <cell r="B11" t="str">
            <v>P</v>
          </cell>
          <cell r="C11">
            <v>30.76923076923077</v>
          </cell>
          <cell r="D11" t="str">
            <v>hab</v>
          </cell>
          <cell r="E11" t="str">
            <v>Variable</v>
          </cell>
        </row>
        <row r="13">
          <cell r="A13" t="str">
            <v>APORTE NETO DE AGUA RESIDUAL</v>
          </cell>
          <cell r="B13" t="str">
            <v>q</v>
          </cell>
          <cell r="C13">
            <v>1400</v>
          </cell>
          <cell r="D13" t="str">
            <v>lt/hab/día</v>
          </cell>
          <cell r="E13" t="str">
            <v>Variable</v>
          </cell>
        </row>
        <row r="14">
          <cell r="I14" t="str">
            <v>/WGPE~</v>
          </cell>
        </row>
        <row r="15">
          <cell r="A15" t="str">
            <v>CARGA ORGANICA POR HABITANTE</v>
          </cell>
          <cell r="B15" t="str">
            <v>Co</v>
          </cell>
          <cell r="C15">
            <v>2925</v>
          </cell>
          <cell r="D15" t="str">
            <v>gr/hab/día</v>
          </cell>
          <cell r="E15" t="str">
            <v>Variable</v>
          </cell>
        </row>
        <row r="17">
          <cell r="A17" t="str">
            <v>CARGA ORGANICA TOTAL</v>
          </cell>
          <cell r="B17" t="str">
            <v>Ct</v>
          </cell>
          <cell r="C17">
            <v>90</v>
          </cell>
          <cell r="D17" t="str">
            <v>kg/día</v>
          </cell>
          <cell r="E17" t="str">
            <v>P x Co/1000</v>
          </cell>
        </row>
        <row r="19">
          <cell r="A19" t="str">
            <v>TEMP AMBIENTE PROMEDIO DEL MES MAS FRIO</v>
          </cell>
          <cell r="B19" t="str">
            <v>T</v>
          </cell>
          <cell r="C19">
            <v>18</v>
          </cell>
          <cell r="D19" t="str">
            <v>C</v>
          </cell>
          <cell r="E19" t="str">
            <v>Variable</v>
          </cell>
        </row>
        <row r="21">
          <cell r="A21" t="str">
            <v>DBO AL INGRESO</v>
          </cell>
          <cell r="B21" t="str">
            <v>Lo</v>
          </cell>
          <cell r="C21">
            <v>2089.2857142857142</v>
          </cell>
          <cell r="D21" t="str">
            <v>mg/lt</v>
          </cell>
          <cell r="E21" t="str">
            <v>Ct x 10^3/Q</v>
          </cell>
        </row>
        <row r="23">
          <cell r="A23" t="str">
            <v>CARGA BACTERIAL</v>
          </cell>
          <cell r="B23" t="str">
            <v>N1</v>
          </cell>
          <cell r="C23">
            <v>50000000</v>
          </cell>
          <cell r="D23" t="str">
            <v>CF/100 ml</v>
          </cell>
          <cell r="E23" t="str">
            <v>Variable</v>
          </cell>
        </row>
        <row r="25">
          <cell r="A25" t="str">
            <v>VOLUMEN DE AGUA RESIDUAL</v>
          </cell>
          <cell r="B25" t="str">
            <v>Q</v>
          </cell>
          <cell r="C25">
            <v>43.07692307692308</v>
          </cell>
          <cell r="D25" t="str">
            <v>m^3/dia</v>
          </cell>
          <cell r="E25" t="str">
            <v>P x q/1000</v>
          </cell>
        </row>
        <row r="26">
          <cell r="A26" t="str">
            <v>=</v>
          </cell>
          <cell r="B26" t="str">
            <v>=</v>
          </cell>
          <cell r="C26" t="str">
            <v>=</v>
          </cell>
          <cell r="D26" t="str">
            <v>=</v>
          </cell>
          <cell r="E26" t="str">
            <v>=</v>
          </cell>
        </row>
        <row r="48">
          <cell r="D48" t="str">
            <v>=</v>
          </cell>
          <cell r="E48" t="str">
            <v>=</v>
          </cell>
        </row>
        <row r="49">
          <cell r="D49" t="str">
            <v>REMOCION DE DBO EN %</v>
          </cell>
        </row>
        <row r="50">
          <cell r="D50" t="str">
            <v>%Ra</v>
          </cell>
        </row>
        <row r="51">
          <cell r="D51" t="str">
            <v>=</v>
          </cell>
          <cell r="E51" t="str">
            <v>=</v>
          </cell>
        </row>
        <row r="53">
          <cell r="D53" t="str">
            <v>40</v>
          </cell>
        </row>
        <row r="55">
          <cell r="D55" t="str">
            <v>2*T + 20</v>
          </cell>
        </row>
        <row r="57">
          <cell r="D57" t="str">
            <v>60</v>
          </cell>
        </row>
        <row r="59">
          <cell r="D59" t="str">
            <v>=</v>
          </cell>
        </row>
        <row r="63">
          <cell r="D63" t="str">
            <v>gr/m3/día</v>
          </cell>
        </row>
        <row r="67">
          <cell r="D67" t="str">
            <v>%</v>
          </cell>
        </row>
        <row r="71">
          <cell r="A71" t="str">
            <v xml:space="preserve">                   CALCULO DE LA LAGUNA ANAEROBICA</v>
          </cell>
        </row>
        <row r="74">
          <cell r="A74" t="str">
            <v>=</v>
          </cell>
          <cell r="B74" t="str">
            <v>=</v>
          </cell>
          <cell r="C74" t="str">
            <v>=</v>
          </cell>
          <cell r="D74" t="str">
            <v>=</v>
          </cell>
        </row>
        <row r="75">
          <cell r="A75" t="str">
            <v>PARAMETRO</v>
          </cell>
          <cell r="C75" t="str">
            <v>VALOR</v>
          </cell>
          <cell r="D75" t="str">
            <v>UNIDAD</v>
          </cell>
        </row>
        <row r="76">
          <cell r="A76" t="str">
            <v>=</v>
          </cell>
          <cell r="B76" t="str">
            <v>=</v>
          </cell>
          <cell r="C76" t="str">
            <v>=</v>
          </cell>
          <cell r="D76" t="str">
            <v>=</v>
          </cell>
        </row>
        <row r="78">
          <cell r="A78" t="str">
            <v>Carga total admisible</v>
          </cell>
          <cell r="B78" t="str">
            <v>CA</v>
          </cell>
          <cell r="C78">
            <v>260</v>
          </cell>
          <cell r="D78" t="str">
            <v>gr/m3/día</v>
          </cell>
        </row>
        <row r="80">
          <cell r="A80" t="str">
            <v>% de Remoción de DBO</v>
          </cell>
          <cell r="B80" t="str">
            <v>%Ra</v>
          </cell>
          <cell r="C80">
            <v>56</v>
          </cell>
          <cell r="D80" t="str">
            <v>%</v>
          </cell>
        </row>
        <row r="82">
          <cell r="A82" t="str">
            <v>Volumen de la laguna</v>
          </cell>
          <cell r="B82" t="str">
            <v>V</v>
          </cell>
          <cell r="C82">
            <v>346.15384615384613</v>
          </cell>
          <cell r="D82" t="str">
            <v>m3</v>
          </cell>
        </row>
        <row r="84">
          <cell r="A84" t="str">
            <v>Tiempo de retención</v>
          </cell>
          <cell r="B84" t="str">
            <v>t1</v>
          </cell>
          <cell r="C84">
            <v>8.0357142857142847</v>
          </cell>
          <cell r="D84" t="str">
            <v>días</v>
          </cell>
        </row>
        <row r="86">
          <cell r="A86" t="str">
            <v>Profundidad de laguna</v>
          </cell>
          <cell r="B86" t="str">
            <v>h</v>
          </cell>
          <cell r="C86">
            <v>3.5</v>
          </cell>
          <cell r="D86" t="str">
            <v>metros</v>
          </cell>
        </row>
        <row r="88">
          <cell r="A88" t="str">
            <v>Area de laguna</v>
          </cell>
          <cell r="B88" t="str">
            <v>A</v>
          </cell>
          <cell r="C88">
            <v>98.901098901098891</v>
          </cell>
          <cell r="D88" t="str">
            <v>m2</v>
          </cell>
        </row>
        <row r="90">
          <cell r="A90" t="str">
            <v>DBO a la salida</v>
          </cell>
          <cell r="B90" t="str">
            <v>L1</v>
          </cell>
          <cell r="C90">
            <v>919.28571428571422</v>
          </cell>
          <cell r="D90" t="str">
            <v>mg/lt</v>
          </cell>
        </row>
        <row r="92">
          <cell r="A92" t="str">
            <v>Número de lagunas</v>
          </cell>
          <cell r="B92" t="str">
            <v>u</v>
          </cell>
          <cell r="C92">
            <v>1</v>
          </cell>
          <cell r="D92" t="str">
            <v>unidades</v>
          </cell>
        </row>
        <row r="94">
          <cell r="A94" t="str">
            <v>Relación Largo/Ancho</v>
          </cell>
          <cell r="B94" t="str">
            <v>r</v>
          </cell>
          <cell r="C94">
            <v>1</v>
          </cell>
        </row>
        <row r="96">
          <cell r="A96" t="str">
            <v>Ancho medio</v>
          </cell>
          <cell r="B96" t="str">
            <v>w</v>
          </cell>
          <cell r="C96">
            <v>9.9449031619769368</v>
          </cell>
          <cell r="D96" t="str">
            <v>metros</v>
          </cell>
        </row>
        <row r="98">
          <cell r="A98" t="str">
            <v>Largo medio</v>
          </cell>
          <cell r="B98" t="str">
            <v>l</v>
          </cell>
          <cell r="C98">
            <v>9.9449031619769368</v>
          </cell>
          <cell r="D98" t="str">
            <v>metros</v>
          </cell>
        </row>
        <row r="100">
          <cell r="A100" t="str">
            <v>Ancho del Espejo de agua</v>
          </cell>
          <cell r="B100" t="str">
            <v>w1</v>
          </cell>
          <cell r="C100">
            <v>20.444903161976939</v>
          </cell>
          <cell r="D100" t="str">
            <v>metros</v>
          </cell>
        </row>
        <row r="102">
          <cell r="A102" t="str">
            <v>Largo del Espejo de agua</v>
          </cell>
          <cell r="B102" t="str">
            <v>l1</v>
          </cell>
          <cell r="C102">
            <v>20.444903161976939</v>
          </cell>
          <cell r="D102" t="str">
            <v>metros</v>
          </cell>
        </row>
        <row r="104">
          <cell r="A104" t="str">
            <v>Ancho fondo</v>
          </cell>
          <cell r="B104" t="str">
            <v>wf</v>
          </cell>
          <cell r="C104">
            <v>-0.5550968380230632</v>
          </cell>
          <cell r="D104" t="str">
            <v>metros</v>
          </cell>
        </row>
        <row r="106">
          <cell r="A106" t="str">
            <v>Largo fondo</v>
          </cell>
          <cell r="B106" t="str">
            <v>lf</v>
          </cell>
          <cell r="C106">
            <v>-0.5550968380230632</v>
          </cell>
          <cell r="D106" t="str">
            <v>metros</v>
          </cell>
        </row>
        <row r="108">
          <cell r="A108" t="str">
            <v>Ancho de Cresta</v>
          </cell>
          <cell r="B108" t="str">
            <v>wc</v>
          </cell>
          <cell r="C108">
            <v>23.444903161976939</v>
          </cell>
          <cell r="D108" t="str">
            <v>metros</v>
          </cell>
        </row>
        <row r="110">
          <cell r="A110" t="str">
            <v>Largo de Cresta</v>
          </cell>
          <cell r="B110" t="str">
            <v>lc</v>
          </cell>
          <cell r="C110">
            <v>23.444903161976939</v>
          </cell>
          <cell r="D110" t="str">
            <v>metros</v>
          </cell>
        </row>
        <row r="112">
          <cell r="A112" t="str">
            <v>Area lagunas  anerobicas</v>
          </cell>
          <cell r="B112" t="str">
            <v>an</v>
          </cell>
          <cell r="C112">
            <v>549.66348427447622</v>
          </cell>
          <cell r="D112" t="str">
            <v>m^2</v>
          </cell>
        </row>
        <row r="114">
          <cell r="A114" t="str">
            <v>=</v>
          </cell>
          <cell r="B114" t="str">
            <v>=</v>
          </cell>
          <cell r="C114" t="str">
            <v>=</v>
          </cell>
          <cell r="D114" t="str">
            <v>=</v>
          </cell>
        </row>
        <row r="118">
          <cell r="A118" t="str">
            <v>CALCULO DE LAGUNAS FACULTATIVAS</v>
          </cell>
        </row>
        <row r="119">
          <cell r="A119" t="str">
            <v>-------------------------------</v>
          </cell>
        </row>
        <row r="121">
          <cell r="A121" t="str">
            <v>La tasa de carga admisible para lagunas facultativas según Mara (1987)</v>
          </cell>
        </row>
        <row r="122">
          <cell r="A122" t="str">
            <v>es:</v>
          </cell>
        </row>
        <row r="124">
          <cell r="A124" t="str">
            <v xml:space="preserve">               CAF = 350 * (1.107 - 0.002 * T)^(T - 25)</v>
          </cell>
        </row>
        <row r="127">
          <cell r="A127" t="str">
            <v>La carga admisible de DBO para lagunas facultativas es:</v>
          </cell>
        </row>
        <row r="129">
          <cell r="C129">
            <v>216.5418029934784</v>
          </cell>
          <cell r="D129" t="str">
            <v>kg/ha/día</v>
          </cell>
        </row>
        <row r="131">
          <cell r="A131" t="str">
            <v>Porcentaje de Remoción de DBO</v>
          </cell>
        </row>
        <row r="133">
          <cell r="A133" t="str">
            <v>% Rf = ( 0.725 * CAF + 10.75) * 100/(CAF)       [Mc Garry y Pescod 1970 ]</v>
          </cell>
        </row>
        <row r="135">
          <cell r="A135" t="str">
            <v xml:space="preserve">El porcentaje de remoción es :    </v>
          </cell>
          <cell r="B135">
            <v>77.464399414520329</v>
          </cell>
        </row>
        <row r="138">
          <cell r="A138" t="str">
            <v xml:space="preserve">                   CALCULO DE LA LAGUNA FACULTATIVA</v>
          </cell>
        </row>
        <row r="141">
          <cell r="A141" t="str">
            <v>=</v>
          </cell>
          <cell r="B141" t="str">
            <v>=</v>
          </cell>
          <cell r="C141" t="str">
            <v>=</v>
          </cell>
          <cell r="D141" t="str">
            <v>=</v>
          </cell>
          <cell r="E141" t="str">
            <v>=</v>
          </cell>
        </row>
        <row r="142">
          <cell r="A142" t="str">
            <v>PARAMETRO</v>
          </cell>
          <cell r="C142" t="str">
            <v>VALOR</v>
          </cell>
          <cell r="D142" t="str">
            <v>UNIDAD</v>
          </cell>
          <cell r="E142" t="str">
            <v>Variable</v>
          </cell>
        </row>
        <row r="143">
          <cell r="A143" t="str">
            <v>=</v>
          </cell>
          <cell r="B143" t="str">
            <v>=</v>
          </cell>
          <cell r="C143" t="str">
            <v>=</v>
          </cell>
          <cell r="D143" t="str">
            <v>=</v>
          </cell>
          <cell r="E143" t="str">
            <v>=</v>
          </cell>
        </row>
        <row r="145">
          <cell r="A145" t="str">
            <v>Carga total admisible</v>
          </cell>
          <cell r="B145" t="str">
            <v>CAF</v>
          </cell>
          <cell r="C145">
            <v>216.54</v>
          </cell>
          <cell r="D145" t="str">
            <v>Kg/ha/día</v>
          </cell>
          <cell r="E145" t="str">
            <v>Variable</v>
          </cell>
        </row>
        <row r="147">
          <cell r="A147" t="str">
            <v>Carga al ingreso</v>
          </cell>
          <cell r="B147" t="str">
            <v>Ct1</v>
          </cell>
          <cell r="C147">
            <v>39.6</v>
          </cell>
          <cell r="D147" t="str">
            <v>kg/día</v>
          </cell>
          <cell r="E147" t="str">
            <v>Ct*(100-Ra)/100</v>
          </cell>
        </row>
        <row r="149">
          <cell r="A149" t="str">
            <v>Area</v>
          </cell>
          <cell r="B149" t="str">
            <v>Af</v>
          </cell>
          <cell r="C149">
            <v>1828.7614297589362</v>
          </cell>
          <cell r="D149" t="str">
            <v>m2</v>
          </cell>
          <cell r="E149" t="str">
            <v>Ct1*10^4/CAF</v>
          </cell>
        </row>
        <row r="151">
          <cell r="A151" t="str">
            <v>Profundidad de laguna</v>
          </cell>
          <cell r="B151" t="str">
            <v>hf</v>
          </cell>
          <cell r="C151">
            <v>1.6</v>
          </cell>
          <cell r="D151" t="str">
            <v>metros</v>
          </cell>
          <cell r="E151" t="str">
            <v>Variable</v>
          </cell>
        </row>
        <row r="153">
          <cell r="A153" t="str">
            <v>Volumen</v>
          </cell>
          <cell r="B153" t="str">
            <v>Vf</v>
          </cell>
          <cell r="C153">
            <v>2926.0182876142981</v>
          </cell>
          <cell r="D153" t="str">
            <v>m3</v>
          </cell>
          <cell r="E153" t="str">
            <v>Af * hf</v>
          </cell>
        </row>
        <row r="155">
          <cell r="A155" t="str">
            <v>Tiempo de retención</v>
          </cell>
          <cell r="B155" t="str">
            <v>t2</v>
          </cell>
          <cell r="C155">
            <v>67.925424533903339</v>
          </cell>
          <cell r="D155" t="str">
            <v>días</v>
          </cell>
          <cell r="E155" t="str">
            <v>Vf/Q</v>
          </cell>
        </row>
        <row r="157">
          <cell r="A157" t="str">
            <v>Carga a la salida</v>
          </cell>
          <cell r="B157" t="str">
            <v>Ct2</v>
          </cell>
          <cell r="C157">
            <v>8.9240978318499504</v>
          </cell>
          <cell r="D157" t="str">
            <v>kg/día</v>
          </cell>
          <cell r="E157" t="str">
            <v>Ct1 * (100-Rf)/100</v>
          </cell>
        </row>
        <row r="159">
          <cell r="A159" t="str">
            <v>DBO a la salida</v>
          </cell>
          <cell r="B159" t="str">
            <v>L2</v>
          </cell>
          <cell r="C159">
            <v>207.16655681080243</v>
          </cell>
          <cell r="D159" t="str">
            <v>mg/lt</v>
          </cell>
          <cell r="E159" t="str">
            <v>Ct2 x 1000000/P/q</v>
          </cell>
        </row>
        <row r="161">
          <cell r="A161" t="str">
            <v>Número de lagunas</v>
          </cell>
          <cell r="B161" t="str">
            <v>uf</v>
          </cell>
          <cell r="C161">
            <v>1</v>
          </cell>
          <cell r="D161" t="str">
            <v>unidades</v>
          </cell>
          <cell r="E161" t="str">
            <v>Variable</v>
          </cell>
        </row>
        <row r="163">
          <cell r="A163" t="str">
            <v>Relación Largo/Ancho</v>
          </cell>
          <cell r="B163" t="str">
            <v>r</v>
          </cell>
          <cell r="C163">
            <v>2</v>
          </cell>
          <cell r="E163" t="str">
            <v>Variable</v>
          </cell>
        </row>
        <row r="165">
          <cell r="A165" t="str">
            <v>Ancho medio</v>
          </cell>
          <cell r="B165" t="str">
            <v>wf</v>
          </cell>
          <cell r="C165">
            <v>30.238728724592047</v>
          </cell>
          <cell r="D165" t="str">
            <v>metros</v>
          </cell>
          <cell r="E165" t="str">
            <v xml:space="preserve">      (Af/uf/r)^1/2</v>
          </cell>
        </row>
        <row r="167">
          <cell r="A167" t="str">
            <v>Largo medio</v>
          </cell>
          <cell r="B167" t="str">
            <v>l</v>
          </cell>
          <cell r="C167">
            <v>60.477457449184094</v>
          </cell>
          <cell r="D167" t="str">
            <v>metros</v>
          </cell>
          <cell r="E167" t="str">
            <v xml:space="preserve">wf x r </v>
          </cell>
        </row>
        <row r="169">
          <cell r="A169" t="str">
            <v>Ancho del Espejo de agua</v>
          </cell>
          <cell r="B169" t="str">
            <v>w1</v>
          </cell>
          <cell r="C169">
            <v>35.038728724592048</v>
          </cell>
          <cell r="D169" t="str">
            <v>metros</v>
          </cell>
          <cell r="E169" t="str">
            <v xml:space="preserve">        3h+wf</v>
          </cell>
        </row>
        <row r="171">
          <cell r="A171" t="str">
            <v>Largo del Espejo de agua</v>
          </cell>
          <cell r="B171" t="str">
            <v>l1</v>
          </cell>
          <cell r="C171">
            <v>65.277457449184098</v>
          </cell>
          <cell r="D171" t="str">
            <v>metros</v>
          </cell>
          <cell r="E171" t="str">
            <v xml:space="preserve">        3h+lf</v>
          </cell>
        </row>
        <row r="173">
          <cell r="A173" t="str">
            <v>Ancho fondo</v>
          </cell>
          <cell r="B173" t="str">
            <v>wf</v>
          </cell>
          <cell r="C173">
            <v>25.438728724592046</v>
          </cell>
          <cell r="D173" t="str">
            <v>metros</v>
          </cell>
          <cell r="E173" t="str">
            <v xml:space="preserve">        wf-3*h</v>
          </cell>
        </row>
        <row r="175">
          <cell r="A175" t="str">
            <v>Largo fondo</v>
          </cell>
          <cell r="B175" t="str">
            <v>lf</v>
          </cell>
          <cell r="C175">
            <v>55.677457449184089</v>
          </cell>
          <cell r="D175" t="str">
            <v>metros</v>
          </cell>
          <cell r="E175" t="str">
            <v xml:space="preserve">         lf-3*h</v>
          </cell>
        </row>
        <row r="177">
          <cell r="A177" t="str">
            <v>Ancho de Cresta</v>
          </cell>
          <cell r="B177" t="str">
            <v>wc</v>
          </cell>
          <cell r="C177">
            <v>38.038728724592048</v>
          </cell>
          <cell r="D177" t="str">
            <v>metros</v>
          </cell>
          <cell r="E177" t="str">
            <v xml:space="preserve">        w1 + 3</v>
          </cell>
        </row>
        <row r="179">
          <cell r="A179" t="str">
            <v>Largo de Cresta</v>
          </cell>
          <cell r="B179" t="str">
            <v>lc</v>
          </cell>
          <cell r="C179">
            <v>68.277457449184098</v>
          </cell>
          <cell r="D179" t="str">
            <v>metros</v>
          </cell>
          <cell r="E179" t="str">
            <v xml:space="preserve">        lf + 3</v>
          </cell>
        </row>
        <row r="181">
          <cell r="A181" t="str">
            <v>Area lagunas  facultativas</v>
          </cell>
          <cell r="B181" t="str">
            <v>an</v>
          </cell>
          <cell r="C181">
            <v>2597.1876819143904</v>
          </cell>
          <cell r="D181" t="str">
            <v>m^2</v>
          </cell>
          <cell r="E181" t="str">
            <v xml:space="preserve">    wc * lc * uf</v>
          </cell>
        </row>
        <row r="183">
          <cell r="A183" t="str">
            <v>=</v>
          </cell>
          <cell r="B183" t="str">
            <v>=</v>
          </cell>
          <cell r="C183" t="str">
            <v>=</v>
          </cell>
          <cell r="D183" t="str">
            <v>=</v>
          </cell>
          <cell r="E183" t="str">
            <v>=</v>
          </cell>
        </row>
        <row r="187">
          <cell r="A187" t="str">
            <v>CALCULO DE LAGUNAS DE MADURACION</v>
          </cell>
        </row>
        <row r="188">
          <cell r="A188" t="str">
            <v>--------------------------------</v>
          </cell>
        </row>
        <row r="190">
          <cell r="A190" t="str">
            <v>La constante de remoción de CF se resume en la siguiente ecuación:</v>
          </cell>
        </row>
        <row r="192">
          <cell r="A192" t="str">
            <v xml:space="preserve">                         Kb = 2,6 * 1,19 ^(T - 20)</v>
          </cell>
        </row>
        <row r="194">
          <cell r="A194" t="str">
            <v>Para una temperatura de</v>
          </cell>
          <cell r="B194">
            <v>18</v>
          </cell>
          <cell r="C194" t="str">
            <v>C su valor será el siguiente:</v>
          </cell>
        </row>
        <row r="196">
          <cell r="C196">
            <v>1.8360285290586824</v>
          </cell>
          <cell r="D196" t="str">
            <v>dia^-1</v>
          </cell>
        </row>
        <row r="198">
          <cell r="A198" t="str">
            <v>La remoción de coliformes del conjunto se puede hallar con la siguien-</v>
          </cell>
        </row>
        <row r="199">
          <cell r="A199" t="str">
            <v>te ecuación:</v>
          </cell>
        </row>
        <row r="201">
          <cell r="A201" t="str">
            <v xml:space="preserve">  ====&gt; Ne = N1 / [(1 + Kb*t1) * (1 + Kb*t2) * (1 + Kb*t3)^n]  &lt;====</v>
          </cell>
        </row>
        <row r="203">
          <cell r="A203" t="str">
            <v>donde:</v>
          </cell>
        </row>
        <row r="205">
          <cell r="A205" t="str">
            <v xml:space="preserve">       t1 = tiempo de retención en lagunas anaeróbicas</v>
          </cell>
        </row>
        <row r="206">
          <cell r="A206" t="str">
            <v xml:space="preserve">       t2 = tiempo de retención en lagunas facultativas</v>
          </cell>
        </row>
        <row r="207">
          <cell r="A207" t="str">
            <v xml:space="preserve">       t3 = tiempo de retencion en lagunas de maduración</v>
          </cell>
        </row>
        <row r="208">
          <cell r="A208" t="str">
            <v xml:space="preserve">       n  = número de lagunas de maduración  </v>
          </cell>
        </row>
        <row r="212">
          <cell r="A212" t="str">
            <v xml:space="preserve">                   CALCULO DE LA LAGUNA DE MADURACION</v>
          </cell>
        </row>
        <row r="214">
          <cell r="D214">
            <v>99.995797881483981</v>
          </cell>
        </row>
        <row r="215">
          <cell r="A215" t="str">
            <v>=</v>
          </cell>
          <cell r="B215" t="str">
            <v>=</v>
          </cell>
          <cell r="C215" t="str">
            <v>=</v>
          </cell>
          <cell r="D215" t="str">
            <v>=</v>
          </cell>
          <cell r="E215" t="str">
            <v>=</v>
          </cell>
        </row>
        <row r="216">
          <cell r="A216" t="str">
            <v>PARAMETRO</v>
          </cell>
          <cell r="C216" t="str">
            <v>VALOR</v>
          </cell>
          <cell r="D216" t="str">
            <v>UNIDAD</v>
          </cell>
          <cell r="E216" t="str">
            <v>FORMULA</v>
          </cell>
        </row>
        <row r="217">
          <cell r="A217" t="str">
            <v>=</v>
          </cell>
          <cell r="B217" t="str">
            <v>=</v>
          </cell>
          <cell r="C217" t="str">
            <v>=</v>
          </cell>
          <cell r="D217" t="str">
            <v>=</v>
          </cell>
          <cell r="E217" t="str">
            <v>=</v>
          </cell>
        </row>
        <row r="219">
          <cell r="A219" t="str">
            <v>Número de lagunas</v>
          </cell>
          <cell r="B219" t="str">
            <v>n</v>
          </cell>
          <cell r="C219">
            <v>1</v>
          </cell>
          <cell r="D219" t="str">
            <v>un</v>
          </cell>
          <cell r="E219" t="str">
            <v>Variable</v>
          </cell>
        </row>
        <row r="221">
          <cell r="A221" t="str">
            <v>Tiempo de retención</v>
          </cell>
          <cell r="B221" t="str">
            <v>t3</v>
          </cell>
          <cell r="C221">
            <v>6</v>
          </cell>
          <cell r="D221" t="str">
            <v>días</v>
          </cell>
          <cell r="E221" t="str">
            <v>Variable</v>
          </cell>
        </row>
        <row r="223">
          <cell r="A223" t="str">
            <v>Remoción total de CF</v>
          </cell>
          <cell r="B223" t="str">
            <v>Ne</v>
          </cell>
          <cell r="C223">
            <v>2101.0592580091184</v>
          </cell>
          <cell r="D223" t="str">
            <v>CF/100 ml</v>
          </cell>
          <cell r="E223" t="str">
            <v>===&gt; Ne &lt;====</v>
          </cell>
        </row>
        <row r="225">
          <cell r="A225" t="str">
            <v xml:space="preserve">Volumen </v>
          </cell>
          <cell r="B225" t="str">
            <v>Vm</v>
          </cell>
          <cell r="C225">
            <v>258.46153846153845</v>
          </cell>
          <cell r="D225" t="str">
            <v>m3</v>
          </cell>
          <cell r="E225" t="str">
            <v>Q x t3</v>
          </cell>
        </row>
        <row r="227">
          <cell r="A227" t="str">
            <v>Profundidad</v>
          </cell>
          <cell r="B227" t="str">
            <v>hm</v>
          </cell>
          <cell r="C227">
            <v>1.5</v>
          </cell>
          <cell r="D227" t="str">
            <v>metros</v>
          </cell>
          <cell r="E227" t="str">
            <v>Variable</v>
          </cell>
        </row>
        <row r="229">
          <cell r="A229" t="str">
            <v>Area a media profundidad cada laguna</v>
          </cell>
          <cell r="B229" t="str">
            <v>Am</v>
          </cell>
          <cell r="C229">
            <v>172.30769230769229</v>
          </cell>
          <cell r="D229" t="str">
            <v>m2</v>
          </cell>
          <cell r="E229" t="str">
            <v>Vm/hm</v>
          </cell>
        </row>
        <row r="231">
          <cell r="A231" t="str">
            <v>Relación Largo/Ancho</v>
          </cell>
          <cell r="B231" t="str">
            <v>r</v>
          </cell>
          <cell r="C231">
            <v>2</v>
          </cell>
          <cell r="E231" t="str">
            <v>Variable</v>
          </cell>
        </row>
        <row r="233">
          <cell r="A233" t="str">
            <v>Ancho medio</v>
          </cell>
          <cell r="B233" t="str">
            <v>wm</v>
          </cell>
          <cell r="C233">
            <v>9.281909617845141</v>
          </cell>
          <cell r="D233" t="str">
            <v>metros</v>
          </cell>
          <cell r="E233" t="str">
            <v xml:space="preserve">      (Am/r)^1/2</v>
          </cell>
        </row>
        <row r="235">
          <cell r="A235" t="str">
            <v>Largo medio</v>
          </cell>
          <cell r="B235" t="str">
            <v>lm</v>
          </cell>
          <cell r="C235">
            <v>18.563819235690282</v>
          </cell>
          <cell r="D235" t="str">
            <v>metros</v>
          </cell>
          <cell r="E235" t="str">
            <v xml:space="preserve">wm x r </v>
          </cell>
        </row>
        <row r="237">
          <cell r="A237" t="str">
            <v>Ancho del Espejo de agua</v>
          </cell>
          <cell r="B237" t="str">
            <v>w1</v>
          </cell>
          <cell r="C237">
            <v>13.781909617845141</v>
          </cell>
          <cell r="D237" t="str">
            <v>metros</v>
          </cell>
          <cell r="E237" t="str">
            <v xml:space="preserve">        3h+wm</v>
          </cell>
        </row>
        <row r="239">
          <cell r="A239" t="str">
            <v>Largo del Espejo de agua</v>
          </cell>
          <cell r="B239" t="str">
            <v>l1</v>
          </cell>
          <cell r="C239">
            <v>23.063819235690282</v>
          </cell>
          <cell r="D239" t="str">
            <v>metros</v>
          </cell>
          <cell r="E239" t="str">
            <v xml:space="preserve">        3h+lm</v>
          </cell>
        </row>
        <row r="241">
          <cell r="A241" t="str">
            <v>Ancho fondo</v>
          </cell>
          <cell r="B241" t="str">
            <v>wf</v>
          </cell>
          <cell r="C241">
            <v>4.781909617845141</v>
          </cell>
          <cell r="D241" t="str">
            <v>metros</v>
          </cell>
          <cell r="E241" t="str">
            <v xml:space="preserve">        wm-3*h</v>
          </cell>
        </row>
        <row r="243">
          <cell r="A243" t="str">
            <v>Largo fondo</v>
          </cell>
          <cell r="B243" t="str">
            <v>lf</v>
          </cell>
          <cell r="C243">
            <v>14.063819235690282</v>
          </cell>
          <cell r="D243" t="str">
            <v>metros</v>
          </cell>
          <cell r="E243" t="str">
            <v xml:space="preserve">         lm-3*h</v>
          </cell>
        </row>
        <row r="245">
          <cell r="A245" t="str">
            <v>Ancho de Cresta</v>
          </cell>
          <cell r="B245" t="str">
            <v>wc</v>
          </cell>
          <cell r="C245">
            <v>16.781909617845141</v>
          </cell>
          <cell r="D245" t="str">
            <v>metros</v>
          </cell>
          <cell r="E245" t="str">
            <v xml:space="preserve">        w1 + 3</v>
          </cell>
        </row>
        <row r="247">
          <cell r="A247" t="str">
            <v>Largo de Cresta</v>
          </cell>
          <cell r="B247" t="str">
            <v>lc</v>
          </cell>
          <cell r="C247">
            <v>26.063819235690282</v>
          </cell>
          <cell r="D247" t="str">
            <v>metros</v>
          </cell>
          <cell r="E247" t="str">
            <v xml:space="preserve">        lf + 3</v>
          </cell>
        </row>
        <row r="249">
          <cell r="A249" t="str">
            <v>Area lagunas maduración</v>
          </cell>
          <cell r="B249" t="str">
            <v>an</v>
          </cell>
          <cell r="C249">
            <v>437.40065870920796</v>
          </cell>
          <cell r="D249" t="str">
            <v>m^2</v>
          </cell>
          <cell r="E249" t="str">
            <v xml:space="preserve">    wc * lc * n</v>
          </cell>
        </row>
        <row r="251">
          <cell r="A251" t="str">
            <v>=</v>
          </cell>
          <cell r="B251" t="str">
            <v>=</v>
          </cell>
          <cell r="C251" t="str">
            <v>=</v>
          </cell>
          <cell r="D251" t="str">
            <v>=</v>
          </cell>
          <cell r="E251" t="str">
            <v>=</v>
          </cell>
        </row>
        <row r="253">
          <cell r="A253" t="str">
            <v>Area total espejo de agua</v>
          </cell>
          <cell r="B253" t="str">
            <v>aea</v>
          </cell>
          <cell r="C253">
            <v>3023.0966608442786</v>
          </cell>
          <cell r="D253" t="str">
            <v>m^2</v>
          </cell>
        </row>
        <row r="255">
          <cell r="A255" t="str">
            <v>Area total del sistema</v>
          </cell>
          <cell r="B255" t="str">
            <v>At</v>
          </cell>
          <cell r="C255">
            <v>3584.2518248980746</v>
          </cell>
          <cell r="D255" t="str">
            <v>m^2</v>
          </cell>
          <cell r="E255" t="str">
            <v xml:space="preserve">     an+af+am</v>
          </cell>
        </row>
        <row r="257">
          <cell r="A257" t="str">
            <v>Area por habitante</v>
          </cell>
          <cell r="B257" t="str">
            <v>a/h</v>
          </cell>
          <cell r="C257">
            <v>116.48818430918742</v>
          </cell>
          <cell r="D257" t="str">
            <v>m^2/hab</v>
          </cell>
          <cell r="E257" t="str">
            <v xml:space="preserve">        At/P</v>
          </cell>
        </row>
        <row r="259">
          <cell r="A259" t="str">
            <v xml:space="preserve">Area total del sistema </v>
          </cell>
          <cell r="C259">
            <v>0.35842518248980748</v>
          </cell>
          <cell r="D259" t="str">
            <v>Ha</v>
          </cell>
        </row>
        <row r="261">
          <cell r="A261" t="str">
            <v>BALANCE HIDRICO</v>
          </cell>
        </row>
        <row r="263">
          <cell r="A263" t="str">
            <v>Precipitacion</v>
          </cell>
          <cell r="B263" t="str">
            <v>p</v>
          </cell>
          <cell r="C263">
            <v>5</v>
          </cell>
          <cell r="D263" t="str">
            <v xml:space="preserve"> mm por dia</v>
          </cell>
          <cell r="E263" t="str">
            <v>Variable</v>
          </cell>
        </row>
        <row r="265">
          <cell r="A265" t="str">
            <v>Infiltracion hacia la Laguna</v>
          </cell>
          <cell r="B265" t="str">
            <v>i</v>
          </cell>
          <cell r="C265">
            <v>0</v>
          </cell>
          <cell r="D265" t="str">
            <v xml:space="preserve"> mm por dia</v>
          </cell>
          <cell r="E265" t="str">
            <v>Variable</v>
          </cell>
        </row>
        <row r="266">
          <cell r="C266">
            <v>0</v>
          </cell>
          <cell r="D266">
            <v>0</v>
          </cell>
          <cell r="E266">
            <v>0</v>
          </cell>
        </row>
        <row r="267">
          <cell r="A267" t="str">
            <v>Evaporacion</v>
          </cell>
          <cell r="B267" t="str">
            <v>e</v>
          </cell>
          <cell r="C267">
            <v>4.5</v>
          </cell>
          <cell r="D267" t="str">
            <v xml:space="preserve"> mm por dia</v>
          </cell>
          <cell r="E267" t="str">
            <v>Variable</v>
          </cell>
        </row>
        <row r="268">
          <cell r="C268">
            <v>0</v>
          </cell>
          <cell r="D268">
            <v>0</v>
          </cell>
          <cell r="E268">
            <v>0</v>
          </cell>
        </row>
        <row r="269">
          <cell r="A269" t="str">
            <v>Percolacion</v>
          </cell>
          <cell r="B269" t="str">
            <v>pr</v>
          </cell>
          <cell r="C269">
            <v>2</v>
          </cell>
          <cell r="D269" t="str">
            <v xml:space="preserve"> mm por dia</v>
          </cell>
          <cell r="E269" t="str">
            <v>Variable</v>
          </cell>
        </row>
        <row r="270">
          <cell r="C270">
            <v>0</v>
          </cell>
        </row>
        <row r="271">
          <cell r="A271" t="str">
            <v>flujo de ingreso</v>
          </cell>
          <cell r="B271" t="str">
            <v>Q</v>
          </cell>
          <cell r="C271">
            <v>43.07692307692308</v>
          </cell>
          <cell r="D271" t="str">
            <v xml:space="preserve"> m3 por dia</v>
          </cell>
          <cell r="E271" t="str">
            <v>P x q/1000</v>
          </cell>
        </row>
        <row r="273">
          <cell r="A273" t="str">
            <v>Variacion de nivel</v>
          </cell>
          <cell r="B273" t="str">
            <v>Vn</v>
          </cell>
          <cell r="C273">
            <v>-1.5</v>
          </cell>
          <cell r="D273" t="str">
            <v xml:space="preserve"> mm por dia</v>
          </cell>
          <cell r="E273" t="str">
            <v>p+i-(e+pr)</v>
          </cell>
        </row>
        <row r="275">
          <cell r="A275" t="str">
            <v>Flujo de salida</v>
          </cell>
          <cell r="B275" t="str">
            <v>Q1</v>
          </cell>
          <cell r="C275">
            <v>38.542278085656662</v>
          </cell>
          <cell r="D275" t="str">
            <v xml:space="preserve"> m3 por dia</v>
          </cell>
          <cell r="E275" t="str">
            <v xml:space="preserve">  Q1=Q-Aea*(p+i)-(e-pr)/1000</v>
          </cell>
        </row>
        <row r="276">
          <cell r="E276" t="str">
            <v>Si Q1 &gt; 0 ===&gt; o.k</v>
          </cell>
        </row>
        <row r="279">
          <cell r="C279">
            <v>0</v>
          </cell>
        </row>
      </sheetData>
      <sheetData sheetId="5" refreshError="1"/>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b. 21 2003 (Vie.)"/>
      <sheetName val="6 DE ENERO"/>
      <sheetName val="MH Bijagual"/>
      <sheetName val="Resumen de costos"/>
      <sheetName val="Cálculos"/>
      <sheetName val="Presupuesto-cobertura"/>
      <sheetName val="HF PVC Bijagual"/>
      <sheetName val="ANÁLISIS Y PRECIOS (Final) "/>
      <sheetName val="Localiz.inicial-redes"/>
      <sheetName val="Exc. 0-1.5 seca"/>
      <sheetName val="Exc. 1.51-2,5 seca "/>
      <sheetName val="15e.Exc. 1.51-3.5 agua "/>
      <sheetName val="16e.Exc. 3.5-4.5 seca "/>
      <sheetName val="16e.Exc. &gt;4.5 Hum"/>
      <sheetName val="Exc. &gt;2.5 seca "/>
      <sheetName val="20e.Relleno-seleccionado"/>
      <sheetName val="19e.Relleno-sitio"/>
      <sheetName val="21e.Relleno-piedra"/>
      <sheetName val="22e.Retiro 1000mts-manual"/>
      <sheetName val="Campamento 30M2"/>
      <sheetName val="5r.Instal. 8&quot; PVC Presión"/>
      <sheetName val="5r.Instal. 8&quot;-10&quot; PVC"/>
      <sheetName val="5r.Instal. 12&quot;-14&quot; PVC"/>
      <sheetName val="5r.Instal. 16-18&quot; PVC"/>
      <sheetName val="5r.Instal. 20-22&quot; NOVALOC"/>
      <sheetName val="5r.Instal. domiciliaria 8&quot;,10&quot;"/>
      <sheetName val="5r.Instal. domiciliaria 12&quot;,16&quot;"/>
      <sheetName val="5r.Instal. domiciliaria 18&quot;,22&quot;"/>
      <sheetName val="Z.Manhol &lt;1.2"/>
      <sheetName val="Z.Manhol 1.21-3.0"/>
      <sheetName val="Z.Manhol 3.0 - 4,5"/>
      <sheetName val="Z.Manhol &gt; 4,5"/>
      <sheetName val="5r.Cámara caida &lt;1.25"/>
      <sheetName val="5r.Cámara caida 1.25 y 3,00"/>
      <sheetName val="7r.Entibado con tablon- 2M"/>
      <sheetName val="7r.Entibado con tablón&gt;3M"/>
      <sheetName val="Z.Pavimento"/>
      <sheetName val="2e.Ccto-solado"/>
      <sheetName val="básico-formaleta-cimiento"/>
      <sheetName val="básico-ccto2000"/>
      <sheetName val="básico-ccto2400"/>
      <sheetName val="básico-ccto3000"/>
      <sheetName val="5e.Ccto-cimiento"/>
      <sheetName val="6e.Ccto-Muros"/>
      <sheetName val="7e.Ccto-placa intermedia"/>
      <sheetName val="8e.Ccto-placa -rejilla"/>
      <sheetName val="3e.Cañuela-2000"/>
      <sheetName val="básico-morteros"/>
      <sheetName val="básico-formaleta-solado"/>
      <sheetName val="Z.Escalera Gato"/>
      <sheetName val="básico-formaleta-muros"/>
      <sheetName val="6e.Columnas 0.15 x 0.20"/>
      <sheetName val="6e.Columnas 0.20x 0.20 "/>
      <sheetName val="6e.Viga 0.15 x 0.25"/>
      <sheetName val="6e.Mampostería 0,10"/>
      <sheetName val="6'e.Pañete 0,02"/>
      <sheetName val="M.Ref-37ksi"/>
      <sheetName val="10e.Ref-60ksi"/>
      <sheetName val="23e.JuntaPVC"/>
      <sheetName val="27e.Anden-2400"/>
      <sheetName val="6e.Alfaguía 0.12 x 0.25"/>
      <sheetName val="6e.Filos y dilataciones"/>
      <sheetName val="25e.Malla eslabonada"/>
      <sheetName val="23e.Pintura"/>
      <sheetName val="Cubierta A.C."/>
      <sheetName val="21e.Protección-piedra"/>
      <sheetName val="1e.Localiz.-Estaciónº"/>
      <sheetName val="24e.Bombeo-continuo-fondo"/>
      <sheetName val="6L.Concretos estructur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C"/>
      <sheetName val="APU"/>
      <sheetName val="APU (2)"/>
      <sheetName val="CON"/>
      <sheetName val="JOR"/>
      <sheetName val="MAT"/>
      <sheetName val="EQ"/>
      <sheetName val="BCAM1"/>
      <sheetName val="BCAM2"/>
      <sheetName val="PT Y FF-V"/>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F PVC"/>
      <sheetName val="Presupuesto 2003"/>
      <sheetName val="1r.Localiz. Estac"/>
      <sheetName val="Reforestación"/>
      <sheetName val="Empradización"/>
      <sheetName val="Dom 2&quot;"/>
      <sheetName val="Instal. 2&quot; PVC"/>
      <sheetName val="Instal. 3&quot;-4&quot; PVC"/>
      <sheetName val="ANÁLISIS Y PRECIOS (Final) "/>
      <sheetName val="B-Morteros"/>
      <sheetName val="B-Formaleta-columnas"/>
      <sheetName val="B-form-cajas"/>
      <sheetName val="B-form-muros"/>
      <sheetName val="B-form-recipiente"/>
      <sheetName val="B-form-losa aerea"/>
      <sheetName val="B-Formaleta-solado"/>
      <sheetName val="Ccto-solado-atraque"/>
      <sheetName val="B-Formaleta-cimiento"/>
      <sheetName val="5e.Ccto-cimiento"/>
      <sheetName val="Ccto-losa-piso"/>
      <sheetName val="Ccto-losa imperm-piso"/>
      <sheetName val="Ccto-losa imperm aérea"/>
      <sheetName val="Ccto-losa aérea"/>
      <sheetName val="Ccto-muros"/>
      <sheetName val="Ccto-muros imperm"/>
      <sheetName val="Ccto-caja-canal"/>
      <sheetName val="Ccto-columnas"/>
      <sheetName val="Ccto-recipiente"/>
      <sheetName val="6e.Columnas 0.12 x 0.15"/>
      <sheetName val="6e.Columnas 0.15 x 0.20"/>
      <sheetName val="6e.Columnas 0.20x 0.20 "/>
      <sheetName val="6e.Columnas 0.25x 0.25"/>
      <sheetName val="6e.Viga 0.15 x 0.25"/>
      <sheetName val="básico-ccto2000"/>
      <sheetName val="básico-ccto2400"/>
      <sheetName val="básico-ccto3000"/>
      <sheetName val="6e.Mampostería 0,10"/>
      <sheetName val="6e.Filos y dilataciones"/>
      <sheetName val="Pintura"/>
      <sheetName val="23e.Promical"/>
      <sheetName val="1r.Localiz.inicial-redes"/>
      <sheetName val="5r.Topografía instalación tub."/>
      <sheetName val="Desmonte y retiro"/>
      <sheetName val="Taponamiento drenes"/>
      <sheetName val="Descapote"/>
      <sheetName val="Exc. a  maquina"/>
      <sheetName val="Diques "/>
      <sheetName val="Campamento 30M2"/>
      <sheetName val="Adecuación enrrocado"/>
      <sheetName val="Piedra pegada"/>
      <sheetName val="Púas"/>
      <sheetName val="Exc. a mano"/>
      <sheetName val="Ref-60ksi"/>
      <sheetName val="Malla eslabonada"/>
      <sheetName val="Experiencias"/>
      <sheetName val="Anden-2400"/>
      <sheetName val="Relleno-sitio"/>
      <sheetName val="Relleno-seleccionado"/>
      <sheetName val="22e.Retiro 1000mts-manual"/>
      <sheetName val="Retiro 1000mts-maquina"/>
      <sheetName val="Cinta PVC O-22"/>
      <sheetName val="Gravilla-clasificada"/>
      <sheetName val="A.P.U"/>
    </sheetNames>
    <sheetDataSet>
      <sheetData sheetId="0"/>
      <sheetData sheetId="1" refreshError="1">
        <row r="1">
          <cell r="J1">
            <v>2.1003416575999996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sheetName val="LISTA"/>
      <sheetName val="LISTA2"/>
      <sheetName val="ANAL.PRESTACIONES"/>
      <sheetName val="CUADRI"/>
      <sheetName val="MORTERO"/>
      <sheetName val="CONCRETO"/>
      <sheetName val="PRELIMINAR"/>
      <sheetName val="ZAPA.VIGAS"/>
      <sheetName val="LEVANTE"/>
      <sheetName val="PAÑE-ENCHA-PISO"/>
      <sheetName val="PAVIM.RIGIDO"/>
      <sheetName val="HIDROSANI"/>
      <sheetName val="APAR-ACCESORIO"/>
      <sheetName val="CARPINTERIA"/>
      <sheetName val="ELECTRICO"/>
      <sheetName val="PINTURA"/>
      <sheetName val="RELLENO-RETIRO"/>
      <sheetName val="OBR.EXTERIORES"/>
      <sheetName val="GENERAL"/>
      <sheetName val="Cronograma"/>
      <sheetName val="FINANZAS"/>
      <sheetName val="FSE - 01"/>
      <sheetName val="ESTADO DE INGRESO"/>
      <sheetName val="OTROS ITEMS DIFERENTES"/>
      <sheetName val="EXPLANACION"/>
      <sheetName val="A.U.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udales"/>
      <sheetName val="Diametros"/>
      <sheetName val="Perfiles"/>
      <sheetName val="Punto de operaciónº"/>
      <sheetName val="Curva-sistemaº"/>
      <sheetName val="Curva.bombaº"/>
      <sheetName val="Datos-Gráfica"/>
      <sheetName val="Gráf.-"/>
      <sheetName val="Hoja1"/>
      <sheetName val="Laminas"/>
      <sheetName val="Perfiles (2)"/>
      <sheetName val="INDICE"/>
      <sheetName val="320.1"/>
      <sheetName val="330.2"/>
      <sheetName val="700.1"/>
      <sheetName val="PR 1"/>
      <sheetName val="M y E "/>
      <sheetName val="relacion facturas"/>
      <sheetName val="MATERIALES  SEPARADOS "/>
      <sheetName val="NOMINA "/>
      <sheetName val="ELEMENTOS SEPARADOS "/>
      <sheetName val="APU"/>
      <sheetName val="BAS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udales"/>
      <sheetName val="Lagunas"/>
      <sheetName val="Planta"/>
      <sheetName val="Perfil"/>
      <sheetName val="T. Grasa"/>
      <sheetName val="Rejilla"/>
      <sheetName val="Ref."/>
      <sheetName val="Jqm"/>
      <sheetName val="Eras de Secado CRITES"/>
      <sheetName val="Materiales"/>
      <sheetName val="Impresion"/>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ESTADO VÍA-CRIT.TECNICO"/>
      <sheetName val="Linea de Impulsion"/>
      <sheetName val="items"/>
      <sheetName val="Linea de Impulsion.xls"/>
      <sheetName val="Linea%20de%20Impulsion.xls"/>
      <sheetName val="1.1"/>
      <sheetName val="1.2"/>
      <sheetName val="1.3"/>
      <sheetName val="2.1"/>
      <sheetName val="2.2"/>
      <sheetName val="3.1"/>
      <sheetName val="3.2"/>
      <sheetName val="3.3"/>
      <sheetName val="3.4"/>
      <sheetName val="3.5"/>
      <sheetName val="4.1"/>
      <sheetName val="4.2"/>
      <sheetName val="5.1"/>
      <sheetName val="5.2"/>
      <sheetName val="5.3"/>
      <sheetName val="6.1"/>
      <sheetName val="6.2"/>
      <sheetName val="6.3"/>
      <sheetName val="6.4"/>
      <sheetName val="7.1"/>
      <sheetName val="7.2"/>
      <sheetName val="M y E "/>
      <sheetName val="relacion facturas"/>
      <sheetName val="MATERIALES  SEPARADOS "/>
      <sheetName val="NOMINA "/>
      <sheetName val="ELEMENTOS SEPARADOS "/>
      <sheetName val="Estado Resumen"/>
      <sheetName val="Curva_bomba"/>
      <sheetName val="Gráf_-Apartada-01"/>
      <sheetName val="Datos_Garavito"/>
      <sheetName val="Gráfica_Garavito"/>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sheetData sheetId="40"/>
      <sheetData sheetId="41"/>
      <sheetData sheetId="4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uisición1"/>
      <sheetName val="Requisición 2"/>
      <sheetName val="Existentes"/>
      <sheetName val="Prestamos"/>
      <sheetName val="Necesidades"/>
      <sheetName val="Requisición_2"/>
      <sheetName val="Requisición_21"/>
      <sheetName val="Requisición_22"/>
    </sheetNames>
    <sheetDataSet>
      <sheetData sheetId="0"/>
      <sheetData sheetId="1" refreshError="1"/>
      <sheetData sheetId="2" refreshError="1"/>
      <sheetData sheetId="3" refreshError="1"/>
      <sheetData sheetId="4"/>
      <sheetData sheetId="5"/>
      <sheetData sheetId="6"/>
      <sheetData sheetId="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 1"/>
    </sheetNames>
    <sheetDataSet>
      <sheetData sheetId="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sheetName val="LISTA"/>
      <sheetName val="LISTA2"/>
      <sheetName val="ANAL.PRESTACIONES"/>
      <sheetName val="CUADRI"/>
      <sheetName val="MORTERO"/>
      <sheetName val="CONCRETO"/>
      <sheetName val="PRELIMINAR"/>
      <sheetName val="ZAPA.VIGAS"/>
      <sheetName val="LEVANTE"/>
      <sheetName val="PAÑE-ENCHA-PISO"/>
      <sheetName val="PAVIM.RIGIDO"/>
      <sheetName val="HIDROSANI"/>
      <sheetName val="APAR-ACCESORIO"/>
      <sheetName val="CARPINTERIA"/>
      <sheetName val="ELECTRICO"/>
      <sheetName val="PINTURA"/>
      <sheetName val="RELLENO-RETIRO"/>
      <sheetName val="OBR.EXTERIORES"/>
      <sheetName val="GENERAL"/>
      <sheetName val="Cronograma"/>
      <sheetName val="FINANZAS"/>
      <sheetName val="FSE - 01"/>
      <sheetName val="ESTADO DE INGRESO"/>
      <sheetName val="OTROS ITEMS DIFERENTES"/>
      <sheetName val="EXPLANACION"/>
      <sheetName val="A.U.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udales"/>
      <sheetName val="Lagunas"/>
      <sheetName val="Planta"/>
      <sheetName val="Perfil"/>
      <sheetName val="T. Grasa"/>
      <sheetName val="Rejilla"/>
      <sheetName val="Ref."/>
      <sheetName val="Jqm"/>
      <sheetName val="Eras de Secado CRITES"/>
      <sheetName val="Materiales"/>
      <sheetName val="Impresion"/>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CC8297-152D-4B82-9492-9AEAA5A20B24}">
  <sheetPr>
    <pageSetUpPr fitToPage="1"/>
  </sheetPr>
  <dimension ref="A1:N223"/>
  <sheetViews>
    <sheetView showGridLines="0" showZeros="0" tabSelected="1" view="pageBreakPreview" zoomScale="90" zoomScaleNormal="100" zoomScaleSheetLayoutView="90" workbookViewId="0">
      <selection activeCell="F9" sqref="F9"/>
    </sheetView>
  </sheetViews>
  <sheetFormatPr baseColWidth="10" defaultColWidth="9.09765625" defaultRowHeight="13.2" outlineLevelRow="1"/>
  <cols>
    <col min="1" max="1" width="4.09765625" style="67" customWidth="1"/>
    <col min="2" max="2" width="6.3984375" style="74" customWidth="1"/>
    <col min="3" max="3" width="88.796875" style="187" customWidth="1"/>
    <col min="4" max="4" width="8.59765625" style="67" customWidth="1"/>
    <col min="5" max="5" width="8.59765625" style="188" customWidth="1"/>
    <col min="6" max="6" width="16.59765625" style="67" customWidth="1"/>
    <col min="7" max="7" width="17" style="67" bestFit="1" customWidth="1"/>
    <col min="8" max="8" width="19" style="67" customWidth="1"/>
    <col min="9" max="9" width="17.69921875" style="67" hidden="1" customWidth="1"/>
    <col min="10" max="11" width="4.59765625" style="67" customWidth="1"/>
    <col min="12" max="12" width="22.09765625" style="67" hidden="1" customWidth="1"/>
    <col min="13" max="13" width="7.796875" style="67" hidden="1" customWidth="1"/>
    <col min="14" max="14" width="0" style="67" hidden="1" customWidth="1"/>
    <col min="15" max="16384" width="9.09765625" style="67"/>
  </cols>
  <sheetData>
    <row r="1" spans="1:14" ht="11.25" customHeight="1">
      <c r="B1" s="250"/>
      <c r="C1" s="250"/>
      <c r="D1" s="250"/>
      <c r="E1" s="250"/>
      <c r="F1" s="250"/>
    </row>
    <row r="2" spans="1:14" ht="22.8">
      <c r="B2" s="251" t="s">
        <v>71</v>
      </c>
      <c r="C2" s="251"/>
      <c r="D2" s="251"/>
      <c r="E2" s="251"/>
      <c r="F2" s="251"/>
      <c r="G2" s="251"/>
      <c r="H2" s="251"/>
      <c r="I2" s="251"/>
    </row>
    <row r="3" spans="1:14" ht="22.8">
      <c r="B3" s="252" t="s">
        <v>440</v>
      </c>
      <c r="C3" s="252"/>
      <c r="D3" s="252"/>
      <c r="E3" s="252"/>
      <c r="F3" s="252"/>
      <c r="G3" s="252"/>
      <c r="H3" s="252"/>
      <c r="I3" s="252"/>
    </row>
    <row r="4" spans="1:14" ht="11.25" customHeight="1">
      <c r="B4" s="253"/>
      <c r="C4" s="253"/>
      <c r="D4" s="253"/>
      <c r="E4" s="253"/>
      <c r="F4" s="253"/>
    </row>
    <row r="5" spans="1:14" ht="16.5" customHeight="1">
      <c r="B5" s="254"/>
      <c r="C5" s="255" t="s">
        <v>72</v>
      </c>
      <c r="D5" s="256" t="s">
        <v>73</v>
      </c>
      <c r="E5" s="258" t="s">
        <v>74</v>
      </c>
      <c r="F5" s="248" t="s">
        <v>75</v>
      </c>
      <c r="G5" s="248" t="s">
        <v>76</v>
      </c>
      <c r="H5" s="248" t="s">
        <v>77</v>
      </c>
      <c r="I5" s="248" t="s">
        <v>78</v>
      </c>
    </row>
    <row r="6" spans="1:14" s="68" customFormat="1" ht="16.5" customHeight="1">
      <c r="A6" s="67"/>
      <c r="B6" s="254"/>
      <c r="C6" s="255"/>
      <c r="D6" s="257"/>
      <c r="E6" s="259"/>
      <c r="F6" s="249"/>
      <c r="G6" s="249"/>
      <c r="H6" s="249"/>
      <c r="I6" s="249"/>
    </row>
    <row r="7" spans="1:14" ht="22.5" customHeight="1">
      <c r="B7" s="69"/>
      <c r="C7" s="70" t="s">
        <v>79</v>
      </c>
      <c r="D7" s="71"/>
      <c r="E7" s="71"/>
      <c r="F7" s="71"/>
      <c r="G7" s="72"/>
      <c r="H7" s="72"/>
      <c r="I7" s="72"/>
    </row>
    <row r="8" spans="1:14" s="82" customFormat="1" ht="18.75" customHeight="1" outlineLevel="1">
      <c r="A8" s="67"/>
      <c r="B8" s="76">
        <v>1</v>
      </c>
      <c r="C8" s="77" t="s">
        <v>80</v>
      </c>
      <c r="D8" s="78"/>
      <c r="E8" s="79"/>
      <c r="F8" s="78"/>
      <c r="G8" s="80"/>
      <c r="H8" s="80"/>
      <c r="I8" s="80"/>
      <c r="J8" s="67"/>
      <c r="K8" s="67"/>
      <c r="L8" s="81" t="e">
        <f>+H9+#REF!+#REF!+#REF!+#REF!+#REF!</f>
        <v>#REF!</v>
      </c>
      <c r="M8" s="189"/>
    </row>
    <row r="9" spans="1:14" ht="40.5" customHeight="1" outlineLevel="1">
      <c r="B9" s="83" t="s">
        <v>82</v>
      </c>
      <c r="C9" s="93" t="s">
        <v>83</v>
      </c>
      <c r="D9" s="83" t="s">
        <v>84</v>
      </c>
      <c r="E9" s="89">
        <v>0.3</v>
      </c>
      <c r="F9" s="94">
        <v>785000</v>
      </c>
      <c r="G9" s="95">
        <f>F9*E9</f>
        <v>235500</v>
      </c>
      <c r="H9" s="92">
        <f t="shared" ref="H9" si="0">G9*10</f>
        <v>2355000</v>
      </c>
      <c r="I9" s="225">
        <f>G9*320</f>
        <v>75360000</v>
      </c>
      <c r="N9" s="115">
        <f t="shared" ref="N9:N68" si="1">+E9</f>
        <v>0.3</v>
      </c>
    </row>
    <row r="10" spans="1:14" ht="18.75" customHeight="1" outlineLevel="1">
      <c r="B10" s="76">
        <v>2</v>
      </c>
      <c r="C10" s="96" t="s">
        <v>85</v>
      </c>
      <c r="D10" s="97"/>
      <c r="E10" s="98">
        <v>0</v>
      </c>
      <c r="F10" s="99"/>
      <c r="G10" s="100"/>
      <c r="H10" s="240"/>
      <c r="I10" s="101"/>
      <c r="L10" s="102">
        <f>+H11+H12+H13+H14+H15+H16+H17+H18+H19</f>
        <v>23545842.148800001</v>
      </c>
      <c r="M10" s="190"/>
      <c r="N10" s="115">
        <f t="shared" si="1"/>
        <v>0</v>
      </c>
    </row>
    <row r="11" spans="1:14" ht="30.75" customHeight="1" outlineLevel="1">
      <c r="B11" s="83" t="s">
        <v>86</v>
      </c>
      <c r="C11" s="104" t="s">
        <v>87</v>
      </c>
      <c r="D11" s="85" t="s">
        <v>88</v>
      </c>
      <c r="E11" s="89">
        <v>31.808</v>
      </c>
      <c r="F11" s="94">
        <v>29043.759999999998</v>
      </c>
      <c r="G11" s="95">
        <f>+E11*F11</f>
        <v>923823.91807999997</v>
      </c>
      <c r="H11" s="92">
        <f>G11*10</f>
        <v>9238239.1808000002</v>
      </c>
      <c r="I11" s="226">
        <f>G11*320</f>
        <v>295623653.78560001</v>
      </c>
      <c r="N11" s="115">
        <f t="shared" si="1"/>
        <v>31.808</v>
      </c>
    </row>
    <row r="12" spans="1:14" s="82" customFormat="1" ht="40.5" customHeight="1" outlineLevel="1">
      <c r="A12" s="67"/>
      <c r="B12" s="83" t="s">
        <v>89</v>
      </c>
      <c r="C12" s="84" t="s">
        <v>90</v>
      </c>
      <c r="D12" s="85" t="s">
        <v>88</v>
      </c>
      <c r="E12" s="86">
        <v>1.391</v>
      </c>
      <c r="F12" s="108">
        <v>32858</v>
      </c>
      <c r="G12" s="108">
        <f>+E12*F12</f>
        <v>45705.478000000003</v>
      </c>
      <c r="H12" s="92">
        <f t="shared" ref="H12:H19" si="2">G12*10</f>
        <v>457054.78</v>
      </c>
      <c r="I12" s="227"/>
      <c r="J12" s="67"/>
      <c r="K12" s="67"/>
      <c r="N12" s="115">
        <f t="shared" si="1"/>
        <v>1.391</v>
      </c>
    </row>
    <row r="13" spans="1:14" s="82" customFormat="1" ht="38.25" customHeight="1" outlineLevel="1">
      <c r="A13" s="67"/>
      <c r="B13" s="83" t="s">
        <v>91</v>
      </c>
      <c r="C13" s="104" t="s">
        <v>92</v>
      </c>
      <c r="D13" s="83" t="s">
        <v>88</v>
      </c>
      <c r="E13" s="89">
        <v>3.64</v>
      </c>
      <c r="F13" s="110">
        <v>32858</v>
      </c>
      <c r="G13" s="111">
        <f t="shared" ref="G13:G19" si="3">F13*E13</f>
        <v>119603.12000000001</v>
      </c>
      <c r="H13" s="92">
        <f t="shared" si="2"/>
        <v>1196031.2000000002</v>
      </c>
      <c r="I13" s="225">
        <f>G13*320</f>
        <v>38272998.400000006</v>
      </c>
      <c r="J13" s="67"/>
      <c r="K13" s="67"/>
      <c r="N13" s="115">
        <f t="shared" si="1"/>
        <v>3.64</v>
      </c>
    </row>
    <row r="14" spans="1:14" s="82" customFormat="1" ht="38.25" customHeight="1" outlineLevel="1">
      <c r="A14" s="67"/>
      <c r="B14" s="83" t="s">
        <v>93</v>
      </c>
      <c r="C14" s="104" t="s">
        <v>94</v>
      </c>
      <c r="D14" s="83" t="s">
        <v>88</v>
      </c>
      <c r="E14" s="89">
        <v>2.952</v>
      </c>
      <c r="F14" s="110">
        <v>32858</v>
      </c>
      <c r="G14" s="111">
        <f t="shared" si="3"/>
        <v>96996.815999999992</v>
      </c>
      <c r="H14" s="92">
        <f t="shared" si="2"/>
        <v>969968.15999999992</v>
      </c>
      <c r="I14" s="225"/>
      <c r="J14" s="67"/>
      <c r="K14" s="67"/>
      <c r="N14" s="115">
        <f t="shared" si="1"/>
        <v>2.952</v>
      </c>
    </row>
    <row r="15" spans="1:14" s="82" customFormat="1" ht="42" customHeight="1" outlineLevel="1">
      <c r="A15" s="67"/>
      <c r="B15" s="83" t="s">
        <v>95</v>
      </c>
      <c r="C15" s="112" t="s">
        <v>96</v>
      </c>
      <c r="D15" s="83" t="s">
        <v>88</v>
      </c>
      <c r="E15" s="113">
        <v>0.61799999999999999</v>
      </c>
      <c r="F15" s="114">
        <f>62550*1.0804</f>
        <v>67579.02</v>
      </c>
      <c r="G15" s="111">
        <f t="shared" si="3"/>
        <v>41763.834360000001</v>
      </c>
      <c r="H15" s="92">
        <f t="shared" si="2"/>
        <v>417638.34360000002</v>
      </c>
      <c r="I15" s="225"/>
      <c r="J15" s="67"/>
      <c r="K15" s="67"/>
      <c r="N15" s="115">
        <f t="shared" si="1"/>
        <v>0.61799999999999999</v>
      </c>
    </row>
    <row r="16" spans="1:14" s="82" customFormat="1" ht="40.200000000000003" customHeight="1" outlineLevel="1">
      <c r="A16" s="67"/>
      <c r="B16" s="83" t="s">
        <v>97</v>
      </c>
      <c r="C16" s="112" t="s">
        <v>98</v>
      </c>
      <c r="D16" s="83" t="s">
        <v>88</v>
      </c>
      <c r="E16" s="113">
        <v>1.07</v>
      </c>
      <c r="F16" s="114">
        <f>62550*1.0804</f>
        <v>67579.02</v>
      </c>
      <c r="G16" s="111">
        <f t="shared" si="3"/>
        <v>72309.551400000011</v>
      </c>
      <c r="H16" s="92">
        <f t="shared" si="2"/>
        <v>723095.51400000008</v>
      </c>
      <c r="I16" s="225"/>
      <c r="J16" s="67"/>
      <c r="K16" s="67"/>
      <c r="L16" s="115">
        <f>+E12+E13+E14</f>
        <v>7.9830000000000005</v>
      </c>
      <c r="M16" s="115"/>
      <c r="N16" s="115">
        <f t="shared" si="1"/>
        <v>1.07</v>
      </c>
    </row>
    <row r="17" spans="1:14" s="82" customFormat="1" ht="40.200000000000003" customHeight="1" outlineLevel="1">
      <c r="A17" s="67"/>
      <c r="B17" s="83" t="s">
        <v>99</v>
      </c>
      <c r="C17" s="112" t="s">
        <v>100</v>
      </c>
      <c r="D17" s="83" t="s">
        <v>88</v>
      </c>
      <c r="E17" s="113">
        <v>2.952</v>
      </c>
      <c r="F17" s="114">
        <f>62550*1.0804</f>
        <v>67579.02</v>
      </c>
      <c r="G17" s="111">
        <f t="shared" si="3"/>
        <v>199493.26704000001</v>
      </c>
      <c r="H17" s="92">
        <f t="shared" si="2"/>
        <v>1994932.6704000002</v>
      </c>
      <c r="I17" s="225"/>
      <c r="J17" s="67"/>
      <c r="K17" s="67"/>
      <c r="L17" s="109">
        <f>+L16*1.35</f>
        <v>10.777050000000001</v>
      </c>
      <c r="M17" s="109"/>
      <c r="N17" s="115">
        <f t="shared" si="1"/>
        <v>2.952</v>
      </c>
    </row>
    <row r="18" spans="1:14" ht="31.5" customHeight="1" outlineLevel="1">
      <c r="B18" s="83" t="s">
        <v>101</v>
      </c>
      <c r="C18" s="104" t="s">
        <v>102</v>
      </c>
      <c r="D18" s="83" t="s">
        <v>88</v>
      </c>
      <c r="E18" s="89">
        <v>4.3440000000000003</v>
      </c>
      <c r="F18" s="110">
        <v>16785</v>
      </c>
      <c r="G18" s="111">
        <f t="shared" si="3"/>
        <v>72914.040000000008</v>
      </c>
      <c r="H18" s="92">
        <f t="shared" si="2"/>
        <v>729140.40000000014</v>
      </c>
      <c r="I18" s="225">
        <f>G18*320</f>
        <v>23332492.800000004</v>
      </c>
      <c r="N18" s="115">
        <f t="shared" si="1"/>
        <v>4.3440000000000003</v>
      </c>
    </row>
    <row r="19" spans="1:14" ht="18" customHeight="1" outlineLevel="1">
      <c r="B19" s="83" t="s">
        <v>103</v>
      </c>
      <c r="C19" s="116" t="s">
        <v>104</v>
      </c>
      <c r="D19" s="117" t="s">
        <v>105</v>
      </c>
      <c r="E19" s="118">
        <v>55.155999999999999</v>
      </c>
      <c r="F19" s="119">
        <f>13250*1.07</f>
        <v>14177.5</v>
      </c>
      <c r="G19" s="120">
        <f t="shared" si="3"/>
        <v>781974.19</v>
      </c>
      <c r="H19" s="92">
        <f t="shared" si="2"/>
        <v>7819741.8999999994</v>
      </c>
      <c r="I19" s="228">
        <f>G19*320</f>
        <v>250231740.79999998</v>
      </c>
      <c r="N19" s="115">
        <f t="shared" si="1"/>
        <v>55.155999999999999</v>
      </c>
    </row>
    <row r="20" spans="1:14" ht="18.75" customHeight="1">
      <c r="B20" s="76">
        <v>3</v>
      </c>
      <c r="C20" s="96" t="s">
        <v>106</v>
      </c>
      <c r="D20" s="98">
        <v>0</v>
      </c>
      <c r="E20" s="98">
        <v>0</v>
      </c>
      <c r="F20" s="99"/>
      <c r="G20" s="122"/>
      <c r="H20" s="124"/>
      <c r="I20" s="123"/>
      <c r="L20" s="125">
        <f>+H21+H22+H23+H24+H25+H26</f>
        <v>170911411.11673999</v>
      </c>
      <c r="M20" s="191"/>
      <c r="N20" s="115">
        <f t="shared" si="1"/>
        <v>0</v>
      </c>
    </row>
    <row r="21" spans="1:14" ht="83.25" customHeight="1" outlineLevel="1">
      <c r="B21" s="83" t="s">
        <v>107</v>
      </c>
      <c r="C21" s="104" t="s">
        <v>108</v>
      </c>
      <c r="D21" s="83" t="s">
        <v>88</v>
      </c>
      <c r="E21" s="106">
        <v>2.427</v>
      </c>
      <c r="F21" s="126">
        <v>886314.45</v>
      </c>
      <c r="G21" s="90">
        <f>+E21*F21</f>
        <v>2151085.1701500001</v>
      </c>
      <c r="H21" s="127">
        <f>+G21*10</f>
        <v>21510851.701500002</v>
      </c>
      <c r="I21" s="225">
        <f t="shared" ref="I21:I26" si="4">G21*320</f>
        <v>688347254.44800007</v>
      </c>
      <c r="L21" s="128"/>
      <c r="M21" s="128"/>
      <c r="N21" s="115">
        <f t="shared" si="1"/>
        <v>2.427</v>
      </c>
    </row>
    <row r="22" spans="1:14" ht="83.25" customHeight="1" outlineLevel="1">
      <c r="B22" s="83" t="s">
        <v>109</v>
      </c>
      <c r="C22" s="104" t="s">
        <v>110</v>
      </c>
      <c r="D22" s="83" t="s">
        <v>88</v>
      </c>
      <c r="E22" s="89">
        <v>7.3159999999999998</v>
      </c>
      <c r="F22" s="126">
        <v>886314.45</v>
      </c>
      <c r="G22" s="90">
        <f>+E22*F22</f>
        <v>6484276.5161999995</v>
      </c>
      <c r="H22" s="127">
        <f>+G22*2</f>
        <v>12968553.032399999</v>
      </c>
      <c r="I22" s="225"/>
      <c r="N22" s="115">
        <f t="shared" si="1"/>
        <v>7.3159999999999998</v>
      </c>
    </row>
    <row r="23" spans="1:14" ht="16.5" customHeight="1" outlineLevel="1">
      <c r="B23" s="83" t="s">
        <v>111</v>
      </c>
      <c r="C23" s="129" t="s">
        <v>112</v>
      </c>
      <c r="D23" s="83" t="s">
        <v>88</v>
      </c>
      <c r="E23" s="89">
        <v>1.6579999999999999</v>
      </c>
      <c r="F23" s="126">
        <v>886314.45</v>
      </c>
      <c r="G23" s="111">
        <f t="shared" ref="G23:G26" si="5">F23*E23</f>
        <v>1469509.3580999998</v>
      </c>
      <c r="H23" s="127">
        <f t="shared" ref="H23:H26" si="6">+G23*10</f>
        <v>14695093.580999998</v>
      </c>
      <c r="I23" s="225">
        <f t="shared" si="4"/>
        <v>470242994.59199995</v>
      </c>
      <c r="N23" s="115">
        <f t="shared" si="1"/>
        <v>1.6579999999999999</v>
      </c>
    </row>
    <row r="24" spans="1:14" ht="96" customHeight="1" outlineLevel="1">
      <c r="B24" s="83" t="s">
        <v>113</v>
      </c>
      <c r="C24" s="104" t="s">
        <v>114</v>
      </c>
      <c r="D24" s="83" t="s">
        <v>115</v>
      </c>
      <c r="E24" s="89">
        <v>62.881</v>
      </c>
      <c r="F24" s="110">
        <v>216134.08</v>
      </c>
      <c r="G24" s="111">
        <f t="shared" si="5"/>
        <v>13590727.084479999</v>
      </c>
      <c r="H24" s="127">
        <f>+G24*8</f>
        <v>108725816.67583999</v>
      </c>
      <c r="I24" s="225">
        <f t="shared" si="4"/>
        <v>4349032667.0335999</v>
      </c>
      <c r="L24" s="130"/>
      <c r="M24" s="130"/>
      <c r="N24" s="115">
        <f t="shared" si="1"/>
        <v>62.881</v>
      </c>
    </row>
    <row r="25" spans="1:14" ht="62.25" customHeight="1" outlineLevel="1">
      <c r="B25" s="83" t="s">
        <v>116</v>
      </c>
      <c r="C25" s="104" t="s">
        <v>117</v>
      </c>
      <c r="D25" s="83" t="s">
        <v>88</v>
      </c>
      <c r="E25" s="89">
        <v>0.75800000000000001</v>
      </c>
      <c r="F25" s="94">
        <v>886314.45</v>
      </c>
      <c r="G25" s="111">
        <f t="shared" si="5"/>
        <v>671826.35309999995</v>
      </c>
      <c r="H25" s="127">
        <f>+G25*10</f>
        <v>6718263.5309999995</v>
      </c>
      <c r="I25" s="225">
        <f t="shared" si="4"/>
        <v>214984432.99199998</v>
      </c>
      <c r="N25" s="115">
        <f t="shared" si="1"/>
        <v>0.75800000000000001</v>
      </c>
    </row>
    <row r="26" spans="1:14" ht="43.5" customHeight="1" outlineLevel="1">
      <c r="B26" s="83" t="s">
        <v>118</v>
      </c>
      <c r="C26" s="132" t="s">
        <v>119</v>
      </c>
      <c r="D26" s="133" t="s">
        <v>88</v>
      </c>
      <c r="E26" s="118">
        <v>0.71</v>
      </c>
      <c r="F26" s="134">
        <v>886314.45</v>
      </c>
      <c r="G26" s="120">
        <f t="shared" si="5"/>
        <v>629283.25949999993</v>
      </c>
      <c r="H26" s="127">
        <f t="shared" si="6"/>
        <v>6292832.5949999988</v>
      </c>
      <c r="I26" s="228">
        <f t="shared" si="4"/>
        <v>201370643.03999996</v>
      </c>
      <c r="N26" s="115">
        <f t="shared" si="1"/>
        <v>0.71</v>
      </c>
    </row>
    <row r="27" spans="1:14" ht="18.75" customHeight="1">
      <c r="B27" s="76">
        <v>4</v>
      </c>
      <c r="C27" s="96" t="s">
        <v>120</v>
      </c>
      <c r="D27" s="97"/>
      <c r="E27" s="98">
        <v>0</v>
      </c>
      <c r="F27" s="99"/>
      <c r="G27" s="135"/>
      <c r="H27" s="137"/>
      <c r="I27" s="136"/>
      <c r="L27" s="103">
        <f>+H28+H29+H30+H31+H32+H33+H37+H38+H39+H40+H41+H42+H43+H44+H45+H46</f>
        <v>146187952.86172</v>
      </c>
      <c r="M27" s="103"/>
      <c r="N27" s="115">
        <f t="shared" si="1"/>
        <v>0</v>
      </c>
    </row>
    <row r="28" spans="1:14" ht="30" customHeight="1" outlineLevel="1">
      <c r="B28" s="138" t="s">
        <v>121</v>
      </c>
      <c r="C28" s="84" t="s">
        <v>122</v>
      </c>
      <c r="D28" s="85" t="s">
        <v>123</v>
      </c>
      <c r="E28" s="86">
        <v>246.441</v>
      </c>
      <c r="F28" s="139">
        <v>8250.2199999999993</v>
      </c>
      <c r="G28" s="108">
        <f t="shared" ref="G28:G46" si="7">F28*E28</f>
        <v>2033192.4670199999</v>
      </c>
      <c r="H28" s="88">
        <f>G28*10</f>
        <v>20331924.670199998</v>
      </c>
      <c r="I28" s="229">
        <f t="shared" ref="I28:I46" si="8">G28*320</f>
        <v>650621589.44639993</v>
      </c>
      <c r="N28" s="115">
        <f t="shared" si="1"/>
        <v>246.441</v>
      </c>
    </row>
    <row r="29" spans="1:14" ht="30" customHeight="1" outlineLevel="1">
      <c r="B29" s="138" t="s">
        <v>124</v>
      </c>
      <c r="C29" s="104" t="s">
        <v>125</v>
      </c>
      <c r="D29" s="83" t="s">
        <v>123</v>
      </c>
      <c r="E29" s="89">
        <v>628.37199999999996</v>
      </c>
      <c r="F29" s="110">
        <v>8250.2199999999993</v>
      </c>
      <c r="G29" s="111">
        <f t="shared" si="7"/>
        <v>5184207.2418399993</v>
      </c>
      <c r="H29" s="88">
        <f>G29*10</f>
        <v>51842072.41839999</v>
      </c>
      <c r="I29" s="230"/>
      <c r="N29" s="115">
        <f t="shared" si="1"/>
        <v>628.37199999999996</v>
      </c>
    </row>
    <row r="30" spans="1:14" ht="32.25" customHeight="1" outlineLevel="1">
      <c r="B30" s="138" t="s">
        <v>126</v>
      </c>
      <c r="C30" s="104" t="s">
        <v>127</v>
      </c>
      <c r="D30" s="83" t="s">
        <v>123</v>
      </c>
      <c r="E30" s="89">
        <v>128.946</v>
      </c>
      <c r="F30" s="110">
        <v>9878</v>
      </c>
      <c r="G30" s="111">
        <f t="shared" si="7"/>
        <v>1273728.588</v>
      </c>
      <c r="H30" s="88">
        <f>G30*10</f>
        <v>12737285.879999999</v>
      </c>
      <c r="I30" s="230"/>
      <c r="N30" s="115">
        <f t="shared" si="1"/>
        <v>128.946</v>
      </c>
    </row>
    <row r="31" spans="1:14" ht="32.25" customHeight="1" outlineLevel="1">
      <c r="B31" s="138" t="s">
        <v>128</v>
      </c>
      <c r="C31" s="104" t="s">
        <v>129</v>
      </c>
      <c r="D31" s="83" t="s">
        <v>123</v>
      </c>
      <c r="E31" s="89">
        <v>46.646999999999998</v>
      </c>
      <c r="F31" s="110">
        <v>8250.2199999999993</v>
      </c>
      <c r="G31" s="111">
        <f t="shared" si="7"/>
        <v>384848.01233999996</v>
      </c>
      <c r="H31" s="88">
        <f>G31*10</f>
        <v>3848480.1233999995</v>
      </c>
      <c r="I31" s="230">
        <f t="shared" ref="I31" si="9">G31*320</f>
        <v>123151363.94879998</v>
      </c>
      <c r="N31" s="115">
        <f t="shared" si="1"/>
        <v>46.646999999999998</v>
      </c>
    </row>
    <row r="32" spans="1:14" ht="26.4" outlineLevel="1">
      <c r="B32" s="138" t="s">
        <v>130</v>
      </c>
      <c r="C32" s="104" t="s">
        <v>131</v>
      </c>
      <c r="D32" s="83" t="s">
        <v>123</v>
      </c>
      <c r="E32" s="89">
        <v>256.56</v>
      </c>
      <c r="F32" s="110">
        <v>8250.2199999999993</v>
      </c>
      <c r="G32" s="111">
        <f t="shared" si="7"/>
        <v>2116676.4431999996</v>
      </c>
      <c r="H32" s="88">
        <f>G32*2</f>
        <v>4233352.8863999993</v>
      </c>
      <c r="I32" s="230">
        <f t="shared" si="8"/>
        <v>677336461.82399988</v>
      </c>
      <c r="N32" s="115">
        <f t="shared" si="1"/>
        <v>256.56</v>
      </c>
    </row>
    <row r="33" spans="2:14" ht="26.4" outlineLevel="1">
      <c r="B33" s="138" t="s">
        <v>132</v>
      </c>
      <c r="C33" s="104" t="s">
        <v>133</v>
      </c>
      <c r="D33" s="83" t="s">
        <v>123</v>
      </c>
      <c r="E33" s="89">
        <v>211.935</v>
      </c>
      <c r="F33" s="110">
        <v>8250.2199999999993</v>
      </c>
      <c r="G33" s="111">
        <f t="shared" si="7"/>
        <v>1748510.3757</v>
      </c>
      <c r="H33" s="88">
        <f>G33*2</f>
        <v>3497020.7514</v>
      </c>
      <c r="I33" s="230"/>
      <c r="N33" s="115">
        <f t="shared" si="1"/>
        <v>211.935</v>
      </c>
    </row>
    <row r="34" spans="2:14" ht="26.4" outlineLevel="1">
      <c r="B34" s="138" t="s">
        <v>134</v>
      </c>
      <c r="C34" s="104" t="s">
        <v>135</v>
      </c>
      <c r="D34" s="83" t="s">
        <v>123</v>
      </c>
      <c r="E34" s="89">
        <v>211.935</v>
      </c>
      <c r="F34" s="110">
        <v>8251.2199999999993</v>
      </c>
      <c r="G34" s="111">
        <f t="shared" si="7"/>
        <v>1748722.3106999998</v>
      </c>
      <c r="H34" s="88">
        <f>G34*2</f>
        <v>3497444.6213999996</v>
      </c>
      <c r="I34" s="230"/>
      <c r="N34" s="115">
        <f t="shared" si="1"/>
        <v>211.935</v>
      </c>
    </row>
    <row r="35" spans="2:14" ht="26.4" outlineLevel="1">
      <c r="B35" s="138" t="s">
        <v>136</v>
      </c>
      <c r="C35" s="104" t="s">
        <v>137</v>
      </c>
      <c r="D35" s="83" t="s">
        <v>123</v>
      </c>
      <c r="E35" s="89">
        <v>211.935</v>
      </c>
      <c r="F35" s="110">
        <v>8252.2199999999993</v>
      </c>
      <c r="G35" s="111">
        <f t="shared" si="7"/>
        <v>1748934.2456999999</v>
      </c>
      <c r="H35" s="88">
        <f>G35*2</f>
        <v>3497868.4913999997</v>
      </c>
      <c r="I35" s="230"/>
      <c r="N35" s="115">
        <f t="shared" si="1"/>
        <v>211.935</v>
      </c>
    </row>
    <row r="36" spans="2:14" ht="26.4" outlineLevel="1">
      <c r="B36" s="138" t="s">
        <v>138</v>
      </c>
      <c r="C36" s="104" t="s">
        <v>139</v>
      </c>
      <c r="D36" s="83" t="s">
        <v>123</v>
      </c>
      <c r="E36" s="89">
        <v>211.935</v>
      </c>
      <c r="F36" s="110">
        <v>8253.2199999999993</v>
      </c>
      <c r="G36" s="111">
        <f t="shared" si="7"/>
        <v>1749146.1806999999</v>
      </c>
      <c r="H36" s="88">
        <f>G36*2</f>
        <v>3498292.3613999998</v>
      </c>
      <c r="I36" s="230"/>
      <c r="N36" s="115">
        <f t="shared" si="1"/>
        <v>211.935</v>
      </c>
    </row>
    <row r="37" spans="2:14" ht="39.6" outlineLevel="1">
      <c r="B37" s="138" t="s">
        <v>140</v>
      </c>
      <c r="C37" s="104" t="s">
        <v>141</v>
      </c>
      <c r="D37" s="83" t="s">
        <v>123</v>
      </c>
      <c r="E37" s="89">
        <v>30.942</v>
      </c>
      <c r="F37" s="110">
        <v>8250.2199999999993</v>
      </c>
      <c r="G37" s="111">
        <f t="shared" si="7"/>
        <v>255278.30723999999</v>
      </c>
      <c r="H37" s="88">
        <f>G37*10</f>
        <v>2552783.0723999999</v>
      </c>
      <c r="I37" s="230"/>
      <c r="N37" s="115">
        <f t="shared" si="1"/>
        <v>30.942</v>
      </c>
    </row>
    <row r="38" spans="2:14" ht="26.4" outlineLevel="1">
      <c r="B38" s="138" t="s">
        <v>142</v>
      </c>
      <c r="C38" s="104" t="s">
        <v>143</v>
      </c>
      <c r="D38" s="83" t="s">
        <v>123</v>
      </c>
      <c r="E38" s="89">
        <v>165.89</v>
      </c>
      <c r="F38" s="110">
        <v>8250.2199999999993</v>
      </c>
      <c r="G38" s="111">
        <f t="shared" si="7"/>
        <v>1368628.9957999997</v>
      </c>
      <c r="H38" s="88">
        <f t="shared" ref="H38:H43" si="10">G38*8</f>
        <v>10949031.966399997</v>
      </c>
      <c r="I38" s="230"/>
      <c r="N38" s="115">
        <f t="shared" si="1"/>
        <v>165.89</v>
      </c>
    </row>
    <row r="39" spans="2:14" ht="26.4" outlineLevel="1">
      <c r="B39" s="138" t="s">
        <v>144</v>
      </c>
      <c r="C39" s="104" t="s">
        <v>145</v>
      </c>
      <c r="D39" s="83" t="s">
        <v>123</v>
      </c>
      <c r="E39" s="89">
        <v>97.506</v>
      </c>
      <c r="F39" s="110">
        <v>8250.2199999999993</v>
      </c>
      <c r="G39" s="111">
        <f t="shared" si="7"/>
        <v>804445.95131999999</v>
      </c>
      <c r="H39" s="88">
        <f t="shared" si="10"/>
        <v>6435567.6105599999</v>
      </c>
      <c r="I39" s="230"/>
      <c r="N39" s="115">
        <f t="shared" si="1"/>
        <v>97.506</v>
      </c>
    </row>
    <row r="40" spans="2:14" ht="26.4" outlineLevel="1">
      <c r="B40" s="138" t="s">
        <v>146</v>
      </c>
      <c r="C40" s="104" t="s">
        <v>147</v>
      </c>
      <c r="D40" s="83" t="s">
        <v>123</v>
      </c>
      <c r="E40" s="89">
        <v>19.501000000000001</v>
      </c>
      <c r="F40" s="110">
        <v>8250.2199999999993</v>
      </c>
      <c r="G40" s="111">
        <f t="shared" si="7"/>
        <v>160887.54022</v>
      </c>
      <c r="H40" s="88">
        <f t="shared" si="10"/>
        <v>1287100.32176</v>
      </c>
      <c r="I40" s="230"/>
      <c r="N40" s="115">
        <f t="shared" si="1"/>
        <v>19.501000000000001</v>
      </c>
    </row>
    <row r="41" spans="2:14" ht="26.4" outlineLevel="1">
      <c r="B41" s="138" t="s">
        <v>148</v>
      </c>
      <c r="C41" s="104" t="s">
        <v>149</v>
      </c>
      <c r="D41" s="83" t="s">
        <v>123</v>
      </c>
      <c r="E41" s="89">
        <v>11.051</v>
      </c>
      <c r="F41" s="110">
        <v>8250.2199999999993</v>
      </c>
      <c r="G41" s="111">
        <f t="shared" si="7"/>
        <v>91173.181219999999</v>
      </c>
      <c r="H41" s="88">
        <f t="shared" si="10"/>
        <v>729385.44975999999</v>
      </c>
      <c r="I41" s="230"/>
      <c r="N41" s="115">
        <f t="shared" si="1"/>
        <v>11.051</v>
      </c>
    </row>
    <row r="42" spans="2:14" ht="26.4" outlineLevel="1">
      <c r="B42" s="138" t="s">
        <v>150</v>
      </c>
      <c r="C42" s="104" t="s">
        <v>151</v>
      </c>
      <c r="D42" s="83" t="s">
        <v>123</v>
      </c>
      <c r="E42" s="89">
        <v>34.929000000000002</v>
      </c>
      <c r="F42" s="110">
        <v>8250.2199999999993</v>
      </c>
      <c r="G42" s="111">
        <f t="shared" si="7"/>
        <v>288171.93437999999</v>
      </c>
      <c r="H42" s="88">
        <f t="shared" si="10"/>
        <v>2305375.4750399999</v>
      </c>
      <c r="I42" s="230"/>
      <c r="N42" s="115">
        <f t="shared" si="1"/>
        <v>34.929000000000002</v>
      </c>
    </row>
    <row r="43" spans="2:14" ht="26.4" outlineLevel="1">
      <c r="B43" s="138" t="s">
        <v>152</v>
      </c>
      <c r="C43" s="104" t="s">
        <v>153</v>
      </c>
      <c r="D43" s="83" t="s">
        <v>123</v>
      </c>
      <c r="E43" s="89">
        <v>122.273</v>
      </c>
      <c r="F43" s="110">
        <v>9878</v>
      </c>
      <c r="G43" s="111">
        <f t="shared" si="7"/>
        <v>1207812.6939999999</v>
      </c>
      <c r="H43" s="88">
        <f t="shared" si="10"/>
        <v>9662501.5519999992</v>
      </c>
      <c r="I43" s="230">
        <f t="shared" ref="I43" si="11">G43*320</f>
        <v>386500062.07999998</v>
      </c>
      <c r="N43" s="115">
        <f t="shared" si="1"/>
        <v>122.273</v>
      </c>
    </row>
    <row r="44" spans="2:14" ht="26.4" outlineLevel="1">
      <c r="B44" s="138" t="s">
        <v>154</v>
      </c>
      <c r="C44" s="104" t="s">
        <v>155</v>
      </c>
      <c r="D44" s="83" t="s">
        <v>123</v>
      </c>
      <c r="E44" s="89">
        <v>17.334</v>
      </c>
      <c r="F44" s="110">
        <v>8250.2199999999993</v>
      </c>
      <c r="G44" s="111">
        <f>F44*E44</f>
        <v>143009.31347999998</v>
      </c>
      <c r="H44" s="88">
        <f>G44*10</f>
        <v>1430093.1347999999</v>
      </c>
      <c r="I44" s="230"/>
      <c r="N44" s="115">
        <f t="shared" si="1"/>
        <v>17.334</v>
      </c>
    </row>
    <row r="45" spans="2:14" ht="14.25" customHeight="1" outlineLevel="1">
      <c r="B45" s="138" t="s">
        <v>156</v>
      </c>
      <c r="C45" s="104" t="s">
        <v>157</v>
      </c>
      <c r="D45" s="83" t="s">
        <v>123</v>
      </c>
      <c r="E45" s="89">
        <v>74.754999999999995</v>
      </c>
      <c r="F45" s="110">
        <v>8250.2199999999993</v>
      </c>
      <c r="G45" s="111">
        <f t="shared" si="7"/>
        <v>616745.19609999994</v>
      </c>
      <c r="H45" s="88">
        <f>G45*10</f>
        <v>6167451.9609999992</v>
      </c>
      <c r="I45" s="230">
        <f t="shared" si="8"/>
        <v>197358462.75199997</v>
      </c>
      <c r="N45" s="115">
        <f t="shared" si="1"/>
        <v>74.754999999999995</v>
      </c>
    </row>
    <row r="46" spans="2:14" ht="26.4" outlineLevel="1">
      <c r="B46" s="138" t="s">
        <v>158</v>
      </c>
      <c r="C46" s="104" t="s">
        <v>159</v>
      </c>
      <c r="D46" s="83" t="s">
        <v>123</v>
      </c>
      <c r="E46" s="89">
        <v>99.131</v>
      </c>
      <c r="F46" s="110">
        <v>8250.2199999999993</v>
      </c>
      <c r="G46" s="111">
        <f t="shared" si="7"/>
        <v>817852.55881999992</v>
      </c>
      <c r="H46" s="88">
        <f>G46*10</f>
        <v>8178525.5881999992</v>
      </c>
      <c r="I46" s="230">
        <f t="shared" si="8"/>
        <v>261712818.82239997</v>
      </c>
      <c r="N46" s="115">
        <f t="shared" si="1"/>
        <v>99.131</v>
      </c>
    </row>
    <row r="47" spans="2:14" ht="18.75" customHeight="1" outlineLevel="1">
      <c r="B47" s="76">
        <v>5</v>
      </c>
      <c r="C47" s="96" t="s">
        <v>160</v>
      </c>
      <c r="D47" s="97"/>
      <c r="E47" s="98">
        <v>0</v>
      </c>
      <c r="F47" s="99"/>
      <c r="G47" s="135"/>
      <c r="H47" s="140"/>
      <c r="I47" s="135"/>
      <c r="L47" s="103">
        <f>+H48+H49+H53+H54+H55+H56</f>
        <v>67278832.62368001</v>
      </c>
      <c r="M47" s="103"/>
      <c r="N47" s="115">
        <f t="shared" si="1"/>
        <v>0</v>
      </c>
    </row>
    <row r="48" spans="2:14" ht="61.5" customHeight="1" outlineLevel="1">
      <c r="B48" s="141" t="s">
        <v>161</v>
      </c>
      <c r="C48" s="84" t="s">
        <v>162</v>
      </c>
      <c r="D48" s="85" t="s">
        <v>115</v>
      </c>
      <c r="E48" s="86">
        <v>124.277</v>
      </c>
      <c r="F48" s="142">
        <v>93094.46</v>
      </c>
      <c r="G48" s="108">
        <f t="shared" ref="G48:G56" si="12">F48*E48</f>
        <v>11569500.20542</v>
      </c>
      <c r="H48" s="88">
        <f t="shared" ref="H48:H53" si="13">G48*2</f>
        <v>23139000.410840001</v>
      </c>
      <c r="I48" s="231">
        <f>G48*320</f>
        <v>3702240065.7344003</v>
      </c>
      <c r="N48" s="115">
        <f t="shared" si="1"/>
        <v>124.277</v>
      </c>
    </row>
    <row r="49" spans="2:14" ht="61.5" customHeight="1" outlineLevel="1">
      <c r="B49" s="141" t="s">
        <v>163</v>
      </c>
      <c r="C49" s="104" t="s">
        <v>164</v>
      </c>
      <c r="D49" s="83" t="s">
        <v>115</v>
      </c>
      <c r="E49" s="89">
        <v>124.277</v>
      </c>
      <c r="F49" s="142">
        <v>93094.46</v>
      </c>
      <c r="G49" s="111">
        <f t="shared" si="12"/>
        <v>11569500.20542</v>
      </c>
      <c r="H49" s="88">
        <f t="shared" si="13"/>
        <v>23139000.410840001</v>
      </c>
      <c r="I49" s="225"/>
      <c r="N49" s="115">
        <f t="shared" si="1"/>
        <v>124.277</v>
      </c>
    </row>
    <row r="50" spans="2:14" ht="61.5" customHeight="1" outlineLevel="1">
      <c r="B50" s="141" t="s">
        <v>165</v>
      </c>
      <c r="C50" s="104" t="s">
        <v>166</v>
      </c>
      <c r="D50" s="83" t="s">
        <v>115</v>
      </c>
      <c r="E50" s="89">
        <v>116.661</v>
      </c>
      <c r="F50" s="142">
        <v>93094.46</v>
      </c>
      <c r="G50" s="111">
        <f t="shared" si="12"/>
        <v>10860492.79806</v>
      </c>
      <c r="H50" s="88">
        <f t="shared" si="13"/>
        <v>21720985.59612</v>
      </c>
      <c r="I50" s="225"/>
      <c r="N50" s="115">
        <f t="shared" si="1"/>
        <v>116.661</v>
      </c>
    </row>
    <row r="51" spans="2:14" ht="61.5" customHeight="1" outlineLevel="1">
      <c r="B51" s="141" t="s">
        <v>167</v>
      </c>
      <c r="C51" s="104" t="s">
        <v>168</v>
      </c>
      <c r="D51" s="83" t="s">
        <v>115</v>
      </c>
      <c r="E51" s="89">
        <v>116.661</v>
      </c>
      <c r="F51" s="142">
        <v>93094.46</v>
      </c>
      <c r="G51" s="111">
        <f t="shared" si="12"/>
        <v>10860492.79806</v>
      </c>
      <c r="H51" s="88">
        <f t="shared" si="13"/>
        <v>21720985.59612</v>
      </c>
      <c r="I51" s="225"/>
      <c r="N51" s="115">
        <f t="shared" si="1"/>
        <v>116.661</v>
      </c>
    </row>
    <row r="52" spans="2:14" ht="61.5" customHeight="1" outlineLevel="1">
      <c r="B52" s="141" t="s">
        <v>169</v>
      </c>
      <c r="C52" s="104" t="s">
        <v>170</v>
      </c>
      <c r="D52" s="83" t="s">
        <v>115</v>
      </c>
      <c r="E52" s="89">
        <v>116.661</v>
      </c>
      <c r="F52" s="142">
        <v>93094.46</v>
      </c>
      <c r="G52" s="111">
        <f t="shared" si="12"/>
        <v>10860492.79806</v>
      </c>
      <c r="H52" s="88">
        <f t="shared" si="13"/>
        <v>21720985.59612</v>
      </c>
      <c r="I52" s="225"/>
      <c r="N52" s="115">
        <f t="shared" si="1"/>
        <v>116.661</v>
      </c>
    </row>
    <row r="53" spans="2:14" ht="61.5" customHeight="1" outlineLevel="1">
      <c r="B53" s="141" t="s">
        <v>171</v>
      </c>
      <c r="C53" s="104" t="s">
        <v>172</v>
      </c>
      <c r="D53" s="83" t="s">
        <v>115</v>
      </c>
      <c r="E53" s="89">
        <v>29.75</v>
      </c>
      <c r="F53" s="142">
        <v>93094.46</v>
      </c>
      <c r="G53" s="111">
        <f t="shared" si="12"/>
        <v>2769560.1850000001</v>
      </c>
      <c r="H53" s="88">
        <f t="shared" si="13"/>
        <v>5539120.3700000001</v>
      </c>
      <c r="I53" s="225"/>
      <c r="N53" s="115">
        <f t="shared" si="1"/>
        <v>29.75</v>
      </c>
    </row>
    <row r="54" spans="2:14" ht="69.599999999999994" customHeight="1" outlineLevel="1">
      <c r="B54" s="141" t="s">
        <v>173</v>
      </c>
      <c r="C54" s="132" t="s">
        <v>174</v>
      </c>
      <c r="D54" s="133" t="s">
        <v>115</v>
      </c>
      <c r="E54" s="118">
        <v>8.1910000000000007</v>
      </c>
      <c r="F54" s="142">
        <v>83094.460000000006</v>
      </c>
      <c r="G54" s="120">
        <f t="shared" si="12"/>
        <v>680626.72186000017</v>
      </c>
      <c r="H54" s="88">
        <f>G54*10</f>
        <v>6806267.2186000012</v>
      </c>
      <c r="I54" s="228">
        <f>G54*320</f>
        <v>217800550.99520004</v>
      </c>
      <c r="N54" s="115">
        <f t="shared" si="1"/>
        <v>8.1910000000000007</v>
      </c>
    </row>
    <row r="55" spans="2:14" ht="67.2" customHeight="1" outlineLevel="1">
      <c r="B55" s="141" t="s">
        <v>175</v>
      </c>
      <c r="C55" s="132" t="s">
        <v>176</v>
      </c>
      <c r="D55" s="133" t="s">
        <v>115</v>
      </c>
      <c r="E55" s="118">
        <v>4.3440000000000003</v>
      </c>
      <c r="F55" s="144">
        <v>83161.08</v>
      </c>
      <c r="G55" s="120">
        <f t="shared" si="12"/>
        <v>361251.73152000003</v>
      </c>
      <c r="H55" s="88">
        <f>G55*10</f>
        <v>3612517.3152000001</v>
      </c>
      <c r="I55" s="228">
        <f>G55*320</f>
        <v>115600554.0864</v>
      </c>
      <c r="N55" s="115">
        <f t="shared" si="1"/>
        <v>4.3440000000000003</v>
      </c>
    </row>
    <row r="56" spans="2:14" ht="67.2" customHeight="1" outlineLevel="1">
      <c r="B56" s="141" t="s">
        <v>177</v>
      </c>
      <c r="C56" s="132" t="s">
        <v>178</v>
      </c>
      <c r="D56" s="133" t="s">
        <v>115</v>
      </c>
      <c r="E56" s="118">
        <v>5.4169999999999998</v>
      </c>
      <c r="F56" s="144">
        <v>93094.46</v>
      </c>
      <c r="G56" s="120">
        <f t="shared" si="12"/>
        <v>504292.68982000003</v>
      </c>
      <c r="H56" s="88">
        <f>G56*10</f>
        <v>5042926.8982000006</v>
      </c>
      <c r="I56" s="228"/>
      <c r="N56" s="115">
        <f t="shared" si="1"/>
        <v>5.4169999999999998</v>
      </c>
    </row>
    <row r="57" spans="2:14" ht="18.75" customHeight="1" outlineLevel="1">
      <c r="B57" s="76">
        <v>6</v>
      </c>
      <c r="C57" s="96" t="s">
        <v>179</v>
      </c>
      <c r="D57" s="97"/>
      <c r="E57" s="98">
        <v>0</v>
      </c>
      <c r="F57" s="99"/>
      <c r="G57" s="135"/>
      <c r="H57" s="140"/>
      <c r="I57" s="135"/>
      <c r="L57" s="103">
        <f>+H59+H60+H61+H62+H63+H64+H65</f>
        <v>14799431.863975074</v>
      </c>
      <c r="M57" s="103"/>
      <c r="N57" s="115">
        <f t="shared" si="1"/>
        <v>0</v>
      </c>
    </row>
    <row r="58" spans="2:14" ht="18.75" customHeight="1" outlineLevel="1">
      <c r="B58" s="146"/>
      <c r="C58" s="147" t="s">
        <v>180</v>
      </c>
      <c r="D58" s="148"/>
      <c r="E58" s="149"/>
      <c r="F58" s="150"/>
      <c r="G58" s="151"/>
      <c r="H58" s="241"/>
      <c r="I58" s="151"/>
      <c r="L58" s="103"/>
      <c r="M58" s="103"/>
      <c r="N58" s="115">
        <f t="shared" si="1"/>
        <v>0</v>
      </c>
    </row>
    <row r="59" spans="2:14" ht="82.5" customHeight="1" outlineLevel="1">
      <c r="B59" s="141" t="s">
        <v>181</v>
      </c>
      <c r="C59" s="84" t="s">
        <v>182</v>
      </c>
      <c r="D59" s="85" t="s">
        <v>73</v>
      </c>
      <c r="E59" s="152">
        <v>2</v>
      </c>
      <c r="F59" s="139">
        <f>82500*1.0804</f>
        <v>89133</v>
      </c>
      <c r="G59" s="108">
        <f t="shared" ref="G59:G64" si="14">F59*E59</f>
        <v>178266</v>
      </c>
      <c r="H59" s="88">
        <f>G59*10</f>
        <v>1782660</v>
      </c>
      <c r="I59" s="231">
        <f t="shared" ref="I59:I64" si="15">G59*320</f>
        <v>57045120</v>
      </c>
      <c r="N59" s="115">
        <f t="shared" si="1"/>
        <v>2</v>
      </c>
    </row>
    <row r="60" spans="2:14" ht="85.5" customHeight="1" outlineLevel="1">
      <c r="B60" s="141" t="s">
        <v>183</v>
      </c>
      <c r="C60" s="104" t="s">
        <v>184</v>
      </c>
      <c r="D60" s="83" t="s">
        <v>73</v>
      </c>
      <c r="E60" s="153">
        <v>10</v>
      </c>
      <c r="F60" s="110">
        <f>62500*1.0804</f>
        <v>67525</v>
      </c>
      <c r="G60" s="111">
        <f t="shared" si="14"/>
        <v>675250</v>
      </c>
      <c r="H60" s="88">
        <f t="shared" ref="H60:H65" si="16">G60*10</f>
        <v>6752500</v>
      </c>
      <c r="I60" s="225">
        <f t="shared" si="15"/>
        <v>216080000</v>
      </c>
      <c r="N60" s="115">
        <f t="shared" si="1"/>
        <v>10</v>
      </c>
    </row>
    <row r="61" spans="2:14" ht="60" customHeight="1" outlineLevel="1">
      <c r="B61" s="141" t="s">
        <v>185</v>
      </c>
      <c r="C61" s="104" t="s">
        <v>186</v>
      </c>
      <c r="D61" s="83" t="s">
        <v>81</v>
      </c>
      <c r="E61" s="153">
        <v>2.774</v>
      </c>
      <c r="F61" s="110">
        <f>49650*1.0804</f>
        <v>53641.86</v>
      </c>
      <c r="G61" s="111">
        <f t="shared" si="14"/>
        <v>148802.51964000001</v>
      </c>
      <c r="H61" s="88">
        <f t="shared" si="16"/>
        <v>1488025.1964000002</v>
      </c>
      <c r="I61" s="225">
        <f t="shared" si="15"/>
        <v>47616806.284800008</v>
      </c>
      <c r="L61" s="75"/>
      <c r="M61" s="75"/>
      <c r="N61" s="115">
        <f t="shared" si="1"/>
        <v>2.774</v>
      </c>
    </row>
    <row r="62" spans="2:14" ht="60.75" customHeight="1" outlineLevel="1">
      <c r="B62" s="141" t="s">
        <v>187</v>
      </c>
      <c r="C62" s="104" t="s">
        <v>188</v>
      </c>
      <c r="D62" s="83" t="s">
        <v>81</v>
      </c>
      <c r="E62" s="153">
        <v>2.774</v>
      </c>
      <c r="F62" s="110">
        <f>59650*1.0804</f>
        <v>64445.86</v>
      </c>
      <c r="G62" s="111">
        <f t="shared" si="14"/>
        <v>178772.81564000002</v>
      </c>
      <c r="H62" s="88">
        <f t="shared" si="16"/>
        <v>1787728.1564000002</v>
      </c>
      <c r="I62" s="225">
        <f t="shared" si="15"/>
        <v>57207301.004800007</v>
      </c>
      <c r="L62" s="75"/>
      <c r="M62" s="75"/>
      <c r="N62" s="115">
        <f t="shared" si="1"/>
        <v>2.774</v>
      </c>
    </row>
    <row r="63" spans="2:14" ht="55.5" customHeight="1" outlineLevel="1">
      <c r="B63" s="141" t="s">
        <v>189</v>
      </c>
      <c r="C63" s="104" t="s">
        <v>190</v>
      </c>
      <c r="D63" s="83" t="s">
        <v>81</v>
      </c>
      <c r="E63" s="153">
        <v>1</v>
      </c>
      <c r="F63" s="110">
        <f>96318.1279873263*1.0804</f>
        <v>104062.10547750733</v>
      </c>
      <c r="G63" s="111">
        <f t="shared" si="14"/>
        <v>104062.10547750733</v>
      </c>
      <c r="H63" s="88">
        <f t="shared" si="16"/>
        <v>1040621.0547750733</v>
      </c>
      <c r="I63" s="225">
        <f t="shared" si="15"/>
        <v>33299873.752802346</v>
      </c>
      <c r="N63" s="115">
        <f t="shared" si="1"/>
        <v>1</v>
      </c>
    </row>
    <row r="64" spans="2:14" ht="95.25" customHeight="1" outlineLevel="1">
      <c r="B64" s="141" t="s">
        <v>191</v>
      </c>
      <c r="C64" s="132" t="s">
        <v>192</v>
      </c>
      <c r="D64" s="133" t="s">
        <v>81</v>
      </c>
      <c r="E64" s="154">
        <v>2.774</v>
      </c>
      <c r="F64" s="155">
        <f>49650*1.0804</f>
        <v>53641.86</v>
      </c>
      <c r="G64" s="120">
        <f t="shared" si="14"/>
        <v>148802.51964000001</v>
      </c>
      <c r="H64" s="88">
        <f t="shared" si="16"/>
        <v>1488025.1964000002</v>
      </c>
      <c r="I64" s="228">
        <f t="shared" si="15"/>
        <v>47616806.284800008</v>
      </c>
      <c r="N64" s="115">
        <f t="shared" si="1"/>
        <v>2.774</v>
      </c>
    </row>
    <row r="65" spans="2:14" ht="66" outlineLevel="1">
      <c r="B65" s="141" t="s">
        <v>193</v>
      </c>
      <c r="C65" s="132" t="s">
        <v>194</v>
      </c>
      <c r="D65" s="133" t="s">
        <v>73</v>
      </c>
      <c r="E65" s="154">
        <v>0.1</v>
      </c>
      <c r="F65" s="155">
        <f>425650*1.0804</f>
        <v>459872.26</v>
      </c>
      <c r="G65" s="121">
        <f>F65*E65</f>
        <v>45987.226000000002</v>
      </c>
      <c r="H65" s="88">
        <f t="shared" si="16"/>
        <v>459872.26</v>
      </c>
      <c r="I65" s="228">
        <f>G65*320</f>
        <v>14715912.32</v>
      </c>
      <c r="N65" s="115">
        <f t="shared" si="1"/>
        <v>0.1</v>
      </c>
    </row>
    <row r="66" spans="2:14" ht="18.75" customHeight="1" outlineLevel="1">
      <c r="B66" s="156"/>
      <c r="C66" s="157" t="s">
        <v>195</v>
      </c>
      <c r="D66" s="97"/>
      <c r="E66" s="98"/>
      <c r="F66" s="99"/>
      <c r="G66" s="135"/>
      <c r="H66" s="140"/>
      <c r="I66" s="135"/>
      <c r="L66" s="103">
        <f>+H68+H69+H70+H67</f>
        <v>14821346.9354</v>
      </c>
      <c r="M66" s="103"/>
      <c r="N66" s="115">
        <f t="shared" si="1"/>
        <v>0</v>
      </c>
    </row>
    <row r="67" spans="2:14" ht="66" outlineLevel="1">
      <c r="B67" s="158" t="s">
        <v>196</v>
      </c>
      <c r="C67" s="104" t="s">
        <v>197</v>
      </c>
      <c r="D67" s="83" t="s">
        <v>73</v>
      </c>
      <c r="E67" s="153">
        <v>2</v>
      </c>
      <c r="F67" s="110">
        <f>62500*1.0804</f>
        <v>67525</v>
      </c>
      <c r="G67" s="111">
        <f t="shared" ref="G67" si="17">F67*E67</f>
        <v>135050</v>
      </c>
      <c r="H67" s="88">
        <f>G67*10</f>
        <v>1350500</v>
      </c>
      <c r="I67" s="225">
        <f t="shared" ref="I67" si="18">G67*320</f>
        <v>43216000</v>
      </c>
      <c r="L67" s="103"/>
      <c r="M67" s="103"/>
      <c r="N67" s="115">
        <f t="shared" si="1"/>
        <v>2</v>
      </c>
    </row>
    <row r="68" spans="2:14" ht="60.75" customHeight="1" outlineLevel="1">
      <c r="B68" s="158" t="s">
        <v>198</v>
      </c>
      <c r="C68" s="84" t="s">
        <v>199</v>
      </c>
      <c r="D68" s="85" t="s">
        <v>81</v>
      </c>
      <c r="E68" s="152">
        <v>2.73</v>
      </c>
      <c r="F68" s="139">
        <f>59650*1.0804</f>
        <v>64445.86</v>
      </c>
      <c r="G68" s="143">
        <f>F68*E68</f>
        <v>175937.19779999999</v>
      </c>
      <c r="H68" s="88">
        <f t="shared" ref="H68:H70" si="19">G68*10</f>
        <v>1759371.9779999999</v>
      </c>
      <c r="I68" s="231">
        <f>G68*320</f>
        <v>56299903.295999996</v>
      </c>
      <c r="N68" s="115">
        <f t="shared" si="1"/>
        <v>2.73</v>
      </c>
    </row>
    <row r="69" spans="2:14" ht="60" customHeight="1" outlineLevel="1">
      <c r="B69" s="158" t="s">
        <v>200</v>
      </c>
      <c r="C69" s="104" t="s">
        <v>201</v>
      </c>
      <c r="D69" s="83" t="s">
        <v>81</v>
      </c>
      <c r="E69" s="153">
        <v>17.459</v>
      </c>
      <c r="F69" s="110">
        <f>59650*1.0804</f>
        <v>64445.86</v>
      </c>
      <c r="G69" s="95">
        <f>F69*E69</f>
        <v>1125160.2697399999</v>
      </c>
      <c r="H69" s="88">
        <f t="shared" si="19"/>
        <v>11251602.6974</v>
      </c>
      <c r="I69" s="225">
        <f>G69*320</f>
        <v>360051286.3168</v>
      </c>
      <c r="N69" s="115">
        <f t="shared" ref="N69:N132" si="20">+E69</f>
        <v>17.459</v>
      </c>
    </row>
    <row r="70" spans="2:14" ht="66" outlineLevel="1">
      <c r="B70" s="158" t="s">
        <v>202</v>
      </c>
      <c r="C70" s="132" t="s">
        <v>194</v>
      </c>
      <c r="D70" s="133" t="s">
        <v>73</v>
      </c>
      <c r="E70" s="154">
        <v>0.1</v>
      </c>
      <c r="F70" s="155">
        <f>425650*1.0804</f>
        <v>459872.26</v>
      </c>
      <c r="G70" s="121">
        <f>F70*E70</f>
        <v>45987.226000000002</v>
      </c>
      <c r="H70" s="88">
        <f t="shared" si="19"/>
        <v>459872.26</v>
      </c>
      <c r="I70" s="228">
        <f>G70*320</f>
        <v>14715912.32</v>
      </c>
      <c r="N70" s="115">
        <f t="shared" si="20"/>
        <v>0.1</v>
      </c>
    </row>
    <row r="71" spans="2:14" ht="18.75" customHeight="1" outlineLevel="1">
      <c r="B71" s="156"/>
      <c r="C71" s="157" t="s">
        <v>203</v>
      </c>
      <c r="D71" s="97"/>
      <c r="E71" s="98"/>
      <c r="F71" s="99"/>
      <c r="G71" s="159"/>
      <c r="H71" s="242"/>
      <c r="I71" s="159"/>
      <c r="L71" s="103">
        <f>+H72+H73+H74+H75+H76+H77</f>
        <v>23347981.895151403</v>
      </c>
      <c r="M71" s="103"/>
      <c r="N71" s="115">
        <f t="shared" si="20"/>
        <v>0</v>
      </c>
    </row>
    <row r="72" spans="2:14" ht="39.6" outlineLevel="1">
      <c r="B72" s="141" t="s">
        <v>204</v>
      </c>
      <c r="C72" s="84" t="s">
        <v>205</v>
      </c>
      <c r="D72" s="85" t="s">
        <v>73</v>
      </c>
      <c r="E72" s="86">
        <v>9</v>
      </c>
      <c r="F72" s="139">
        <f>67650*1.0804</f>
        <v>73089.06</v>
      </c>
      <c r="G72" s="143">
        <f t="shared" ref="G72:G77" si="21">F72*E72</f>
        <v>657801.54</v>
      </c>
      <c r="H72" s="88">
        <f>G72*10</f>
        <v>6578015.4000000004</v>
      </c>
      <c r="I72" s="231">
        <f>G72*320</f>
        <v>210496492.80000001</v>
      </c>
      <c r="N72" s="115">
        <f t="shared" si="20"/>
        <v>9</v>
      </c>
    </row>
    <row r="73" spans="2:14" ht="79.2" outlineLevel="1">
      <c r="B73" s="141" t="s">
        <v>206</v>
      </c>
      <c r="C73" s="104" t="s">
        <v>207</v>
      </c>
      <c r="D73" s="83" t="s">
        <v>81</v>
      </c>
      <c r="E73" s="153">
        <v>21.939</v>
      </c>
      <c r="F73" s="110">
        <f>10350*1.0804</f>
        <v>11182.14</v>
      </c>
      <c r="G73" s="95">
        <f t="shared" si="21"/>
        <v>245324.96945999999</v>
      </c>
      <c r="H73" s="88">
        <f t="shared" ref="H73:H77" si="22">G73*10</f>
        <v>2453249.6946</v>
      </c>
      <c r="I73" s="225">
        <f t="shared" ref="I73:I77" si="23">G73*320</f>
        <v>78503990.227200001</v>
      </c>
      <c r="N73" s="115">
        <f t="shared" si="20"/>
        <v>21.939</v>
      </c>
    </row>
    <row r="74" spans="2:14" ht="100.5" customHeight="1" outlineLevel="1">
      <c r="B74" s="141" t="s">
        <v>208</v>
      </c>
      <c r="C74" s="104" t="s">
        <v>209</v>
      </c>
      <c r="D74" s="83" t="s">
        <v>81</v>
      </c>
      <c r="E74" s="153">
        <v>10.596</v>
      </c>
      <c r="F74" s="110">
        <f>13850*1.0804</f>
        <v>14963.54</v>
      </c>
      <c r="G74" s="95">
        <f t="shared" si="21"/>
        <v>158553.66984000002</v>
      </c>
      <c r="H74" s="88">
        <f t="shared" si="22"/>
        <v>1585536.6984000001</v>
      </c>
      <c r="I74" s="225">
        <f t="shared" si="23"/>
        <v>50737174.348800004</v>
      </c>
      <c r="N74" s="115">
        <f t="shared" si="20"/>
        <v>10.596</v>
      </c>
    </row>
    <row r="75" spans="2:14" ht="32.25" customHeight="1" outlineLevel="1">
      <c r="B75" s="141" t="s">
        <v>210</v>
      </c>
      <c r="C75" s="104" t="s">
        <v>211</v>
      </c>
      <c r="D75" s="83" t="s">
        <v>73</v>
      </c>
      <c r="E75" s="153">
        <v>1</v>
      </c>
      <c r="F75" s="110">
        <f>46264.3559932805*1.0804</f>
        <v>49984.010215140253</v>
      </c>
      <c r="G75" s="95">
        <f t="shared" si="21"/>
        <v>49984.010215140253</v>
      </c>
      <c r="H75" s="88">
        <f t="shared" si="22"/>
        <v>499840.10215140251</v>
      </c>
      <c r="I75" s="225">
        <f t="shared" si="23"/>
        <v>15994883.26884488</v>
      </c>
      <c r="N75" s="115">
        <f t="shared" si="20"/>
        <v>1</v>
      </c>
    </row>
    <row r="76" spans="2:14" ht="42.75" customHeight="1" outlineLevel="1">
      <c r="B76" s="141" t="s">
        <v>212</v>
      </c>
      <c r="C76" s="104" t="s">
        <v>213</v>
      </c>
      <c r="D76" s="83" t="s">
        <v>73</v>
      </c>
      <c r="E76" s="153">
        <v>1</v>
      </c>
      <c r="F76" s="110">
        <v>398134</v>
      </c>
      <c r="G76" s="95">
        <f t="shared" si="21"/>
        <v>398134</v>
      </c>
      <c r="H76" s="88">
        <f t="shared" si="22"/>
        <v>3981340</v>
      </c>
      <c r="I76" s="225">
        <f t="shared" si="23"/>
        <v>127402880</v>
      </c>
      <c r="N76" s="115">
        <f t="shared" si="20"/>
        <v>1</v>
      </c>
    </row>
    <row r="77" spans="2:14" ht="39.6" outlineLevel="1">
      <c r="B77" s="141" t="s">
        <v>214</v>
      </c>
      <c r="C77" s="132" t="s">
        <v>215</v>
      </c>
      <c r="D77" s="133" t="s">
        <v>73</v>
      </c>
      <c r="E77" s="154">
        <v>1</v>
      </c>
      <c r="F77" s="155">
        <v>825000</v>
      </c>
      <c r="G77" s="121">
        <f t="shared" si="21"/>
        <v>825000</v>
      </c>
      <c r="H77" s="88">
        <f t="shared" si="22"/>
        <v>8250000</v>
      </c>
      <c r="I77" s="228">
        <f t="shared" si="23"/>
        <v>264000000</v>
      </c>
      <c r="N77" s="115">
        <f t="shared" si="20"/>
        <v>1</v>
      </c>
    </row>
    <row r="78" spans="2:14" ht="18.75" customHeight="1" outlineLevel="1">
      <c r="B78" s="76">
        <v>7</v>
      </c>
      <c r="C78" s="96" t="s">
        <v>216</v>
      </c>
      <c r="D78" s="97"/>
      <c r="E78" s="98">
        <v>0</v>
      </c>
      <c r="F78" s="99"/>
      <c r="G78" s="160"/>
      <c r="H78" s="161"/>
      <c r="I78" s="160"/>
      <c r="L78" s="103">
        <f>+H80+H81+H82+H83+H84+H85+H86+H87+H88+H89+H90+H91</f>
        <v>30764670.082999997</v>
      </c>
      <c r="M78" s="103"/>
      <c r="N78" s="115">
        <f t="shared" si="20"/>
        <v>0</v>
      </c>
    </row>
    <row r="79" spans="2:14" ht="18.75" customHeight="1" outlineLevel="1">
      <c r="B79" s="146"/>
      <c r="C79" s="147" t="s">
        <v>217</v>
      </c>
      <c r="D79" s="148"/>
      <c r="E79" s="149"/>
      <c r="F79" s="150"/>
      <c r="G79" s="162"/>
      <c r="H79" s="243"/>
      <c r="I79" s="162"/>
      <c r="L79" s="103"/>
      <c r="M79" s="103"/>
      <c r="N79" s="115">
        <f t="shared" si="20"/>
        <v>0</v>
      </c>
    </row>
    <row r="80" spans="2:14" ht="85.5" customHeight="1" outlineLevel="1">
      <c r="B80" s="141" t="s">
        <v>218</v>
      </c>
      <c r="C80" s="84" t="s">
        <v>219</v>
      </c>
      <c r="D80" s="85" t="s">
        <v>73</v>
      </c>
      <c r="E80" s="86">
        <v>18</v>
      </c>
      <c r="F80" s="139">
        <v>69268.47</v>
      </c>
      <c r="G80" s="143">
        <f t="shared" ref="G80:G91" si="24">F80*E80</f>
        <v>1246832.46</v>
      </c>
      <c r="H80" s="88">
        <f>G80*10</f>
        <v>12468324.6</v>
      </c>
      <c r="I80" s="231">
        <f>G80*320</f>
        <v>398986387.19999999</v>
      </c>
      <c r="N80" s="115">
        <f t="shared" si="20"/>
        <v>18</v>
      </c>
    </row>
    <row r="81" spans="2:14" ht="112.5" customHeight="1" outlineLevel="1">
      <c r="B81" s="141" t="s">
        <v>220</v>
      </c>
      <c r="C81" s="104" t="s">
        <v>221</v>
      </c>
      <c r="D81" s="83" t="s">
        <v>73</v>
      </c>
      <c r="E81" s="89">
        <v>3</v>
      </c>
      <c r="F81" s="110">
        <v>79346.27</v>
      </c>
      <c r="G81" s="95">
        <f t="shared" si="24"/>
        <v>238038.81</v>
      </c>
      <c r="H81" s="88">
        <f t="shared" ref="H81:H83" si="25">G81*10</f>
        <v>2380388.1</v>
      </c>
      <c r="I81" s="225">
        <f t="shared" ref="I81:I91" si="26">G81*320</f>
        <v>76172419.200000003</v>
      </c>
      <c r="N81" s="115">
        <f t="shared" si="20"/>
        <v>3</v>
      </c>
    </row>
    <row r="82" spans="2:14" ht="77.400000000000006" customHeight="1" outlineLevel="1">
      <c r="B82" s="141" t="s">
        <v>222</v>
      </c>
      <c r="C82" s="104" t="s">
        <v>223</v>
      </c>
      <c r="D82" s="83" t="s">
        <v>73</v>
      </c>
      <c r="E82" s="89">
        <v>1</v>
      </c>
      <c r="F82" s="110">
        <f>185500*1.0804</f>
        <v>200414.2</v>
      </c>
      <c r="G82" s="95">
        <f t="shared" si="24"/>
        <v>200414.2</v>
      </c>
      <c r="H82" s="88">
        <f t="shared" si="25"/>
        <v>2004142</v>
      </c>
      <c r="I82" s="225">
        <f t="shared" si="26"/>
        <v>64132544</v>
      </c>
      <c r="N82" s="115">
        <f t="shared" si="20"/>
        <v>1</v>
      </c>
    </row>
    <row r="83" spans="2:14" ht="43.5" customHeight="1" outlineLevel="1">
      <c r="B83" s="141" t="s">
        <v>224</v>
      </c>
      <c r="C83" s="104" t="s">
        <v>225</v>
      </c>
      <c r="D83" s="83" t="s">
        <v>73</v>
      </c>
      <c r="E83" s="89">
        <v>6</v>
      </c>
      <c r="F83" s="110">
        <v>28106.1</v>
      </c>
      <c r="G83" s="95">
        <f t="shared" si="24"/>
        <v>168636.59999999998</v>
      </c>
      <c r="H83" s="88">
        <f t="shared" si="25"/>
        <v>1686365.9999999998</v>
      </c>
      <c r="I83" s="225">
        <f t="shared" si="26"/>
        <v>53963711.999999993</v>
      </c>
      <c r="N83" s="115">
        <f t="shared" si="20"/>
        <v>6</v>
      </c>
    </row>
    <row r="84" spans="2:14" ht="43.5" customHeight="1" outlineLevel="1">
      <c r="B84" s="141" t="s">
        <v>226</v>
      </c>
      <c r="C84" s="104" t="s">
        <v>227</v>
      </c>
      <c r="D84" s="83" t="s">
        <v>81</v>
      </c>
      <c r="E84" s="89">
        <v>5.2539999999999996</v>
      </c>
      <c r="F84" s="110">
        <v>24876.5</v>
      </c>
      <c r="G84" s="95">
        <f t="shared" si="24"/>
        <v>130701.13099999999</v>
      </c>
      <c r="H84" s="88">
        <f>G84*2</f>
        <v>261402.26199999999</v>
      </c>
      <c r="I84" s="225">
        <f t="shared" si="26"/>
        <v>41824361.920000002</v>
      </c>
      <c r="N84" s="115">
        <f t="shared" si="20"/>
        <v>5.2539999999999996</v>
      </c>
    </row>
    <row r="85" spans="2:14" ht="43.5" customHeight="1" outlineLevel="1">
      <c r="B85" s="141" t="s">
        <v>228</v>
      </c>
      <c r="C85" s="104" t="s">
        <v>229</v>
      </c>
      <c r="D85" s="83" t="s">
        <v>81</v>
      </c>
      <c r="E85" s="89">
        <v>8.0280000000000005</v>
      </c>
      <c r="F85" s="110">
        <v>24877.5</v>
      </c>
      <c r="G85" s="95">
        <f t="shared" si="24"/>
        <v>199716.57</v>
      </c>
      <c r="H85" s="88">
        <f>G85*8</f>
        <v>1597732.56</v>
      </c>
      <c r="I85" s="225">
        <f t="shared" si="26"/>
        <v>63909302.400000006</v>
      </c>
      <c r="N85" s="115">
        <f t="shared" si="20"/>
        <v>8.0280000000000005</v>
      </c>
    </row>
    <row r="86" spans="2:14" ht="26.4" outlineLevel="1">
      <c r="B86" s="141" t="s">
        <v>230</v>
      </c>
      <c r="C86" s="104" t="s">
        <v>231</v>
      </c>
      <c r="D86" s="83" t="s">
        <v>73</v>
      </c>
      <c r="E86" s="89">
        <v>1</v>
      </c>
      <c r="F86" s="110">
        <v>64500.7</v>
      </c>
      <c r="G86" s="95">
        <f t="shared" si="24"/>
        <v>64500.7</v>
      </c>
      <c r="H86" s="88">
        <f>G86*10</f>
        <v>645007</v>
      </c>
      <c r="I86" s="225">
        <f t="shared" si="26"/>
        <v>20640224</v>
      </c>
      <c r="N86" s="115">
        <f t="shared" si="20"/>
        <v>1</v>
      </c>
    </row>
    <row r="87" spans="2:14" ht="39.6" outlineLevel="1">
      <c r="B87" s="141" t="s">
        <v>232</v>
      </c>
      <c r="C87" s="104" t="s">
        <v>233</v>
      </c>
      <c r="D87" s="83" t="s">
        <v>81</v>
      </c>
      <c r="E87" s="89">
        <v>13.292</v>
      </c>
      <c r="F87" s="110">
        <v>10637</v>
      </c>
      <c r="G87" s="95">
        <f t="shared" si="24"/>
        <v>141387.00399999999</v>
      </c>
      <c r="H87" s="88">
        <f>G87*10</f>
        <v>1413870.0399999998</v>
      </c>
      <c r="I87" s="225">
        <f t="shared" si="26"/>
        <v>45243841.279999994</v>
      </c>
      <c r="N87" s="115">
        <f t="shared" si="20"/>
        <v>13.292</v>
      </c>
    </row>
    <row r="88" spans="2:14" ht="26.4" outlineLevel="1">
      <c r="B88" s="141" t="s">
        <v>234</v>
      </c>
      <c r="C88" s="104" t="s">
        <v>235</v>
      </c>
      <c r="D88" s="83" t="s">
        <v>81</v>
      </c>
      <c r="E88" s="89">
        <v>2.7090000000000001</v>
      </c>
      <c r="F88" s="110">
        <v>12373.9</v>
      </c>
      <c r="G88" s="95">
        <f t="shared" si="24"/>
        <v>33520.895100000002</v>
      </c>
      <c r="H88" s="88">
        <f>G88*10</f>
        <v>335208.951</v>
      </c>
      <c r="I88" s="225">
        <f t="shared" si="26"/>
        <v>10726686.432</v>
      </c>
      <c r="N88" s="115">
        <f t="shared" si="20"/>
        <v>2.7090000000000001</v>
      </c>
    </row>
    <row r="89" spans="2:14" ht="26.4" outlineLevel="1">
      <c r="B89" s="141" t="s">
        <v>236</v>
      </c>
      <c r="C89" s="104" t="s">
        <v>237</v>
      </c>
      <c r="D89" s="83" t="s">
        <v>73</v>
      </c>
      <c r="E89" s="89">
        <v>1</v>
      </c>
      <c r="F89" s="110">
        <f>235500*1.0804</f>
        <v>254434.2</v>
      </c>
      <c r="G89" s="95">
        <f t="shared" si="24"/>
        <v>254434.2</v>
      </c>
      <c r="H89" s="88">
        <f t="shared" ref="H89:H91" si="27">G89*10</f>
        <v>2544342</v>
      </c>
      <c r="I89" s="225">
        <f t="shared" si="26"/>
        <v>81418944</v>
      </c>
      <c r="N89" s="115">
        <f t="shared" si="20"/>
        <v>1</v>
      </c>
    </row>
    <row r="90" spans="2:14" ht="34.5" customHeight="1" outlineLevel="1">
      <c r="B90" s="141" t="s">
        <v>238</v>
      </c>
      <c r="C90" s="104" t="s">
        <v>239</v>
      </c>
      <c r="D90" s="83" t="s">
        <v>73</v>
      </c>
      <c r="E90" s="89">
        <v>0.1</v>
      </c>
      <c r="F90" s="110">
        <v>2880600</v>
      </c>
      <c r="G90" s="95">
        <f t="shared" si="24"/>
        <v>288060</v>
      </c>
      <c r="H90" s="88">
        <f t="shared" si="27"/>
        <v>2880600</v>
      </c>
      <c r="I90" s="225">
        <f t="shared" si="26"/>
        <v>92179200</v>
      </c>
      <c r="N90" s="115">
        <f t="shared" si="20"/>
        <v>0.1</v>
      </c>
    </row>
    <row r="91" spans="2:14" ht="27" customHeight="1" outlineLevel="1">
      <c r="B91" s="141" t="s">
        <v>240</v>
      </c>
      <c r="C91" s="132" t="s">
        <v>241</v>
      </c>
      <c r="D91" s="133" t="s">
        <v>242</v>
      </c>
      <c r="E91" s="118">
        <v>0.1</v>
      </c>
      <c r="F91" s="155">
        <v>2547286.5699999998</v>
      </c>
      <c r="G91" s="121">
        <f t="shared" si="24"/>
        <v>254728.65700000001</v>
      </c>
      <c r="H91" s="88">
        <f t="shared" si="27"/>
        <v>2547286.5700000003</v>
      </c>
      <c r="I91" s="228">
        <f t="shared" si="26"/>
        <v>81513170.24000001</v>
      </c>
      <c r="N91" s="115">
        <f t="shared" si="20"/>
        <v>0.1</v>
      </c>
    </row>
    <row r="92" spans="2:14" ht="18.75" customHeight="1" outlineLevel="1">
      <c r="B92" s="156"/>
      <c r="C92" s="163" t="s">
        <v>243</v>
      </c>
      <c r="D92" s="97"/>
      <c r="E92" s="98">
        <v>0</v>
      </c>
      <c r="F92" s="99"/>
      <c r="G92" s="160"/>
      <c r="H92" s="161"/>
      <c r="I92" s="160"/>
      <c r="L92" s="103">
        <f>+H93+H94+H95</f>
        <v>13624450.199999999</v>
      </c>
      <c r="M92" s="103"/>
      <c r="N92" s="115">
        <f t="shared" si="20"/>
        <v>0</v>
      </c>
    </row>
    <row r="93" spans="2:14" ht="66" outlineLevel="1">
      <c r="B93" s="141" t="s">
        <v>244</v>
      </c>
      <c r="C93" s="84" t="s">
        <v>245</v>
      </c>
      <c r="D93" s="85" t="s">
        <v>73</v>
      </c>
      <c r="E93" s="86">
        <v>11</v>
      </c>
      <c r="F93" s="139">
        <v>66278.55</v>
      </c>
      <c r="G93" s="143">
        <f>F93*E93</f>
        <v>729064.05</v>
      </c>
      <c r="H93" s="88">
        <f>G93*10</f>
        <v>7290640.5</v>
      </c>
      <c r="I93" s="231">
        <f>G93*320</f>
        <v>233300496</v>
      </c>
      <c r="N93" s="115">
        <f t="shared" si="20"/>
        <v>11</v>
      </c>
    </row>
    <row r="94" spans="2:14" ht="81" customHeight="1" outlineLevel="1">
      <c r="B94" s="141" t="s">
        <v>246</v>
      </c>
      <c r="C94" s="104" t="s">
        <v>247</v>
      </c>
      <c r="D94" s="83" t="s">
        <v>73</v>
      </c>
      <c r="E94" s="89">
        <v>6</v>
      </c>
      <c r="F94" s="110">
        <v>69268.47</v>
      </c>
      <c r="G94" s="95">
        <f>F94*E94</f>
        <v>415610.82</v>
      </c>
      <c r="H94" s="88">
        <f t="shared" ref="H94:H95" si="28">G94*10</f>
        <v>4156108.2</v>
      </c>
      <c r="I94" s="225">
        <f>G94*320</f>
        <v>132995462.40000001</v>
      </c>
      <c r="N94" s="115">
        <f t="shared" si="20"/>
        <v>6</v>
      </c>
    </row>
    <row r="95" spans="2:14" ht="81" customHeight="1" outlineLevel="1">
      <c r="B95" s="141" t="s">
        <v>248</v>
      </c>
      <c r="C95" s="132" t="s">
        <v>249</v>
      </c>
      <c r="D95" s="133" t="s">
        <v>73</v>
      </c>
      <c r="E95" s="118">
        <v>3</v>
      </c>
      <c r="F95" s="155">
        <v>72590.05</v>
      </c>
      <c r="G95" s="121">
        <f>F95*E95</f>
        <v>217770.15000000002</v>
      </c>
      <c r="H95" s="88">
        <f t="shared" si="28"/>
        <v>2177701.5</v>
      </c>
      <c r="I95" s="228">
        <f>G95*320</f>
        <v>69686448</v>
      </c>
      <c r="N95" s="115">
        <f t="shared" si="20"/>
        <v>3</v>
      </c>
    </row>
    <row r="96" spans="2:14" ht="18.75" customHeight="1" outlineLevel="1">
      <c r="B96" s="156"/>
      <c r="C96" s="157" t="s">
        <v>250</v>
      </c>
      <c r="D96" s="97"/>
      <c r="E96" s="98">
        <v>0</v>
      </c>
      <c r="F96" s="99"/>
      <c r="G96" s="160"/>
      <c r="H96" s="161"/>
      <c r="I96" s="160"/>
      <c r="L96" s="103">
        <f>+H97+H98+H99+H100+H101</f>
        <v>5718047.2029999997</v>
      </c>
      <c r="M96" s="103"/>
      <c r="N96" s="115">
        <f t="shared" si="20"/>
        <v>0</v>
      </c>
    </row>
    <row r="97" spans="2:14" ht="45.75" customHeight="1" outlineLevel="1">
      <c r="B97" s="141" t="s">
        <v>251</v>
      </c>
      <c r="C97" s="84" t="s">
        <v>252</v>
      </c>
      <c r="D97" s="85" t="s">
        <v>73</v>
      </c>
      <c r="E97" s="86">
        <v>3</v>
      </c>
      <c r="F97" s="139">
        <f>45350*1.0804</f>
        <v>48996.14</v>
      </c>
      <c r="G97" s="143">
        <f>F97*E97</f>
        <v>146988.41999999998</v>
      </c>
      <c r="H97" s="88">
        <f>G97*10</f>
        <v>1469884.1999999997</v>
      </c>
      <c r="I97" s="231">
        <f>G97*320</f>
        <v>47036294.399999991</v>
      </c>
      <c r="N97" s="115">
        <f t="shared" si="20"/>
        <v>3</v>
      </c>
    </row>
    <row r="98" spans="2:14" ht="32.25" customHeight="1" outlineLevel="1">
      <c r="B98" s="141" t="s">
        <v>253</v>
      </c>
      <c r="C98" s="104" t="s">
        <v>254</v>
      </c>
      <c r="D98" s="83" t="s">
        <v>81</v>
      </c>
      <c r="E98" s="89">
        <v>13.855</v>
      </c>
      <c r="F98" s="110">
        <f>14650*1.0804</f>
        <v>15827.86</v>
      </c>
      <c r="G98" s="95">
        <f>F98*E98</f>
        <v>219295.00030000001</v>
      </c>
      <c r="H98" s="88">
        <f t="shared" ref="H98:H101" si="29">G98*10</f>
        <v>2192950.003</v>
      </c>
      <c r="I98" s="225">
        <f>G98*320</f>
        <v>70174400.096000001</v>
      </c>
      <c r="N98" s="115">
        <f t="shared" si="20"/>
        <v>13.855</v>
      </c>
    </row>
    <row r="99" spans="2:14" ht="60" customHeight="1" outlineLevel="1">
      <c r="B99" s="141" t="s">
        <v>255</v>
      </c>
      <c r="C99" s="132" t="s">
        <v>256</v>
      </c>
      <c r="D99" s="133" t="s">
        <v>73</v>
      </c>
      <c r="E99" s="118">
        <v>1</v>
      </c>
      <c r="F99" s="155">
        <v>85012</v>
      </c>
      <c r="G99" s="121">
        <f>F99*E99</f>
        <v>85012</v>
      </c>
      <c r="H99" s="88">
        <f t="shared" si="29"/>
        <v>850120</v>
      </c>
      <c r="I99" s="228">
        <f>G99*320</f>
        <v>27203840</v>
      </c>
      <c r="N99" s="115">
        <f t="shared" si="20"/>
        <v>1</v>
      </c>
    </row>
    <row r="100" spans="2:14" ht="26.4" outlineLevel="1">
      <c r="B100" s="141" t="s">
        <v>257</v>
      </c>
      <c r="C100" s="104" t="s">
        <v>258</v>
      </c>
      <c r="D100" s="133" t="s">
        <v>73</v>
      </c>
      <c r="E100" s="118">
        <v>0.5</v>
      </c>
      <c r="F100" s="155">
        <v>135013</v>
      </c>
      <c r="G100" s="121">
        <f>F100*E100</f>
        <v>67506.5</v>
      </c>
      <c r="H100" s="88">
        <f t="shared" si="29"/>
        <v>675065</v>
      </c>
      <c r="I100" s="228">
        <f>G100*320</f>
        <v>21602080</v>
      </c>
      <c r="N100" s="115">
        <f t="shared" si="20"/>
        <v>0.5</v>
      </c>
    </row>
    <row r="101" spans="2:14" ht="26.4" outlineLevel="1">
      <c r="B101" s="141" t="s">
        <v>259</v>
      </c>
      <c r="C101" s="104" t="s">
        <v>260</v>
      </c>
      <c r="D101" s="133" t="s">
        <v>73</v>
      </c>
      <c r="E101" s="118">
        <v>0.2</v>
      </c>
      <c r="F101" s="155">
        <v>265014</v>
      </c>
      <c r="G101" s="121">
        <f>F101*E101</f>
        <v>53002.8</v>
      </c>
      <c r="H101" s="88">
        <f t="shared" si="29"/>
        <v>530028</v>
      </c>
      <c r="I101" s="228">
        <f>G101*320</f>
        <v>16960896</v>
      </c>
      <c r="N101" s="115">
        <f t="shared" si="20"/>
        <v>0.2</v>
      </c>
    </row>
    <row r="102" spans="2:14" ht="18.75" customHeight="1" outlineLevel="1">
      <c r="B102" s="76">
        <v>8</v>
      </c>
      <c r="C102" s="96" t="s">
        <v>261</v>
      </c>
      <c r="D102" s="97"/>
      <c r="E102" s="98">
        <v>0</v>
      </c>
      <c r="F102" s="99"/>
      <c r="G102" s="160"/>
      <c r="H102" s="161"/>
      <c r="I102" s="160"/>
      <c r="L102" s="103">
        <f>+H103+H104+H105+H106+H107+H108+H109+H110</f>
        <v>61028370.050000004</v>
      </c>
      <c r="M102" s="103"/>
      <c r="N102" s="115">
        <f t="shared" si="20"/>
        <v>0</v>
      </c>
    </row>
    <row r="103" spans="2:14" ht="47.25" customHeight="1" outlineLevel="1">
      <c r="B103" s="158" t="s">
        <v>262</v>
      </c>
      <c r="C103" s="84" t="s">
        <v>263</v>
      </c>
      <c r="D103" s="85" t="s">
        <v>73</v>
      </c>
      <c r="E103" s="86">
        <v>1</v>
      </c>
      <c r="F103" s="139">
        <v>696023</v>
      </c>
      <c r="G103" s="143">
        <f t="shared" ref="G103:G110" si="30">F103*E103</f>
        <v>696023</v>
      </c>
      <c r="H103" s="88">
        <f>G103*10</f>
        <v>6960230</v>
      </c>
      <c r="I103" s="231">
        <f>G103*320</f>
        <v>222727360</v>
      </c>
      <c r="N103" s="115">
        <f t="shared" si="20"/>
        <v>1</v>
      </c>
    </row>
    <row r="104" spans="2:14" ht="45" customHeight="1" outlineLevel="1">
      <c r="B104" s="158" t="s">
        <v>264</v>
      </c>
      <c r="C104" s="104" t="s">
        <v>265</v>
      </c>
      <c r="D104" s="83" t="s">
        <v>73</v>
      </c>
      <c r="E104" s="89">
        <v>1</v>
      </c>
      <c r="F104" s="110">
        <v>1110036</v>
      </c>
      <c r="G104" s="95">
        <f t="shared" si="30"/>
        <v>1110036</v>
      </c>
      <c r="H104" s="88">
        <f t="shared" ref="H104:H110" si="31">G104*10</f>
        <v>11100360</v>
      </c>
      <c r="I104" s="225">
        <f t="shared" ref="I104:I110" si="32">G104*320</f>
        <v>355211520</v>
      </c>
      <c r="N104" s="115">
        <f t="shared" si="20"/>
        <v>1</v>
      </c>
    </row>
    <row r="105" spans="2:14" ht="26.4" outlineLevel="1">
      <c r="B105" s="158" t="s">
        <v>266</v>
      </c>
      <c r="C105" s="104" t="s">
        <v>267</v>
      </c>
      <c r="D105" s="83" t="s">
        <v>73</v>
      </c>
      <c r="E105" s="89">
        <v>1</v>
      </c>
      <c r="F105" s="110">
        <v>496974</v>
      </c>
      <c r="G105" s="95">
        <f t="shared" si="30"/>
        <v>496974</v>
      </c>
      <c r="H105" s="88">
        <f t="shared" si="31"/>
        <v>4969740</v>
      </c>
      <c r="I105" s="225">
        <f t="shared" si="32"/>
        <v>159031680</v>
      </c>
      <c r="N105" s="115">
        <f t="shared" si="20"/>
        <v>1</v>
      </c>
    </row>
    <row r="106" spans="2:14" ht="26.4" outlineLevel="1">
      <c r="B106" s="158" t="s">
        <v>268</v>
      </c>
      <c r="C106" s="104" t="s">
        <v>269</v>
      </c>
      <c r="D106" s="83" t="s">
        <v>73</v>
      </c>
      <c r="E106" s="89">
        <v>1</v>
      </c>
      <c r="F106" s="110">
        <v>496974</v>
      </c>
      <c r="G106" s="95">
        <f t="shared" si="30"/>
        <v>496974</v>
      </c>
      <c r="H106" s="88">
        <f t="shared" si="31"/>
        <v>4969740</v>
      </c>
      <c r="I106" s="225"/>
      <c r="N106" s="115">
        <f t="shared" si="20"/>
        <v>1</v>
      </c>
    </row>
    <row r="107" spans="2:14" ht="39.6" outlineLevel="1">
      <c r="B107" s="158" t="s">
        <v>270</v>
      </c>
      <c r="C107" s="104" t="s">
        <v>347</v>
      </c>
      <c r="D107" s="83" t="s">
        <v>73</v>
      </c>
      <c r="E107" s="89">
        <v>3</v>
      </c>
      <c r="F107" s="110">
        <v>606974</v>
      </c>
      <c r="G107" s="95">
        <f t="shared" si="30"/>
        <v>1820922</v>
      </c>
      <c r="H107" s="88">
        <f t="shared" si="31"/>
        <v>18209220</v>
      </c>
      <c r="I107" s="225"/>
      <c r="N107" s="115">
        <f t="shared" si="20"/>
        <v>3</v>
      </c>
    </row>
    <row r="108" spans="2:14" ht="26.4" outlineLevel="1">
      <c r="B108" s="158" t="s">
        <v>271</v>
      </c>
      <c r="C108" s="104" t="s">
        <v>348</v>
      </c>
      <c r="D108" s="83" t="s">
        <v>73</v>
      </c>
      <c r="E108" s="89">
        <v>1</v>
      </c>
      <c r="F108" s="110">
        <v>326973.90999999997</v>
      </c>
      <c r="G108" s="95">
        <f t="shared" si="30"/>
        <v>326973.90999999997</v>
      </c>
      <c r="H108" s="88">
        <f t="shared" si="31"/>
        <v>3269739.0999999996</v>
      </c>
      <c r="I108" s="225">
        <f t="shared" si="32"/>
        <v>104631651.19999999</v>
      </c>
      <c r="N108" s="115">
        <f t="shared" si="20"/>
        <v>1</v>
      </c>
    </row>
    <row r="109" spans="2:14" ht="58.5" customHeight="1" outlineLevel="1">
      <c r="B109" s="158" t="s">
        <v>272</v>
      </c>
      <c r="C109" s="104" t="s">
        <v>273</v>
      </c>
      <c r="D109" s="83" t="s">
        <v>81</v>
      </c>
      <c r="E109" s="89">
        <v>3.31</v>
      </c>
      <c r="F109" s="110">
        <f>181500*1.0804</f>
        <v>196092.6</v>
      </c>
      <c r="G109" s="95">
        <f t="shared" si="30"/>
        <v>649066.50600000005</v>
      </c>
      <c r="H109" s="88">
        <f t="shared" si="31"/>
        <v>6490665.0600000005</v>
      </c>
      <c r="I109" s="225">
        <f t="shared" si="32"/>
        <v>207701281.92000002</v>
      </c>
      <c r="N109" s="115">
        <f t="shared" si="20"/>
        <v>3.31</v>
      </c>
    </row>
    <row r="110" spans="2:14" ht="52.8" outlineLevel="1">
      <c r="B110" s="158" t="s">
        <v>274</v>
      </c>
      <c r="C110" s="132" t="s">
        <v>275</v>
      </c>
      <c r="D110" s="133" t="s">
        <v>81</v>
      </c>
      <c r="E110" s="118">
        <v>2.395</v>
      </c>
      <c r="F110" s="155">
        <f>195500*1.0804</f>
        <v>211218.2</v>
      </c>
      <c r="G110" s="121">
        <f t="shared" si="30"/>
        <v>505867.58900000004</v>
      </c>
      <c r="H110" s="88">
        <f t="shared" si="31"/>
        <v>5058675.8900000006</v>
      </c>
      <c r="I110" s="228">
        <f t="shared" si="32"/>
        <v>161877628.48000002</v>
      </c>
      <c r="L110" s="74"/>
      <c r="M110" s="74"/>
      <c r="N110" s="115">
        <f t="shared" si="20"/>
        <v>2.395</v>
      </c>
    </row>
    <row r="111" spans="2:14" ht="18.75" customHeight="1" outlineLevel="1">
      <c r="B111" s="76">
        <v>9</v>
      </c>
      <c r="C111" s="164" t="s">
        <v>276</v>
      </c>
      <c r="D111" s="165"/>
      <c r="E111" s="166"/>
      <c r="F111" s="167"/>
      <c r="G111" s="168"/>
      <c r="H111" s="169"/>
      <c r="I111" s="168"/>
      <c r="L111" s="103">
        <f>+H112</f>
        <v>3176376.0000000005</v>
      </c>
      <c r="M111" s="103"/>
      <c r="N111" s="115">
        <f t="shared" si="20"/>
        <v>0</v>
      </c>
    </row>
    <row r="112" spans="2:14" ht="34.5" customHeight="1" outlineLevel="1">
      <c r="B112" s="83" t="s">
        <v>277</v>
      </c>
      <c r="C112" s="93" t="s">
        <v>278</v>
      </c>
      <c r="D112" s="170" t="s">
        <v>73</v>
      </c>
      <c r="E112" s="171">
        <v>1</v>
      </c>
      <c r="F112" s="172">
        <f>294000*1.0804</f>
        <v>317637.60000000003</v>
      </c>
      <c r="G112" s="105">
        <f>F112*E112</f>
        <v>317637.60000000003</v>
      </c>
      <c r="H112" s="88">
        <f>G112*10</f>
        <v>3176376.0000000005</v>
      </c>
      <c r="I112" s="226">
        <f>G112*320</f>
        <v>101644032.00000001</v>
      </c>
      <c r="N112" s="115">
        <f t="shared" si="20"/>
        <v>1</v>
      </c>
    </row>
    <row r="113" spans="2:14" ht="18.75" customHeight="1" outlineLevel="1">
      <c r="B113" s="76">
        <v>10</v>
      </c>
      <c r="C113" s="164" t="s">
        <v>279</v>
      </c>
      <c r="D113" s="173"/>
      <c r="E113" s="174"/>
      <c r="F113" s="175"/>
      <c r="G113" s="176"/>
      <c r="H113" s="177"/>
      <c r="I113" s="176"/>
      <c r="L113" s="103">
        <f>+H114+H115+H116+H117</f>
        <v>10454458.188000001</v>
      </c>
      <c r="M113" s="103"/>
      <c r="N113" s="115">
        <f t="shared" si="20"/>
        <v>0</v>
      </c>
    </row>
    <row r="114" spans="2:14" ht="52.8" outlineLevel="1">
      <c r="B114" s="158" t="s">
        <v>280</v>
      </c>
      <c r="C114" s="84" t="s">
        <v>281</v>
      </c>
      <c r="D114" s="85" t="s">
        <v>115</v>
      </c>
      <c r="E114" s="86">
        <v>9.6</v>
      </c>
      <c r="F114" s="139">
        <f>72650*1.0804</f>
        <v>78491.06</v>
      </c>
      <c r="G114" s="143">
        <f>F114*E114</f>
        <v>753514.17599999998</v>
      </c>
      <c r="H114" s="88">
        <f>G114*10</f>
        <v>7535141.7599999998</v>
      </c>
      <c r="I114" s="231">
        <f>G114*320</f>
        <v>241124536.31999999</v>
      </c>
      <c r="N114" s="115">
        <f t="shared" si="20"/>
        <v>9.6</v>
      </c>
    </row>
    <row r="115" spans="2:14" ht="60.6" customHeight="1" outlineLevel="1">
      <c r="B115" s="158" t="s">
        <v>282</v>
      </c>
      <c r="C115" s="104" t="s">
        <v>283</v>
      </c>
      <c r="D115" s="83" t="s">
        <v>115</v>
      </c>
      <c r="E115" s="89">
        <v>1.98</v>
      </c>
      <c r="F115" s="110">
        <f>72650*1.0804</f>
        <v>78491.06</v>
      </c>
      <c r="G115" s="95">
        <f>F115*E115</f>
        <v>155412.29879999999</v>
      </c>
      <c r="H115" s="88">
        <f t="shared" ref="H115:H117" si="33">G115*10</f>
        <v>1554122.9879999999</v>
      </c>
      <c r="I115" s="225"/>
      <c r="N115" s="115">
        <f t="shared" si="20"/>
        <v>1.98</v>
      </c>
    </row>
    <row r="116" spans="2:14" ht="52.8" outlineLevel="1">
      <c r="B116" s="158" t="s">
        <v>284</v>
      </c>
      <c r="C116" s="104" t="s">
        <v>285</v>
      </c>
      <c r="D116" s="83" t="s">
        <v>115</v>
      </c>
      <c r="E116" s="89">
        <v>1.2</v>
      </c>
      <c r="F116" s="110">
        <f>72650*1.0804</f>
        <v>78491.06</v>
      </c>
      <c r="G116" s="95">
        <f>F116*E116</f>
        <v>94189.271999999997</v>
      </c>
      <c r="H116" s="88">
        <f t="shared" si="33"/>
        <v>941892.72</v>
      </c>
      <c r="I116" s="225"/>
      <c r="N116" s="115">
        <f t="shared" si="20"/>
        <v>1.2</v>
      </c>
    </row>
    <row r="117" spans="2:14" ht="26.4" outlineLevel="1">
      <c r="B117" s="158" t="s">
        <v>286</v>
      </c>
      <c r="C117" s="132" t="s">
        <v>287</v>
      </c>
      <c r="D117" s="133" t="s">
        <v>81</v>
      </c>
      <c r="E117" s="118">
        <v>1.2</v>
      </c>
      <c r="F117" s="155">
        <f>32650*1.0804</f>
        <v>35275.06</v>
      </c>
      <c r="G117" s="121">
        <f>F117*E117</f>
        <v>42330.071999999993</v>
      </c>
      <c r="H117" s="88">
        <f t="shared" si="33"/>
        <v>423300.71999999991</v>
      </c>
      <c r="I117" s="228">
        <f>G117*320</f>
        <v>13545623.039999997</v>
      </c>
      <c r="N117" s="115">
        <f t="shared" si="20"/>
        <v>1.2</v>
      </c>
    </row>
    <row r="118" spans="2:14" ht="18.75" customHeight="1" outlineLevel="1">
      <c r="B118" s="76">
        <v>11</v>
      </c>
      <c r="C118" s="96" t="s">
        <v>288</v>
      </c>
      <c r="D118" s="97"/>
      <c r="E118" s="98">
        <v>0</v>
      </c>
      <c r="F118" s="99"/>
      <c r="G118" s="160"/>
      <c r="H118" s="161"/>
      <c r="I118" s="160"/>
      <c r="L118" s="103">
        <f>+H119+H120+H121+H122+H123+H124+H125+H126+H127+H128+H129+H130+H131+H132+H133+H134</f>
        <v>11515278.881913539</v>
      </c>
      <c r="M118" s="103"/>
      <c r="N118" s="115">
        <f t="shared" si="20"/>
        <v>0</v>
      </c>
    </row>
    <row r="119" spans="2:14" ht="39.6" outlineLevel="1">
      <c r="B119" s="158" t="s">
        <v>289</v>
      </c>
      <c r="C119" s="84" t="s">
        <v>290</v>
      </c>
      <c r="D119" s="85" t="s">
        <v>73</v>
      </c>
      <c r="E119" s="86">
        <v>1</v>
      </c>
      <c r="F119" s="139">
        <v>232111</v>
      </c>
      <c r="G119" s="143">
        <f t="shared" ref="G119:G134" si="34">F119*E119</f>
        <v>232111</v>
      </c>
      <c r="H119" s="88">
        <f>G119*10</f>
        <v>2321110</v>
      </c>
      <c r="I119" s="231">
        <f>G119*320</f>
        <v>74275520</v>
      </c>
      <c r="N119" s="115">
        <f t="shared" si="20"/>
        <v>1</v>
      </c>
    </row>
    <row r="120" spans="2:14" outlineLevel="1">
      <c r="B120" s="158" t="s">
        <v>291</v>
      </c>
      <c r="C120" s="104" t="s">
        <v>292</v>
      </c>
      <c r="D120" s="83" t="s">
        <v>73</v>
      </c>
      <c r="E120" s="89">
        <v>1</v>
      </c>
      <c r="F120" s="110">
        <v>150200</v>
      </c>
      <c r="G120" s="95">
        <f t="shared" si="34"/>
        <v>150200</v>
      </c>
      <c r="H120" s="88">
        <f t="shared" ref="H120:H134" si="35">G120*10</f>
        <v>1502000</v>
      </c>
      <c r="I120" s="225">
        <f t="shared" ref="I120:I134" si="36">G120*320</f>
        <v>48064000</v>
      </c>
      <c r="N120" s="115">
        <f t="shared" si="20"/>
        <v>1</v>
      </c>
    </row>
    <row r="121" spans="2:14" ht="31.5" customHeight="1" outlineLevel="1">
      <c r="B121" s="158" t="s">
        <v>293</v>
      </c>
      <c r="C121" s="104" t="s">
        <v>294</v>
      </c>
      <c r="D121" s="83" t="s">
        <v>73</v>
      </c>
      <c r="E121" s="89">
        <v>1</v>
      </c>
      <c r="F121" s="110">
        <v>142200</v>
      </c>
      <c r="G121" s="95">
        <f t="shared" si="34"/>
        <v>142200</v>
      </c>
      <c r="H121" s="88">
        <f t="shared" si="35"/>
        <v>1422000</v>
      </c>
      <c r="I121" s="225">
        <f t="shared" si="36"/>
        <v>45504000</v>
      </c>
      <c r="N121" s="115">
        <f t="shared" si="20"/>
        <v>1</v>
      </c>
    </row>
    <row r="122" spans="2:14" ht="26.4" outlineLevel="1">
      <c r="B122" s="158" t="s">
        <v>295</v>
      </c>
      <c r="C122" s="104" t="s">
        <v>296</v>
      </c>
      <c r="D122" s="83" t="s">
        <v>73</v>
      </c>
      <c r="E122" s="89">
        <v>1</v>
      </c>
      <c r="F122" s="110">
        <v>210200</v>
      </c>
      <c r="G122" s="95">
        <f t="shared" si="34"/>
        <v>210200</v>
      </c>
      <c r="H122" s="88">
        <f t="shared" si="35"/>
        <v>2102000</v>
      </c>
      <c r="I122" s="225">
        <f t="shared" si="36"/>
        <v>67264000</v>
      </c>
      <c r="N122" s="115">
        <f t="shared" si="20"/>
        <v>1</v>
      </c>
    </row>
    <row r="123" spans="2:14" ht="44.25" customHeight="1" outlineLevel="1">
      <c r="B123" s="158" t="s">
        <v>297</v>
      </c>
      <c r="C123" s="104" t="s">
        <v>298</v>
      </c>
      <c r="D123" s="83" t="s">
        <v>73</v>
      </c>
      <c r="E123" s="89">
        <v>1</v>
      </c>
      <c r="F123" s="110">
        <v>72391</v>
      </c>
      <c r="G123" s="95">
        <f t="shared" si="34"/>
        <v>72391</v>
      </c>
      <c r="H123" s="88">
        <f t="shared" si="35"/>
        <v>723910</v>
      </c>
      <c r="I123" s="225">
        <f t="shared" si="36"/>
        <v>23165120</v>
      </c>
      <c r="N123" s="115">
        <f t="shared" si="20"/>
        <v>1</v>
      </c>
    </row>
    <row r="124" spans="2:14" ht="44.25" customHeight="1" outlineLevel="1">
      <c r="B124" s="158" t="s">
        <v>299</v>
      </c>
      <c r="C124" s="104" t="s">
        <v>300</v>
      </c>
      <c r="D124" s="83" t="s">
        <v>73</v>
      </c>
      <c r="E124" s="153">
        <v>1</v>
      </c>
      <c r="F124" s="110">
        <f>31650.2112100647*1.0804</f>
        <v>34194.888191353901</v>
      </c>
      <c r="G124" s="95">
        <f t="shared" si="34"/>
        <v>34194.888191353901</v>
      </c>
      <c r="H124" s="88">
        <f t="shared" si="35"/>
        <v>341948.88191353902</v>
      </c>
      <c r="I124" s="225">
        <f t="shared" si="36"/>
        <v>10942364.221233249</v>
      </c>
      <c r="N124" s="115">
        <f t="shared" si="20"/>
        <v>1</v>
      </c>
    </row>
    <row r="125" spans="2:14" ht="44.25" customHeight="1" outlineLevel="1">
      <c r="B125" s="158" t="s">
        <v>301</v>
      </c>
      <c r="C125" s="132" t="s">
        <v>302</v>
      </c>
      <c r="D125" s="133" t="s">
        <v>73</v>
      </c>
      <c r="E125" s="154">
        <v>1</v>
      </c>
      <c r="F125" s="155">
        <v>44198</v>
      </c>
      <c r="G125" s="121">
        <f t="shared" si="34"/>
        <v>44198</v>
      </c>
      <c r="H125" s="88">
        <f t="shared" si="35"/>
        <v>441980</v>
      </c>
      <c r="I125" s="228">
        <f t="shared" si="36"/>
        <v>14143360</v>
      </c>
      <c r="N125" s="115">
        <f t="shared" si="20"/>
        <v>1</v>
      </c>
    </row>
    <row r="126" spans="2:14" ht="44.25" customHeight="1" outlineLevel="1">
      <c r="B126" s="158" t="s">
        <v>303</v>
      </c>
      <c r="C126" s="132" t="s">
        <v>304</v>
      </c>
      <c r="D126" s="133" t="s">
        <v>73</v>
      </c>
      <c r="E126" s="154">
        <v>1</v>
      </c>
      <c r="F126" s="155">
        <v>49198</v>
      </c>
      <c r="G126" s="121">
        <f>F126*E126</f>
        <v>49198</v>
      </c>
      <c r="H126" s="88">
        <f t="shared" si="35"/>
        <v>491980</v>
      </c>
      <c r="I126" s="228">
        <f>G126*320</f>
        <v>15743360</v>
      </c>
      <c r="N126" s="115">
        <f t="shared" si="20"/>
        <v>1</v>
      </c>
    </row>
    <row r="127" spans="2:14" ht="44.25" customHeight="1" outlineLevel="1">
      <c r="B127" s="158" t="s">
        <v>305</v>
      </c>
      <c r="C127" s="132" t="s">
        <v>306</v>
      </c>
      <c r="D127" s="133" t="s">
        <v>73</v>
      </c>
      <c r="E127" s="154">
        <v>1</v>
      </c>
      <c r="F127" s="155">
        <v>34195</v>
      </c>
      <c r="G127" s="121">
        <f t="shared" ref="G127:G130" si="37">F127*E127</f>
        <v>34195</v>
      </c>
      <c r="H127" s="88">
        <f t="shared" si="35"/>
        <v>341950</v>
      </c>
      <c r="I127" s="228">
        <f t="shared" ref="I127:I130" si="38">G127*320</f>
        <v>10942400</v>
      </c>
      <c r="N127" s="115">
        <f t="shared" si="20"/>
        <v>1</v>
      </c>
    </row>
    <row r="128" spans="2:14" ht="44.25" customHeight="1" outlineLevel="1">
      <c r="B128" s="158" t="s">
        <v>307</v>
      </c>
      <c r="C128" s="132" t="s">
        <v>308</v>
      </c>
      <c r="D128" s="133" t="s">
        <v>73</v>
      </c>
      <c r="E128" s="154">
        <v>1</v>
      </c>
      <c r="F128" s="155">
        <v>34195</v>
      </c>
      <c r="G128" s="121">
        <f t="shared" si="37"/>
        <v>34195</v>
      </c>
      <c r="H128" s="88">
        <f t="shared" si="35"/>
        <v>341950</v>
      </c>
      <c r="I128" s="228">
        <f t="shared" si="38"/>
        <v>10942400</v>
      </c>
      <c r="N128" s="115">
        <f t="shared" si="20"/>
        <v>1</v>
      </c>
    </row>
    <row r="129" spans="2:14" ht="44.25" customHeight="1" outlineLevel="1">
      <c r="B129" s="158" t="s">
        <v>309</v>
      </c>
      <c r="C129" s="132" t="s">
        <v>310</v>
      </c>
      <c r="D129" s="133" t="s">
        <v>73</v>
      </c>
      <c r="E129" s="154">
        <v>1</v>
      </c>
      <c r="F129" s="155">
        <v>34195</v>
      </c>
      <c r="G129" s="121">
        <f t="shared" si="37"/>
        <v>34195</v>
      </c>
      <c r="H129" s="88">
        <f t="shared" si="35"/>
        <v>341950</v>
      </c>
      <c r="I129" s="228">
        <f t="shared" si="38"/>
        <v>10942400</v>
      </c>
      <c r="N129" s="115">
        <f t="shared" si="20"/>
        <v>1</v>
      </c>
    </row>
    <row r="130" spans="2:14" ht="44.25" customHeight="1" outlineLevel="1">
      <c r="B130" s="158" t="s">
        <v>311</v>
      </c>
      <c r="C130" s="132" t="s">
        <v>312</v>
      </c>
      <c r="D130" s="133" t="s">
        <v>73</v>
      </c>
      <c r="E130" s="154">
        <v>3</v>
      </c>
      <c r="F130" s="155">
        <v>24350</v>
      </c>
      <c r="G130" s="121">
        <f t="shared" si="37"/>
        <v>73050</v>
      </c>
      <c r="H130" s="88">
        <f t="shared" si="35"/>
        <v>730500</v>
      </c>
      <c r="I130" s="228">
        <f t="shared" si="38"/>
        <v>23376000</v>
      </c>
      <c r="N130" s="115">
        <f t="shared" si="20"/>
        <v>3</v>
      </c>
    </row>
    <row r="131" spans="2:14" ht="37.5" customHeight="1" outlineLevel="1">
      <c r="B131" s="158" t="s">
        <v>313</v>
      </c>
      <c r="C131" s="104" t="s">
        <v>314</v>
      </c>
      <c r="D131" s="83" t="s">
        <v>73</v>
      </c>
      <c r="E131" s="89">
        <v>1</v>
      </c>
      <c r="F131" s="110">
        <v>10300</v>
      </c>
      <c r="G131" s="95">
        <f t="shared" si="34"/>
        <v>10300</v>
      </c>
      <c r="H131" s="88">
        <f t="shared" si="35"/>
        <v>103000</v>
      </c>
      <c r="I131" s="225">
        <f t="shared" si="36"/>
        <v>3296000</v>
      </c>
      <c r="N131" s="115">
        <f t="shared" si="20"/>
        <v>1</v>
      </c>
    </row>
    <row r="132" spans="2:14" ht="35.25" customHeight="1" outlineLevel="1">
      <c r="B132" s="158" t="s">
        <v>315</v>
      </c>
      <c r="C132" s="104" t="s">
        <v>316</v>
      </c>
      <c r="D132" s="83" t="s">
        <v>73</v>
      </c>
      <c r="E132" s="89">
        <v>1</v>
      </c>
      <c r="F132" s="110">
        <v>10300</v>
      </c>
      <c r="G132" s="95">
        <f t="shared" si="34"/>
        <v>10300</v>
      </c>
      <c r="H132" s="88">
        <f t="shared" si="35"/>
        <v>103000</v>
      </c>
      <c r="I132" s="225">
        <f t="shared" si="36"/>
        <v>3296000</v>
      </c>
      <c r="N132" s="115">
        <f t="shared" si="20"/>
        <v>1</v>
      </c>
    </row>
    <row r="133" spans="2:14" ht="26.4" outlineLevel="1">
      <c r="B133" s="158" t="s">
        <v>317</v>
      </c>
      <c r="C133" s="104" t="s">
        <v>318</v>
      </c>
      <c r="D133" s="83" t="s">
        <v>73</v>
      </c>
      <c r="E133" s="89">
        <v>1</v>
      </c>
      <c r="F133" s="110">
        <v>10300</v>
      </c>
      <c r="G133" s="95">
        <f t="shared" si="34"/>
        <v>10300</v>
      </c>
      <c r="H133" s="88">
        <f t="shared" si="35"/>
        <v>103000</v>
      </c>
      <c r="I133" s="225">
        <f t="shared" si="36"/>
        <v>3296000</v>
      </c>
      <c r="N133" s="115">
        <f t="shared" ref="N133:N151" si="39">+E133</f>
        <v>1</v>
      </c>
    </row>
    <row r="134" spans="2:14" ht="26.4" outlineLevel="1">
      <c r="B134" s="158" t="s">
        <v>319</v>
      </c>
      <c r="C134" s="132" t="s">
        <v>320</v>
      </c>
      <c r="D134" s="133" t="s">
        <v>73</v>
      </c>
      <c r="E134" s="118">
        <v>1</v>
      </c>
      <c r="F134" s="155">
        <v>10300</v>
      </c>
      <c r="G134" s="121">
        <f t="shared" si="34"/>
        <v>10300</v>
      </c>
      <c r="H134" s="88">
        <f t="shared" si="35"/>
        <v>103000</v>
      </c>
      <c r="I134" s="228">
        <f t="shared" si="36"/>
        <v>3296000</v>
      </c>
      <c r="N134" s="115">
        <f t="shared" si="39"/>
        <v>1</v>
      </c>
    </row>
    <row r="135" spans="2:14" ht="18.75" customHeight="1" outlineLevel="1">
      <c r="B135" s="76">
        <v>12</v>
      </c>
      <c r="C135" s="96" t="s">
        <v>321</v>
      </c>
      <c r="D135" s="165"/>
      <c r="E135" s="178"/>
      <c r="F135" s="167"/>
      <c r="G135" s="168"/>
      <c r="H135" s="169"/>
      <c r="I135" s="168"/>
      <c r="L135" s="103">
        <f>+H136+H137+H138+H139+H140+H141</f>
        <v>22637585.652000003</v>
      </c>
      <c r="M135" s="103"/>
      <c r="N135" s="115">
        <f t="shared" si="39"/>
        <v>0</v>
      </c>
    </row>
    <row r="136" spans="2:14" ht="26.4" outlineLevel="1">
      <c r="B136" s="83" t="s">
        <v>322</v>
      </c>
      <c r="C136" s="104" t="s">
        <v>323</v>
      </c>
      <c r="D136" s="83" t="s">
        <v>73</v>
      </c>
      <c r="E136" s="89">
        <v>0.27100000000000002</v>
      </c>
      <c r="F136" s="179">
        <v>352460</v>
      </c>
      <c r="G136" s="131">
        <f>+E136*F136</f>
        <v>95516.66</v>
      </c>
      <c r="H136" s="107">
        <f>+G136*10</f>
        <v>955166.60000000009</v>
      </c>
      <c r="I136" s="73"/>
      <c r="L136" s="145"/>
      <c r="M136" s="145"/>
      <c r="N136" s="115">
        <f t="shared" si="39"/>
        <v>0.27100000000000002</v>
      </c>
    </row>
    <row r="137" spans="2:14" ht="13.8" outlineLevel="1">
      <c r="B137" s="83" t="s">
        <v>324</v>
      </c>
      <c r="C137" s="104" t="s">
        <v>325</v>
      </c>
      <c r="D137" s="83" t="s">
        <v>115</v>
      </c>
      <c r="E137" s="89">
        <v>23.716000000000001</v>
      </c>
      <c r="F137" s="110">
        <v>58670</v>
      </c>
      <c r="G137" s="131">
        <f>+E137*F137</f>
        <v>1391417.72</v>
      </c>
      <c r="H137" s="107">
        <f t="shared" ref="H137:H141" si="40">+G137*10</f>
        <v>13914177.199999999</v>
      </c>
      <c r="I137" s="225"/>
      <c r="L137" s="145"/>
      <c r="M137" s="145"/>
      <c r="N137" s="115">
        <f t="shared" si="39"/>
        <v>23.716000000000001</v>
      </c>
    </row>
    <row r="138" spans="2:14" ht="13.8" outlineLevel="1">
      <c r="B138" s="83" t="s">
        <v>326</v>
      </c>
      <c r="C138" s="104" t="s">
        <v>327</v>
      </c>
      <c r="D138" s="83" t="s">
        <v>115</v>
      </c>
      <c r="E138" s="89">
        <v>2</v>
      </c>
      <c r="F138" s="110">
        <v>47890</v>
      </c>
      <c r="G138" s="131">
        <f>+E138*F138</f>
        <v>95780</v>
      </c>
      <c r="H138" s="107">
        <f t="shared" si="40"/>
        <v>957800</v>
      </c>
      <c r="I138" s="225"/>
      <c r="L138" s="145"/>
      <c r="M138" s="145"/>
      <c r="N138" s="115">
        <f t="shared" si="39"/>
        <v>2</v>
      </c>
    </row>
    <row r="139" spans="2:14" ht="67.5" customHeight="1" outlineLevel="1">
      <c r="B139" s="83" t="s">
        <v>328</v>
      </c>
      <c r="C139" s="104" t="s">
        <v>329</v>
      </c>
      <c r="D139" s="83" t="s">
        <v>115</v>
      </c>
      <c r="E139" s="89">
        <v>15.958</v>
      </c>
      <c r="F139" s="110">
        <f>28500*1.0804</f>
        <v>30791.4</v>
      </c>
      <c r="G139" s="95">
        <f>F139*E139</f>
        <v>491369.16120000003</v>
      </c>
      <c r="H139" s="107">
        <f t="shared" si="40"/>
        <v>4913691.6120000007</v>
      </c>
      <c r="I139" s="225">
        <f>G139*320</f>
        <v>157238131.58400002</v>
      </c>
      <c r="L139" s="145"/>
      <c r="M139" s="145"/>
      <c r="N139" s="115">
        <f t="shared" si="39"/>
        <v>15.958</v>
      </c>
    </row>
    <row r="140" spans="2:14" ht="67.5" customHeight="1" outlineLevel="1">
      <c r="B140" s="83" t="s">
        <v>330</v>
      </c>
      <c r="C140" s="104" t="s">
        <v>331</v>
      </c>
      <c r="D140" s="83" t="s">
        <v>115</v>
      </c>
      <c r="E140" s="89">
        <v>5.16</v>
      </c>
      <c r="F140" s="110">
        <f>28500*1.0804</f>
        <v>30791.4</v>
      </c>
      <c r="G140" s="95">
        <f>F140*E140</f>
        <v>158883.62400000001</v>
      </c>
      <c r="H140" s="107">
        <f t="shared" si="40"/>
        <v>1588836.2400000002</v>
      </c>
      <c r="I140" s="225"/>
      <c r="L140" s="145"/>
      <c r="M140" s="145"/>
      <c r="N140" s="115">
        <f t="shared" si="39"/>
        <v>5.16</v>
      </c>
    </row>
    <row r="141" spans="2:14" outlineLevel="1">
      <c r="B141" s="83" t="s">
        <v>332</v>
      </c>
      <c r="C141" s="104" t="s">
        <v>333</v>
      </c>
      <c r="D141" s="83" t="s">
        <v>73</v>
      </c>
      <c r="E141" s="89">
        <v>1</v>
      </c>
      <c r="F141" s="110">
        <f>28500*1.0804</f>
        <v>30791.4</v>
      </c>
      <c r="G141" s="95">
        <f>F141*E141</f>
        <v>30791.4</v>
      </c>
      <c r="H141" s="107">
        <f t="shared" si="40"/>
        <v>307914</v>
      </c>
      <c r="I141" s="225"/>
      <c r="N141" s="115">
        <f t="shared" si="39"/>
        <v>1</v>
      </c>
    </row>
    <row r="142" spans="2:14" ht="18.75" customHeight="1" outlineLevel="1">
      <c r="B142" s="76">
        <v>13</v>
      </c>
      <c r="C142" s="96" t="s">
        <v>334</v>
      </c>
      <c r="D142" s="165"/>
      <c r="E142" s="178"/>
      <c r="F142" s="167"/>
      <c r="G142" s="168"/>
      <c r="H142" s="169"/>
      <c r="I142" s="168"/>
      <c r="L142" s="103">
        <f>+H143+H144+H145+H146+H147+H148</f>
        <v>37570777.439999998</v>
      </c>
      <c r="M142" s="103"/>
      <c r="N142" s="115">
        <f t="shared" si="39"/>
        <v>0</v>
      </c>
    </row>
    <row r="143" spans="2:14" ht="18.75" customHeight="1" outlineLevel="1">
      <c r="B143" s="83" t="s">
        <v>335</v>
      </c>
      <c r="C143" s="116" t="s">
        <v>336</v>
      </c>
      <c r="D143" s="83" t="s">
        <v>73</v>
      </c>
      <c r="E143" s="118">
        <v>3.95</v>
      </c>
      <c r="F143" s="180">
        <v>168342.72</v>
      </c>
      <c r="G143" s="111">
        <f>F143*E143</f>
        <v>664953.74400000006</v>
      </c>
      <c r="H143" s="88">
        <f>G143*10</f>
        <v>6649537.4400000004</v>
      </c>
      <c r="I143" s="232">
        <f>G143*320</f>
        <v>212785198.08000001</v>
      </c>
      <c r="L143" s="103"/>
      <c r="M143" s="103"/>
      <c r="N143" s="115">
        <f t="shared" si="39"/>
        <v>3.95</v>
      </c>
    </row>
    <row r="144" spans="2:14" ht="18.75" customHeight="1" outlineLevel="1">
      <c r="B144" s="83" t="s">
        <v>337</v>
      </c>
      <c r="C144" s="212" t="s">
        <v>338</v>
      </c>
      <c r="D144" s="85" t="s">
        <v>81</v>
      </c>
      <c r="E144" s="89">
        <v>3.17</v>
      </c>
      <c r="F144" s="110">
        <v>123560</v>
      </c>
      <c r="G144" s="111">
        <f>F144*E144</f>
        <v>391685.2</v>
      </c>
      <c r="H144" s="88">
        <f t="shared" ref="H144:H148" si="41">G144*10</f>
        <v>3916852</v>
      </c>
      <c r="I144" s="233"/>
      <c r="L144" s="181"/>
      <c r="M144" s="181"/>
      <c r="N144" s="115">
        <f t="shared" si="39"/>
        <v>3.17</v>
      </c>
    </row>
    <row r="145" spans="2:14" ht="18.75" customHeight="1" outlineLevel="1">
      <c r="B145" s="83" t="s">
        <v>339</v>
      </c>
      <c r="C145" s="182" t="s">
        <v>340</v>
      </c>
      <c r="D145" s="85" t="s">
        <v>115</v>
      </c>
      <c r="E145" s="86">
        <v>27.76</v>
      </c>
      <c r="F145" s="139">
        <v>75420</v>
      </c>
      <c r="G145" s="143">
        <f>F145*E145</f>
        <v>2093659.2000000002</v>
      </c>
      <c r="H145" s="88">
        <f t="shared" si="41"/>
        <v>20936592</v>
      </c>
      <c r="I145" s="231">
        <f>G145*320</f>
        <v>669970944</v>
      </c>
      <c r="L145" s="181"/>
      <c r="M145" s="181"/>
      <c r="N145" s="115">
        <f t="shared" si="39"/>
        <v>27.76</v>
      </c>
    </row>
    <row r="146" spans="2:14" ht="18.75" customHeight="1" outlineLevel="1">
      <c r="B146" s="83" t="s">
        <v>341</v>
      </c>
      <c r="C146" s="212" t="s">
        <v>342</v>
      </c>
      <c r="D146" s="83" t="s">
        <v>81</v>
      </c>
      <c r="E146" s="89">
        <v>8.7200000000000006</v>
      </c>
      <c r="F146" s="139">
        <v>35670</v>
      </c>
      <c r="G146" s="143">
        <f t="shared" ref="G146:G147" si="42">F146*E146</f>
        <v>311042.40000000002</v>
      </c>
      <c r="H146" s="88">
        <f t="shared" si="41"/>
        <v>3110424</v>
      </c>
      <c r="I146" s="233"/>
      <c r="L146" s="181"/>
      <c r="M146" s="181"/>
      <c r="N146" s="115">
        <f t="shared" si="39"/>
        <v>8.7200000000000006</v>
      </c>
    </row>
    <row r="147" spans="2:14" ht="18.75" customHeight="1" outlineLevel="1">
      <c r="B147" s="83" t="s">
        <v>343</v>
      </c>
      <c r="C147" s="212" t="s">
        <v>344</v>
      </c>
      <c r="D147" s="85" t="s">
        <v>115</v>
      </c>
      <c r="E147" s="89">
        <v>2.6</v>
      </c>
      <c r="F147" s="139">
        <v>65422</v>
      </c>
      <c r="G147" s="143">
        <f t="shared" si="42"/>
        <v>170097.2</v>
      </c>
      <c r="H147" s="88">
        <f t="shared" si="41"/>
        <v>1700972</v>
      </c>
      <c r="I147" s="233"/>
      <c r="L147" s="181"/>
      <c r="M147" s="181"/>
      <c r="N147" s="115">
        <f t="shared" si="39"/>
        <v>2.6</v>
      </c>
    </row>
    <row r="148" spans="2:14" ht="16.5" customHeight="1" outlineLevel="1">
      <c r="B148" s="83" t="s">
        <v>345</v>
      </c>
      <c r="C148" s="183" t="s">
        <v>346</v>
      </c>
      <c r="D148" s="83" t="s">
        <v>73</v>
      </c>
      <c r="E148" s="89">
        <v>9</v>
      </c>
      <c r="F148" s="110">
        <v>13960</v>
      </c>
      <c r="G148" s="95">
        <f>F148*E148</f>
        <v>125640</v>
      </c>
      <c r="H148" s="88">
        <f t="shared" si="41"/>
        <v>1256400</v>
      </c>
      <c r="I148" s="225">
        <f>G148*320</f>
        <v>40204800</v>
      </c>
      <c r="N148" s="115">
        <f t="shared" si="39"/>
        <v>9</v>
      </c>
    </row>
    <row r="149" spans="2:14" ht="6.6" customHeight="1" outlineLevel="1" thickBot="1">
      <c r="B149" s="67"/>
      <c r="C149" s="67"/>
      <c r="E149" s="67"/>
      <c r="N149" s="115">
        <f t="shared" si="39"/>
        <v>0</v>
      </c>
    </row>
    <row r="150" spans="2:14" ht="24" customHeight="1" outlineLevel="1" thickBot="1">
      <c r="B150" s="67"/>
      <c r="C150" s="359" t="s">
        <v>441</v>
      </c>
      <c r="D150" s="360"/>
      <c r="E150" s="360"/>
      <c r="F150" s="360"/>
      <c r="G150" s="214"/>
      <c r="H150" s="239">
        <f>SUM(H9:H149)</f>
        <v>735394375.40593994</v>
      </c>
      <c r="I150" s="238">
        <f>SUM(I9:I148)</f>
        <v>19299975170.218876</v>
      </c>
      <c r="K150" s="184"/>
      <c r="L150" s="185" t="e">
        <f>+L8+L10+L20+L27+L47+L57+L66+L71+L78+L92+L96+L102+L111+L113+L118+L135+L142</f>
        <v>#REF!</v>
      </c>
      <c r="M150" s="192"/>
      <c r="N150" s="115">
        <f t="shared" si="39"/>
        <v>0</v>
      </c>
    </row>
    <row r="151" spans="2:14" ht="4.2" customHeight="1" outlineLevel="1">
      <c r="B151" s="67"/>
      <c r="C151" s="67"/>
      <c r="E151" s="67"/>
      <c r="K151" s="184"/>
      <c r="L151" s="186"/>
      <c r="M151" s="186"/>
      <c r="N151" s="115">
        <f t="shared" si="39"/>
        <v>0</v>
      </c>
    </row>
    <row r="152" spans="2:14" ht="20.25" customHeight="1" outlineLevel="1">
      <c r="B152" s="221">
        <v>14</v>
      </c>
      <c r="C152" s="96" t="s">
        <v>393</v>
      </c>
      <c r="D152" s="97"/>
      <c r="E152" s="97">
        <v>0</v>
      </c>
      <c r="F152" s="99"/>
      <c r="G152" s="99"/>
      <c r="H152" s="211"/>
      <c r="K152" s="184"/>
      <c r="L152" s="186"/>
      <c r="M152" s="186"/>
      <c r="N152" s="115"/>
    </row>
    <row r="153" spans="2:14" ht="26.4" outlineLevel="1">
      <c r="B153" s="83" t="s">
        <v>395</v>
      </c>
      <c r="C153" s="195" t="s">
        <v>83</v>
      </c>
      <c r="D153" s="85" t="s">
        <v>84</v>
      </c>
      <c r="E153" s="213">
        <v>0.3</v>
      </c>
      <c r="F153" s="196">
        <v>785000</v>
      </c>
      <c r="G153" s="234">
        <f>+E153*F153</f>
        <v>235500</v>
      </c>
      <c r="H153" s="92">
        <f>G153*10</f>
        <v>2355000</v>
      </c>
      <c r="K153" s="184"/>
      <c r="L153" s="186"/>
      <c r="M153" s="186"/>
      <c r="N153" s="115"/>
    </row>
    <row r="154" spans="2:14" ht="52.8" outlineLevel="1">
      <c r="B154" s="83" t="s">
        <v>396</v>
      </c>
      <c r="C154" s="112" t="s">
        <v>349</v>
      </c>
      <c r="D154" s="83" t="s">
        <v>88</v>
      </c>
      <c r="E154" s="113">
        <v>21.521000000000001</v>
      </c>
      <c r="F154" s="197">
        <v>37819.56</v>
      </c>
      <c r="G154" s="235">
        <f t="shared" ref="G154:G167" si="43">F154*E154</f>
        <v>813914.75075999997</v>
      </c>
      <c r="H154" s="92">
        <f t="shared" ref="H154:H167" si="44">G154*10</f>
        <v>8139147.5076000001</v>
      </c>
      <c r="K154" s="184"/>
      <c r="L154" s="186"/>
      <c r="M154" s="186"/>
      <c r="N154" s="115"/>
    </row>
    <row r="155" spans="2:14" ht="26.4" outlineLevel="1">
      <c r="B155" s="83" t="s">
        <v>397</v>
      </c>
      <c r="C155" s="112" t="s">
        <v>350</v>
      </c>
      <c r="D155" s="83" t="s">
        <v>88</v>
      </c>
      <c r="E155" s="113">
        <v>16.521000000000001</v>
      </c>
      <c r="F155" s="197">
        <v>19319.54</v>
      </c>
      <c r="G155" s="235">
        <f t="shared" si="43"/>
        <v>319178.12034000002</v>
      </c>
      <c r="H155" s="92">
        <f t="shared" si="44"/>
        <v>3191781.2034</v>
      </c>
      <c r="K155" s="184"/>
      <c r="L155" s="186"/>
      <c r="M155" s="186"/>
      <c r="N155" s="115"/>
    </row>
    <row r="156" spans="2:14" ht="26.4" outlineLevel="1">
      <c r="B156" s="83" t="s">
        <v>398</v>
      </c>
      <c r="C156" s="112" t="s">
        <v>351</v>
      </c>
      <c r="D156" s="83" t="s">
        <v>88</v>
      </c>
      <c r="E156" s="113">
        <v>8.3040000000000003</v>
      </c>
      <c r="F156" s="197">
        <v>18215.73</v>
      </c>
      <c r="G156" s="235">
        <f t="shared" si="43"/>
        <v>151263.42191999999</v>
      </c>
      <c r="H156" s="92">
        <f t="shared" si="44"/>
        <v>1512634.2191999999</v>
      </c>
      <c r="K156" s="184"/>
      <c r="L156" s="186"/>
      <c r="M156" s="186"/>
      <c r="N156" s="115"/>
    </row>
    <row r="157" spans="2:14" ht="39.6" outlineLevel="1">
      <c r="B157" s="83" t="s">
        <v>399</v>
      </c>
      <c r="C157" s="112" t="s">
        <v>352</v>
      </c>
      <c r="D157" s="83" t="s">
        <v>88</v>
      </c>
      <c r="E157" s="113">
        <v>6.6559999999999997</v>
      </c>
      <c r="F157" s="197">
        <v>111359.03999999999</v>
      </c>
      <c r="G157" s="235">
        <f t="shared" si="43"/>
        <v>741205.77023999987</v>
      </c>
      <c r="H157" s="92">
        <f t="shared" si="44"/>
        <v>7412057.7023999989</v>
      </c>
      <c r="K157" s="184"/>
      <c r="L157" s="186"/>
      <c r="M157" s="186"/>
      <c r="N157" s="115"/>
    </row>
    <row r="158" spans="2:14" ht="39.6" outlineLevel="1">
      <c r="B158" s="83" t="s">
        <v>400</v>
      </c>
      <c r="C158" s="112" t="s">
        <v>353</v>
      </c>
      <c r="D158" s="83" t="s">
        <v>115</v>
      </c>
      <c r="E158" s="113">
        <v>4.7249999999999996</v>
      </c>
      <c r="F158" s="197">
        <v>47441.07</v>
      </c>
      <c r="G158" s="235">
        <f t="shared" si="43"/>
        <v>224159.05574999997</v>
      </c>
      <c r="H158" s="92">
        <f t="shared" si="44"/>
        <v>2241590.5574999996</v>
      </c>
      <c r="K158" s="184"/>
      <c r="L158" s="186"/>
      <c r="M158" s="186"/>
      <c r="N158" s="115"/>
    </row>
    <row r="159" spans="2:14" ht="52.8" outlineLevel="1">
      <c r="B159" s="83" t="s">
        <v>401</v>
      </c>
      <c r="C159" s="112" t="s">
        <v>354</v>
      </c>
      <c r="D159" s="198" t="s">
        <v>81</v>
      </c>
      <c r="E159" s="113">
        <v>5.0979999999999999</v>
      </c>
      <c r="F159" s="197">
        <v>192313.52</v>
      </c>
      <c r="G159" s="235">
        <f t="shared" si="43"/>
        <v>980414.32495999988</v>
      </c>
      <c r="H159" s="92">
        <f t="shared" si="44"/>
        <v>9804143.2495999988</v>
      </c>
      <c r="K159" s="184"/>
      <c r="L159" s="186"/>
      <c r="M159" s="186"/>
      <c r="N159" s="115"/>
    </row>
    <row r="160" spans="2:14" ht="52.8" outlineLevel="1">
      <c r="B160" s="83" t="s">
        <v>402</v>
      </c>
      <c r="C160" s="112" t="s">
        <v>355</v>
      </c>
      <c r="D160" s="198" t="s">
        <v>81</v>
      </c>
      <c r="E160" s="113">
        <v>4.42</v>
      </c>
      <c r="F160" s="197">
        <v>121757.38</v>
      </c>
      <c r="G160" s="235">
        <f>+E160*F160</f>
        <v>538167.61959999998</v>
      </c>
      <c r="H160" s="92">
        <f t="shared" si="44"/>
        <v>5381676.1959999995</v>
      </c>
      <c r="K160" s="184"/>
      <c r="L160" s="186"/>
      <c r="M160" s="186"/>
      <c r="N160" s="115"/>
    </row>
    <row r="161" spans="2:14" ht="66" outlineLevel="1">
      <c r="B161" s="83" t="s">
        <v>403</v>
      </c>
      <c r="C161" s="104" t="s">
        <v>194</v>
      </c>
      <c r="D161" s="83" t="s">
        <v>73</v>
      </c>
      <c r="E161" s="153">
        <v>0.1</v>
      </c>
      <c r="F161" s="94">
        <v>673667.01</v>
      </c>
      <c r="G161" s="235">
        <f t="shared" si="43"/>
        <v>67366.701000000001</v>
      </c>
      <c r="H161" s="92">
        <f t="shared" si="44"/>
        <v>673667.01</v>
      </c>
      <c r="K161" s="184"/>
      <c r="L161" s="186"/>
      <c r="M161" s="186"/>
      <c r="N161" s="115"/>
    </row>
    <row r="162" spans="2:14" ht="39.6" outlineLevel="1">
      <c r="B162" s="83" t="s">
        <v>404</v>
      </c>
      <c r="C162" s="112" t="s">
        <v>356</v>
      </c>
      <c r="D162" s="198" t="s">
        <v>81</v>
      </c>
      <c r="E162" s="113">
        <v>0.2</v>
      </c>
      <c r="F162" s="197">
        <v>918354.59</v>
      </c>
      <c r="G162" s="235">
        <f t="shared" si="43"/>
        <v>183670.91800000001</v>
      </c>
      <c r="H162" s="92">
        <f t="shared" si="44"/>
        <v>1836709.1800000002</v>
      </c>
      <c r="K162" s="184"/>
      <c r="L162" s="186"/>
      <c r="M162" s="186"/>
      <c r="N162" s="115"/>
    </row>
    <row r="163" spans="2:14" ht="39.6" outlineLevel="1">
      <c r="B163" s="83" t="s">
        <v>405</v>
      </c>
      <c r="C163" s="112" t="s">
        <v>357</v>
      </c>
      <c r="D163" s="198" t="s">
        <v>73</v>
      </c>
      <c r="E163" s="113">
        <v>0.2</v>
      </c>
      <c r="F163" s="197">
        <v>740528.31</v>
      </c>
      <c r="G163" s="235">
        <f t="shared" si="43"/>
        <v>148105.66200000001</v>
      </c>
      <c r="H163" s="92">
        <f t="shared" si="44"/>
        <v>1481056.62</v>
      </c>
      <c r="K163" s="184"/>
      <c r="L163" s="186"/>
      <c r="M163" s="186"/>
      <c r="N163" s="115"/>
    </row>
    <row r="164" spans="2:14" ht="39.6" outlineLevel="1">
      <c r="B164" s="83" t="s">
        <v>406</v>
      </c>
      <c r="C164" s="112" t="s">
        <v>358</v>
      </c>
      <c r="D164" s="198" t="s">
        <v>73</v>
      </c>
      <c r="E164" s="113">
        <v>0.2</v>
      </c>
      <c r="F164" s="197">
        <v>1642095.1</v>
      </c>
      <c r="G164" s="235">
        <f t="shared" si="43"/>
        <v>328419.02</v>
      </c>
      <c r="H164" s="92">
        <f t="shared" si="44"/>
        <v>3284190.2</v>
      </c>
      <c r="K164" s="184"/>
      <c r="L164" s="186"/>
      <c r="M164" s="186"/>
      <c r="N164" s="115"/>
    </row>
    <row r="165" spans="2:14" ht="26.4" outlineLevel="1">
      <c r="B165" s="83" t="s">
        <v>407</v>
      </c>
      <c r="C165" s="112" t="s">
        <v>359</v>
      </c>
      <c r="D165" s="198" t="s">
        <v>73</v>
      </c>
      <c r="E165" s="113">
        <v>0.2</v>
      </c>
      <c r="F165" s="197">
        <v>61555.25</v>
      </c>
      <c r="G165" s="235">
        <f t="shared" si="43"/>
        <v>12311.050000000001</v>
      </c>
      <c r="H165" s="92">
        <f t="shared" si="44"/>
        <v>123110.50000000001</v>
      </c>
      <c r="K165" s="184"/>
      <c r="L165" s="186"/>
      <c r="M165" s="186"/>
      <c r="N165" s="115"/>
    </row>
    <row r="166" spans="2:14" ht="26.4" outlineLevel="1">
      <c r="B166" s="83" t="s">
        <v>408</v>
      </c>
      <c r="C166" s="199" t="s">
        <v>360</v>
      </c>
      <c r="D166" s="200" t="s">
        <v>73</v>
      </c>
      <c r="E166" s="201">
        <v>0.433</v>
      </c>
      <c r="F166" s="202">
        <v>36870.97</v>
      </c>
      <c r="G166" s="236">
        <f t="shared" si="43"/>
        <v>15965.130010000001</v>
      </c>
      <c r="H166" s="92">
        <f t="shared" si="44"/>
        <v>159651.30009999999</v>
      </c>
      <c r="K166" s="184"/>
      <c r="L166" s="186"/>
      <c r="M166" s="186"/>
      <c r="N166" s="115"/>
    </row>
    <row r="167" spans="2:14" ht="39.6" outlineLevel="1">
      <c r="B167" s="83" t="s">
        <v>409</v>
      </c>
      <c r="C167" s="112" t="s">
        <v>394</v>
      </c>
      <c r="D167" s="200" t="s">
        <v>73</v>
      </c>
      <c r="E167" s="113">
        <v>0.1</v>
      </c>
      <c r="F167" s="197">
        <v>92798233.799999997</v>
      </c>
      <c r="G167" s="235">
        <f t="shared" si="43"/>
        <v>9279823.3800000008</v>
      </c>
      <c r="H167" s="92">
        <f t="shared" si="44"/>
        <v>92798233.800000012</v>
      </c>
      <c r="K167" s="184"/>
      <c r="L167" s="186"/>
      <c r="M167" s="186"/>
      <c r="N167" s="115"/>
    </row>
    <row r="168" spans="2:14" ht="20.25" customHeight="1" outlineLevel="1">
      <c r="B168" s="222">
        <v>15</v>
      </c>
      <c r="C168" s="96" t="s">
        <v>361</v>
      </c>
      <c r="D168" s="97"/>
      <c r="E168" s="97">
        <v>0</v>
      </c>
      <c r="F168" s="97">
        <v>0</v>
      </c>
      <c r="G168" s="99"/>
      <c r="H168" s="211"/>
      <c r="K168" s="184"/>
      <c r="L168" s="186"/>
      <c r="M168" s="186"/>
      <c r="N168" s="115"/>
    </row>
    <row r="169" spans="2:14" ht="52.8" outlineLevel="1">
      <c r="B169" s="83" t="s">
        <v>410</v>
      </c>
      <c r="C169" s="203" t="s">
        <v>349</v>
      </c>
      <c r="D169" s="85" t="s">
        <v>88</v>
      </c>
      <c r="E169" s="204">
        <v>1.254</v>
      </c>
      <c r="F169" s="205">
        <v>37819.56</v>
      </c>
      <c r="G169" s="237">
        <f t="shared" ref="G169:G175" si="45">F169*E169</f>
        <v>47425.728239999997</v>
      </c>
      <c r="H169" s="92">
        <f>G169*10</f>
        <v>474257.28239999997</v>
      </c>
      <c r="K169" s="184"/>
      <c r="L169" s="186"/>
      <c r="M169" s="186"/>
      <c r="N169" s="115"/>
    </row>
    <row r="170" spans="2:14" ht="26.4" outlineLevel="1">
      <c r="B170" s="83" t="s">
        <v>411</v>
      </c>
      <c r="C170" s="112" t="s">
        <v>351</v>
      </c>
      <c r="D170" s="83" t="s">
        <v>88</v>
      </c>
      <c r="E170" s="113">
        <v>0.67100000000000004</v>
      </c>
      <c r="F170" s="197">
        <v>18215.73</v>
      </c>
      <c r="G170" s="235">
        <f t="shared" si="45"/>
        <v>12222.75483</v>
      </c>
      <c r="H170" s="92">
        <f t="shared" ref="H170:H176" si="46">G170*10</f>
        <v>122227.54829999999</v>
      </c>
      <c r="K170" s="184"/>
      <c r="L170" s="186"/>
      <c r="M170" s="186"/>
      <c r="N170" s="115"/>
    </row>
    <row r="171" spans="2:14" ht="66" outlineLevel="1">
      <c r="B171" s="83" t="s">
        <v>412</v>
      </c>
      <c r="C171" s="112" t="s">
        <v>362</v>
      </c>
      <c r="D171" s="198" t="s">
        <v>81</v>
      </c>
      <c r="E171" s="113">
        <v>1.5229999999999999</v>
      </c>
      <c r="F171" s="197">
        <v>44698.61</v>
      </c>
      <c r="G171" s="235">
        <f t="shared" si="45"/>
        <v>68075.983030000003</v>
      </c>
      <c r="H171" s="92">
        <f t="shared" si="46"/>
        <v>680759.83030000003</v>
      </c>
      <c r="K171" s="184"/>
      <c r="L171" s="186"/>
      <c r="M171" s="186"/>
      <c r="N171" s="115"/>
    </row>
    <row r="172" spans="2:14" ht="66" outlineLevel="1">
      <c r="B172" s="83" t="s">
        <v>413</v>
      </c>
      <c r="C172" s="112" t="s">
        <v>363</v>
      </c>
      <c r="D172" s="198" t="s">
        <v>73</v>
      </c>
      <c r="E172" s="113">
        <v>1</v>
      </c>
      <c r="F172" s="197">
        <v>418088.05</v>
      </c>
      <c r="G172" s="235">
        <f t="shared" si="45"/>
        <v>418088.05</v>
      </c>
      <c r="H172" s="92">
        <f t="shared" si="46"/>
        <v>4180880.5</v>
      </c>
      <c r="K172" s="184"/>
      <c r="L172" s="186"/>
      <c r="M172" s="186"/>
      <c r="N172" s="115"/>
    </row>
    <row r="173" spans="2:14" ht="39.6" outlineLevel="1">
      <c r="B173" s="83" t="s">
        <v>414</v>
      </c>
      <c r="C173" s="104" t="s">
        <v>364</v>
      </c>
      <c r="D173" s="83" t="s">
        <v>73</v>
      </c>
      <c r="E173" s="153">
        <v>0.1</v>
      </c>
      <c r="F173" s="94">
        <v>7041323.8300000001</v>
      </c>
      <c r="G173" s="235">
        <f t="shared" si="45"/>
        <v>704132.38300000003</v>
      </c>
      <c r="H173" s="92">
        <f t="shared" si="46"/>
        <v>7041323.8300000001</v>
      </c>
      <c r="K173" s="184"/>
      <c r="L173" s="186"/>
      <c r="M173" s="186"/>
      <c r="N173" s="115"/>
    </row>
    <row r="174" spans="2:14" ht="52.8" outlineLevel="1">
      <c r="B174" s="83" t="s">
        <v>415</v>
      </c>
      <c r="C174" s="104" t="s">
        <v>365</v>
      </c>
      <c r="D174" s="83" t="s">
        <v>73</v>
      </c>
      <c r="E174" s="153">
        <v>0.1</v>
      </c>
      <c r="F174" s="94">
        <v>9217140.6699999999</v>
      </c>
      <c r="G174" s="235">
        <f t="shared" si="45"/>
        <v>921714.06700000004</v>
      </c>
      <c r="H174" s="92">
        <f t="shared" si="46"/>
        <v>9217140.6699999999</v>
      </c>
      <c r="K174" s="184"/>
      <c r="L174" s="186"/>
      <c r="M174" s="186"/>
      <c r="N174" s="115"/>
    </row>
    <row r="175" spans="2:14" ht="39.6" outlineLevel="1">
      <c r="B175" s="83" t="s">
        <v>416</v>
      </c>
      <c r="C175" s="132" t="s">
        <v>366</v>
      </c>
      <c r="D175" s="133" t="s">
        <v>73</v>
      </c>
      <c r="E175" s="154">
        <v>0.4</v>
      </c>
      <c r="F175" s="134">
        <v>927245.9</v>
      </c>
      <c r="G175" s="236">
        <f t="shared" si="45"/>
        <v>370898.36000000004</v>
      </c>
      <c r="H175" s="92">
        <f t="shared" si="46"/>
        <v>3708983.6000000006</v>
      </c>
      <c r="K175" s="184"/>
      <c r="L175" s="186"/>
      <c r="M175" s="186"/>
      <c r="N175" s="115"/>
    </row>
    <row r="176" spans="2:14" ht="66" outlineLevel="1">
      <c r="B176" s="83" t="s">
        <v>417</v>
      </c>
      <c r="C176" s="112" t="s">
        <v>367</v>
      </c>
      <c r="D176" s="133" t="s">
        <v>73</v>
      </c>
      <c r="E176" s="153">
        <v>0.1</v>
      </c>
      <c r="F176" s="94">
        <v>3939635.82</v>
      </c>
      <c r="G176" s="235">
        <f>+E176*F176</f>
        <v>393963.58199999999</v>
      </c>
      <c r="H176" s="92">
        <f t="shared" si="46"/>
        <v>3939635.82</v>
      </c>
      <c r="K176" s="184"/>
      <c r="L176" s="186"/>
      <c r="M176" s="186"/>
      <c r="N176" s="115"/>
    </row>
    <row r="177" spans="2:14" ht="20.25" customHeight="1" outlineLevel="1">
      <c r="B177" s="222">
        <v>16</v>
      </c>
      <c r="C177" s="96" t="s">
        <v>368</v>
      </c>
      <c r="D177" s="97"/>
      <c r="E177" s="97">
        <v>0</v>
      </c>
      <c r="F177" s="99"/>
      <c r="G177" s="99"/>
      <c r="H177" s="211"/>
      <c r="K177" s="184"/>
      <c r="L177" s="186"/>
      <c r="M177" s="186"/>
      <c r="N177" s="115"/>
    </row>
    <row r="178" spans="2:14" ht="52.8" outlineLevel="1">
      <c r="B178" s="83" t="s">
        <v>418</v>
      </c>
      <c r="C178" s="203" t="s">
        <v>369</v>
      </c>
      <c r="D178" s="85" t="s">
        <v>88</v>
      </c>
      <c r="E178" s="204">
        <v>4.57</v>
      </c>
      <c r="F178" s="205">
        <v>37819.56</v>
      </c>
      <c r="G178" s="237">
        <f t="shared" ref="G178:G182" si="47">F178*E178</f>
        <v>172835.38920000001</v>
      </c>
      <c r="H178" s="92">
        <f>G178*10</f>
        <v>1728353.892</v>
      </c>
      <c r="K178" s="184"/>
      <c r="L178" s="186"/>
      <c r="M178" s="186"/>
      <c r="N178" s="115"/>
    </row>
    <row r="179" spans="2:14" ht="52.8" outlineLevel="1">
      <c r="B179" s="83" t="s">
        <v>419</v>
      </c>
      <c r="C179" s="104" t="s">
        <v>370</v>
      </c>
      <c r="D179" s="83" t="s">
        <v>73</v>
      </c>
      <c r="E179" s="153">
        <v>0.13</v>
      </c>
      <c r="F179" s="94">
        <v>890634.05</v>
      </c>
      <c r="G179" s="235">
        <f t="shared" si="47"/>
        <v>115782.42650000002</v>
      </c>
      <c r="H179" s="92">
        <f t="shared" ref="H179:H182" si="48">G179*10</f>
        <v>1157824.2650000001</v>
      </c>
      <c r="K179" s="184"/>
      <c r="L179" s="186"/>
      <c r="M179" s="186"/>
      <c r="N179" s="115"/>
    </row>
    <row r="180" spans="2:14" ht="39.6" outlineLevel="1">
      <c r="B180" s="83" t="s">
        <v>420</v>
      </c>
      <c r="C180" s="104" t="s">
        <v>371</v>
      </c>
      <c r="D180" s="83" t="s">
        <v>81</v>
      </c>
      <c r="E180" s="89">
        <v>0.185</v>
      </c>
      <c r="F180" s="94">
        <v>73192.09</v>
      </c>
      <c r="G180" s="235">
        <f t="shared" si="47"/>
        <v>13540.53665</v>
      </c>
      <c r="H180" s="92">
        <f t="shared" si="48"/>
        <v>135405.3665</v>
      </c>
      <c r="K180" s="184"/>
      <c r="L180" s="186"/>
      <c r="M180" s="186"/>
      <c r="N180" s="115"/>
    </row>
    <row r="181" spans="2:14" ht="26.4" outlineLevel="1">
      <c r="B181" s="83" t="s">
        <v>421</v>
      </c>
      <c r="C181" s="132" t="s">
        <v>372</v>
      </c>
      <c r="D181" s="133" t="s">
        <v>81</v>
      </c>
      <c r="E181" s="118">
        <v>4.9880000000000004</v>
      </c>
      <c r="F181" s="134">
        <v>30528.92</v>
      </c>
      <c r="G181" s="236">
        <f t="shared" si="47"/>
        <v>152278.25296000001</v>
      </c>
      <c r="H181" s="92">
        <f t="shared" si="48"/>
        <v>1522782.5296</v>
      </c>
      <c r="K181" s="184"/>
      <c r="L181" s="186"/>
      <c r="M181" s="186"/>
      <c r="N181" s="115"/>
    </row>
    <row r="182" spans="2:14" ht="26.4" outlineLevel="1">
      <c r="B182" s="83" t="s">
        <v>422</v>
      </c>
      <c r="C182" s="206" t="s">
        <v>373</v>
      </c>
      <c r="D182" s="83" t="s">
        <v>73</v>
      </c>
      <c r="E182" s="89">
        <v>1</v>
      </c>
      <c r="F182" s="94">
        <v>484796.06</v>
      </c>
      <c r="G182" s="236">
        <f t="shared" si="47"/>
        <v>484796.06</v>
      </c>
      <c r="H182" s="92">
        <f t="shared" si="48"/>
        <v>4847960.5999999996</v>
      </c>
      <c r="K182" s="184"/>
      <c r="L182" s="186"/>
      <c r="M182" s="186"/>
      <c r="N182" s="115"/>
    </row>
    <row r="183" spans="2:14" ht="20.25" customHeight="1" outlineLevel="1">
      <c r="B183" s="222">
        <v>17</v>
      </c>
      <c r="C183" s="164" t="s">
        <v>374</v>
      </c>
      <c r="D183" s="165"/>
      <c r="E183" s="166"/>
      <c r="F183" s="167"/>
      <c r="G183" s="167"/>
      <c r="H183" s="223"/>
      <c r="K183" s="184"/>
      <c r="L183" s="186"/>
      <c r="M183" s="186"/>
      <c r="N183" s="115"/>
    </row>
    <row r="184" spans="2:14" ht="26.4" outlineLevel="1">
      <c r="B184" s="83" t="s">
        <v>423</v>
      </c>
      <c r="C184" s="84" t="s">
        <v>375</v>
      </c>
      <c r="D184" s="85" t="s">
        <v>88</v>
      </c>
      <c r="E184" s="86">
        <v>8.468</v>
      </c>
      <c r="F184" s="87">
        <v>27109.5</v>
      </c>
      <c r="G184" s="237">
        <f t="shared" ref="G184:G192" si="49">F184*E184</f>
        <v>229563.24600000001</v>
      </c>
      <c r="H184" s="92">
        <f>G184*10</f>
        <v>2295632.46</v>
      </c>
      <c r="K184" s="184"/>
      <c r="L184" s="186"/>
      <c r="M184" s="186"/>
      <c r="N184" s="115"/>
    </row>
    <row r="185" spans="2:14" ht="39.6" outlineLevel="1">
      <c r="B185" s="83" t="s">
        <v>424</v>
      </c>
      <c r="C185" s="104" t="s">
        <v>376</v>
      </c>
      <c r="D185" s="83" t="s">
        <v>84</v>
      </c>
      <c r="E185" s="89">
        <v>0.152</v>
      </c>
      <c r="F185" s="94">
        <v>805554.47</v>
      </c>
      <c r="G185" s="235">
        <f t="shared" si="49"/>
        <v>122444.27944</v>
      </c>
      <c r="H185" s="92">
        <f t="shared" ref="H185:H192" si="50">G185*10</f>
        <v>1224442.7944</v>
      </c>
      <c r="K185" s="184"/>
      <c r="L185" s="186"/>
      <c r="M185" s="186"/>
      <c r="N185" s="115"/>
    </row>
    <row r="186" spans="2:14" ht="26.4" outlineLevel="1">
      <c r="B186" s="83" t="s">
        <v>425</v>
      </c>
      <c r="C186" s="104" t="s">
        <v>377</v>
      </c>
      <c r="D186" s="83" t="s">
        <v>88</v>
      </c>
      <c r="E186" s="89">
        <v>11.419</v>
      </c>
      <c r="F186" s="94">
        <v>37819.56</v>
      </c>
      <c r="G186" s="235">
        <f t="shared" si="49"/>
        <v>431861.55563999998</v>
      </c>
      <c r="H186" s="92">
        <f t="shared" si="50"/>
        <v>4318615.5564000001</v>
      </c>
      <c r="K186" s="184"/>
      <c r="L186" s="186"/>
      <c r="M186" s="186"/>
      <c r="N186" s="115"/>
    </row>
    <row r="187" spans="2:14" ht="26.4" outlineLevel="1">
      <c r="B187" s="83" t="s">
        <v>426</v>
      </c>
      <c r="C187" s="104" t="s">
        <v>350</v>
      </c>
      <c r="D187" s="83" t="s">
        <v>88</v>
      </c>
      <c r="E187" s="89">
        <v>14.631</v>
      </c>
      <c r="F187" s="94">
        <v>19319.54</v>
      </c>
      <c r="G187" s="235">
        <f t="shared" si="49"/>
        <v>282664.18974</v>
      </c>
      <c r="H187" s="92">
        <f t="shared" si="50"/>
        <v>2826641.8974000001</v>
      </c>
      <c r="K187" s="184"/>
      <c r="L187" s="186"/>
      <c r="M187" s="186"/>
      <c r="N187" s="115"/>
    </row>
    <row r="188" spans="2:14" ht="26.4" outlineLevel="1">
      <c r="B188" s="83" t="s">
        <v>427</v>
      </c>
      <c r="C188" s="112" t="s">
        <v>378</v>
      </c>
      <c r="D188" s="83" t="s">
        <v>88</v>
      </c>
      <c r="E188" s="89">
        <v>3.9809999999999999</v>
      </c>
      <c r="F188" s="94">
        <v>26425.23</v>
      </c>
      <c r="G188" s="235">
        <f t="shared" si="49"/>
        <v>105198.84062999999</v>
      </c>
      <c r="H188" s="92">
        <f t="shared" si="50"/>
        <v>1051988.4062999999</v>
      </c>
      <c r="K188" s="184"/>
      <c r="L188" s="186"/>
      <c r="M188" s="186"/>
      <c r="N188" s="115"/>
    </row>
    <row r="189" spans="2:14" ht="52.8" outlineLevel="1">
      <c r="B189" s="83" t="s">
        <v>428</v>
      </c>
      <c r="C189" s="104" t="s">
        <v>379</v>
      </c>
      <c r="D189" s="83" t="s">
        <v>115</v>
      </c>
      <c r="E189" s="89">
        <v>3.8679999999999999</v>
      </c>
      <c r="F189" s="94">
        <v>186344.53</v>
      </c>
      <c r="G189" s="235">
        <f t="shared" si="49"/>
        <v>720780.64203999995</v>
      </c>
      <c r="H189" s="92">
        <f t="shared" si="50"/>
        <v>7207806.4203999992</v>
      </c>
      <c r="K189" s="184"/>
      <c r="L189" s="186"/>
      <c r="M189" s="186"/>
      <c r="N189" s="115"/>
    </row>
    <row r="190" spans="2:14" ht="52.8" outlineLevel="1">
      <c r="B190" s="83" t="s">
        <v>429</v>
      </c>
      <c r="C190" s="104" t="s">
        <v>380</v>
      </c>
      <c r="D190" s="83" t="s">
        <v>115</v>
      </c>
      <c r="E190" s="89">
        <v>1.502</v>
      </c>
      <c r="F190" s="94">
        <v>162046.1</v>
      </c>
      <c r="G190" s="235">
        <f t="shared" si="49"/>
        <v>243393.24220000001</v>
      </c>
      <c r="H190" s="92">
        <f t="shared" si="50"/>
        <v>2433932.4220000003</v>
      </c>
      <c r="K190" s="184"/>
      <c r="L190" s="186"/>
      <c r="M190" s="186"/>
      <c r="N190" s="115"/>
    </row>
    <row r="191" spans="2:14" ht="66" outlineLevel="1">
      <c r="B191" s="83" t="s">
        <v>430</v>
      </c>
      <c r="C191" s="104" t="s">
        <v>381</v>
      </c>
      <c r="D191" s="83" t="s">
        <v>81</v>
      </c>
      <c r="E191" s="89">
        <v>3.2389999999999999</v>
      </c>
      <c r="F191" s="94">
        <v>94073.83</v>
      </c>
      <c r="G191" s="235">
        <f t="shared" si="49"/>
        <v>304705.13536999997</v>
      </c>
      <c r="H191" s="92">
        <f t="shared" si="50"/>
        <v>3047051.3536999999</v>
      </c>
      <c r="K191" s="184"/>
      <c r="L191" s="186"/>
      <c r="M191" s="186"/>
      <c r="N191" s="115"/>
    </row>
    <row r="192" spans="2:14" ht="52.8" outlineLevel="1">
      <c r="B192" s="83" t="s">
        <v>431</v>
      </c>
      <c r="C192" s="132" t="s">
        <v>382</v>
      </c>
      <c r="D192" s="133" t="s">
        <v>81</v>
      </c>
      <c r="E192" s="118">
        <v>0.13</v>
      </c>
      <c r="F192" s="134">
        <v>108426.71</v>
      </c>
      <c r="G192" s="236">
        <f t="shared" si="49"/>
        <v>14095.472300000001</v>
      </c>
      <c r="H192" s="92">
        <f t="shared" si="50"/>
        <v>140954.723</v>
      </c>
      <c r="K192" s="184"/>
      <c r="L192" s="186"/>
      <c r="M192" s="186"/>
      <c r="N192" s="115"/>
    </row>
    <row r="193" spans="2:14" ht="20.25" customHeight="1" outlineLevel="1">
      <c r="B193" s="222">
        <v>18</v>
      </c>
      <c r="C193" s="96" t="s">
        <v>383</v>
      </c>
      <c r="D193" s="165"/>
      <c r="E193" s="207"/>
      <c r="F193" s="167"/>
      <c r="G193" s="167"/>
      <c r="H193" s="223"/>
      <c r="K193" s="184"/>
      <c r="L193" s="186"/>
      <c r="M193" s="186"/>
      <c r="N193" s="115"/>
    </row>
    <row r="194" spans="2:14" ht="39.6" outlineLevel="1">
      <c r="B194" s="83" t="s">
        <v>432</v>
      </c>
      <c r="C194" s="84" t="s">
        <v>384</v>
      </c>
      <c r="D194" s="85" t="s">
        <v>115</v>
      </c>
      <c r="E194" s="86">
        <v>11.875999999999999</v>
      </c>
      <c r="F194" s="87">
        <v>21267.02</v>
      </c>
      <c r="G194" s="237">
        <f t="shared" ref="G194:G196" si="51">F194*E194</f>
        <v>252567.12951999999</v>
      </c>
      <c r="H194" s="92">
        <f>G194*10</f>
        <v>2525671.2952000001</v>
      </c>
      <c r="K194" s="184"/>
      <c r="L194" s="186"/>
      <c r="M194" s="186"/>
      <c r="N194" s="115"/>
    </row>
    <row r="195" spans="2:14" ht="66" outlineLevel="1">
      <c r="B195" s="83" t="s">
        <v>433</v>
      </c>
      <c r="C195" s="104" t="s">
        <v>385</v>
      </c>
      <c r="D195" s="83" t="s">
        <v>115</v>
      </c>
      <c r="E195" s="89">
        <v>1.728</v>
      </c>
      <c r="F195" s="94">
        <v>341986.27</v>
      </c>
      <c r="G195" s="235">
        <f t="shared" si="51"/>
        <v>590952.27456000005</v>
      </c>
      <c r="H195" s="92">
        <f t="shared" ref="H195:H196" si="52">G195*10</f>
        <v>5909522.7456</v>
      </c>
      <c r="K195" s="184"/>
      <c r="L195" s="186"/>
      <c r="M195" s="186"/>
      <c r="N195" s="115"/>
    </row>
    <row r="196" spans="2:14" ht="52.8" outlineLevel="1">
      <c r="B196" s="83" t="s">
        <v>434</v>
      </c>
      <c r="C196" s="132" t="s">
        <v>386</v>
      </c>
      <c r="D196" s="133" t="s">
        <v>81</v>
      </c>
      <c r="E196" s="118">
        <v>3.7090000000000001</v>
      </c>
      <c r="F196" s="134">
        <v>54094.01</v>
      </c>
      <c r="G196" s="236">
        <f t="shared" si="51"/>
        <v>200634.68309000001</v>
      </c>
      <c r="H196" s="92">
        <f t="shared" si="52"/>
        <v>2006346.8308999999</v>
      </c>
      <c r="K196" s="184"/>
      <c r="L196" s="186"/>
      <c r="M196" s="186"/>
      <c r="N196" s="115"/>
    </row>
    <row r="197" spans="2:14" ht="20.25" customHeight="1" outlineLevel="1">
      <c r="B197" s="222">
        <v>19</v>
      </c>
      <c r="C197" s="96" t="s">
        <v>435</v>
      </c>
      <c r="D197" s="208"/>
      <c r="E197" s="209">
        <v>0</v>
      </c>
      <c r="F197" s="210"/>
      <c r="G197" s="210"/>
      <c r="H197" s="224"/>
      <c r="K197" s="184"/>
      <c r="L197" s="186"/>
      <c r="M197" s="186"/>
      <c r="N197" s="115"/>
    </row>
    <row r="198" spans="2:14" ht="52.8" outlineLevel="1">
      <c r="B198" s="83" t="s">
        <v>436</v>
      </c>
      <c r="C198" s="84" t="s">
        <v>387</v>
      </c>
      <c r="D198" s="85" t="s">
        <v>88</v>
      </c>
      <c r="E198" s="86">
        <v>2.0169999999999999</v>
      </c>
      <c r="F198" s="139">
        <v>156782.29999999999</v>
      </c>
      <c r="G198" s="237">
        <f>F198*E198</f>
        <v>316229.89909999998</v>
      </c>
      <c r="H198" s="92">
        <f>G198*10</f>
        <v>3162298.9909999999</v>
      </c>
      <c r="K198" s="184"/>
      <c r="L198" s="186"/>
      <c r="M198" s="186"/>
      <c r="N198" s="115"/>
    </row>
    <row r="199" spans="2:14" ht="52.8" outlineLevel="1">
      <c r="B199" s="83" t="s">
        <v>437</v>
      </c>
      <c r="C199" s="104" t="s">
        <v>388</v>
      </c>
      <c r="D199" s="83" t="s">
        <v>88</v>
      </c>
      <c r="E199" s="89">
        <v>1.01</v>
      </c>
      <c r="F199" s="110">
        <v>203138.73</v>
      </c>
      <c r="G199" s="235">
        <f>F199*E199</f>
        <v>205170.11730000001</v>
      </c>
      <c r="H199" s="92">
        <f t="shared" ref="H199:H201" si="53">G199*10</f>
        <v>2051701.1730000002</v>
      </c>
      <c r="K199" s="184"/>
      <c r="L199" s="186"/>
      <c r="M199" s="186"/>
      <c r="N199" s="115"/>
    </row>
    <row r="200" spans="2:14" ht="39.6" outlineLevel="1">
      <c r="B200" s="83" t="s">
        <v>438</v>
      </c>
      <c r="C200" s="112" t="s">
        <v>389</v>
      </c>
      <c r="D200" s="83" t="s">
        <v>115</v>
      </c>
      <c r="E200" s="113">
        <v>5.0039999999999996</v>
      </c>
      <c r="F200" s="114">
        <v>25412.26</v>
      </c>
      <c r="G200" s="235">
        <f>F200*E200</f>
        <v>127162.94903999998</v>
      </c>
      <c r="H200" s="92">
        <f t="shared" si="53"/>
        <v>1271629.4903999998</v>
      </c>
      <c r="K200" s="184"/>
      <c r="L200" s="186"/>
      <c r="M200" s="186"/>
      <c r="N200" s="115"/>
    </row>
    <row r="201" spans="2:14" ht="39.6" outlineLevel="1">
      <c r="B201" s="83" t="s">
        <v>439</v>
      </c>
      <c r="C201" s="112" t="s">
        <v>390</v>
      </c>
      <c r="D201" s="83" t="s">
        <v>88</v>
      </c>
      <c r="E201" s="113">
        <v>1.1499999999999999</v>
      </c>
      <c r="F201" s="114">
        <v>1299810.6000000001</v>
      </c>
      <c r="G201" s="91">
        <f>F201*E201</f>
        <v>1494782.19</v>
      </c>
      <c r="H201" s="92">
        <f t="shared" si="53"/>
        <v>14947821.899999999</v>
      </c>
      <c r="K201" s="184"/>
      <c r="L201" s="186"/>
      <c r="M201" s="186"/>
      <c r="N201" s="115"/>
    </row>
    <row r="202" spans="2:14" ht="7.2" customHeight="1" outlineLevel="1" thickBot="1">
      <c r="B202" s="67"/>
      <c r="C202" s="67"/>
      <c r="D202" s="193"/>
      <c r="E202" s="193"/>
      <c r="F202" s="193"/>
      <c r="G202" s="193"/>
      <c r="H202" s="194"/>
      <c r="K202" s="184"/>
      <c r="L202" s="186"/>
      <c r="M202" s="186"/>
      <c r="N202" s="115"/>
    </row>
    <row r="203" spans="2:14" ht="24" customHeight="1" outlineLevel="1" thickBot="1">
      <c r="B203" s="67"/>
      <c r="C203" s="244" t="s">
        <v>391</v>
      </c>
      <c r="D203" s="245"/>
      <c r="E203" s="245"/>
      <c r="F203" s="245"/>
      <c r="G203" s="214"/>
      <c r="H203" s="215">
        <f>SUM(H153:H202)</f>
        <v>235574243.43959996</v>
      </c>
      <c r="K203" s="184"/>
      <c r="L203" s="186"/>
      <c r="M203" s="186"/>
      <c r="N203" s="115"/>
    </row>
    <row r="204" spans="2:14" ht="6.6" customHeight="1" outlineLevel="1" thickBot="1">
      <c r="B204" s="67"/>
      <c r="C204" s="67"/>
      <c r="E204" s="67"/>
      <c r="K204" s="184"/>
      <c r="L204" s="186"/>
      <c r="M204" s="186"/>
      <c r="N204" s="115"/>
    </row>
    <row r="205" spans="2:14" ht="24.6" customHeight="1" outlineLevel="1" thickBot="1">
      <c r="B205" s="67"/>
      <c r="C205" s="246" t="s">
        <v>392</v>
      </c>
      <c r="D205" s="247"/>
      <c r="E205" s="247"/>
      <c r="F205" s="247"/>
      <c r="G205" s="219"/>
      <c r="H205" s="220">
        <f>+H203+H150</f>
        <v>970968618.84553993</v>
      </c>
      <c r="I205" s="216">
        <f>SUM(I67:I203)</f>
        <v>25187247713.209755</v>
      </c>
      <c r="K205" s="184"/>
      <c r="L205" s="186"/>
      <c r="M205" s="186"/>
      <c r="N205" s="115"/>
    </row>
    <row r="206" spans="2:14" ht="24.6" customHeight="1" outlineLevel="1" thickBot="1">
      <c r="B206" s="67"/>
      <c r="C206" s="246" t="s">
        <v>68</v>
      </c>
      <c r="D206" s="247"/>
      <c r="E206" s="247"/>
      <c r="F206" s="247"/>
      <c r="G206" s="219"/>
      <c r="H206" s="220">
        <v>338880516.54788768</v>
      </c>
      <c r="I206" s="216"/>
      <c r="K206" s="184"/>
      <c r="L206" s="186"/>
      <c r="M206" s="186"/>
      <c r="N206" s="115"/>
    </row>
    <row r="207" spans="2:14" ht="24.6" customHeight="1" outlineLevel="1" thickBot="1">
      <c r="B207" s="67"/>
      <c r="C207" s="246" t="s">
        <v>460</v>
      </c>
      <c r="D207" s="247"/>
      <c r="E207" s="247"/>
      <c r="F207" s="247"/>
      <c r="G207" s="219"/>
      <c r="H207" s="220">
        <f>+H205+H206</f>
        <v>1309849135.3934276</v>
      </c>
      <c r="I207" s="216"/>
      <c r="K207" s="184"/>
      <c r="L207" s="186"/>
      <c r="M207" s="186"/>
      <c r="N207" s="115"/>
    </row>
    <row r="208" spans="2:14" ht="24.6" customHeight="1" outlineLevel="1" thickBot="1">
      <c r="B208" s="67"/>
      <c r="C208" s="217" t="s">
        <v>461</v>
      </c>
      <c r="D208" s="218"/>
      <c r="E208" s="218"/>
      <c r="F208" s="218"/>
      <c r="G208" s="219"/>
      <c r="H208" s="220">
        <v>100000000</v>
      </c>
      <c r="I208" s="216"/>
      <c r="K208" s="184"/>
      <c r="L208" s="186"/>
      <c r="M208" s="186"/>
      <c r="N208" s="115"/>
    </row>
    <row r="209" spans="2:14" ht="24.6" customHeight="1" outlineLevel="1" thickBot="1">
      <c r="B209" s="67"/>
      <c r="C209" s="246" t="s">
        <v>456</v>
      </c>
      <c r="D209" s="247"/>
      <c r="E209" s="247"/>
      <c r="F209" s="247"/>
      <c r="G209" s="219"/>
      <c r="H209" s="220">
        <f>+H207*0.02</f>
        <v>26196982.707868554</v>
      </c>
      <c r="I209" s="216"/>
      <c r="K209" s="184"/>
      <c r="L209" s="186"/>
      <c r="M209" s="186"/>
      <c r="N209" s="115"/>
    </row>
    <row r="210" spans="2:14" ht="24.6" customHeight="1" outlineLevel="1" thickBot="1">
      <c r="B210" s="67"/>
      <c r="C210" s="246" t="s">
        <v>457</v>
      </c>
      <c r="D210" s="247"/>
      <c r="E210" s="247"/>
      <c r="F210" s="247"/>
      <c r="G210" s="219"/>
      <c r="H210" s="220">
        <f>+H209*0.19</f>
        <v>4977426.7144950256</v>
      </c>
      <c r="I210" s="216"/>
      <c r="K210" s="184"/>
      <c r="L210" s="186"/>
      <c r="M210" s="186"/>
      <c r="N210" s="115"/>
    </row>
    <row r="211" spans="2:14" ht="24.6" customHeight="1" outlineLevel="1" thickBot="1">
      <c r="B211" s="67"/>
      <c r="C211" s="246" t="s">
        <v>458</v>
      </c>
      <c r="D211" s="247"/>
      <c r="E211" s="247"/>
      <c r="F211" s="247"/>
      <c r="G211" s="219"/>
      <c r="H211" s="220">
        <f>+H209+H210</f>
        <v>31174409.422363579</v>
      </c>
      <c r="I211" s="216"/>
      <c r="K211" s="184"/>
      <c r="L211" s="186"/>
      <c r="M211" s="186"/>
      <c r="N211" s="115"/>
    </row>
    <row r="212" spans="2:14" ht="24" customHeight="1" outlineLevel="1" thickBot="1">
      <c r="B212" s="67"/>
      <c r="C212" s="244" t="s">
        <v>459</v>
      </c>
      <c r="D212" s="245"/>
      <c r="E212" s="245"/>
      <c r="F212" s="245"/>
      <c r="G212" s="214"/>
      <c r="H212" s="358">
        <f>+H207+H211+H208</f>
        <v>1441023544.8157911</v>
      </c>
      <c r="K212" s="184"/>
      <c r="L212" s="186"/>
      <c r="M212" s="186"/>
      <c r="N212" s="115"/>
    </row>
    <row r="214" spans="2:14" outlineLevel="1"/>
    <row r="216" spans="2:14" s="74" customFormat="1" outlineLevel="1">
      <c r="C216" s="187"/>
      <c r="D216" s="67"/>
      <c r="E216" s="188"/>
      <c r="F216" s="67"/>
      <c r="G216" s="67"/>
      <c r="H216" s="67"/>
      <c r="I216" s="67"/>
      <c r="J216" s="67"/>
      <c r="K216" s="67"/>
      <c r="L216" s="67"/>
      <c r="M216" s="67"/>
    </row>
    <row r="217" spans="2:14" s="74" customFormat="1" outlineLevel="1">
      <c r="C217" s="187"/>
      <c r="D217" s="67"/>
      <c r="E217" s="188"/>
      <c r="F217" s="67"/>
      <c r="G217" s="67"/>
      <c r="H217" s="67"/>
      <c r="I217" s="67"/>
      <c r="J217" s="67"/>
      <c r="K217" s="67"/>
      <c r="L217" s="67"/>
      <c r="M217" s="67"/>
    </row>
    <row r="218" spans="2:14" s="74" customFormat="1" outlineLevel="1">
      <c r="C218" s="187"/>
      <c r="D218" s="67"/>
      <c r="E218" s="188"/>
      <c r="F218" s="67"/>
      <c r="G218" s="67"/>
      <c r="H218" s="67"/>
      <c r="I218" s="67"/>
      <c r="J218" s="67"/>
      <c r="K218" s="67"/>
      <c r="L218" s="67"/>
      <c r="M218" s="67"/>
    </row>
    <row r="219" spans="2:14" s="74" customFormat="1">
      <c r="C219" s="187"/>
      <c r="D219" s="67"/>
      <c r="E219" s="188"/>
      <c r="F219" s="67"/>
      <c r="G219" s="67"/>
      <c r="H219" s="67"/>
      <c r="I219" s="67"/>
      <c r="J219" s="67"/>
      <c r="K219" s="67"/>
      <c r="L219" s="67"/>
      <c r="M219" s="67"/>
    </row>
    <row r="220" spans="2:14" s="74" customFormat="1" outlineLevel="1">
      <c r="C220" s="187"/>
      <c r="D220" s="67"/>
      <c r="E220" s="188"/>
      <c r="F220" s="67"/>
      <c r="G220" s="67"/>
      <c r="H220" s="67"/>
      <c r="I220" s="67"/>
      <c r="J220" s="67"/>
      <c r="K220" s="67"/>
      <c r="L220" s="67"/>
      <c r="M220" s="67"/>
    </row>
    <row r="221" spans="2:14" s="74" customFormat="1">
      <c r="C221" s="187"/>
      <c r="D221" s="67"/>
      <c r="E221" s="188"/>
      <c r="F221" s="67"/>
      <c r="G221" s="67"/>
      <c r="H221" s="67"/>
      <c r="I221" s="67"/>
      <c r="J221" s="67"/>
      <c r="K221" s="67"/>
      <c r="L221" s="67"/>
      <c r="M221" s="67"/>
    </row>
    <row r="222" spans="2:14" s="74" customFormat="1" outlineLevel="1">
      <c r="C222" s="187"/>
      <c r="D222" s="67"/>
      <c r="E222" s="188"/>
      <c r="F222" s="67"/>
      <c r="G222" s="67"/>
      <c r="H222" s="67"/>
      <c r="I222" s="67"/>
      <c r="J222" s="67"/>
      <c r="K222" s="67"/>
      <c r="L222" s="67"/>
      <c r="M222" s="67"/>
    </row>
    <row r="223" spans="2:14" s="74" customFormat="1">
      <c r="C223" s="187"/>
      <c r="D223" s="67"/>
      <c r="E223" s="188"/>
      <c r="F223" s="67"/>
      <c r="G223" s="67"/>
      <c r="H223" s="67"/>
      <c r="I223" s="67"/>
      <c r="J223" s="67"/>
      <c r="K223" s="67"/>
      <c r="L223" s="67"/>
      <c r="M223" s="67"/>
    </row>
  </sheetData>
  <mergeCells count="20">
    <mergeCell ref="C212:F212"/>
    <mergeCell ref="C206:F206"/>
    <mergeCell ref="C207:F207"/>
    <mergeCell ref="C209:F209"/>
    <mergeCell ref="C210:F210"/>
    <mergeCell ref="C211:F211"/>
    <mergeCell ref="B1:F1"/>
    <mergeCell ref="B2:I2"/>
    <mergeCell ref="B3:I3"/>
    <mergeCell ref="B4:F4"/>
    <mergeCell ref="B5:B6"/>
    <mergeCell ref="C5:C6"/>
    <mergeCell ref="D5:D6"/>
    <mergeCell ref="E5:E6"/>
    <mergeCell ref="F5:F6"/>
    <mergeCell ref="G5:G6"/>
    <mergeCell ref="C203:F203"/>
    <mergeCell ref="C205:F205"/>
    <mergeCell ref="H5:H6"/>
    <mergeCell ref="I5:I6"/>
  </mergeCells>
  <phoneticPr fontId="38" type="noConversion"/>
  <pageMargins left="0.25" right="0.25" top="0.75" bottom="0.75" header="0.3" footer="0.3"/>
  <pageSetup scale="54" fitToHeight="0" orientation="portrait" r:id="rId1"/>
  <headerFooter alignWithMargins="0"/>
  <colBreaks count="1" manualBreakCount="1">
    <brk id="9" max="213" man="1"/>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DA998-DED1-42FB-A6BE-ED8CF466FD27}">
  <sheetPr>
    <pageSetUpPr fitToPage="1"/>
  </sheetPr>
  <dimension ref="A1:J83"/>
  <sheetViews>
    <sheetView view="pageBreakPreview" topLeftCell="A58" zoomScale="85" zoomScaleNormal="82" zoomScaleSheetLayoutView="85" workbookViewId="0">
      <selection activeCell="I71" sqref="I71"/>
    </sheetView>
  </sheetViews>
  <sheetFormatPr baseColWidth="10" defaultColWidth="22.8984375" defaultRowHeight="13.8"/>
  <cols>
    <col min="1" max="1" width="4.5" style="1" customWidth="1"/>
    <col min="2" max="2" width="19.59765625" style="1" customWidth="1"/>
    <col min="3" max="3" width="9.5" style="1" customWidth="1"/>
    <col min="4" max="4" width="53.09765625" style="1" customWidth="1"/>
    <col min="5" max="5" width="22.8984375" style="1" customWidth="1"/>
    <col min="6" max="6" width="23.5" style="1" customWidth="1"/>
    <col min="7" max="7" width="24.3984375" style="2" customWidth="1"/>
    <col min="8" max="8" width="25.09765625" style="1" customWidth="1"/>
    <col min="9" max="9" width="36" style="1" customWidth="1"/>
    <col min="10" max="16384" width="22.8984375" style="1"/>
  </cols>
  <sheetData>
    <row r="1" spans="2:9" ht="59.25" customHeight="1"/>
    <row r="2" spans="2:9" ht="84" customHeight="1">
      <c r="B2" s="265" t="s">
        <v>442</v>
      </c>
      <c r="C2" s="266"/>
      <c r="D2" s="266"/>
      <c r="E2" s="266"/>
      <c r="F2" s="267"/>
      <c r="G2" s="268" t="s">
        <v>443</v>
      </c>
      <c r="H2" s="269"/>
      <c r="I2" s="270"/>
    </row>
    <row r="3" spans="2:9">
      <c r="B3" s="271"/>
      <c r="C3" s="272"/>
      <c r="D3" s="272"/>
      <c r="E3" s="272"/>
      <c r="F3" s="272"/>
      <c r="G3" s="272"/>
      <c r="H3" s="272"/>
      <c r="I3" s="273"/>
    </row>
    <row r="4" spans="2:9" ht="30" customHeight="1">
      <c r="B4" s="274" t="s">
        <v>0</v>
      </c>
      <c r="C4" s="274"/>
      <c r="D4" s="274"/>
      <c r="E4" s="274"/>
      <c r="F4" s="274"/>
      <c r="G4" s="274"/>
      <c r="H4" s="274"/>
      <c r="I4" s="274"/>
    </row>
    <row r="5" spans="2:9" ht="21.75" customHeight="1">
      <c r="B5" s="3"/>
      <c r="C5" s="3"/>
      <c r="D5" s="65" t="s">
        <v>1</v>
      </c>
      <c r="E5" s="4">
        <v>970968618.80999994</v>
      </c>
      <c r="F5" s="5"/>
      <c r="G5" s="6"/>
      <c r="H5" s="3"/>
      <c r="I5" s="3"/>
    </row>
    <row r="6" spans="2:9" ht="18.75" customHeight="1">
      <c r="B6" s="7" t="s">
        <v>2</v>
      </c>
      <c r="C6" s="8"/>
      <c r="D6" s="9" t="s">
        <v>3</v>
      </c>
      <c r="E6" s="10">
        <v>3</v>
      </c>
      <c r="F6" s="3"/>
      <c r="G6" s="6"/>
      <c r="H6" s="3"/>
      <c r="I6" s="3"/>
    </row>
    <row r="7" spans="2:9">
      <c r="B7" s="275"/>
      <c r="C7" s="275"/>
      <c r="D7" s="275"/>
      <c r="E7" s="275"/>
      <c r="F7" s="275"/>
      <c r="G7" s="275"/>
      <c r="H7" s="275"/>
      <c r="I7" s="275"/>
    </row>
    <row r="8" spans="2:9" s="11" customFormat="1" ht="59.25" customHeight="1">
      <c r="B8" s="12" t="s">
        <v>4</v>
      </c>
      <c r="C8" s="13"/>
      <c r="D8" s="12" t="s">
        <v>5</v>
      </c>
      <c r="E8" s="12" t="s">
        <v>6</v>
      </c>
      <c r="F8" s="12" t="s">
        <v>7</v>
      </c>
      <c r="G8" s="14" t="s">
        <v>8</v>
      </c>
      <c r="H8" s="12" t="s">
        <v>9</v>
      </c>
      <c r="I8" s="12" t="s">
        <v>10</v>
      </c>
    </row>
    <row r="9" spans="2:9" s="11" customFormat="1" ht="21" customHeight="1">
      <c r="B9" s="15" t="s">
        <v>11</v>
      </c>
      <c r="C9" s="16"/>
      <c r="D9" s="17"/>
      <c r="E9" s="15" t="s">
        <v>12</v>
      </c>
      <c r="F9" s="15" t="s">
        <v>13</v>
      </c>
      <c r="G9" s="18" t="s">
        <v>14</v>
      </c>
      <c r="H9" s="15" t="s">
        <v>15</v>
      </c>
      <c r="I9" s="15" t="s">
        <v>16</v>
      </c>
    </row>
    <row r="10" spans="2:9" s="11" customFormat="1" ht="17.399999999999999">
      <c r="B10" s="260" t="s">
        <v>17</v>
      </c>
      <c r="C10" s="261"/>
      <c r="D10" s="19"/>
      <c r="E10" s="20"/>
      <c r="F10" s="20"/>
      <c r="G10" s="21"/>
      <c r="H10" s="20"/>
      <c r="I10" s="20"/>
    </row>
    <row r="11" spans="2:9" s="11" customFormat="1" ht="23.25" customHeight="1">
      <c r="B11" s="276" t="s">
        <v>18</v>
      </c>
      <c r="C11" s="277"/>
      <c r="D11" s="277"/>
      <c r="E11" s="277"/>
      <c r="F11" s="277"/>
      <c r="G11" s="277"/>
      <c r="H11" s="278"/>
      <c r="I11" s="22"/>
    </row>
    <row r="12" spans="2:9">
      <c r="B12" s="23">
        <v>1</v>
      </c>
      <c r="C12" s="24"/>
      <c r="D12" s="25" t="s">
        <v>19</v>
      </c>
      <c r="E12" s="321">
        <v>0.3</v>
      </c>
      <c r="F12" s="26">
        <v>6000000</v>
      </c>
      <c r="G12" s="23">
        <v>1.59</v>
      </c>
      <c r="H12" s="27">
        <v>3</v>
      </c>
      <c r="I12" s="26">
        <f>+B12*E12*F12*G12*H12</f>
        <v>8586000</v>
      </c>
    </row>
    <row r="13" spans="2:9">
      <c r="B13" s="23">
        <v>1</v>
      </c>
      <c r="C13" s="24"/>
      <c r="D13" s="25" t="s">
        <v>20</v>
      </c>
      <c r="E13" s="321">
        <v>1</v>
      </c>
      <c r="F13" s="26">
        <v>3700000</v>
      </c>
      <c r="G13" s="23">
        <v>1.59</v>
      </c>
      <c r="H13" s="27">
        <v>3</v>
      </c>
      <c r="I13" s="26">
        <f t="shared" ref="I13:I19" si="0">+B13*E13*F13*G13*H13</f>
        <v>17649000</v>
      </c>
    </row>
    <row r="14" spans="2:9" ht="16.5" customHeight="1">
      <c r="B14" s="28">
        <v>1</v>
      </c>
      <c r="C14" s="24"/>
      <c r="D14" s="25" t="s">
        <v>21</v>
      </c>
      <c r="E14" s="321">
        <v>0.5</v>
      </c>
      <c r="F14" s="26">
        <v>2500000</v>
      </c>
      <c r="G14" s="23">
        <v>1.6</v>
      </c>
      <c r="H14" s="27">
        <v>3</v>
      </c>
      <c r="I14" s="26">
        <f>+B14*E14*F14*G14*H14</f>
        <v>6000000</v>
      </c>
    </row>
    <row r="15" spans="2:9" ht="16.5" customHeight="1">
      <c r="B15" s="322">
        <v>1</v>
      </c>
      <c r="C15" s="323"/>
      <c r="D15" s="324" t="s">
        <v>22</v>
      </c>
      <c r="E15" s="325">
        <v>0.2</v>
      </c>
      <c r="F15" s="326">
        <v>4195000</v>
      </c>
      <c r="G15" s="327">
        <v>1</v>
      </c>
      <c r="H15" s="328">
        <v>3</v>
      </c>
      <c r="I15" s="326">
        <f t="shared" si="0"/>
        <v>2517000</v>
      </c>
    </row>
    <row r="16" spans="2:9" s="11" customFormat="1" ht="23.25" customHeight="1">
      <c r="B16" s="279" t="s">
        <v>23</v>
      </c>
      <c r="C16" s="280"/>
      <c r="D16" s="280"/>
      <c r="E16" s="280"/>
      <c r="F16" s="280"/>
      <c r="G16" s="280"/>
      <c r="H16" s="281"/>
      <c r="I16" s="29"/>
    </row>
    <row r="17" spans="1:9" s="11" customFormat="1">
      <c r="B17" s="322">
        <v>1</v>
      </c>
      <c r="C17" s="329"/>
      <c r="D17" s="324" t="s">
        <v>444</v>
      </c>
      <c r="E17" s="325">
        <v>1</v>
      </c>
      <c r="F17" s="326">
        <v>2500000</v>
      </c>
      <c r="G17" s="327">
        <v>1.6</v>
      </c>
      <c r="H17" s="328">
        <v>0</v>
      </c>
      <c r="I17" s="326">
        <f>+B17*E17*F17*G17*H17</f>
        <v>0</v>
      </c>
    </row>
    <row r="18" spans="1:9" s="11" customFormat="1">
      <c r="B18" s="28">
        <v>1</v>
      </c>
      <c r="C18" s="30"/>
      <c r="D18" s="25" t="s">
        <v>24</v>
      </c>
      <c r="E18" s="321">
        <v>1</v>
      </c>
      <c r="F18" s="26">
        <v>1700000</v>
      </c>
      <c r="G18" s="330">
        <v>1.6</v>
      </c>
      <c r="H18" s="27">
        <v>3</v>
      </c>
      <c r="I18" s="26">
        <f>+B18*E18*F18*G18*H18</f>
        <v>8160000</v>
      </c>
    </row>
    <row r="19" spans="1:9" s="11" customFormat="1">
      <c r="B19" s="322">
        <v>1</v>
      </c>
      <c r="C19" s="329"/>
      <c r="D19" s="324" t="s">
        <v>445</v>
      </c>
      <c r="E19" s="325">
        <v>0.5</v>
      </c>
      <c r="F19" s="326">
        <v>1423500</v>
      </c>
      <c r="G19" s="327">
        <v>1.72</v>
      </c>
      <c r="H19" s="328">
        <v>0</v>
      </c>
      <c r="I19" s="326">
        <f t="shared" si="0"/>
        <v>0</v>
      </c>
    </row>
    <row r="20" spans="1:9">
      <c r="B20" s="322">
        <v>2</v>
      </c>
      <c r="C20" s="329"/>
      <c r="D20" s="324" t="s">
        <v>25</v>
      </c>
      <c r="E20" s="325">
        <v>1</v>
      </c>
      <c r="F20" s="326">
        <v>1650000</v>
      </c>
      <c r="G20" s="327">
        <v>1.6</v>
      </c>
      <c r="H20" s="328">
        <v>3</v>
      </c>
      <c r="I20" s="326">
        <f>+B20*E20*F20*G20*H20</f>
        <v>15840000</v>
      </c>
    </row>
    <row r="21" spans="1:9" ht="23.25" customHeight="1">
      <c r="B21" s="282" t="s">
        <v>26</v>
      </c>
      <c r="C21" s="283"/>
      <c r="D21" s="283"/>
      <c r="E21" s="283"/>
      <c r="F21" s="283"/>
      <c r="G21" s="283"/>
      <c r="H21" s="284"/>
      <c r="I21" s="29"/>
    </row>
    <row r="22" spans="1:9">
      <c r="B22" s="331">
        <v>1</v>
      </c>
      <c r="C22" s="332"/>
      <c r="D22" s="333" t="s">
        <v>446</v>
      </c>
      <c r="E22" s="325"/>
      <c r="F22" s="334">
        <f>630400.4171*1.151</f>
        <v>725590.88008209993</v>
      </c>
      <c r="G22" s="327">
        <v>1</v>
      </c>
      <c r="H22" s="328">
        <v>3</v>
      </c>
      <c r="I22" s="326">
        <f>+E22*F22*G22*H22</f>
        <v>0</v>
      </c>
    </row>
    <row r="23" spans="1:9">
      <c r="B23" s="331">
        <v>1</v>
      </c>
      <c r="C23" s="332"/>
      <c r="D23" s="333" t="s">
        <v>447</v>
      </c>
      <c r="E23" s="325"/>
      <c r="F23" s="334">
        <f>720150.41*1.151</f>
        <v>828893.1219100001</v>
      </c>
      <c r="G23" s="327">
        <v>1</v>
      </c>
      <c r="H23" s="328">
        <v>3</v>
      </c>
      <c r="I23" s="326">
        <f t="shared" ref="I23:I31" si="1">+E23*F23*G23*H23</f>
        <v>0</v>
      </c>
    </row>
    <row r="24" spans="1:9">
      <c r="B24" s="331">
        <v>1</v>
      </c>
      <c r="C24" s="332"/>
      <c r="D24" s="333" t="s">
        <v>448</v>
      </c>
      <c r="E24" s="325"/>
      <c r="F24" s="334">
        <f>118000*1.151</f>
        <v>135818</v>
      </c>
      <c r="G24" s="327">
        <v>1</v>
      </c>
      <c r="H24" s="328">
        <v>3</v>
      </c>
      <c r="I24" s="326">
        <f t="shared" si="1"/>
        <v>0</v>
      </c>
    </row>
    <row r="25" spans="1:9">
      <c r="B25" s="331">
        <v>1</v>
      </c>
      <c r="C25" s="332"/>
      <c r="D25" s="333" t="s">
        <v>27</v>
      </c>
      <c r="E25" s="325">
        <v>0.25</v>
      </c>
      <c r="F25" s="334">
        <f>820000*1.151</f>
        <v>943820</v>
      </c>
      <c r="G25" s="327">
        <v>1</v>
      </c>
      <c r="H25" s="328">
        <v>3</v>
      </c>
      <c r="I25" s="326">
        <f t="shared" si="1"/>
        <v>707865</v>
      </c>
    </row>
    <row r="26" spans="1:9">
      <c r="B26" s="331">
        <v>1</v>
      </c>
      <c r="C26" s="332"/>
      <c r="D26" s="333" t="s">
        <v>449</v>
      </c>
      <c r="E26" s="325"/>
      <c r="F26" s="334">
        <f>930000*1.151</f>
        <v>1070430</v>
      </c>
      <c r="G26" s="327">
        <v>1</v>
      </c>
      <c r="H26" s="328">
        <v>3</v>
      </c>
      <c r="I26" s="326">
        <f t="shared" si="1"/>
        <v>0</v>
      </c>
    </row>
    <row r="27" spans="1:9">
      <c r="A27" s="1">
        <v>5</v>
      </c>
      <c r="B27" s="331">
        <v>1</v>
      </c>
      <c r="C27" s="332"/>
      <c r="D27" s="333" t="s">
        <v>450</v>
      </c>
      <c r="E27" s="325"/>
      <c r="F27" s="334">
        <f>380000*1.151</f>
        <v>437380</v>
      </c>
      <c r="G27" s="327">
        <v>1</v>
      </c>
      <c r="H27" s="328">
        <v>3</v>
      </c>
      <c r="I27" s="326">
        <f t="shared" si="1"/>
        <v>0</v>
      </c>
    </row>
    <row r="28" spans="1:9">
      <c r="B28" s="331">
        <v>1</v>
      </c>
      <c r="C28" s="332"/>
      <c r="D28" s="333" t="s">
        <v>451</v>
      </c>
      <c r="E28" s="325"/>
      <c r="F28" s="334">
        <f>280000*1.151</f>
        <v>322280</v>
      </c>
      <c r="G28" s="327">
        <v>1</v>
      </c>
      <c r="H28" s="328">
        <v>3</v>
      </c>
      <c r="I28" s="326">
        <f>+E28*F28*G28*H28*2</f>
        <v>0</v>
      </c>
    </row>
    <row r="29" spans="1:9">
      <c r="B29" s="331">
        <v>2</v>
      </c>
      <c r="C29" s="332"/>
      <c r="D29" s="333" t="s">
        <v>452</v>
      </c>
      <c r="E29" s="325"/>
      <c r="F29" s="334">
        <f>41000*1.151</f>
        <v>47191</v>
      </c>
      <c r="G29" s="327">
        <v>1</v>
      </c>
      <c r="H29" s="328">
        <v>3</v>
      </c>
      <c r="I29" s="326">
        <f>+E29*F29*G29*H29*4</f>
        <v>0</v>
      </c>
    </row>
    <row r="30" spans="1:9">
      <c r="B30" s="331">
        <v>10</v>
      </c>
      <c r="C30" s="332"/>
      <c r="D30" s="333" t="s">
        <v>453</v>
      </c>
      <c r="E30" s="325"/>
      <c r="F30" s="334">
        <f>23000*1.151</f>
        <v>26473</v>
      </c>
      <c r="G30" s="327">
        <v>1</v>
      </c>
      <c r="H30" s="328">
        <v>3</v>
      </c>
      <c r="I30" s="326">
        <f>+E30*F30*G30*H30*20</f>
        <v>0</v>
      </c>
    </row>
    <row r="31" spans="1:9">
      <c r="B31" s="331">
        <v>1</v>
      </c>
      <c r="C31" s="332"/>
      <c r="D31" s="335" t="s">
        <v>454</v>
      </c>
      <c r="E31" s="325"/>
      <c r="F31" s="336">
        <f>4940000*1.151</f>
        <v>5685940</v>
      </c>
      <c r="G31" s="327">
        <v>1</v>
      </c>
      <c r="H31" s="328">
        <v>3</v>
      </c>
      <c r="I31" s="326">
        <f t="shared" si="1"/>
        <v>0</v>
      </c>
    </row>
    <row r="32" spans="1:9" ht="21.6" customHeight="1">
      <c r="B32" s="285" t="s">
        <v>28</v>
      </c>
      <c r="C32" s="285"/>
      <c r="D32" s="285"/>
      <c r="E32" s="285"/>
      <c r="F32" s="285"/>
      <c r="G32" s="285"/>
      <c r="H32" s="285"/>
      <c r="I32" s="31">
        <f>SUM(I12:I31)</f>
        <v>59459865</v>
      </c>
    </row>
    <row r="33" spans="2:9" ht="19.5" customHeight="1">
      <c r="B33" s="286" t="s">
        <v>29</v>
      </c>
      <c r="C33" s="286"/>
      <c r="D33" s="286"/>
      <c r="E33" s="286"/>
      <c r="F33" s="286"/>
      <c r="G33" s="286"/>
      <c r="H33" s="286"/>
      <c r="I33" s="32">
        <f>I32/E5</f>
        <v>6.123767941426659E-2</v>
      </c>
    </row>
    <row r="34" spans="2:9" ht="7.5" customHeight="1">
      <c r="B34" s="287"/>
      <c r="C34" s="288"/>
      <c r="D34" s="288"/>
      <c r="E34" s="288"/>
      <c r="F34" s="288"/>
      <c r="G34" s="288"/>
      <c r="H34" s="288"/>
      <c r="I34" s="289"/>
    </row>
    <row r="35" spans="2:9" ht="21" customHeight="1">
      <c r="B35" s="290" t="s">
        <v>30</v>
      </c>
      <c r="C35" s="290"/>
      <c r="D35" s="290"/>
      <c r="E35" s="290"/>
      <c r="F35" s="290"/>
      <c r="G35" s="290"/>
      <c r="H35" s="290"/>
      <c r="I35" s="290"/>
    </row>
    <row r="36" spans="2:9" s="33" customFormat="1" ht="18.75" customHeight="1">
      <c r="B36" s="291" t="s">
        <v>31</v>
      </c>
      <c r="C36" s="291"/>
      <c r="D36" s="291"/>
      <c r="E36" s="291"/>
      <c r="F36" s="291"/>
      <c r="G36" s="291"/>
      <c r="H36" s="291"/>
      <c r="I36" s="291"/>
    </row>
    <row r="37" spans="2:9" s="33" customFormat="1" ht="15" customHeight="1">
      <c r="B37" s="292" t="s">
        <v>32</v>
      </c>
      <c r="C37" s="292"/>
      <c r="D37" s="292"/>
      <c r="E37" s="292"/>
      <c r="F37" s="292"/>
      <c r="G37" s="10" t="s">
        <v>33</v>
      </c>
      <c r="H37" s="66" t="s">
        <v>34</v>
      </c>
      <c r="I37" s="66" t="s">
        <v>35</v>
      </c>
    </row>
    <row r="38" spans="2:9" ht="16.5" customHeight="1">
      <c r="B38" s="34"/>
      <c r="C38" s="34"/>
      <c r="D38" s="262" t="s">
        <v>36</v>
      </c>
      <c r="E38" s="263"/>
      <c r="F38" s="264"/>
      <c r="G38" s="40">
        <f ca="1">$I$77</f>
        <v>1309849135.3578877</v>
      </c>
      <c r="H38" s="35">
        <v>0.02</v>
      </c>
      <c r="I38" s="40">
        <f ca="1">+G38*H38</f>
        <v>26196982.707157757</v>
      </c>
    </row>
    <row r="39" spans="2:9" ht="16.5" customHeight="1">
      <c r="B39" s="34"/>
      <c r="C39" s="34"/>
      <c r="D39" s="262" t="s">
        <v>37</v>
      </c>
      <c r="E39" s="263"/>
      <c r="F39" s="264"/>
      <c r="G39" s="40">
        <f t="shared" ref="G39:G44" ca="1" si="2">$I$77</f>
        <v>1309849135.3578877</v>
      </c>
      <c r="H39" s="35">
        <v>0.01</v>
      </c>
      <c r="I39" s="40">
        <f t="shared" ref="I39:I42" ca="1" si="3">+G39*H39</f>
        <v>13098491.353578879</v>
      </c>
    </row>
    <row r="40" spans="2:9">
      <c r="B40" s="34"/>
      <c r="C40" s="34"/>
      <c r="D40" s="262" t="s">
        <v>38</v>
      </c>
      <c r="E40" s="263"/>
      <c r="F40" s="264"/>
      <c r="G40" s="40">
        <f t="shared" ca="1" si="2"/>
        <v>1309849135.3578877</v>
      </c>
      <c r="H40" s="35">
        <v>0.04</v>
      </c>
      <c r="I40" s="40">
        <f t="shared" ca="1" si="3"/>
        <v>52393965.414315514</v>
      </c>
    </row>
    <row r="41" spans="2:9" ht="16.5" customHeight="1">
      <c r="B41" s="34"/>
      <c r="C41" s="34"/>
      <c r="D41" s="262" t="s">
        <v>39</v>
      </c>
      <c r="E41" s="263"/>
      <c r="F41" s="264"/>
      <c r="G41" s="40">
        <f t="shared" ca="1" si="2"/>
        <v>1309849135.3578877</v>
      </c>
      <c r="H41" s="35">
        <v>0.02</v>
      </c>
      <c r="I41" s="40">
        <f t="shared" ca="1" si="3"/>
        <v>26196982.707157757</v>
      </c>
    </row>
    <row r="42" spans="2:9" ht="16.5" customHeight="1">
      <c r="B42" s="34"/>
      <c r="C42" s="34"/>
      <c r="D42" s="262" t="s">
        <v>40</v>
      </c>
      <c r="E42" s="263"/>
      <c r="F42" s="264"/>
      <c r="G42" s="40">
        <f t="shared" ca="1" si="2"/>
        <v>1309849135.3578877</v>
      </c>
      <c r="H42" s="35">
        <v>2.5000000000000001E-2</v>
      </c>
      <c r="I42" s="40">
        <f t="shared" ca="1" si="3"/>
        <v>32746228.383947194</v>
      </c>
    </row>
    <row r="43" spans="2:9" ht="16.5" customHeight="1">
      <c r="B43" s="34"/>
      <c r="C43" s="34"/>
      <c r="D43" s="262" t="s">
        <v>41</v>
      </c>
      <c r="E43" s="263"/>
      <c r="F43" s="264"/>
      <c r="G43" s="40">
        <f t="shared" ca="1" si="2"/>
        <v>1309849135.3578877</v>
      </c>
      <c r="H43" s="35">
        <v>0.05</v>
      </c>
      <c r="I43" s="40">
        <f ca="1">+G43*H43</f>
        <v>65492456.767894387</v>
      </c>
    </row>
    <row r="44" spans="2:9" ht="16.5" customHeight="1">
      <c r="B44" s="34"/>
      <c r="C44" s="34"/>
      <c r="D44" s="337" t="s">
        <v>455</v>
      </c>
      <c r="E44" s="338"/>
      <c r="F44" s="339"/>
      <c r="G44" s="340">
        <f t="shared" ca="1" si="2"/>
        <v>1309849135.3578877</v>
      </c>
      <c r="H44" s="341">
        <v>5.0000000000000001E-3</v>
      </c>
      <c r="I44" s="340">
        <f ca="1">G44*H44</f>
        <v>6549245.6767894393</v>
      </c>
    </row>
    <row r="45" spans="2:9" ht="21.6" customHeight="1">
      <c r="B45" s="296" t="s">
        <v>42</v>
      </c>
      <c r="C45" s="296"/>
      <c r="D45" s="296"/>
      <c r="E45" s="296"/>
      <c r="F45" s="296"/>
      <c r="G45" s="296"/>
      <c r="H45" s="296"/>
      <c r="I45" s="36">
        <f ca="1">+I38+I39+I40+I43+I42+I41+I44</f>
        <v>222674353.01084092</v>
      </c>
    </row>
    <row r="46" spans="2:9" ht="17.399999999999999" customHeight="1">
      <c r="B46" s="286" t="s">
        <v>43</v>
      </c>
      <c r="C46" s="286"/>
      <c r="D46" s="286"/>
      <c r="E46" s="286"/>
      <c r="F46" s="286"/>
      <c r="G46" s="286"/>
      <c r="H46" s="286"/>
      <c r="I46" s="32">
        <f ca="1">+I45/E5</f>
        <v>0.22933218303568476</v>
      </c>
    </row>
    <row r="47" spans="2:9" ht="6" customHeight="1">
      <c r="B47" s="297"/>
      <c r="C47" s="298"/>
      <c r="D47" s="298"/>
      <c r="E47" s="298"/>
      <c r="F47" s="298"/>
      <c r="G47" s="298"/>
      <c r="H47" s="298"/>
      <c r="I47" s="299"/>
    </row>
    <row r="48" spans="2:9" s="37" customFormat="1" ht="20.399999999999999" customHeight="1">
      <c r="B48" s="300" t="s">
        <v>44</v>
      </c>
      <c r="C48" s="300"/>
      <c r="D48" s="300"/>
      <c r="E48" s="300"/>
      <c r="F48" s="300"/>
      <c r="G48" s="300"/>
      <c r="H48" s="300"/>
      <c r="I48" s="300"/>
    </row>
    <row r="49" spans="2:10" ht="15" customHeight="1">
      <c r="B49" s="301" t="s">
        <v>32</v>
      </c>
      <c r="C49" s="301"/>
      <c r="D49" s="301"/>
      <c r="E49" s="64" t="s">
        <v>33</v>
      </c>
      <c r="F49" s="64" t="s">
        <v>45</v>
      </c>
      <c r="G49" s="21" t="s">
        <v>46</v>
      </c>
      <c r="H49" s="20"/>
      <c r="I49" s="64" t="s">
        <v>47</v>
      </c>
    </row>
    <row r="50" spans="2:10" ht="15" customHeight="1">
      <c r="B50" s="38"/>
      <c r="C50" s="39"/>
      <c r="D50" s="342" t="s">
        <v>48</v>
      </c>
      <c r="E50" s="340">
        <f ca="1">I77</f>
        <v>1309849135.3578877</v>
      </c>
      <c r="F50" s="343">
        <v>0.2</v>
      </c>
      <c r="G50" s="344">
        <f ca="1">+E50*F50</f>
        <v>261969827.07157755</v>
      </c>
      <c r="H50" s="345">
        <v>3.0000000000000001E-3</v>
      </c>
      <c r="I50" s="340">
        <f ca="1">G50*270*0.3%/360</f>
        <v>589432.11091104953</v>
      </c>
    </row>
    <row r="51" spans="2:10" ht="15" customHeight="1">
      <c r="B51" s="38"/>
      <c r="C51" s="39"/>
      <c r="D51" s="342" t="s">
        <v>49</v>
      </c>
      <c r="E51" s="340">
        <f ca="1">+E50</f>
        <v>1309849135.3578877</v>
      </c>
      <c r="F51" s="343">
        <v>0.05</v>
      </c>
      <c r="G51" s="344">
        <f t="shared" ref="G51:G57" ca="1" si="4">+E51*F51</f>
        <v>65492456.767894387</v>
      </c>
      <c r="H51" s="345">
        <v>2.5000000000000001E-3</v>
      </c>
      <c r="I51" s="340">
        <f ca="1">G51*1170*0.25%/360</f>
        <v>532126.21123914188</v>
      </c>
    </row>
    <row r="52" spans="2:10" ht="14.25" customHeight="1">
      <c r="B52" s="38"/>
      <c r="C52" s="43"/>
      <c r="D52" s="346" t="s">
        <v>50</v>
      </c>
      <c r="E52" s="340">
        <f ca="1">+E51/2</f>
        <v>654924567.67894387</v>
      </c>
      <c r="F52" s="343">
        <v>1</v>
      </c>
      <c r="G52" s="344">
        <f ca="1">+E52</f>
        <v>654924567.67894387</v>
      </c>
      <c r="H52" s="345">
        <v>3.0000000000000001E-3</v>
      </c>
      <c r="I52" s="340">
        <f t="shared" ref="I52" ca="1" si="5">G52*270*0.3%/360</f>
        <v>1473580.2772776238</v>
      </c>
    </row>
    <row r="53" spans="2:10" ht="15" customHeight="1">
      <c r="B53" s="38"/>
      <c r="C53" s="39"/>
      <c r="D53" s="342" t="s">
        <v>51</v>
      </c>
      <c r="E53" s="340">
        <f ca="1">+E51</f>
        <v>1309849135.3578877</v>
      </c>
      <c r="F53" s="343">
        <v>0.2</v>
      </c>
      <c r="G53" s="344">
        <f t="shared" ca="1" si="4"/>
        <v>261969827.07157755</v>
      </c>
      <c r="H53" s="345">
        <v>3.0000000000000001E-3</v>
      </c>
      <c r="I53" s="340">
        <f ca="1">G53*1800*0.3%/360</f>
        <v>3929547.4060736638</v>
      </c>
    </row>
    <row r="54" spans="2:10" ht="14.25" customHeight="1">
      <c r="B54" s="38"/>
      <c r="C54" s="39"/>
      <c r="D54" s="342" t="s">
        <v>52</v>
      </c>
      <c r="E54" s="347"/>
      <c r="F54" s="348"/>
      <c r="G54" s="349">
        <f t="shared" si="4"/>
        <v>0</v>
      </c>
      <c r="H54" s="350"/>
      <c r="I54" s="340">
        <v>5000</v>
      </c>
    </row>
    <row r="55" spans="2:10" ht="14.25" customHeight="1">
      <c r="B55" s="38"/>
      <c r="C55" s="39"/>
      <c r="D55" s="342" t="s">
        <v>53</v>
      </c>
      <c r="E55" s="340"/>
      <c r="F55" s="343"/>
      <c r="G55" s="344">
        <f t="shared" si="4"/>
        <v>0</v>
      </c>
      <c r="H55" s="351">
        <v>0.19</v>
      </c>
      <c r="I55" s="340">
        <f ca="1">SUM(I50:I53)*H55</f>
        <v>1239690.3410452809</v>
      </c>
    </row>
    <row r="56" spans="2:10" ht="14.25" customHeight="1">
      <c r="B56" s="38"/>
      <c r="C56" s="39"/>
      <c r="D56" s="342" t="s">
        <v>54</v>
      </c>
      <c r="E56" s="340">
        <f ca="1">+E53</f>
        <v>1309849135.3578877</v>
      </c>
      <c r="F56" s="343" t="s">
        <v>70</v>
      </c>
      <c r="G56" s="344">
        <f>200*1423500</f>
        <v>284700000</v>
      </c>
      <c r="H56" s="345">
        <v>5.0000000000000001E-3</v>
      </c>
      <c r="I56" s="340">
        <f>+G56*H56*3/12</f>
        <v>355875</v>
      </c>
      <c r="J56" s="352"/>
    </row>
    <row r="57" spans="2:10" ht="14.25" customHeight="1">
      <c r="B57" s="38"/>
      <c r="C57" s="39"/>
      <c r="D57" s="39" t="s">
        <v>55</v>
      </c>
      <c r="E57" s="45"/>
      <c r="F57" s="41"/>
      <c r="G57" s="46">
        <f t="shared" si="4"/>
        <v>0</v>
      </c>
      <c r="H57" s="47"/>
      <c r="I57" s="42">
        <v>5000</v>
      </c>
    </row>
    <row r="58" spans="2:10" ht="27.6">
      <c r="B58" s="38"/>
      <c r="C58" s="39"/>
      <c r="D58" s="39" t="s">
        <v>56</v>
      </c>
      <c r="E58" s="40"/>
      <c r="F58" s="41"/>
      <c r="G58" s="46">
        <f>+E58*F58</f>
        <v>0</v>
      </c>
      <c r="H58" s="44">
        <v>0.19</v>
      </c>
      <c r="I58" s="42">
        <f>+I56*H58</f>
        <v>67616.25</v>
      </c>
    </row>
    <row r="59" spans="2:10" ht="21" customHeight="1">
      <c r="B59" s="302" t="s">
        <v>57</v>
      </c>
      <c r="C59" s="302"/>
      <c r="D59" s="302"/>
      <c r="E59" s="302"/>
      <c r="F59" s="302"/>
      <c r="G59" s="302"/>
      <c r="H59" s="302"/>
      <c r="I59" s="36">
        <f ca="1">SUM(I50:I58)</f>
        <v>8197867.5965467598</v>
      </c>
    </row>
    <row r="60" spans="2:10" ht="18" customHeight="1">
      <c r="B60" s="48"/>
      <c r="C60" s="49"/>
      <c r="D60" s="49"/>
      <c r="E60" s="49"/>
      <c r="F60" s="49"/>
      <c r="G60" s="49"/>
      <c r="H60" s="49"/>
      <c r="I60" s="50">
        <f ca="1">+I59/E5</f>
        <v>8.4429789364293822E-3</v>
      </c>
    </row>
    <row r="61" spans="2:10" ht="6" customHeight="1">
      <c r="B61" s="353"/>
      <c r="C61" s="353"/>
      <c r="D61" s="353"/>
      <c r="E61" s="353"/>
      <c r="F61" s="353"/>
      <c r="G61" s="353"/>
      <c r="H61" s="353"/>
      <c r="I61" s="354"/>
    </row>
    <row r="62" spans="2:10" ht="24" customHeight="1">
      <c r="B62" s="303" t="s">
        <v>58</v>
      </c>
      <c r="C62" s="304"/>
      <c r="D62" s="304"/>
      <c r="E62" s="304"/>
      <c r="F62" s="304"/>
      <c r="G62" s="304"/>
      <c r="H62" s="305"/>
      <c r="I62" s="31">
        <f ca="1">I59+I45</f>
        <v>230872220.60738769</v>
      </c>
    </row>
    <row r="63" spans="2:10" ht="18.600000000000001" customHeight="1">
      <c r="B63" s="306" t="s">
        <v>59</v>
      </c>
      <c r="C63" s="307"/>
      <c r="D63" s="307"/>
      <c r="E63" s="307"/>
      <c r="F63" s="307"/>
      <c r="G63" s="307"/>
      <c r="H63" s="308"/>
      <c r="I63" s="51">
        <f ca="1">+I62/E5</f>
        <v>0.23777516197211415</v>
      </c>
    </row>
    <row r="64" spans="2:10" ht="6" customHeight="1">
      <c r="B64" s="293"/>
      <c r="C64" s="294"/>
      <c r="D64" s="294"/>
      <c r="E64" s="294"/>
      <c r="F64" s="294"/>
      <c r="G64" s="294"/>
      <c r="H64" s="294"/>
      <c r="I64" s="295"/>
    </row>
    <row r="65" spans="2:10" ht="24" customHeight="1">
      <c r="B65" s="315" t="s">
        <v>60</v>
      </c>
      <c r="C65" s="316"/>
      <c r="D65" s="316"/>
      <c r="E65" s="316"/>
      <c r="F65" s="316"/>
      <c r="G65" s="316"/>
      <c r="H65" s="317"/>
      <c r="I65" s="52">
        <f ca="1">I62+I32</f>
        <v>290332085.60738766</v>
      </c>
    </row>
    <row r="66" spans="2:10" ht="18" customHeight="1">
      <c r="B66" s="306" t="s">
        <v>61</v>
      </c>
      <c r="C66" s="307"/>
      <c r="D66" s="307"/>
      <c r="E66" s="307"/>
      <c r="F66" s="307"/>
      <c r="G66" s="307"/>
      <c r="H66" s="308"/>
      <c r="I66" s="355">
        <f ca="1">+I65/E5</f>
        <v>0.29901284138638068</v>
      </c>
    </row>
    <row r="67" spans="2:10" ht="6" customHeight="1">
      <c r="B67" s="318"/>
      <c r="C67" s="319"/>
      <c r="D67" s="319"/>
      <c r="E67" s="319"/>
      <c r="F67" s="319"/>
      <c r="G67" s="319"/>
      <c r="H67" s="319"/>
      <c r="I67" s="320"/>
    </row>
    <row r="68" spans="2:10" ht="24" customHeight="1">
      <c r="B68" s="315" t="s">
        <v>62</v>
      </c>
      <c r="C68" s="316"/>
      <c r="D68" s="316"/>
      <c r="E68" s="316"/>
      <c r="F68" s="316"/>
      <c r="G68" s="316"/>
      <c r="H68" s="317"/>
      <c r="I68" s="356">
        <f>E5*5%</f>
        <v>48548430.940499999</v>
      </c>
      <c r="J68" s="357"/>
    </row>
    <row r="69" spans="2:10" ht="18.600000000000001" customHeight="1">
      <c r="B69" s="306" t="s">
        <v>63</v>
      </c>
      <c r="C69" s="307"/>
      <c r="D69" s="307"/>
      <c r="E69" s="307"/>
      <c r="F69" s="307"/>
      <c r="G69" s="307"/>
      <c r="H69" s="308"/>
      <c r="I69" s="355">
        <v>0.05</v>
      </c>
    </row>
    <row r="70" spans="2:10" ht="11.4" customHeight="1">
      <c r="B70" s="312"/>
      <c r="C70" s="313"/>
      <c r="D70" s="313"/>
      <c r="E70" s="313"/>
      <c r="F70" s="313"/>
      <c r="G70" s="313"/>
      <c r="H70" s="313"/>
      <c r="I70" s="314"/>
    </row>
    <row r="71" spans="2:10" ht="29.4" customHeight="1">
      <c r="B71" s="309" t="s">
        <v>64</v>
      </c>
      <c r="C71" s="310"/>
      <c r="D71" s="310"/>
      <c r="E71" s="310"/>
      <c r="F71" s="310"/>
      <c r="G71" s="310"/>
      <c r="H71" s="311"/>
      <c r="I71" s="53">
        <f ca="1">+I68+I65</f>
        <v>338880516.54788768</v>
      </c>
    </row>
    <row r="72" spans="2:10" ht="18" customHeight="1">
      <c r="B72" s="312" t="s">
        <v>65</v>
      </c>
      <c r="C72" s="313"/>
      <c r="D72" s="313"/>
      <c r="E72" s="313"/>
      <c r="F72" s="313"/>
      <c r="G72" s="314"/>
      <c r="H72" s="54" t="s">
        <v>66</v>
      </c>
      <c r="I72" s="55">
        <f ca="1">I69+I66</f>
        <v>0.34901284138638067</v>
      </c>
    </row>
    <row r="74" spans="2:10" ht="14.4" thickBot="1"/>
    <row r="75" spans="2:10" ht="24.6" customHeight="1">
      <c r="G75" s="1"/>
      <c r="H75" s="58" t="s">
        <v>67</v>
      </c>
      <c r="I75" s="59">
        <f>+E5</f>
        <v>970968618.80999994</v>
      </c>
    </row>
    <row r="76" spans="2:10" ht="24" customHeight="1">
      <c r="H76" s="60" t="s">
        <v>68</v>
      </c>
      <c r="I76" s="61">
        <f ca="1">+I71</f>
        <v>338880516.54788768</v>
      </c>
    </row>
    <row r="77" spans="2:10" ht="24" customHeight="1" thickBot="1">
      <c r="H77" s="62" t="s">
        <v>69</v>
      </c>
      <c r="I77" s="63">
        <f ca="1">SUM(I75:I76)</f>
        <v>1309849135.3578877</v>
      </c>
    </row>
    <row r="78" spans="2:10" ht="15.6" customHeight="1">
      <c r="G78" s="56"/>
      <c r="H78" s="57"/>
    </row>
    <row r="79" spans="2:10">
      <c r="G79" s="56"/>
      <c r="H79" s="57"/>
    </row>
    <row r="83" spans="9:9">
      <c r="I83" s="357"/>
    </row>
  </sheetData>
  <mergeCells count="39">
    <mergeCell ref="B70:I70"/>
    <mergeCell ref="B71:H71"/>
    <mergeCell ref="B72:G72"/>
    <mergeCell ref="B64:I64"/>
    <mergeCell ref="B65:H65"/>
    <mergeCell ref="B66:H66"/>
    <mergeCell ref="B67:I67"/>
    <mergeCell ref="B68:H68"/>
    <mergeCell ref="B69:H69"/>
    <mergeCell ref="B47:I47"/>
    <mergeCell ref="B48:I48"/>
    <mergeCell ref="B49:D49"/>
    <mergeCell ref="B59:H59"/>
    <mergeCell ref="B62:H62"/>
    <mergeCell ref="B63:H63"/>
    <mergeCell ref="D41:F41"/>
    <mergeCell ref="D42:F42"/>
    <mergeCell ref="D43:F43"/>
    <mergeCell ref="D44:F44"/>
    <mergeCell ref="B45:H45"/>
    <mergeCell ref="B46:H46"/>
    <mergeCell ref="B35:I35"/>
    <mergeCell ref="B36:I36"/>
    <mergeCell ref="B37:F37"/>
    <mergeCell ref="D38:F38"/>
    <mergeCell ref="D39:F39"/>
    <mergeCell ref="D40:F40"/>
    <mergeCell ref="B11:H11"/>
    <mergeCell ref="B16:H16"/>
    <mergeCell ref="B21:H21"/>
    <mergeCell ref="B32:H32"/>
    <mergeCell ref="B33:H33"/>
    <mergeCell ref="B34:I34"/>
    <mergeCell ref="B2:F2"/>
    <mergeCell ref="G2:I2"/>
    <mergeCell ref="B3:I3"/>
    <mergeCell ref="B4:I4"/>
    <mergeCell ref="B7:I7"/>
    <mergeCell ref="B10:C10"/>
  </mergeCells>
  <printOptions horizontalCentered="1"/>
  <pageMargins left="0.25" right="0.25" top="0.75" bottom="0.75" header="0.3" footer="0.3"/>
  <pageSetup scale="43" fitToHeight="0" orientation="portrait" r:id="rId1"/>
  <legacy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PRESUPUESTO DE OBRA</vt:lpstr>
      <vt:lpstr>AU 1</vt:lpstr>
      <vt:lpstr>'AU 1'!Área_de_impresión</vt:lpstr>
      <vt:lpstr>'PRESUPUESTO DE OBRA'!Área_de_impresión</vt:lpstr>
      <vt:lpstr>'PRESUPUESTO DE OBRA'!Títulos_a_imprimir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Pedro Vasquez  VI</dc:creator>
  <cp:lastModifiedBy>Usuario</cp:lastModifiedBy>
  <cp:lastPrinted>2025-10-29T07:12:59Z</cp:lastPrinted>
  <dcterms:created xsi:type="dcterms:W3CDTF">2025-10-27T21:53:01Z</dcterms:created>
  <dcterms:modified xsi:type="dcterms:W3CDTF">2025-11-06T00:00:41Z</dcterms:modified>
</cp:coreProperties>
</file>