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cuments\0 Samaria 2026\Contratacion\Contrato No. _________ Tienda Escolar\"/>
    </mc:Choice>
  </mc:AlternateContent>
  <bookViews>
    <workbookView xWindow="0" yWindow="0" windowWidth="13605" windowHeight="11670"/>
  </bookViews>
  <sheets>
    <sheet name="Análisis Económico" sheetId="1" r:id="rId1"/>
    <sheet name="Hoja1" sheetId="2" r:id="rId2"/>
  </sheets>
  <definedNames>
    <definedName name="_xlnm.Print_Area" localSheetId="0">'Análisis Económico'!$A$1:$R$99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9" i="1" l="1"/>
  <c r="H10" i="1" l="1"/>
  <c r="D12" i="1"/>
  <c r="D14" i="1"/>
  <c r="D15" i="1"/>
  <c r="F99" i="1"/>
  <c r="Q12" i="1"/>
  <c r="N9" i="1"/>
  <c r="O12" i="1"/>
  <c r="O11" i="1"/>
  <c r="O13" i="1"/>
  <c r="J6" i="1" l="1"/>
  <c r="D94" i="1"/>
  <c r="F97" i="1"/>
  <c r="B99" i="1"/>
  <c r="B97" i="1"/>
  <c r="D28" i="1"/>
  <c r="D30" i="1"/>
  <c r="D31" i="1"/>
  <c r="F33" i="1"/>
  <c r="D7" i="1"/>
  <c r="D10" i="1" l="1"/>
  <c r="F87" i="1" l="1"/>
  <c r="M8" i="1"/>
  <c r="N8" i="1" s="1"/>
  <c r="O8" i="1" s="1"/>
  <c r="D22" i="1"/>
  <c r="D6" i="1"/>
  <c r="D86" i="1"/>
  <c r="D87" i="1"/>
  <c r="D88" i="1" s="1"/>
  <c r="D90" i="1" s="1"/>
  <c r="B87" i="1"/>
  <c r="B86" i="1"/>
  <c r="F85" i="1"/>
  <c r="D71" i="1"/>
  <c r="D72" i="1" s="1"/>
  <c r="D74" i="1" s="1"/>
  <c r="B71" i="1"/>
  <c r="D70" i="1"/>
  <c r="B70" i="1"/>
  <c r="F69" i="1"/>
  <c r="D55" i="1"/>
  <c r="D56" i="1" s="1"/>
  <c r="D58" i="1" s="1"/>
  <c r="B55" i="1"/>
  <c r="B56" i="1" s="1"/>
  <c r="D57" i="1" s="1"/>
  <c r="D54" i="1"/>
  <c r="B54" i="1"/>
  <c r="F54" i="1" s="1"/>
  <c r="F53" i="1"/>
  <c r="D39" i="1"/>
  <c r="D40" i="1" s="1"/>
  <c r="D42" i="1" s="1"/>
  <c r="B39" i="1"/>
  <c r="D38" i="1"/>
  <c r="B38" i="1"/>
  <c r="F38" i="1" s="1"/>
  <c r="F37" i="1"/>
  <c r="F5" i="1"/>
  <c r="B7" i="1"/>
  <c r="B8" i="1" s="1"/>
  <c r="B23" i="1"/>
  <c r="B24" i="1" s="1"/>
  <c r="D25" i="1" s="1"/>
  <c r="D23" i="1"/>
  <c r="D24" i="1" s="1"/>
  <c r="D26" i="1" s="1"/>
  <c r="B22" i="1"/>
  <c r="F22" i="1" s="1"/>
  <c r="F21" i="1"/>
  <c r="D8" i="1"/>
  <c r="B6" i="1"/>
  <c r="H13" i="1"/>
  <c r="H6" i="1"/>
  <c r="H17" i="1"/>
  <c r="J13" i="1" s="1"/>
  <c r="F86" i="1" l="1"/>
  <c r="F70" i="1"/>
  <c r="F6" i="1"/>
  <c r="F71" i="1"/>
  <c r="F39" i="1"/>
  <c r="B88" i="1"/>
  <c r="B72" i="1"/>
  <c r="D73" i="1" s="1"/>
  <c r="D75" i="1" s="1"/>
  <c r="D59" i="1"/>
  <c r="B65" i="1" s="1"/>
  <c r="F55" i="1"/>
  <c r="F56" i="1"/>
  <c r="F8" i="1"/>
  <c r="D9" i="1"/>
  <c r="D11" i="1" s="1"/>
  <c r="F7" i="1"/>
  <c r="B40" i="1"/>
  <c r="D41" i="1" s="1"/>
  <c r="D43" i="1" s="1"/>
  <c r="D27" i="1"/>
  <c r="F23" i="1"/>
  <c r="F24" i="1"/>
  <c r="I6" i="1"/>
  <c r="I13" i="1"/>
  <c r="I15" i="1"/>
  <c r="I8" i="1"/>
  <c r="D89" i="1" l="1"/>
  <c r="D91" i="1" s="1"/>
  <c r="F88" i="1"/>
  <c r="F72" i="1"/>
  <c r="D60" i="1"/>
  <c r="D65" i="1" s="1"/>
  <c r="D92" i="1"/>
  <c r="D76" i="1"/>
  <c r="B81" i="1"/>
  <c r="B17" i="1"/>
  <c r="D17" i="1"/>
  <c r="F40" i="1"/>
  <c r="D44" i="1"/>
  <c r="B49" i="1"/>
  <c r="B33" i="1"/>
  <c r="D33" i="1"/>
  <c r="D62" i="1" l="1"/>
  <c r="D63" i="1" s="1"/>
  <c r="F65" i="1" s="1"/>
  <c r="F17" i="1"/>
  <c r="D95" i="1"/>
  <c r="D97" i="1"/>
  <c r="D78" i="1"/>
  <c r="D79" i="1" s="1"/>
  <c r="F81" i="1" s="1"/>
  <c r="D81" i="1"/>
  <c r="D46" i="1"/>
  <c r="D47" i="1" s="1"/>
  <c r="F49" i="1" s="1"/>
  <c r="D49" i="1"/>
  <c r="P8" i="1" l="1"/>
  <c r="P10" i="1" s="1"/>
</calcChain>
</file>

<file path=xl/sharedStrings.xml><?xml version="1.0" encoding="utf-8"?>
<sst xmlns="http://schemas.openxmlformats.org/spreadsheetml/2006/main" count="185" uniqueCount="48">
  <si>
    <t>SEDE PRINCIPAL</t>
  </si>
  <si>
    <t>No. de Estudiantes</t>
  </si>
  <si>
    <t>Proyección total operación  de la TES</t>
  </si>
  <si>
    <t>Proyección operación mensual de la TES en la Sede</t>
  </si>
  <si>
    <t>Proyección Utilidad Bruta</t>
  </si>
  <si>
    <t xml:space="preserve">Fuente: </t>
  </si>
  <si>
    <t xml:space="preserve">https://acortar.link/F6jqEp </t>
  </si>
  <si>
    <t>ANÁLISIS RETRIBUCIÓN</t>
  </si>
  <si>
    <t>Proyección Retribución al FSE Mensual</t>
  </si>
  <si>
    <t>Proyección operación mensual de la TES</t>
  </si>
  <si>
    <t>Vr Total Refrigerio</t>
  </si>
  <si>
    <t>Vr Producción Refrigerio</t>
  </si>
  <si>
    <t>Vr Utilidad Bruta por refrigerio</t>
  </si>
  <si>
    <t>% Utilidad Bruta por refrigerio</t>
  </si>
  <si>
    <t xml:space="preserve">Vr. Mes </t>
  </si>
  <si>
    <t>Vr. Diario</t>
  </si>
  <si>
    <t>Vr. Hora</t>
  </si>
  <si>
    <t xml:space="preserve">Vr. 4 hora por día </t>
  </si>
  <si>
    <t>Proyección de jornadas de 4 hora por día a retribuir por concepto de servicio de aseo al mes</t>
  </si>
  <si>
    <t>Proyección de horas a retribuir por concepto de servicio de aseo al mes</t>
  </si>
  <si>
    <t xml:space="preserve">https://co.computrabajo.com/salarios/operarioa-de-aseo </t>
  </si>
  <si>
    <t xml:space="preserve">Proyección Utilidad Bruta </t>
  </si>
  <si>
    <t xml:space="preserve">Proyección total Utilidad Bruta </t>
  </si>
  <si>
    <t>Proyección total 
Retribución al FSE mensual</t>
  </si>
  <si>
    <t>ANALISIS PROYECCION ECONOMICA SOBRE VENTAS DE LA TIENDA ESCOLAR SALUDABLE EN LAS SEDES DE LA INSTITUCIÓN EDUCATIVA SAMARIA, PARA ESTIMAR LA RETRIBUCIÓN EN FAVOR DEL FONDO DE SERVICIOS EDUCATIVOS - FSE</t>
  </si>
  <si>
    <t>Valor refrigerio para Estudiante de Primaria</t>
  </si>
  <si>
    <t>Valor refrigerio para Estudiante de Secundaria</t>
  </si>
  <si>
    <t>Proyección de estudiantes que compran diariamente en la TES
(Primaria)</t>
  </si>
  <si>
    <t>Proyección de estudiantes que compran diariamente en la TES
(Secundaria)</t>
  </si>
  <si>
    <t>% de acuerdo con el numero de estudiantes por sede</t>
  </si>
  <si>
    <t>Total Estudiantes</t>
  </si>
  <si>
    <t>Proyección de estudiantes que compran mensualmente en la TES
(Primaria)</t>
  </si>
  <si>
    <t>Proyección de estudiantes que compran semanalmente en la TES
(Primaria)</t>
  </si>
  <si>
    <t>Proyección de estudiantes que compran semanalmente en la TES
(Secundaria)</t>
  </si>
  <si>
    <t>Proyección de estudiantes que compran mensualmente en la TES
(Secundaria)</t>
  </si>
  <si>
    <t>Total Estudiantes Primaria</t>
  </si>
  <si>
    <t>Total Estudiantes Secundaria</t>
  </si>
  <si>
    <t>SEDE GUAYABOS PUEBLO NUEVO</t>
  </si>
  <si>
    <t>SEDE SAN NICOLÁS</t>
  </si>
  <si>
    <t>SEDE CEDRALES PERALONSO</t>
  </si>
  <si>
    <t>SEDE CHAPINERO</t>
  </si>
  <si>
    <t>SEDE CORAZÓN DE PERALONSO</t>
  </si>
  <si>
    <t>Retribucion Total</t>
  </si>
  <si>
    <t>Valor retribucion especie</t>
  </si>
  <si>
    <t>Valor retribucion en dinero</t>
  </si>
  <si>
    <t>Número de jornadas por Sede Aproximadamente</t>
  </si>
  <si>
    <t>Total %</t>
  </si>
  <si>
    <t>Proyecciónvalor  Retribucion en especie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</si>
</sst>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-&quot;$&quot;\ * #,##0.0_-;\-&quot;$&quot;\ * #,##0.0_-;_-&quot;$&quot;\ * &quot;-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8"/>
      <color theme="10"/>
      <name val="Calibri"/>
      <family val="2"/>
      <scheme val="minor"/>
    </font>
    <font>
      <sz val="8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79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9" fontId="4" fillId="0" borderId="1" xfId="2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0" fontId="4" fillId="0" borderId="0" xfId="4" applyFont="1" applyBorder="1" applyAlignment="1">
      <alignment vertical="center"/>
    </xf>
    <xf numFmtId="0" fontId="5" fillId="0" borderId="0" xfId="4" applyFont="1" applyBorder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4" fillId="0" borderId="0" xfId="1" applyNumberFormat="1" applyFont="1" applyBorder="1" applyAlignment="1">
      <alignment horizontal="center" vertical="center"/>
    </xf>
    <xf numFmtId="9" fontId="4" fillId="0" borderId="0" xfId="2" applyFont="1" applyBorder="1" applyAlignment="1">
      <alignment horizontal="center" vertical="center"/>
    </xf>
    <xf numFmtId="42" fontId="4" fillId="0" borderId="1" xfId="6" applyFont="1" applyBorder="1" applyAlignment="1">
      <alignment horizontal="center" vertical="center"/>
    </xf>
    <xf numFmtId="42" fontId="4" fillId="0" borderId="1" xfId="3" applyFont="1" applyBorder="1" applyAlignment="1">
      <alignment vertical="center"/>
    </xf>
    <xf numFmtId="42" fontId="4" fillId="0" borderId="1" xfId="3" applyFont="1" applyBorder="1" applyAlignment="1">
      <alignment horizontal="center" vertical="center"/>
    </xf>
    <xf numFmtId="42" fontId="6" fillId="0" borderId="0" xfId="3" applyFont="1" applyAlignment="1">
      <alignment horizontal="center" vertical="center"/>
    </xf>
    <xf numFmtId="9" fontId="6" fillId="0" borderId="0" xfId="2" applyFont="1" applyAlignment="1">
      <alignment horizontal="center" vertical="center"/>
    </xf>
    <xf numFmtId="9" fontId="6" fillId="0" borderId="0" xfId="2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64" fontId="3" fillId="0" borderId="1" xfId="0" applyNumberFormat="1" applyFont="1" applyBorder="1" applyAlignment="1">
      <alignment horizontal="center" vertical="center" wrapText="1"/>
    </xf>
    <xf numFmtId="9" fontId="3" fillId="0" borderId="1" xfId="2" applyFont="1" applyFill="1" applyBorder="1" applyAlignment="1">
      <alignment horizontal="center" vertical="center" wrapText="1"/>
    </xf>
    <xf numFmtId="42" fontId="3" fillId="0" borderId="1" xfId="3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2" fontId="3" fillId="0" borderId="1" xfId="0" applyNumberFormat="1" applyFont="1" applyBorder="1"/>
    <xf numFmtId="0" fontId="4" fillId="4" borderId="1" xfId="0" applyFont="1" applyFill="1" applyBorder="1" applyAlignment="1">
      <alignment horizontal="center" vertical="center" wrapText="1"/>
    </xf>
    <xf numFmtId="164" fontId="4" fillId="4" borderId="1" xfId="1" applyNumberFormat="1" applyFont="1" applyFill="1" applyBorder="1" applyAlignment="1">
      <alignment horizontal="center" vertical="center"/>
    </xf>
    <xf numFmtId="9" fontId="4" fillId="4" borderId="1" xfId="0" applyNumberFormat="1" applyFont="1" applyFill="1" applyBorder="1" applyAlignment="1">
      <alignment horizontal="center" vertical="center"/>
    </xf>
    <xf numFmtId="164" fontId="4" fillId="0" borderId="0" xfId="0" applyNumberFormat="1" applyFont="1"/>
    <xf numFmtId="1" fontId="4" fillId="0" borderId="12" xfId="0" applyNumberFormat="1" applyFont="1" applyBorder="1" applyAlignment="1">
      <alignment vertical="center"/>
    </xf>
    <xf numFmtId="0" fontId="4" fillId="0" borderId="0" xfId="0" applyFont="1" applyAlignment="1">
      <alignment horizontal="center"/>
    </xf>
    <xf numFmtId="1" fontId="4" fillId="0" borderId="0" xfId="0" applyNumberFormat="1" applyFont="1" applyAlignment="1">
      <alignment horizontal="center" vertical="center"/>
    </xf>
    <xf numFmtId="165" fontId="4" fillId="4" borderId="1" xfId="3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164" fontId="4" fillId="5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164" fontId="3" fillId="5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/>
    </xf>
    <xf numFmtId="1" fontId="4" fillId="0" borderId="0" xfId="0" applyNumberFormat="1" applyFont="1"/>
    <xf numFmtId="9" fontId="4" fillId="0" borderId="0" xfId="0" applyNumberFormat="1" applyFont="1"/>
    <xf numFmtId="1" fontId="4" fillId="0" borderId="5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center" vertical="center" wrapText="1"/>
    </xf>
    <xf numFmtId="1" fontId="3" fillId="0" borderId="6" xfId="0" applyNumberFormat="1" applyFont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 vertical="center"/>
    </xf>
    <xf numFmtId="1" fontId="3" fillId="0" borderId="7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1" fontId="3" fillId="0" borderId="8" xfId="0" applyNumberFormat="1" applyFont="1" applyBorder="1" applyAlignment="1">
      <alignment horizontal="center" vertical="center"/>
    </xf>
  </cellXfs>
  <cellStyles count="11">
    <cellStyle name="Hipervínculo" xfId="4" builtinId="8"/>
    <cellStyle name="Moneda" xfId="1" builtinId="4"/>
    <cellStyle name="Moneda [0]" xfId="3" builtinId="7"/>
    <cellStyle name="Moneda [0] 2" xfId="6"/>
    <cellStyle name="Moneda [0] 2 2" xfId="10"/>
    <cellStyle name="Moneda [0] 3" xfId="8"/>
    <cellStyle name="Moneda 2" xfId="5"/>
    <cellStyle name="Moneda 2 2" xfId="9"/>
    <cellStyle name="Moneda 3" xf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751416</xdr:colOff>
      <xdr:row>0</xdr:row>
      <xdr:rowOff>42333</xdr:rowOff>
    </xdr:from>
    <xdr:to>
      <xdr:col>17</xdr:col>
      <xdr:colOff>296331</xdr:colOff>
      <xdr:row>5</xdr:row>
      <xdr:rowOff>84667</xdr:rowOff>
    </xdr:to>
    <xdr:pic>
      <xdr:nvPicPr>
        <xdr:cNvPr id="4" name="Imagen 3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5146" t="16122" r="6643" b="55419"/>
        <a:stretch/>
      </xdr:blipFill>
      <xdr:spPr>
        <a:xfrm>
          <a:off x="12022666" y="42333"/>
          <a:ext cx="4984749" cy="14181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o.computrabajo.com/salarios/operarioa-de-aseo" TargetMode="External"/><Relationship Id="rId2" Type="http://schemas.openxmlformats.org/officeDocument/2006/relationships/hyperlink" Target="https://acortar.link/F6jqEp" TargetMode="External"/><Relationship Id="rId1" Type="http://schemas.openxmlformats.org/officeDocument/2006/relationships/hyperlink" Target="https://acortar.link/F6jqEp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9"/>
  <sheetViews>
    <sheetView tabSelected="1" view="pageBreakPreview" topLeftCell="G1" zoomScale="90" zoomScaleNormal="110" zoomScaleSheetLayoutView="90" workbookViewId="0">
      <selection activeCell="K8" sqref="K8"/>
    </sheetView>
  </sheetViews>
  <sheetFormatPr baseColWidth="10" defaultRowHeight="11.25" x14ac:dyDescent="0.2"/>
  <cols>
    <col min="1" max="1" width="28.7109375" style="1" customWidth="1"/>
    <col min="2" max="2" width="13.5703125" style="1" customWidth="1"/>
    <col min="3" max="3" width="28.140625" style="1" customWidth="1"/>
    <col min="4" max="4" width="13.42578125" style="1" customWidth="1"/>
    <col min="5" max="5" width="12.28515625" style="1" customWidth="1"/>
    <col min="6" max="6" width="12.42578125" style="1" customWidth="1"/>
    <col min="7" max="7" width="13.42578125" style="1" customWidth="1"/>
    <col min="8" max="9" width="12.7109375" style="1" customWidth="1"/>
    <col min="10" max="10" width="10.28515625" style="1" customWidth="1"/>
    <col min="11" max="14" width="11.42578125" style="1"/>
    <col min="15" max="15" width="13" style="1" customWidth="1"/>
    <col min="16" max="17" width="11.42578125" style="1"/>
    <col min="18" max="18" width="10" style="1" customWidth="1"/>
    <col min="19" max="16384" width="11.42578125" style="1"/>
  </cols>
  <sheetData>
    <row r="1" spans="1:18" ht="39" customHeight="1" x14ac:dyDescent="0.2">
      <c r="A1" s="61" t="s">
        <v>24</v>
      </c>
      <c r="B1" s="61"/>
      <c r="C1" s="61"/>
      <c r="D1" s="61"/>
      <c r="E1" s="61"/>
      <c r="F1" s="61"/>
    </row>
    <row r="2" spans="1:18" x14ac:dyDescent="0.2">
      <c r="A2" s="62"/>
      <c r="B2" s="62"/>
      <c r="C2" s="62"/>
      <c r="D2" s="62"/>
      <c r="E2" s="62"/>
      <c r="F2" s="62"/>
    </row>
    <row r="3" spans="1:18" x14ac:dyDescent="0.2">
      <c r="A3" s="59" t="s">
        <v>0</v>
      </c>
      <c r="B3" s="59"/>
      <c r="C3" s="59"/>
      <c r="D3" s="59"/>
      <c r="E3" s="59"/>
      <c r="F3" s="59"/>
    </row>
    <row r="4" spans="1:18" x14ac:dyDescent="0.2">
      <c r="A4" s="2" t="s">
        <v>1</v>
      </c>
      <c r="B4" s="3">
        <v>128</v>
      </c>
      <c r="C4" s="4">
        <v>1</v>
      </c>
      <c r="D4" s="60"/>
      <c r="E4" s="60"/>
      <c r="F4" s="60"/>
    </row>
    <row r="5" spans="1:18" ht="33.75" x14ac:dyDescent="0.2">
      <c r="A5" s="2" t="s">
        <v>27</v>
      </c>
      <c r="B5" s="3">
        <v>0</v>
      </c>
      <c r="C5" s="2" t="s">
        <v>28</v>
      </c>
      <c r="D5" s="3">
        <v>75</v>
      </c>
      <c r="E5" s="5" t="s">
        <v>30</v>
      </c>
      <c r="F5" s="3">
        <f>+B5+D5</f>
        <v>75</v>
      </c>
      <c r="H5" s="6" t="s">
        <v>10</v>
      </c>
      <c r="I5" s="6" t="s">
        <v>11</v>
      </c>
      <c r="J5" s="6" t="s">
        <v>12</v>
      </c>
    </row>
    <row r="6" spans="1:18" ht="22.5" x14ac:dyDescent="0.2">
      <c r="A6" s="2" t="s">
        <v>29</v>
      </c>
      <c r="B6" s="7">
        <f>+(B5*C4)/B4</f>
        <v>0</v>
      </c>
      <c r="C6" s="2" t="s">
        <v>29</v>
      </c>
      <c r="D6" s="7">
        <f>+(D5*C4)/B4</f>
        <v>0.5859375</v>
      </c>
      <c r="E6" s="5" t="s">
        <v>46</v>
      </c>
      <c r="F6" s="4">
        <f>+B6+D6</f>
        <v>0.5859375</v>
      </c>
      <c r="H6" s="8">
        <f>+H9</f>
        <v>1000</v>
      </c>
      <c r="I6" s="8">
        <f>+H6-J6</f>
        <v>750</v>
      </c>
      <c r="J6" s="8">
        <f>+H10</f>
        <v>250</v>
      </c>
      <c r="L6" s="9" t="s">
        <v>5</v>
      </c>
      <c r="M6" s="10" t="s">
        <v>20</v>
      </c>
      <c r="N6" s="10"/>
      <c r="O6" s="10"/>
      <c r="P6" s="10"/>
      <c r="Q6" s="10"/>
    </row>
    <row r="7" spans="1:18" ht="33.75" x14ac:dyDescent="0.2">
      <c r="A7" s="2" t="s">
        <v>32</v>
      </c>
      <c r="B7" s="3">
        <f>+B5*5</f>
        <v>0</v>
      </c>
      <c r="C7" s="2" t="s">
        <v>33</v>
      </c>
      <c r="D7" s="3">
        <f>+D5*5</f>
        <v>375</v>
      </c>
      <c r="E7" s="5" t="s">
        <v>30</v>
      </c>
      <c r="F7" s="3">
        <f>+B7+D7</f>
        <v>375</v>
      </c>
      <c r="H7" s="11"/>
      <c r="I7" s="6" t="s">
        <v>13</v>
      </c>
      <c r="J7" s="11"/>
      <c r="L7" s="12" t="s">
        <v>14</v>
      </c>
      <c r="M7" s="12" t="s">
        <v>15</v>
      </c>
      <c r="N7" s="12" t="s">
        <v>16</v>
      </c>
      <c r="O7" s="13" t="s">
        <v>17</v>
      </c>
      <c r="P7" s="54" t="s">
        <v>19</v>
      </c>
      <c r="Q7" s="55"/>
      <c r="R7" s="56"/>
    </row>
    <row r="8" spans="1:18" ht="33.75" x14ac:dyDescent="0.2">
      <c r="A8" s="2" t="s">
        <v>31</v>
      </c>
      <c r="B8" s="3">
        <f>+B7*4</f>
        <v>0</v>
      </c>
      <c r="C8" s="2" t="s">
        <v>34</v>
      </c>
      <c r="D8" s="14">
        <f>+D7*4</f>
        <v>1500</v>
      </c>
      <c r="E8" s="5" t="s">
        <v>30</v>
      </c>
      <c r="F8" s="3">
        <f>+B8+D8</f>
        <v>1500</v>
      </c>
      <c r="H8" s="15"/>
      <c r="I8" s="7">
        <f>+(J6*I9)/H6</f>
        <v>0.25</v>
      </c>
      <c r="J8" s="16"/>
      <c r="L8" s="17">
        <v>969447</v>
      </c>
      <c r="M8" s="17">
        <f>+L8/30</f>
        <v>32314.9</v>
      </c>
      <c r="N8" s="17">
        <f>+M8/8</f>
        <v>4039.3625000000002</v>
      </c>
      <c r="O8" s="18">
        <f>+N8*4</f>
        <v>16157.45</v>
      </c>
      <c r="P8" s="50">
        <f>N9/N8</f>
        <v>86.845387112446573</v>
      </c>
      <c r="Q8" s="51"/>
      <c r="R8" s="52"/>
    </row>
    <row r="9" spans="1:18" ht="22.5" x14ac:dyDescent="0.2">
      <c r="A9" s="2" t="s">
        <v>25</v>
      </c>
      <c r="B9" s="8">
        <v>1000</v>
      </c>
      <c r="C9" s="14" t="s">
        <v>35</v>
      </c>
      <c r="D9" s="19">
        <f>+B9*B8</f>
        <v>0</v>
      </c>
      <c r="E9" s="57"/>
      <c r="F9" s="57"/>
      <c r="H9" s="20">
        <v>1000</v>
      </c>
      <c r="I9" s="21">
        <v>1</v>
      </c>
      <c r="L9" s="57" t="s">
        <v>47</v>
      </c>
      <c r="M9" s="57"/>
      <c r="N9" s="58">
        <f>+O12</f>
        <v>350800</v>
      </c>
      <c r="O9" s="58"/>
      <c r="P9" s="54" t="s">
        <v>18</v>
      </c>
      <c r="Q9" s="55"/>
      <c r="R9" s="56"/>
    </row>
    <row r="10" spans="1:18" ht="22.5" x14ac:dyDescent="0.2">
      <c r="A10" s="2" t="s">
        <v>26</v>
      </c>
      <c r="B10" s="8">
        <v>2000</v>
      </c>
      <c r="C10" s="14" t="s">
        <v>36</v>
      </c>
      <c r="D10" s="19">
        <f>+B10*D8</f>
        <v>3000000</v>
      </c>
      <c r="E10" s="57"/>
      <c r="F10" s="57"/>
      <c r="H10" s="20">
        <f>+(H9*I10)/I9</f>
        <v>250</v>
      </c>
      <c r="I10" s="22">
        <v>0.25</v>
      </c>
      <c r="J10" s="23"/>
      <c r="L10" s="57"/>
      <c r="M10" s="57"/>
      <c r="N10" s="58"/>
      <c r="O10" s="58"/>
      <c r="P10" s="53">
        <f>+P8/4</f>
        <v>21.711346778111643</v>
      </c>
      <c r="Q10" s="53"/>
      <c r="R10" s="53"/>
    </row>
    <row r="11" spans="1:18" ht="22.5" x14ac:dyDescent="0.2">
      <c r="A11" s="64"/>
      <c r="B11" s="65"/>
      <c r="C11" s="2" t="s">
        <v>3</v>
      </c>
      <c r="D11" s="19">
        <f>+D9+D10</f>
        <v>3000000</v>
      </c>
      <c r="E11" s="7">
        <v>1</v>
      </c>
      <c r="F11" s="63"/>
      <c r="H11" s="24" t="s">
        <v>5</v>
      </c>
      <c r="I11" s="10" t="s">
        <v>6</v>
      </c>
      <c r="J11" s="24"/>
      <c r="L11" s="70"/>
      <c r="M11" s="72" t="s">
        <v>42</v>
      </c>
      <c r="N11" s="72"/>
      <c r="O11" s="25">
        <f>+F99</f>
        <v>877000</v>
      </c>
      <c r="P11" s="26">
        <v>1</v>
      </c>
      <c r="Q11" s="73" t="s">
        <v>45</v>
      </c>
      <c r="R11" s="74"/>
    </row>
    <row r="12" spans="1:18" ht="33.75" x14ac:dyDescent="0.2">
      <c r="A12" s="66"/>
      <c r="B12" s="67"/>
      <c r="C12" s="2" t="s">
        <v>4</v>
      </c>
      <c r="D12" s="8">
        <f>+(D11*E12)/E11</f>
        <v>750000</v>
      </c>
      <c r="E12" s="4">
        <v>0.25</v>
      </c>
      <c r="F12" s="63"/>
      <c r="H12" s="6" t="s">
        <v>10</v>
      </c>
      <c r="I12" s="6" t="s">
        <v>11</v>
      </c>
      <c r="J12" s="6" t="s">
        <v>12</v>
      </c>
      <c r="L12" s="71"/>
      <c r="M12" s="72" t="s">
        <v>43</v>
      </c>
      <c r="N12" s="72"/>
      <c r="O12" s="27">
        <f>+(O11*P12)/P11</f>
        <v>350800</v>
      </c>
      <c r="P12" s="26">
        <v>0.4</v>
      </c>
      <c r="Q12" s="75">
        <f>+P10/6</f>
        <v>3.6185577963519404</v>
      </c>
      <c r="R12" s="76"/>
    </row>
    <row r="13" spans="1:18" x14ac:dyDescent="0.2">
      <c r="A13" s="66"/>
      <c r="B13" s="67"/>
      <c r="C13" s="28" t="s">
        <v>7</v>
      </c>
      <c r="D13" s="29"/>
      <c r="E13" s="29"/>
      <c r="F13" s="63"/>
      <c r="H13" s="8">
        <f>+H16</f>
        <v>2000</v>
      </c>
      <c r="I13" s="8">
        <f>+H13-J13</f>
        <v>1500</v>
      </c>
      <c r="J13" s="8">
        <f>+H17</f>
        <v>500</v>
      </c>
      <c r="L13" s="71"/>
      <c r="M13" s="72" t="s">
        <v>44</v>
      </c>
      <c r="N13" s="72"/>
      <c r="O13" s="30">
        <f>+O11-O12</f>
        <v>526200</v>
      </c>
      <c r="P13" s="26">
        <v>0.6</v>
      </c>
      <c r="Q13" s="77"/>
      <c r="R13" s="78"/>
    </row>
    <row r="14" spans="1:18" ht="22.5" x14ac:dyDescent="0.2">
      <c r="A14" s="66"/>
      <c r="B14" s="67"/>
      <c r="C14" s="2" t="s">
        <v>4</v>
      </c>
      <c r="D14" s="8">
        <f>+D12</f>
        <v>750000</v>
      </c>
      <c r="E14" s="4">
        <v>1</v>
      </c>
      <c r="F14" s="63"/>
      <c r="H14" s="11"/>
      <c r="I14" s="6" t="s">
        <v>13</v>
      </c>
      <c r="J14" s="11"/>
    </row>
    <row r="15" spans="1:18" x14ac:dyDescent="0.2">
      <c r="A15" s="68"/>
      <c r="B15" s="69"/>
      <c r="C15" s="31" t="s">
        <v>8</v>
      </c>
      <c r="D15" s="32">
        <f>+(D14*E15)/E14</f>
        <v>150000</v>
      </c>
      <c r="E15" s="33">
        <v>0.2</v>
      </c>
      <c r="F15" s="63"/>
      <c r="G15" s="34"/>
      <c r="H15" s="15"/>
      <c r="I15" s="7">
        <f>+(J13*I16)/H13</f>
        <v>0.25</v>
      </c>
      <c r="J15" s="16"/>
    </row>
    <row r="16" spans="1:18" x14ac:dyDescent="0.2">
      <c r="F16" s="35"/>
      <c r="H16" s="20">
        <v>2000</v>
      </c>
      <c r="I16" s="21">
        <v>1</v>
      </c>
      <c r="L16" s="36"/>
      <c r="M16" s="36"/>
      <c r="N16" s="36"/>
      <c r="O16" s="36"/>
      <c r="P16" s="37"/>
      <c r="Q16" s="37"/>
      <c r="R16" s="37"/>
    </row>
    <row r="17" spans="1:10" ht="33.75" x14ac:dyDescent="0.2">
      <c r="A17" s="31" t="s">
        <v>9</v>
      </c>
      <c r="B17" s="38">
        <f>+D11</f>
        <v>3000000</v>
      </c>
      <c r="C17" s="39" t="s">
        <v>21</v>
      </c>
      <c r="D17" s="40">
        <f>D12</f>
        <v>750000</v>
      </c>
      <c r="E17" s="41" t="s">
        <v>8</v>
      </c>
      <c r="F17" s="42">
        <f>+D15</f>
        <v>150000</v>
      </c>
      <c r="H17" s="20">
        <f>+(H16*I17)/I16</f>
        <v>500</v>
      </c>
      <c r="I17" s="22">
        <v>0.25</v>
      </c>
      <c r="J17" s="23"/>
    </row>
    <row r="18" spans="1:10" x14ac:dyDescent="0.2">
      <c r="H18" s="24" t="s">
        <v>5</v>
      </c>
      <c r="I18" s="10" t="s">
        <v>6</v>
      </c>
      <c r="J18" s="24"/>
    </row>
    <row r="19" spans="1:10" x14ac:dyDescent="0.2">
      <c r="A19" s="59" t="s">
        <v>37</v>
      </c>
      <c r="B19" s="59"/>
      <c r="C19" s="59"/>
      <c r="D19" s="59"/>
      <c r="E19" s="59"/>
      <c r="F19" s="59"/>
    </row>
    <row r="20" spans="1:10" x14ac:dyDescent="0.2">
      <c r="A20" s="2" t="s">
        <v>1</v>
      </c>
      <c r="B20" s="3">
        <v>181</v>
      </c>
      <c r="C20" s="4">
        <v>1</v>
      </c>
      <c r="D20" s="60"/>
      <c r="E20" s="60"/>
      <c r="F20" s="60"/>
    </row>
    <row r="21" spans="1:10" ht="33.75" x14ac:dyDescent="0.2">
      <c r="A21" s="2" t="s">
        <v>27</v>
      </c>
      <c r="B21" s="3">
        <v>15</v>
      </c>
      <c r="C21" s="2" t="s">
        <v>28</v>
      </c>
      <c r="D21" s="3">
        <v>75</v>
      </c>
      <c r="E21" s="5" t="s">
        <v>30</v>
      </c>
      <c r="F21" s="3">
        <f>+B21+D21</f>
        <v>90</v>
      </c>
    </row>
    <row r="22" spans="1:10" ht="22.5" x14ac:dyDescent="0.2">
      <c r="A22" s="2" t="s">
        <v>29</v>
      </c>
      <c r="B22" s="7">
        <f>+(B21*C20)/B20</f>
        <v>8.2872928176795577E-2</v>
      </c>
      <c r="C22" s="2" t="s">
        <v>29</v>
      </c>
      <c r="D22" s="7">
        <f>+(D21*C20)/B20</f>
        <v>0.4143646408839779</v>
      </c>
      <c r="E22" s="5" t="s">
        <v>46</v>
      </c>
      <c r="F22" s="4">
        <f>+B22+D22</f>
        <v>0.49723756906077349</v>
      </c>
      <c r="G22" s="49"/>
    </row>
    <row r="23" spans="1:10" ht="33.75" x14ac:dyDescent="0.2">
      <c r="A23" s="2" t="s">
        <v>32</v>
      </c>
      <c r="B23" s="3">
        <f>+B21*5</f>
        <v>75</v>
      </c>
      <c r="C23" s="2" t="s">
        <v>33</v>
      </c>
      <c r="D23" s="3">
        <f>+D21*5</f>
        <v>375</v>
      </c>
      <c r="E23" s="5" t="s">
        <v>30</v>
      </c>
      <c r="F23" s="3">
        <f>+B23+D23</f>
        <v>450</v>
      </c>
    </row>
    <row r="24" spans="1:10" ht="33.75" x14ac:dyDescent="0.2">
      <c r="A24" s="2" t="s">
        <v>31</v>
      </c>
      <c r="B24" s="3">
        <f>+B23*4</f>
        <v>300</v>
      </c>
      <c r="C24" s="2" t="s">
        <v>34</v>
      </c>
      <c r="D24" s="14">
        <f>+D23*4</f>
        <v>1500</v>
      </c>
      <c r="E24" s="5" t="s">
        <v>30</v>
      </c>
      <c r="F24" s="3">
        <f>+B24+D24</f>
        <v>1800</v>
      </c>
    </row>
    <row r="25" spans="1:10" ht="22.5" x14ac:dyDescent="0.2">
      <c r="A25" s="2" t="s">
        <v>25</v>
      </c>
      <c r="B25" s="8">
        <v>1000</v>
      </c>
      <c r="C25" s="14" t="s">
        <v>35</v>
      </c>
      <c r="D25" s="19">
        <f>+B25*B24</f>
        <v>300000</v>
      </c>
      <c r="E25" s="57"/>
      <c r="F25" s="57"/>
    </row>
    <row r="26" spans="1:10" ht="22.5" x14ac:dyDescent="0.2">
      <c r="A26" s="2" t="s">
        <v>26</v>
      </c>
      <c r="B26" s="8">
        <v>2000</v>
      </c>
      <c r="C26" s="14" t="s">
        <v>36</v>
      </c>
      <c r="D26" s="19">
        <f>+B26*D24</f>
        <v>3000000</v>
      </c>
      <c r="E26" s="57"/>
      <c r="F26" s="57"/>
    </row>
    <row r="27" spans="1:10" ht="22.5" x14ac:dyDescent="0.2">
      <c r="A27" s="64"/>
      <c r="B27" s="65"/>
      <c r="C27" s="2" t="s">
        <v>3</v>
      </c>
      <c r="D27" s="19">
        <f>+D25+D26</f>
        <v>3300000</v>
      </c>
      <c r="E27" s="7">
        <v>1</v>
      </c>
      <c r="F27" s="63"/>
    </row>
    <row r="28" spans="1:10" x14ac:dyDescent="0.2">
      <c r="A28" s="66"/>
      <c r="B28" s="67"/>
      <c r="C28" s="2" t="s">
        <v>4</v>
      </c>
      <c r="D28" s="8">
        <f>+(D27*E28)/E27</f>
        <v>825000</v>
      </c>
      <c r="E28" s="4">
        <v>0.25</v>
      </c>
      <c r="F28" s="63"/>
    </row>
    <row r="29" spans="1:10" x14ac:dyDescent="0.2">
      <c r="A29" s="66"/>
      <c r="B29" s="67"/>
      <c r="C29" s="28" t="s">
        <v>7</v>
      </c>
      <c r="D29" s="29"/>
      <c r="E29" s="29"/>
      <c r="F29" s="63"/>
    </row>
    <row r="30" spans="1:10" x14ac:dyDescent="0.2">
      <c r="A30" s="66"/>
      <c r="B30" s="67"/>
      <c r="C30" s="2" t="s">
        <v>4</v>
      </c>
      <c r="D30" s="8">
        <f>+D28</f>
        <v>825000</v>
      </c>
      <c r="E30" s="4">
        <v>1</v>
      </c>
      <c r="F30" s="63"/>
    </row>
    <row r="31" spans="1:10" x14ac:dyDescent="0.2">
      <c r="A31" s="68"/>
      <c r="B31" s="69"/>
      <c r="C31" s="31" t="s">
        <v>8</v>
      </c>
      <c r="D31" s="32">
        <f>+(D30*E31)/E30</f>
        <v>165000</v>
      </c>
      <c r="E31" s="33">
        <v>0.2</v>
      </c>
      <c r="F31" s="63"/>
    </row>
    <row r="32" spans="1:10" x14ac:dyDescent="0.2">
      <c r="F32" s="35"/>
    </row>
    <row r="33" spans="1:8" ht="33.75" x14ac:dyDescent="0.2">
      <c r="A33" s="31" t="s">
        <v>9</v>
      </c>
      <c r="B33" s="38">
        <f>+D27</f>
        <v>3300000</v>
      </c>
      <c r="C33" s="39" t="s">
        <v>21</v>
      </c>
      <c r="D33" s="40">
        <f>D28</f>
        <v>825000</v>
      </c>
      <c r="E33" s="41" t="s">
        <v>8</v>
      </c>
      <c r="F33" s="42">
        <f>+D31</f>
        <v>165000</v>
      </c>
    </row>
    <row r="35" spans="1:8" x14ac:dyDescent="0.2">
      <c r="A35" s="59" t="s">
        <v>38</v>
      </c>
      <c r="B35" s="59"/>
      <c r="C35" s="59"/>
      <c r="D35" s="59"/>
      <c r="E35" s="59"/>
      <c r="F35" s="59"/>
    </row>
    <row r="36" spans="1:8" x14ac:dyDescent="0.2">
      <c r="A36" s="2" t="s">
        <v>1</v>
      </c>
      <c r="B36" s="3">
        <v>216</v>
      </c>
      <c r="C36" s="4">
        <v>1</v>
      </c>
      <c r="D36" s="60"/>
      <c r="E36" s="60"/>
      <c r="F36" s="60"/>
    </row>
    <row r="37" spans="1:8" ht="33.75" x14ac:dyDescent="0.2">
      <c r="A37" s="2" t="s">
        <v>27</v>
      </c>
      <c r="B37" s="3">
        <v>20</v>
      </c>
      <c r="C37" s="2" t="s">
        <v>28</v>
      </c>
      <c r="D37" s="3">
        <v>96</v>
      </c>
      <c r="E37" s="5" t="s">
        <v>30</v>
      </c>
      <c r="F37" s="3">
        <f>+B37+D37</f>
        <v>116</v>
      </c>
    </row>
    <row r="38" spans="1:8" ht="22.5" x14ac:dyDescent="0.2">
      <c r="A38" s="2" t="s">
        <v>29</v>
      </c>
      <c r="B38" s="7">
        <f>+(B37*C36)/B36</f>
        <v>9.2592592592592587E-2</v>
      </c>
      <c r="C38" s="2" t="s">
        <v>29</v>
      </c>
      <c r="D38" s="7">
        <f>+(D37*C36)/B36</f>
        <v>0.44444444444444442</v>
      </c>
      <c r="E38" s="5" t="s">
        <v>46</v>
      </c>
      <c r="F38" s="4">
        <f>+B38+D38</f>
        <v>0.53703703703703698</v>
      </c>
    </row>
    <row r="39" spans="1:8" ht="33.75" x14ac:dyDescent="0.2">
      <c r="A39" s="2" t="s">
        <v>32</v>
      </c>
      <c r="B39" s="3">
        <f>+B37*5</f>
        <v>100</v>
      </c>
      <c r="C39" s="2" t="s">
        <v>33</v>
      </c>
      <c r="D39" s="3">
        <f>+D37*5</f>
        <v>480</v>
      </c>
      <c r="E39" s="5" t="s">
        <v>30</v>
      </c>
      <c r="F39" s="3">
        <f>+B39+D39</f>
        <v>580</v>
      </c>
    </row>
    <row r="40" spans="1:8" ht="33.75" x14ac:dyDescent="0.2">
      <c r="A40" s="2" t="s">
        <v>31</v>
      </c>
      <c r="B40" s="3">
        <f>+B39*4</f>
        <v>400</v>
      </c>
      <c r="C40" s="2" t="s">
        <v>34</v>
      </c>
      <c r="D40" s="14">
        <f>+D39*4</f>
        <v>1920</v>
      </c>
      <c r="E40" s="5" t="s">
        <v>30</v>
      </c>
      <c r="F40" s="3">
        <f>+B40+D40</f>
        <v>2320</v>
      </c>
      <c r="H40" s="48"/>
    </row>
    <row r="41" spans="1:8" ht="22.5" x14ac:dyDescent="0.2">
      <c r="A41" s="2" t="s">
        <v>25</v>
      </c>
      <c r="B41" s="8">
        <v>1000</v>
      </c>
      <c r="C41" s="14" t="s">
        <v>35</v>
      </c>
      <c r="D41" s="19">
        <f>+B41*B40</f>
        <v>400000</v>
      </c>
      <c r="E41" s="57"/>
      <c r="F41" s="57"/>
    </row>
    <row r="42" spans="1:8" ht="22.5" x14ac:dyDescent="0.2">
      <c r="A42" s="2" t="s">
        <v>26</v>
      </c>
      <c r="B42" s="8">
        <v>2000</v>
      </c>
      <c r="C42" s="14" t="s">
        <v>36</v>
      </c>
      <c r="D42" s="19">
        <f>+B42*D40</f>
        <v>3840000</v>
      </c>
      <c r="E42" s="57"/>
      <c r="F42" s="57"/>
    </row>
    <row r="43" spans="1:8" ht="22.5" x14ac:dyDescent="0.2">
      <c r="A43" s="64"/>
      <c r="B43" s="65"/>
      <c r="C43" s="2" t="s">
        <v>3</v>
      </c>
      <c r="D43" s="19">
        <f>+D41+D42</f>
        <v>4240000</v>
      </c>
      <c r="E43" s="7">
        <v>1</v>
      </c>
      <c r="F43" s="63"/>
    </row>
    <row r="44" spans="1:8" x14ac:dyDescent="0.2">
      <c r="A44" s="66"/>
      <c r="B44" s="67"/>
      <c r="C44" s="2" t="s">
        <v>4</v>
      </c>
      <c r="D44" s="8">
        <f>+(D43*E44)/E43</f>
        <v>1060000</v>
      </c>
      <c r="E44" s="4">
        <v>0.25</v>
      </c>
      <c r="F44" s="63"/>
    </row>
    <row r="45" spans="1:8" x14ac:dyDescent="0.2">
      <c r="A45" s="66"/>
      <c r="B45" s="67"/>
      <c r="C45" s="28" t="s">
        <v>7</v>
      </c>
      <c r="D45" s="29"/>
      <c r="E45" s="29"/>
      <c r="F45" s="63"/>
    </row>
    <row r="46" spans="1:8" x14ac:dyDescent="0.2">
      <c r="A46" s="66"/>
      <c r="B46" s="67"/>
      <c r="C46" s="2" t="s">
        <v>4</v>
      </c>
      <c r="D46" s="8">
        <f>+D44</f>
        <v>1060000</v>
      </c>
      <c r="E46" s="4">
        <v>1</v>
      </c>
      <c r="F46" s="63"/>
    </row>
    <row r="47" spans="1:8" x14ac:dyDescent="0.2">
      <c r="A47" s="68"/>
      <c r="B47" s="69"/>
      <c r="C47" s="31" t="s">
        <v>8</v>
      </c>
      <c r="D47" s="32">
        <f>+(D46*E47)/E46</f>
        <v>212000</v>
      </c>
      <c r="E47" s="33">
        <v>0.2</v>
      </c>
      <c r="F47" s="63"/>
    </row>
    <row r="48" spans="1:8" x14ac:dyDescent="0.2">
      <c r="F48" s="35"/>
    </row>
    <row r="49" spans="1:6" ht="33.75" x14ac:dyDescent="0.2">
      <c r="A49" s="31" t="s">
        <v>9</v>
      </c>
      <c r="B49" s="38">
        <f>+D43</f>
        <v>4240000</v>
      </c>
      <c r="C49" s="39" t="s">
        <v>21</v>
      </c>
      <c r="D49" s="40">
        <f>D44</f>
        <v>1060000</v>
      </c>
      <c r="E49" s="41" t="s">
        <v>8</v>
      </c>
      <c r="F49" s="42">
        <f>+D47</f>
        <v>212000</v>
      </c>
    </row>
    <row r="51" spans="1:6" x14ac:dyDescent="0.2">
      <c r="A51" s="59" t="s">
        <v>39</v>
      </c>
      <c r="B51" s="59"/>
      <c r="C51" s="59"/>
      <c r="D51" s="59"/>
      <c r="E51" s="59"/>
      <c r="F51" s="59"/>
    </row>
    <row r="52" spans="1:6" x14ac:dyDescent="0.2">
      <c r="A52" s="2" t="s">
        <v>1</v>
      </c>
      <c r="B52" s="3">
        <v>151</v>
      </c>
      <c r="C52" s="4">
        <v>1</v>
      </c>
      <c r="D52" s="60"/>
      <c r="E52" s="60"/>
      <c r="F52" s="60"/>
    </row>
    <row r="53" spans="1:6" ht="33.75" x14ac:dyDescent="0.2">
      <c r="A53" s="2" t="s">
        <v>27</v>
      </c>
      <c r="B53" s="3">
        <v>15</v>
      </c>
      <c r="C53" s="2" t="s">
        <v>28</v>
      </c>
      <c r="D53" s="3">
        <v>50</v>
      </c>
      <c r="E53" s="5" t="s">
        <v>30</v>
      </c>
      <c r="F53" s="3">
        <f>+B53+D53</f>
        <v>65</v>
      </c>
    </row>
    <row r="54" spans="1:6" ht="22.5" x14ac:dyDescent="0.2">
      <c r="A54" s="2" t="s">
        <v>29</v>
      </c>
      <c r="B54" s="7">
        <f>+(B53*C52)/B52</f>
        <v>9.9337748344370855E-2</v>
      </c>
      <c r="C54" s="2" t="s">
        <v>29</v>
      </c>
      <c r="D54" s="7">
        <f>+(D53*C52)/B52</f>
        <v>0.33112582781456956</v>
      </c>
      <c r="E54" s="5" t="s">
        <v>46</v>
      </c>
      <c r="F54" s="4">
        <f>+B54+D54</f>
        <v>0.43046357615894043</v>
      </c>
    </row>
    <row r="55" spans="1:6" ht="33.75" x14ac:dyDescent="0.2">
      <c r="A55" s="2" t="s">
        <v>32</v>
      </c>
      <c r="B55" s="3">
        <f>+B53*5</f>
        <v>75</v>
      </c>
      <c r="C55" s="2" t="s">
        <v>33</v>
      </c>
      <c r="D55" s="3">
        <f>+D53*5</f>
        <v>250</v>
      </c>
      <c r="E55" s="5" t="s">
        <v>30</v>
      </c>
      <c r="F55" s="3">
        <f>+B55+D55</f>
        <v>325</v>
      </c>
    </row>
    <row r="56" spans="1:6" ht="33.75" x14ac:dyDescent="0.2">
      <c r="A56" s="2" t="s">
        <v>31</v>
      </c>
      <c r="B56" s="3">
        <f>+B55*4</f>
        <v>300</v>
      </c>
      <c r="C56" s="2" t="s">
        <v>34</v>
      </c>
      <c r="D56" s="14">
        <f>+D55*4</f>
        <v>1000</v>
      </c>
      <c r="E56" s="5" t="s">
        <v>30</v>
      </c>
      <c r="F56" s="3">
        <f>+B56+D56</f>
        <v>1300</v>
      </c>
    </row>
    <row r="57" spans="1:6" ht="22.5" x14ac:dyDescent="0.2">
      <c r="A57" s="2" t="s">
        <v>25</v>
      </c>
      <c r="B57" s="8">
        <v>1000</v>
      </c>
      <c r="C57" s="14" t="s">
        <v>35</v>
      </c>
      <c r="D57" s="19">
        <f>+B57*B56</f>
        <v>300000</v>
      </c>
      <c r="E57" s="57"/>
      <c r="F57" s="57"/>
    </row>
    <row r="58" spans="1:6" ht="22.5" x14ac:dyDescent="0.2">
      <c r="A58" s="2" t="s">
        <v>26</v>
      </c>
      <c r="B58" s="8">
        <v>2000</v>
      </c>
      <c r="C58" s="14" t="s">
        <v>36</v>
      </c>
      <c r="D58" s="19">
        <f>+B58*D56</f>
        <v>2000000</v>
      </c>
      <c r="E58" s="57"/>
      <c r="F58" s="57"/>
    </row>
    <row r="59" spans="1:6" ht="22.5" x14ac:dyDescent="0.2">
      <c r="A59" s="64"/>
      <c r="B59" s="65"/>
      <c r="C59" s="2" t="s">
        <v>3</v>
      </c>
      <c r="D59" s="19">
        <f>+D57+D58</f>
        <v>2300000</v>
      </c>
      <c r="E59" s="7">
        <v>1</v>
      </c>
      <c r="F59" s="63"/>
    </row>
    <row r="60" spans="1:6" x14ac:dyDescent="0.2">
      <c r="A60" s="66"/>
      <c r="B60" s="67"/>
      <c r="C60" s="2" t="s">
        <v>4</v>
      </c>
      <c r="D60" s="8">
        <f>+(D59*E60)/E59</f>
        <v>575000</v>
      </c>
      <c r="E60" s="4">
        <v>0.25</v>
      </c>
      <c r="F60" s="63"/>
    </row>
    <row r="61" spans="1:6" x14ac:dyDescent="0.2">
      <c r="A61" s="66"/>
      <c r="B61" s="67"/>
      <c r="C61" s="28" t="s">
        <v>7</v>
      </c>
      <c r="D61" s="29"/>
      <c r="E61" s="29"/>
      <c r="F61" s="63"/>
    </row>
    <row r="62" spans="1:6" x14ac:dyDescent="0.2">
      <c r="A62" s="66"/>
      <c r="B62" s="67"/>
      <c r="C62" s="2" t="s">
        <v>4</v>
      </c>
      <c r="D62" s="8">
        <f>+D60</f>
        <v>575000</v>
      </c>
      <c r="E62" s="4">
        <v>1</v>
      </c>
      <c r="F62" s="63"/>
    </row>
    <row r="63" spans="1:6" x14ac:dyDescent="0.2">
      <c r="A63" s="68"/>
      <c r="B63" s="69"/>
      <c r="C63" s="31" t="s">
        <v>8</v>
      </c>
      <c r="D63" s="32">
        <f>+(D62*E63)/E62</f>
        <v>115000</v>
      </c>
      <c r="E63" s="33">
        <v>0.2</v>
      </c>
      <c r="F63" s="63"/>
    </row>
    <row r="64" spans="1:6" x14ac:dyDescent="0.2">
      <c r="F64" s="35"/>
    </row>
    <row r="65" spans="1:6" ht="33.75" x14ac:dyDescent="0.2">
      <c r="A65" s="31" t="s">
        <v>9</v>
      </c>
      <c r="B65" s="38">
        <f>+D59</f>
        <v>2300000</v>
      </c>
      <c r="C65" s="39" t="s">
        <v>21</v>
      </c>
      <c r="D65" s="40">
        <f>D60</f>
        <v>575000</v>
      </c>
      <c r="E65" s="41" t="s">
        <v>8</v>
      </c>
      <c r="F65" s="42">
        <f>+D63</f>
        <v>115000</v>
      </c>
    </row>
    <row r="67" spans="1:6" x14ac:dyDescent="0.2">
      <c r="A67" s="59" t="s">
        <v>40</v>
      </c>
      <c r="B67" s="59"/>
      <c r="C67" s="59"/>
      <c r="D67" s="59"/>
      <c r="E67" s="59"/>
      <c r="F67" s="59"/>
    </row>
    <row r="68" spans="1:6" x14ac:dyDescent="0.2">
      <c r="A68" s="2" t="s">
        <v>1</v>
      </c>
      <c r="B68" s="3">
        <v>119</v>
      </c>
      <c r="C68" s="4">
        <v>1</v>
      </c>
      <c r="D68" s="60"/>
      <c r="E68" s="60"/>
      <c r="F68" s="60"/>
    </row>
    <row r="69" spans="1:6" ht="33.75" x14ac:dyDescent="0.2">
      <c r="A69" s="2" t="s">
        <v>27</v>
      </c>
      <c r="B69" s="3">
        <v>15</v>
      </c>
      <c r="C69" s="2" t="s">
        <v>28</v>
      </c>
      <c r="D69" s="3">
        <v>50</v>
      </c>
      <c r="E69" s="5" t="s">
        <v>30</v>
      </c>
      <c r="F69" s="3">
        <f>+B69+D69</f>
        <v>65</v>
      </c>
    </row>
    <row r="70" spans="1:6" ht="22.5" x14ac:dyDescent="0.2">
      <c r="A70" s="2" t="s">
        <v>29</v>
      </c>
      <c r="B70" s="7">
        <f>+(B69*C68)/B68</f>
        <v>0.12605042016806722</v>
      </c>
      <c r="C70" s="2" t="s">
        <v>29</v>
      </c>
      <c r="D70" s="7">
        <f>+(D69*C68)/B68</f>
        <v>0.42016806722689076</v>
      </c>
      <c r="E70" s="5" t="s">
        <v>46</v>
      </c>
      <c r="F70" s="4">
        <f>+B70+D70</f>
        <v>0.54621848739495804</v>
      </c>
    </row>
    <row r="71" spans="1:6" ht="33.75" x14ac:dyDescent="0.2">
      <c r="A71" s="2" t="s">
        <v>32</v>
      </c>
      <c r="B71" s="3">
        <f>+B69*5</f>
        <v>75</v>
      </c>
      <c r="C71" s="2" t="s">
        <v>33</v>
      </c>
      <c r="D71" s="3">
        <f>+D69*5</f>
        <v>250</v>
      </c>
      <c r="E71" s="5" t="s">
        <v>30</v>
      </c>
      <c r="F71" s="3">
        <f>+B71+D71</f>
        <v>325</v>
      </c>
    </row>
    <row r="72" spans="1:6" ht="33.75" x14ac:dyDescent="0.2">
      <c r="A72" s="2" t="s">
        <v>31</v>
      </c>
      <c r="B72" s="3">
        <f>+B71*4</f>
        <v>300</v>
      </c>
      <c r="C72" s="2" t="s">
        <v>34</v>
      </c>
      <c r="D72" s="14">
        <f>+D71*4</f>
        <v>1000</v>
      </c>
      <c r="E72" s="5" t="s">
        <v>30</v>
      </c>
      <c r="F72" s="3">
        <f>+B72+D72</f>
        <v>1300</v>
      </c>
    </row>
    <row r="73" spans="1:6" ht="22.5" x14ac:dyDescent="0.2">
      <c r="A73" s="2" t="s">
        <v>25</v>
      </c>
      <c r="B73" s="8">
        <v>1000</v>
      </c>
      <c r="C73" s="14" t="s">
        <v>35</v>
      </c>
      <c r="D73" s="19">
        <f>+B73*B72</f>
        <v>300000</v>
      </c>
      <c r="E73" s="57"/>
      <c r="F73" s="57"/>
    </row>
    <row r="74" spans="1:6" ht="22.5" x14ac:dyDescent="0.2">
      <c r="A74" s="2" t="s">
        <v>26</v>
      </c>
      <c r="B74" s="8">
        <v>2000</v>
      </c>
      <c r="C74" s="14" t="s">
        <v>36</v>
      </c>
      <c r="D74" s="19">
        <f>+B74*D72</f>
        <v>2000000</v>
      </c>
      <c r="E74" s="57"/>
      <c r="F74" s="57"/>
    </row>
    <row r="75" spans="1:6" ht="22.5" x14ac:dyDescent="0.2">
      <c r="A75" s="64"/>
      <c r="B75" s="65"/>
      <c r="C75" s="2" t="s">
        <v>3</v>
      </c>
      <c r="D75" s="19">
        <f>+D73+D74</f>
        <v>2300000</v>
      </c>
      <c r="E75" s="7">
        <v>1</v>
      </c>
      <c r="F75" s="63"/>
    </row>
    <row r="76" spans="1:6" x14ac:dyDescent="0.2">
      <c r="A76" s="66"/>
      <c r="B76" s="67"/>
      <c r="C76" s="2" t="s">
        <v>4</v>
      </c>
      <c r="D76" s="8">
        <f>+(D75*E76)/E75</f>
        <v>575000</v>
      </c>
      <c r="E76" s="4">
        <v>0.25</v>
      </c>
      <c r="F76" s="63"/>
    </row>
    <row r="77" spans="1:6" x14ac:dyDescent="0.2">
      <c r="A77" s="66"/>
      <c r="B77" s="67"/>
      <c r="C77" s="28" t="s">
        <v>7</v>
      </c>
      <c r="D77" s="29"/>
      <c r="E77" s="29"/>
      <c r="F77" s="63"/>
    </row>
    <row r="78" spans="1:6" x14ac:dyDescent="0.2">
      <c r="A78" s="66"/>
      <c r="B78" s="67"/>
      <c r="C78" s="2" t="s">
        <v>4</v>
      </c>
      <c r="D78" s="8">
        <f>+D76</f>
        <v>575000</v>
      </c>
      <c r="E78" s="4">
        <v>1</v>
      </c>
      <c r="F78" s="63"/>
    </row>
    <row r="79" spans="1:6" x14ac:dyDescent="0.2">
      <c r="A79" s="68"/>
      <c r="B79" s="69"/>
      <c r="C79" s="31" t="s">
        <v>8</v>
      </c>
      <c r="D79" s="32">
        <f>+(D78*E79)/E78</f>
        <v>115000</v>
      </c>
      <c r="E79" s="33">
        <v>0.2</v>
      </c>
      <c r="F79" s="63"/>
    </row>
    <row r="80" spans="1:6" x14ac:dyDescent="0.2">
      <c r="F80" s="35"/>
    </row>
    <row r="81" spans="1:6" ht="33.75" x14ac:dyDescent="0.2">
      <c r="A81" s="31" t="s">
        <v>9</v>
      </c>
      <c r="B81" s="38">
        <f>+D75</f>
        <v>2300000</v>
      </c>
      <c r="C81" s="39" t="s">
        <v>21</v>
      </c>
      <c r="D81" s="40">
        <f>D76</f>
        <v>575000</v>
      </c>
      <c r="E81" s="41" t="s">
        <v>8</v>
      </c>
      <c r="F81" s="42">
        <f>+D79</f>
        <v>115000</v>
      </c>
    </row>
    <row r="83" spans="1:6" x14ac:dyDescent="0.2">
      <c r="A83" s="59" t="s">
        <v>41</v>
      </c>
      <c r="B83" s="59"/>
      <c r="C83" s="59"/>
      <c r="D83" s="59"/>
      <c r="E83" s="59"/>
      <c r="F83" s="59"/>
    </row>
    <row r="84" spans="1:6" x14ac:dyDescent="0.2">
      <c r="A84" s="2" t="s">
        <v>1</v>
      </c>
      <c r="B84" s="3">
        <v>100</v>
      </c>
      <c r="C84" s="4">
        <v>1</v>
      </c>
      <c r="D84" s="60"/>
      <c r="E84" s="60"/>
      <c r="F84" s="60"/>
    </row>
    <row r="85" spans="1:6" ht="33.75" x14ac:dyDescent="0.2">
      <c r="A85" s="2" t="s">
        <v>27</v>
      </c>
      <c r="B85" s="3">
        <v>10</v>
      </c>
      <c r="C85" s="2" t="s">
        <v>28</v>
      </c>
      <c r="D85" s="3">
        <v>55</v>
      </c>
      <c r="E85" s="5" t="s">
        <v>30</v>
      </c>
      <c r="F85" s="3">
        <f>+B85+D85</f>
        <v>65</v>
      </c>
    </row>
    <row r="86" spans="1:6" ht="22.5" x14ac:dyDescent="0.2">
      <c r="A86" s="2" t="s">
        <v>29</v>
      </c>
      <c r="B86" s="7">
        <f>+(B85*C84)/B84</f>
        <v>0.1</v>
      </c>
      <c r="C86" s="2" t="s">
        <v>29</v>
      </c>
      <c r="D86" s="7">
        <f>+(D85*C84)/B84</f>
        <v>0.55000000000000004</v>
      </c>
      <c r="E86" s="5" t="s">
        <v>46</v>
      </c>
      <c r="F86" s="4">
        <f>+B86+D86</f>
        <v>0.65</v>
      </c>
    </row>
    <row r="87" spans="1:6" ht="33.75" x14ac:dyDescent="0.2">
      <c r="A87" s="2" t="s">
        <v>32</v>
      </c>
      <c r="B87" s="3">
        <f>+B85*5</f>
        <v>50</v>
      </c>
      <c r="C87" s="2" t="s">
        <v>33</v>
      </c>
      <c r="D87" s="3">
        <f>+D85*5</f>
        <v>275</v>
      </c>
      <c r="E87" s="5" t="s">
        <v>30</v>
      </c>
      <c r="F87" s="3">
        <f>+B87+D87</f>
        <v>325</v>
      </c>
    </row>
    <row r="88" spans="1:6" ht="33.75" x14ac:dyDescent="0.2">
      <c r="A88" s="2" t="s">
        <v>31</v>
      </c>
      <c r="B88" s="3">
        <f>+B87*4</f>
        <v>200</v>
      </c>
      <c r="C88" s="2" t="s">
        <v>34</v>
      </c>
      <c r="D88" s="14">
        <f>+D87*4</f>
        <v>1100</v>
      </c>
      <c r="E88" s="5" t="s">
        <v>30</v>
      </c>
      <c r="F88" s="3">
        <f>+B88+D88</f>
        <v>1300</v>
      </c>
    </row>
    <row r="89" spans="1:6" ht="22.5" x14ac:dyDescent="0.2">
      <c r="A89" s="2" t="s">
        <v>25</v>
      </c>
      <c r="B89" s="8">
        <v>1000</v>
      </c>
      <c r="C89" s="14" t="s">
        <v>35</v>
      </c>
      <c r="D89" s="19">
        <f>+B89*B88</f>
        <v>200000</v>
      </c>
      <c r="E89" s="57"/>
      <c r="F89" s="57"/>
    </row>
    <row r="90" spans="1:6" ht="22.5" x14ac:dyDescent="0.2">
      <c r="A90" s="2" t="s">
        <v>26</v>
      </c>
      <c r="B90" s="8">
        <v>2000</v>
      </c>
      <c r="C90" s="14" t="s">
        <v>36</v>
      </c>
      <c r="D90" s="19">
        <f>+B90*D88</f>
        <v>2200000</v>
      </c>
      <c r="E90" s="57"/>
      <c r="F90" s="57"/>
    </row>
    <row r="91" spans="1:6" ht="22.5" x14ac:dyDescent="0.2">
      <c r="A91" s="64"/>
      <c r="B91" s="65"/>
      <c r="C91" s="2" t="s">
        <v>3</v>
      </c>
      <c r="D91" s="19">
        <f>+D89+D90</f>
        <v>2400000</v>
      </c>
      <c r="E91" s="7">
        <v>1</v>
      </c>
      <c r="F91" s="63"/>
    </row>
    <row r="92" spans="1:6" x14ac:dyDescent="0.2">
      <c r="A92" s="66"/>
      <c r="B92" s="67"/>
      <c r="C92" s="2" t="s">
        <v>4</v>
      </c>
      <c r="D92" s="8">
        <f>+(D91*E92)/E91</f>
        <v>600000</v>
      </c>
      <c r="E92" s="4">
        <v>0.25</v>
      </c>
      <c r="F92" s="63"/>
    </row>
    <row r="93" spans="1:6" x14ac:dyDescent="0.2">
      <c r="A93" s="66"/>
      <c r="B93" s="67"/>
      <c r="C93" s="28" t="s">
        <v>7</v>
      </c>
      <c r="D93" s="29"/>
      <c r="E93" s="29"/>
      <c r="F93" s="63"/>
    </row>
    <row r="94" spans="1:6" x14ac:dyDescent="0.2">
      <c r="A94" s="66"/>
      <c r="B94" s="67"/>
      <c r="C94" s="2" t="s">
        <v>4</v>
      </c>
      <c r="D94" s="8">
        <f>+D92</f>
        <v>600000</v>
      </c>
      <c r="E94" s="4">
        <v>1</v>
      </c>
      <c r="F94" s="63"/>
    </row>
    <row r="95" spans="1:6" x14ac:dyDescent="0.2">
      <c r="A95" s="68"/>
      <c r="B95" s="69"/>
      <c r="C95" s="31" t="s">
        <v>8</v>
      </c>
      <c r="D95" s="32">
        <f>+(D94*E95)/E94</f>
        <v>120000</v>
      </c>
      <c r="E95" s="33">
        <v>0.2</v>
      </c>
      <c r="F95" s="63"/>
    </row>
    <row r="96" spans="1:6" x14ac:dyDescent="0.2">
      <c r="F96" s="35"/>
    </row>
    <row r="97" spans="1:6" ht="33.75" x14ac:dyDescent="0.2">
      <c r="A97" s="31" t="s">
        <v>9</v>
      </c>
      <c r="B97" s="38">
        <f>+D91</f>
        <v>2400000</v>
      </c>
      <c r="C97" s="39" t="s">
        <v>21</v>
      </c>
      <c r="D97" s="40">
        <f>D92</f>
        <v>600000</v>
      </c>
      <c r="E97" s="41" t="s">
        <v>8</v>
      </c>
      <c r="F97" s="42">
        <f>+D95</f>
        <v>120000</v>
      </c>
    </row>
    <row r="99" spans="1:6" ht="33.75" x14ac:dyDescent="0.2">
      <c r="A99" s="43" t="s">
        <v>2</v>
      </c>
      <c r="B99" s="44">
        <f>+B17+B33+B49+B65+B81+B97</f>
        <v>17540000</v>
      </c>
      <c r="C99" s="39" t="s">
        <v>22</v>
      </c>
      <c r="D99" s="45">
        <f>+D17+D33+D49+D65+D81+D97</f>
        <v>4385000</v>
      </c>
      <c r="E99" s="46" t="s">
        <v>23</v>
      </c>
      <c r="F99" s="47">
        <f>+F17+F33+F49+F65+F81+F97</f>
        <v>877000</v>
      </c>
    </row>
  </sheetData>
  <mergeCells count="44">
    <mergeCell ref="L11:L13"/>
    <mergeCell ref="M11:N11"/>
    <mergeCell ref="M12:N12"/>
    <mergeCell ref="M13:N13"/>
    <mergeCell ref="Q11:R11"/>
    <mergeCell ref="Q12:R13"/>
    <mergeCell ref="D84:F84"/>
    <mergeCell ref="E89:F90"/>
    <mergeCell ref="A91:B95"/>
    <mergeCell ref="F91:F95"/>
    <mergeCell ref="E73:F74"/>
    <mergeCell ref="A75:B79"/>
    <mergeCell ref="F75:F79"/>
    <mergeCell ref="A83:F83"/>
    <mergeCell ref="E57:F58"/>
    <mergeCell ref="A59:B63"/>
    <mergeCell ref="F59:F63"/>
    <mergeCell ref="A67:F67"/>
    <mergeCell ref="D68:F68"/>
    <mergeCell ref="E41:F42"/>
    <mergeCell ref="A43:B47"/>
    <mergeCell ref="F43:F47"/>
    <mergeCell ref="A51:F51"/>
    <mergeCell ref="D52:F52"/>
    <mergeCell ref="A35:F35"/>
    <mergeCell ref="D36:F36"/>
    <mergeCell ref="A1:F1"/>
    <mergeCell ref="A2:F2"/>
    <mergeCell ref="A3:F3"/>
    <mergeCell ref="D4:F4"/>
    <mergeCell ref="A19:F19"/>
    <mergeCell ref="E25:F26"/>
    <mergeCell ref="E9:F10"/>
    <mergeCell ref="F11:F15"/>
    <mergeCell ref="A11:B15"/>
    <mergeCell ref="D20:F20"/>
    <mergeCell ref="A27:B31"/>
    <mergeCell ref="F27:F31"/>
    <mergeCell ref="P8:R8"/>
    <mergeCell ref="P10:R10"/>
    <mergeCell ref="P9:R9"/>
    <mergeCell ref="P7:R7"/>
    <mergeCell ref="L9:M10"/>
    <mergeCell ref="N9:O10"/>
  </mergeCells>
  <hyperlinks>
    <hyperlink ref="I11" r:id="rId1"/>
    <hyperlink ref="I18" r:id="rId2"/>
    <hyperlink ref="M6" r:id="rId3"/>
  </hyperlinks>
  <pageMargins left="0.7" right="0.7" top="0.75" bottom="0.75" header="0.3" footer="0.3"/>
  <pageSetup paperSize="9" scale="32" orientation="portrait" horizontalDpi="360" verticalDpi="360" r:id="rId4"/>
  <rowBreaks count="1" manualBreakCount="1">
    <brk id="65" max="17" man="1"/>
  </rowBreaks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6" sqref="C1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Análisis Económico</vt:lpstr>
      <vt:lpstr>Hoja1</vt:lpstr>
      <vt:lpstr>'Análisis Económico'!Área_de_impresión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User</cp:lastModifiedBy>
  <cp:lastPrinted>2026-01-19T20:21:24Z</cp:lastPrinted>
  <dcterms:created xsi:type="dcterms:W3CDTF">2022-07-18T15:54:50Z</dcterms:created>
  <dcterms:modified xsi:type="dcterms:W3CDTF">2026-01-22T13:56:59Z</dcterms:modified>
</cp:coreProperties>
</file>