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OneDrive\Documentos\SANTA FE DE ANTIOQUIA\VÍAS\VÍAS 2026\LA MILAGROSA\"/>
    </mc:Choice>
  </mc:AlternateContent>
  <xr:revisionPtr revIDLastSave="25" documentId="13_ncr:1_{69647660-68DB-4D07-89B6-ADCEFC7C376B}" xr6:coauthVersionLast="41" xr6:coauthVersionMax="45" xr10:uidLastSave="{D855C8C2-4672-4016-A615-C3487961BAAA}"/>
  <bookViews>
    <workbookView xWindow="-108" yWindow="-108" windowWidth="23256" windowHeight="12456" xr2:uid="{00000000-000D-0000-FFFF-FFFF00000000}"/>
  </bookViews>
  <sheets>
    <sheet name="LA MILAGROSA" sheetId="9" r:id="rId1"/>
    <sheet name="ADMINISTRACIÓN" sheetId="12" r:id="rId2"/>
    <sheet name="MEMORIAS" sheetId="10" r:id="rId3"/>
    <sheet name="APU'S" sheetId="7" r:id="rId4"/>
  </sheets>
  <definedNames>
    <definedName name="inf">#REF!</definedName>
  </definedNames>
  <calcPr calcId="191029" iterate="1"/>
</workbook>
</file>

<file path=xl/calcChain.xml><?xml version="1.0" encoding="utf-8"?>
<calcChain xmlns="http://schemas.openxmlformats.org/spreadsheetml/2006/main">
  <c r="F57" i="12" l="1"/>
  <c r="D57" i="12"/>
  <c r="H57" i="12" s="1"/>
  <c r="F55" i="12"/>
  <c r="F54" i="12"/>
  <c r="F53" i="12"/>
  <c r="F52" i="12"/>
  <c r="D47" i="12"/>
  <c r="G24" i="12" l="1"/>
  <c r="G23" i="12"/>
  <c r="G22" i="12"/>
  <c r="G20" i="12"/>
  <c r="K5" i="10" l="1"/>
  <c r="L5" i="10" s="1"/>
  <c r="I6" i="9" s="1"/>
  <c r="G7" i="12" l="1"/>
  <c r="G6" i="12"/>
  <c r="G5" i="12"/>
  <c r="J20" i="10"/>
  <c r="L20" i="10" s="1"/>
  <c r="I9" i="9" s="1"/>
  <c r="E163" i="7"/>
  <c r="G163" i="7" s="1"/>
  <c r="E162" i="7"/>
  <c r="G162" i="7" s="1"/>
  <c r="E161" i="7"/>
  <c r="G161" i="7" s="1"/>
  <c r="H167" i="7" s="1"/>
  <c r="G139" i="7"/>
  <c r="H143" i="7" s="1"/>
  <c r="E122" i="7"/>
  <c r="G122" i="7" s="1"/>
  <c r="E121" i="7"/>
  <c r="G121" i="7" s="1"/>
  <c r="G98" i="7"/>
  <c r="H102" i="7" s="1"/>
  <c r="E81" i="7"/>
  <c r="G81" i="7" s="1"/>
  <c r="E80" i="7"/>
  <c r="G80" i="7" s="1"/>
  <c r="E79" i="7"/>
  <c r="G79" i="7" s="1"/>
  <c r="H85" i="7" s="1"/>
  <c r="G57" i="7"/>
  <c r="H61" i="7" s="1"/>
  <c r="E35" i="7"/>
  <c r="I163" i="7" l="1"/>
  <c r="I161" i="7"/>
  <c r="I162" i="7"/>
  <c r="H87" i="7"/>
  <c r="J7" i="9" s="1"/>
  <c r="G11" i="12"/>
  <c r="G17" i="12" s="1"/>
  <c r="J16" i="10" l="1"/>
  <c r="I8" i="9" s="1"/>
  <c r="K10" i="10"/>
  <c r="I7" i="9" s="1"/>
  <c r="J122" i="7" l="1"/>
  <c r="J121" i="7"/>
  <c r="K7" i="9"/>
  <c r="H158" i="7"/>
  <c r="H151" i="7"/>
  <c r="E120" i="7"/>
  <c r="G120" i="7" s="1"/>
  <c r="H117" i="7"/>
  <c r="H110" i="7"/>
  <c r="E36" i="7"/>
  <c r="G36" i="7" s="1"/>
  <c r="G35" i="7"/>
  <c r="G14" i="7"/>
  <c r="G13" i="7"/>
  <c r="H41" i="7" l="1"/>
  <c r="H126" i="7"/>
  <c r="H128" i="7" s="1"/>
  <c r="J8" i="9" s="1"/>
  <c r="K8" i="9" s="1"/>
  <c r="J120" i="7"/>
  <c r="H169" i="7"/>
  <c r="J9" i="9" s="1"/>
  <c r="K9" i="9" s="1"/>
  <c r="G12" i="7" l="1"/>
  <c r="H17" i="7" l="1"/>
  <c r="H43" i="7" s="1"/>
  <c r="J6" i="9" s="1"/>
  <c r="K6" i="9" l="1"/>
  <c r="K10" i="9" s="1"/>
  <c r="G33" i="12" s="1"/>
  <c r="G31" i="12" l="1"/>
  <c r="G35" i="12" l="1"/>
  <c r="G27" i="12"/>
  <c r="G29" i="12"/>
  <c r="G30" i="12"/>
  <c r="F34" i="12"/>
  <c r="G34" i="12"/>
  <c r="F36" i="12"/>
  <c r="G36" i="12"/>
  <c r="G37" i="12"/>
  <c r="C46" i="12"/>
  <c r="D48" i="12"/>
  <c r="D52" i="12"/>
  <c r="E52" i="12"/>
  <c r="H52" i="12"/>
  <c r="D53" i="12"/>
  <c r="E53" i="12"/>
  <c r="H53" i="12"/>
  <c r="D54" i="12"/>
  <c r="E54" i="12"/>
  <c r="H54" i="12"/>
  <c r="D55" i="12"/>
  <c r="E55" i="12"/>
  <c r="H55" i="12"/>
  <c r="H58" i="12"/>
  <c r="H59" i="12"/>
  <c r="H60" i="12"/>
  <c r="H61" i="12"/>
  <c r="J11" i="9"/>
  <c r="K11" i="9"/>
  <c r="K12" i="9"/>
  <c r="K14" i="9"/>
</calcChain>
</file>

<file path=xl/sharedStrings.xml><?xml version="1.0" encoding="utf-8"?>
<sst xmlns="http://schemas.openxmlformats.org/spreadsheetml/2006/main" count="270" uniqueCount="129">
  <si>
    <t>ITEM</t>
  </si>
  <si>
    <t>DESCRIPCION</t>
  </si>
  <si>
    <t>UNIDAD</t>
  </si>
  <si>
    <t>VR PARCIAL</t>
  </si>
  <si>
    <t>m2</t>
  </si>
  <si>
    <t>SUBTOTAL COSTO DIRECTO</t>
  </si>
  <si>
    <t>ANÁLISIS DE PRECIOS UNITARIOS</t>
  </si>
  <si>
    <t>UNIDAD: m2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</si>
  <si>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</si>
  <si>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</si>
  <si>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</si>
  <si>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</si>
  <si>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</si>
  <si>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</si>
  <si>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</si>
  <si>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</si>
  <si>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</si>
  <si>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</si>
  <si>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</si>
  <si>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</si>
  <si>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</si>
  <si>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</si>
  <si>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</si>
  <si>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</si>
  <si>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</si>
  <si>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</si>
  <si>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</si>
  <si>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</si>
  <si>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</si>
  <si>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</si>
  <si>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</si>
  <si>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km</t>
  </si>
  <si>
    <t>ITEM: 1</t>
  </si>
  <si>
    <t>UNIDAD  : Ha</t>
  </si>
  <si>
    <t>Guadañadora, Cilindraje 41.5 cc, longitud del mango 1450 mm</t>
  </si>
  <si>
    <t>herramienta menor</t>
  </si>
  <si>
    <t>Ayudante raso (2)</t>
  </si>
  <si>
    <t>ITEM: 2</t>
  </si>
  <si>
    <t>Herramienta menor</t>
  </si>
  <si>
    <t>Vigia en salud</t>
  </si>
  <si>
    <t>Ha</t>
  </si>
  <si>
    <t>Excavación manual material heterogéneo 0-2 mt (rocas hasta volumen de 0.35) bajo cualquier grado de humedad.</t>
  </si>
  <si>
    <t>Remoción manual de derrumbes Menores.</t>
  </si>
  <si>
    <t>Conformación con metarial de la excavación incluye conformación de cunetas.</t>
  </si>
  <si>
    <t>Rocería, h= 3 - 4 m en ambas márgenes del camino, incluye botada y disposición adecuada de material sobrante.</t>
  </si>
  <si>
    <t>m3</t>
  </si>
  <si>
    <t>UNIDAD: m3</t>
  </si>
  <si>
    <t>VALOR TOTAL PROYECTO</t>
  </si>
  <si>
    <t>Administracion</t>
  </si>
  <si>
    <t>ANCHO m</t>
  </si>
  <si>
    <t>LARGO m</t>
  </si>
  <si>
    <t>AREA m2</t>
  </si>
  <si>
    <t>HA m2</t>
  </si>
  <si>
    <t xml:space="preserve">CAMINO </t>
  </si>
  <si>
    <t>KM</t>
  </si>
  <si>
    <t>Oficial Mvto Tierra</t>
  </si>
  <si>
    <t>Ayudante Rasos (2)</t>
  </si>
  <si>
    <t>ITEM: 3</t>
  </si>
  <si>
    <t>ITEM: 4</t>
  </si>
  <si>
    <t>CARGO /OFICIO</t>
  </si>
  <si>
    <t>CANTIDAD</t>
  </si>
  <si>
    <t>SUELDO O TARIFA MENSUAL</t>
  </si>
  <si>
    <t>DEDICACION MENSUAL</t>
  </si>
  <si>
    <t>DURACION TOTAL</t>
  </si>
  <si>
    <t>VALOR PARCIAL</t>
  </si>
  <si>
    <t>COSTOS DE PERSONAL</t>
  </si>
  <si>
    <t>PERSONAL PROFECIONAL O TECNICO</t>
  </si>
  <si>
    <t>ING CIVIL DIRECTOR DE OBRA</t>
  </si>
  <si>
    <t>TRASPOTE A LOMO DE MULA</t>
  </si>
  <si>
    <t>TECNICO EN CONSTRUCIONES  DE OBRA</t>
  </si>
  <si>
    <t xml:space="preserve">SUB TORAL COSTO DE PERSONAL </t>
  </si>
  <si>
    <t>FACTOR PRESTACIONAL (FP= 1,47).  (A)</t>
  </si>
  <si>
    <t>TOTAL COSTO DE PERSONAL CON FACTOR PRESTACIONAL</t>
  </si>
  <si>
    <t xml:space="preserve">GASTOS DE OFICINA </t>
  </si>
  <si>
    <t>VALOR BASICO = A+B = C</t>
  </si>
  <si>
    <t>GASTOS DIRECTOS NO REEMBOLSABLES (sobre el valor total del proyecto)</t>
  </si>
  <si>
    <t>ESTAMPILLA PARA BIENESTA DEL ADULTO MAYOR (4%)</t>
  </si>
  <si>
    <t>ESTAMPILLA PRO DEPORTES (2,5)%)</t>
  </si>
  <si>
    <t>CONTRIBUCION ESPECIAL DE SEGURIDAD (5%)</t>
  </si>
  <si>
    <t>50% DEL IMPUESTO DEL 4/1000</t>
  </si>
  <si>
    <t>50% DEL IMPUESTO DE INDUSTRIA Y COMERCIO (1%)</t>
  </si>
  <si>
    <t>POLIZAS</t>
  </si>
  <si>
    <t>TOTAL GASTOS DIRECTOS NO REEMBOLSABLES (D)</t>
  </si>
  <si>
    <t xml:space="preserve">SUBTOTAL DE COSTOS DE ADMNISTRACION </t>
  </si>
  <si>
    <t>SUBTOTAL COSTOS DIRECTOS DE OBRA</t>
  </si>
  <si>
    <t>TOTAL PORCENTAJE ADMINITRACION (%)</t>
  </si>
  <si>
    <t>TOTAL UTILIDAD (%)</t>
  </si>
  <si>
    <t>TOTAL A U (%)</t>
  </si>
  <si>
    <t>VALOR TOTAL DEL PROYECTO (AU INCLUIDO)</t>
  </si>
  <si>
    <t>VALOR  COSTO DIRECTO</t>
  </si>
  <si>
    <t>VOL m3</t>
  </si>
  <si>
    <t>ESPESOR m</t>
  </si>
  <si>
    <t xml:space="preserve">CANTIDAD </t>
  </si>
  <si>
    <r>
      <t>VR UNITARIO</t>
    </r>
    <r>
      <rPr>
        <sz val="8"/>
        <rFont val="Arial"/>
        <family val="2"/>
      </rPr>
      <t xml:space="preserve"> </t>
    </r>
  </si>
  <si>
    <t>Aporte MUNICIPIO</t>
  </si>
  <si>
    <t>APORTE JAC (especie)</t>
  </si>
  <si>
    <t>Ayudante entendido (1)</t>
  </si>
  <si>
    <t>UNIDADES</t>
  </si>
  <si>
    <t>ESTAMPILLA PRO CULTURA (0,5%)</t>
  </si>
  <si>
    <t>TOTAL GASTOA DE OFICNA, TRANSPORTE, PAPELERÍA (B)</t>
  </si>
  <si>
    <t>ESTAMPILLA 2%</t>
  </si>
  <si>
    <t>PRESUPUESTO MANTENIMIENTO CAMINOS</t>
  </si>
  <si>
    <t>CÁLCULO DE PÓLIZAS OBRA</t>
  </si>
  <si>
    <t>VALOR DEL CONTRATO ( $ )</t>
  </si>
  <si>
    <t>PLAZO DEL CONTRATO</t>
  </si>
  <si>
    <t>ANTICIPO</t>
  </si>
  <si>
    <t>TIPO DE GARANTÍA</t>
  </si>
  <si>
    <t>VALOR ASEGURADO</t>
  </si>
  <si>
    <t>COBERTURA 
( DÍAS )</t>
  </si>
  <si>
    <t>TASA 
ANUAL</t>
  </si>
  <si>
    <t>PRIMA</t>
  </si>
  <si>
    <t>%</t>
  </si>
  <si>
    <t>BASE</t>
  </si>
  <si>
    <t>VALOR</t>
  </si>
  <si>
    <t>CUMPLIMIENTO</t>
  </si>
  <si>
    <t>BUEN MANEJO Y CORRECTA INVERSIÓN DEL ANTICIPO</t>
  </si>
  <si>
    <t>SALARIOS Y PRESTACIONES SOCIALES</t>
  </si>
  <si>
    <t>CALIDAD DEL SERVICIO</t>
  </si>
  <si>
    <t>DECRETO 1082 SMMLV RESPONSABILIDAD CIVIL</t>
  </si>
  <si>
    <t>SMMLV</t>
  </si>
  <si>
    <t>MONTO ASEGURABLE</t>
  </si>
  <si>
    <t>PLAZO MESES</t>
  </si>
  <si>
    <t>TASA ANUAL</t>
  </si>
  <si>
    <t>SUBTOTAL PRIMA</t>
  </si>
  <si>
    <t>GASTOS DE EXPEDICIÓN</t>
  </si>
  <si>
    <t>I.V.A.</t>
  </si>
  <si>
    <t>TOTAL POLIZAS</t>
  </si>
  <si>
    <t>Rocería, h= 3 m en ambas márgenes del camino, incluye botada y disposición adecuada de material sobrante.</t>
  </si>
  <si>
    <t>VEREDA LA MILAGROSA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</si>
</sst>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5" formatCode="&quot;$&quot;\ #,##0;\-&quot;$&quot;\ #,##0"/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&quot;C$&quot;* #,##0.00_);_(&quot;C$&quot;* \(#,##0.00\);_(&quot;C$&quot;* &quot;-&quot;??_);_(@_)"/>
    <numFmt numFmtId="168" formatCode="&quot;$&quot;\ #,##0.00"/>
    <numFmt numFmtId="169" formatCode="[$$-240A]\ #,##0"/>
    <numFmt numFmtId="170" formatCode="[$$-240A]\ #,##0.00"/>
    <numFmt numFmtId="171" formatCode="#,##0.000"/>
    <numFmt numFmtId="172" formatCode="#,##0.0"/>
    <numFmt numFmtId="173" formatCode="#.##\ \K\g"/>
    <numFmt numFmtId="174" formatCode="_-&quot;$&quot;\ * #,##0_-;\-&quot;$&quot;\ * #,##0_-;_-&quot;$&quot;\ * &quot;-&quot;??_-;_-@_-"/>
    <numFmt numFmtId="175" formatCode="&quot;$&quot;\ #,##0"/>
    <numFmt numFmtId="176" formatCode="_ * #,##0.00_ ;_ * \-#,##0.00_ ;_ * &quot;-&quot;??_ ;_ @_ "/>
    <numFmt numFmtId="177" formatCode="_ [$€-2]\ * #,##0.00_ ;_ [$€-2]\ * \-#,##0.00_ ;_ [$€-2]\ * &quot;-&quot;??_ "/>
    <numFmt numFmtId="178" formatCode="_(&quot;C$&quot;* #,##0_);_(&quot;C$&quot;* \(#,##0\);_(&quot;C$&quot;* &quot;-&quot;_);_(@_)"/>
    <numFmt numFmtId="179" formatCode="#,##0.0000"/>
    <numFmt numFmtId="180" formatCode="&quot;$&quot;#,##0"/>
    <numFmt numFmtId="181" formatCode="_-&quot;$&quot;\ * #,##0.0_-;\-&quot;$&quot;\ * #,##0.0_-;_-&quot;$&quot;\ * &quot;-&quot;??_-;_-@_-"/>
    <numFmt numFmtId="182" formatCode="0.000"/>
    <numFmt numFmtId="183" formatCode="#,##0.00_);\-#,##0.00"/>
    <numFmt numFmtId="184" formatCode="#,##0.00&quot; SMMLV&quot;"/>
    <numFmt numFmtId="185" formatCode="#,##0.0&quot; MESES&quot;"/>
    <numFmt numFmtId="186" formatCode="#,##0&quot; DÍAS&quot;"/>
  </numFmts>
  <fonts count="36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8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0"/>
      <name val="Courier"/>
      <family val="3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2F2F2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</fills>
  <borders count="7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57">
    <xf numFmtId="0" fontId="0" fillId="0" borderId="0"/>
    <xf numFmtId="9" fontId="10" fillId="0" borderId="0" applyFont="0" applyFill="0" applyBorder="0" applyAlignment="0" applyProtection="0"/>
    <xf numFmtId="0" fontId="4" fillId="0" borderId="9"/>
    <xf numFmtId="44" fontId="12" fillId="0" borderId="0" applyFont="0" applyFill="0" applyBorder="0" applyAlignment="0" applyProtection="0"/>
    <xf numFmtId="0" fontId="14" fillId="6" borderId="9" applyNumberFormat="0" applyBorder="0" applyAlignment="0" applyProtection="0"/>
    <xf numFmtId="0" fontId="14" fillId="7" borderId="9" applyNumberFormat="0" applyBorder="0" applyAlignment="0" applyProtection="0"/>
    <xf numFmtId="0" fontId="14" fillId="8" borderId="9" applyNumberFormat="0" applyBorder="0" applyAlignment="0" applyProtection="0"/>
    <xf numFmtId="0" fontId="14" fillId="9" borderId="9" applyNumberFormat="0" applyBorder="0" applyAlignment="0" applyProtection="0"/>
    <xf numFmtId="0" fontId="14" fillId="10" borderId="9" applyNumberFormat="0" applyBorder="0" applyAlignment="0" applyProtection="0"/>
    <xf numFmtId="0" fontId="14" fillId="11" borderId="9" applyNumberFormat="0" applyBorder="0" applyAlignment="0" applyProtection="0"/>
    <xf numFmtId="0" fontId="14" fillId="12" borderId="9" applyNumberFormat="0" applyBorder="0" applyAlignment="0" applyProtection="0"/>
    <xf numFmtId="0" fontId="14" fillId="13" borderId="9" applyNumberFormat="0" applyBorder="0" applyAlignment="0" applyProtection="0"/>
    <xf numFmtId="0" fontId="14" fillId="14" borderId="9" applyNumberFormat="0" applyBorder="0" applyAlignment="0" applyProtection="0"/>
    <xf numFmtId="0" fontId="14" fillId="9" borderId="9" applyNumberFormat="0" applyBorder="0" applyAlignment="0" applyProtection="0"/>
    <xf numFmtId="0" fontId="14" fillId="12" borderId="9" applyNumberFormat="0" applyBorder="0" applyAlignment="0" applyProtection="0"/>
    <xf numFmtId="0" fontId="14" fillId="15" borderId="9" applyNumberFormat="0" applyBorder="0" applyAlignment="0" applyProtection="0"/>
    <xf numFmtId="0" fontId="15" fillId="16" borderId="9" applyNumberFormat="0" applyBorder="0" applyAlignment="0" applyProtection="0"/>
    <xf numFmtId="0" fontId="15" fillId="13" borderId="9" applyNumberFormat="0" applyBorder="0" applyAlignment="0" applyProtection="0"/>
    <xf numFmtId="0" fontId="15" fillId="14" borderId="9" applyNumberFormat="0" applyBorder="0" applyAlignment="0" applyProtection="0"/>
    <xf numFmtId="0" fontId="15" fillId="17" borderId="9" applyNumberFormat="0" applyBorder="0" applyAlignment="0" applyProtection="0"/>
    <xf numFmtId="0" fontId="15" fillId="18" borderId="9" applyNumberFormat="0" applyBorder="0" applyAlignment="0" applyProtection="0"/>
    <xf numFmtId="0" fontId="15" fillId="19" borderId="9" applyNumberFormat="0" applyBorder="0" applyAlignment="0" applyProtection="0"/>
    <xf numFmtId="0" fontId="16" fillId="8" borderId="9" applyNumberFormat="0" applyBorder="0" applyAlignment="0" applyProtection="0"/>
    <xf numFmtId="0" fontId="17" fillId="20" borderId="62" applyNumberFormat="0" applyAlignment="0" applyProtection="0"/>
    <xf numFmtId="0" fontId="18" fillId="21" borderId="63" applyNumberFormat="0" applyAlignment="0" applyProtection="0"/>
    <xf numFmtId="0" fontId="19" fillId="0" borderId="64" applyNumberFormat="0" applyFill="0" applyAlignment="0" applyProtection="0"/>
    <xf numFmtId="0" fontId="20" fillId="0" borderId="9" applyNumberFormat="0" applyFill="0" applyBorder="0" applyAlignment="0" applyProtection="0"/>
    <xf numFmtId="0" fontId="15" fillId="22" borderId="9" applyNumberFormat="0" applyBorder="0" applyAlignment="0" applyProtection="0"/>
    <xf numFmtId="0" fontId="15" fillId="23" borderId="9" applyNumberFormat="0" applyBorder="0" applyAlignment="0" applyProtection="0"/>
    <xf numFmtId="0" fontId="15" fillId="24" borderId="9" applyNumberFormat="0" applyBorder="0" applyAlignment="0" applyProtection="0"/>
    <xf numFmtId="0" fontId="15" fillId="17" borderId="9" applyNumberFormat="0" applyBorder="0" applyAlignment="0" applyProtection="0"/>
    <xf numFmtId="0" fontId="15" fillId="18" borderId="9" applyNumberFormat="0" applyBorder="0" applyAlignment="0" applyProtection="0"/>
    <xf numFmtId="0" fontId="15" fillId="25" borderId="9" applyNumberFormat="0" applyBorder="0" applyAlignment="0" applyProtection="0"/>
    <xf numFmtId="0" fontId="21" fillId="11" borderId="62" applyNumberFormat="0" applyAlignment="0" applyProtection="0"/>
    <xf numFmtId="177" fontId="4" fillId="0" borderId="9" applyFont="0" applyFill="0" applyBorder="0" applyAlignment="0" applyProtection="0"/>
    <xf numFmtId="0" fontId="13" fillId="0" borderId="9" applyNumberFormat="0" applyFill="0" applyBorder="0" applyAlignment="0" applyProtection="0"/>
    <xf numFmtId="0" fontId="22" fillId="7" borderId="9" applyNumberFormat="0" applyBorder="0" applyAlignment="0" applyProtection="0"/>
    <xf numFmtId="165" fontId="4" fillId="0" borderId="9" applyFont="0" applyFill="0" applyBorder="0" applyAlignment="0" applyProtection="0"/>
    <xf numFmtId="176" fontId="4" fillId="0" borderId="9" applyFont="0" applyFill="0" applyBorder="0" applyAlignment="0" applyProtection="0"/>
    <xf numFmtId="166" fontId="4" fillId="0" borderId="9" applyFont="0" applyFill="0" applyBorder="0" applyAlignment="0" applyProtection="0"/>
    <xf numFmtId="164" fontId="4" fillId="0" borderId="9" applyFont="0" applyFill="0" applyBorder="0" applyAlignment="0" applyProtection="0"/>
    <xf numFmtId="178" fontId="4" fillId="0" borderId="9" applyFont="0" applyFill="0" applyBorder="0" applyAlignment="0" applyProtection="0"/>
    <xf numFmtId="0" fontId="23" fillId="26" borderId="9" applyNumberFormat="0" applyBorder="0" applyAlignment="0" applyProtection="0"/>
    <xf numFmtId="0" fontId="4" fillId="27" borderId="65" applyNumberFormat="0" applyFont="0" applyAlignment="0" applyProtection="0"/>
    <xf numFmtId="9" fontId="4" fillId="0" borderId="9" applyFont="0" applyFill="0" applyBorder="0" applyAlignment="0" applyProtection="0"/>
    <xf numFmtId="9" fontId="4" fillId="0" borderId="9" applyFont="0" applyFill="0" applyBorder="0" applyAlignment="0" applyProtection="0"/>
    <xf numFmtId="9" fontId="14" fillId="0" borderId="9" applyFont="0" applyFill="0" applyBorder="0" applyAlignment="0" applyProtection="0"/>
    <xf numFmtId="0" fontId="24" fillId="20" borderId="66" applyNumberFormat="0" applyAlignment="0" applyProtection="0"/>
    <xf numFmtId="0" fontId="25" fillId="0" borderId="9" applyNumberFormat="0" applyFill="0" applyBorder="0" applyAlignment="0" applyProtection="0"/>
    <xf numFmtId="0" fontId="26" fillId="0" borderId="9" applyNumberFormat="0" applyFill="0" applyBorder="0" applyAlignment="0" applyProtection="0"/>
    <xf numFmtId="0" fontId="27" fillId="0" borderId="9" applyNumberFormat="0" applyFill="0" applyBorder="0" applyAlignment="0" applyProtection="0"/>
    <xf numFmtId="0" fontId="28" fillId="0" borderId="67" applyNumberFormat="0" applyFill="0" applyAlignment="0" applyProtection="0"/>
    <xf numFmtId="0" fontId="20" fillId="0" borderId="68" applyNumberFormat="0" applyFill="0" applyAlignment="0" applyProtection="0"/>
    <xf numFmtId="0" fontId="29" fillId="0" borderId="69" applyNumberFormat="0" applyFill="0" applyAlignment="0" applyProtection="0"/>
    <xf numFmtId="0" fontId="4" fillId="0" borderId="9"/>
    <xf numFmtId="0" fontId="1" fillId="0" borderId="9"/>
    <xf numFmtId="183" fontId="32" fillId="0" borderId="9"/>
  </cellStyleXfs>
  <cellXfs count="394">
    <xf numFmtId="0" fontId="0" fillId="0" borderId="0" xfId="0"/>
    <xf numFmtId="167" fontId="7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8" fontId="2" fillId="0" borderId="10" xfId="0" applyNumberFormat="1" applyFont="1" applyBorder="1" applyAlignment="1">
      <alignment horizontal="right" vertical="center" wrapText="1"/>
    </xf>
    <xf numFmtId="170" fontId="7" fillId="0" borderId="13" xfId="0" applyNumberFormat="1" applyFont="1" applyBorder="1" applyAlignment="1">
      <alignment horizontal="right" vertical="center" wrapText="1"/>
    </xf>
    <xf numFmtId="0" fontId="2" fillId="0" borderId="14" xfId="0" applyFont="1" applyBorder="1" applyAlignment="1">
      <alignment horizontal="left"/>
    </xf>
    <xf numFmtId="170" fontId="9" fillId="0" borderId="61" xfId="0" applyNumberFormat="1" applyFont="1" applyBorder="1" applyAlignment="1">
      <alignment horizontal="right" vertical="center" wrapText="1"/>
    </xf>
    <xf numFmtId="0" fontId="0" fillId="5" borderId="0" xfId="0" applyFill="1"/>
    <xf numFmtId="0" fontId="7" fillId="5" borderId="26" xfId="0" applyFont="1" applyFill="1" applyBorder="1" applyAlignment="1">
      <alignment horizontal="centerContinuous"/>
    </xf>
    <xf numFmtId="0" fontId="7" fillId="5" borderId="27" xfId="0" applyFont="1" applyFill="1" applyBorder="1" applyAlignment="1">
      <alignment horizontal="centerContinuous"/>
    </xf>
    <xf numFmtId="0" fontId="4" fillId="5" borderId="28" xfId="0" applyFont="1" applyFill="1" applyBorder="1" applyAlignment="1">
      <alignment horizontal="centerContinuous"/>
    </xf>
    <xf numFmtId="0" fontId="4" fillId="5" borderId="27" xfId="0" applyFont="1" applyFill="1" applyBorder="1"/>
    <xf numFmtId="0" fontId="7" fillId="5" borderId="19" xfId="0" applyFont="1" applyFill="1" applyBorder="1" applyAlignment="1">
      <alignment horizontal="centerContinuous"/>
    </xf>
    <xf numFmtId="0" fontId="7" fillId="5" borderId="0" xfId="0" applyFont="1" applyFill="1" applyAlignment="1">
      <alignment horizontal="centerContinuous"/>
    </xf>
    <xf numFmtId="0" fontId="2" fillId="5" borderId="20" xfId="0" applyFont="1" applyFill="1" applyBorder="1" applyAlignment="1">
      <alignment horizontal="centerContinuous"/>
    </xf>
    <xf numFmtId="0" fontId="2" fillId="5" borderId="0" xfId="0" applyFont="1" applyFill="1"/>
    <xf numFmtId="0" fontId="6" fillId="5" borderId="0" xfId="0" applyFont="1" applyFill="1"/>
    <xf numFmtId="0" fontId="2" fillId="5" borderId="20" xfId="0" applyFont="1" applyFill="1" applyBorder="1"/>
    <xf numFmtId="0" fontId="2" fillId="5" borderId="24" xfId="0" applyFont="1" applyFill="1" applyBorder="1" applyAlignment="1">
      <alignment horizontal="centerContinuous"/>
    </xf>
    <xf numFmtId="0" fontId="2" fillId="5" borderId="22" xfId="0" applyFont="1" applyFill="1" applyBorder="1" applyAlignment="1">
      <alignment horizontal="centerContinuous"/>
    </xf>
    <xf numFmtId="0" fontId="2" fillId="5" borderId="23" xfId="0" applyFont="1" applyFill="1" applyBorder="1" applyAlignment="1">
      <alignment horizontal="centerContinuous"/>
    </xf>
    <xf numFmtId="0" fontId="2" fillId="5" borderId="30" xfId="0" applyFont="1" applyFill="1" applyBorder="1" applyAlignment="1">
      <alignment horizontal="center"/>
    </xf>
    <xf numFmtId="0" fontId="2" fillId="5" borderId="31" xfId="0" applyFont="1" applyFill="1" applyBorder="1" applyAlignment="1">
      <alignment horizontal="center"/>
    </xf>
    <xf numFmtId="0" fontId="2" fillId="5" borderId="32" xfId="0" applyFont="1" applyFill="1" applyBorder="1"/>
    <xf numFmtId="0" fontId="2" fillId="5" borderId="55" xfId="0" applyFont="1" applyFill="1" applyBorder="1" applyAlignment="1">
      <alignment horizontal="center"/>
    </xf>
    <xf numFmtId="0" fontId="2" fillId="5" borderId="55" xfId="0" applyFont="1" applyFill="1" applyBorder="1" applyAlignment="1">
      <alignment horizontal="right"/>
    </xf>
    <xf numFmtId="174" fontId="2" fillId="5" borderId="48" xfId="3" applyNumberFormat="1" applyFont="1" applyFill="1" applyBorder="1" applyAlignment="1">
      <alignment horizontal="right"/>
    </xf>
    <xf numFmtId="0" fontId="2" fillId="5" borderId="36" xfId="0" applyFont="1" applyFill="1" applyBorder="1"/>
    <xf numFmtId="3" fontId="2" fillId="5" borderId="55" xfId="0" applyNumberFormat="1" applyFont="1" applyFill="1" applyBorder="1" applyAlignment="1">
      <alignment horizontal="center"/>
    </xf>
    <xf numFmtId="3" fontId="2" fillId="5" borderId="55" xfId="0" applyNumberFormat="1" applyFont="1" applyFill="1" applyBorder="1"/>
    <xf numFmtId="4" fontId="2" fillId="5" borderId="55" xfId="0" applyNumberFormat="1" applyFont="1" applyFill="1" applyBorder="1"/>
    <xf numFmtId="174" fontId="2" fillId="5" borderId="48" xfId="3" applyNumberFormat="1" applyFont="1" applyFill="1" applyBorder="1"/>
    <xf numFmtId="0" fontId="2" fillId="5" borderId="47" xfId="0" applyFont="1" applyFill="1" applyBorder="1" applyAlignment="1">
      <alignment horizontal="left"/>
    </xf>
    <xf numFmtId="0" fontId="2" fillId="5" borderId="48" xfId="0" applyFont="1" applyFill="1" applyBorder="1" applyAlignment="1">
      <alignment horizontal="left"/>
    </xf>
    <xf numFmtId="0" fontId="2" fillId="5" borderId="55" xfId="0" applyFont="1" applyFill="1" applyBorder="1" applyAlignment="1">
      <alignment horizontal="left"/>
    </xf>
    <xf numFmtId="3" fontId="2" fillId="5" borderId="56" xfId="0" applyNumberFormat="1" applyFont="1" applyFill="1" applyBorder="1" applyAlignment="1">
      <alignment horizontal="center"/>
    </xf>
    <xf numFmtId="3" fontId="2" fillId="5" borderId="57" xfId="0" applyNumberFormat="1" applyFont="1" applyFill="1" applyBorder="1" applyAlignment="1">
      <alignment horizontal="center"/>
    </xf>
    <xf numFmtId="3" fontId="2" fillId="5" borderId="57" xfId="0" applyNumberFormat="1" applyFont="1" applyFill="1" applyBorder="1"/>
    <xf numFmtId="174" fontId="2" fillId="5" borderId="48" xfId="0" applyNumberFormat="1" applyFont="1" applyFill="1" applyBorder="1"/>
    <xf numFmtId="3" fontId="2" fillId="5" borderId="41" xfId="0" applyNumberFormat="1" applyFont="1" applyFill="1" applyBorder="1" applyAlignment="1">
      <alignment horizontal="center"/>
    </xf>
    <xf numFmtId="3" fontId="2" fillId="5" borderId="41" xfId="0" applyNumberFormat="1" applyFont="1" applyFill="1" applyBorder="1"/>
    <xf numFmtId="4" fontId="2" fillId="5" borderId="46" xfId="0" applyNumberFormat="1" applyFont="1" applyFill="1" applyBorder="1"/>
    <xf numFmtId="4" fontId="2" fillId="5" borderId="22" xfId="0" applyNumberFormat="1" applyFont="1" applyFill="1" applyBorder="1"/>
    <xf numFmtId="0" fontId="2" fillId="5" borderId="44" xfId="0" applyFont="1" applyFill="1" applyBorder="1"/>
    <xf numFmtId="0" fontId="7" fillId="5" borderId="0" xfId="0" applyFont="1" applyFill="1" applyAlignment="1">
      <alignment horizontal="center"/>
    </xf>
    <xf numFmtId="174" fontId="2" fillId="5" borderId="44" xfId="3" applyNumberFormat="1" applyFont="1" applyFill="1" applyBorder="1"/>
    <xf numFmtId="0" fontId="2" fillId="5" borderId="55" xfId="0" applyFont="1" applyFill="1" applyBorder="1"/>
    <xf numFmtId="171" fontId="2" fillId="5" borderId="55" xfId="0" applyNumberFormat="1" applyFont="1" applyFill="1" applyBorder="1"/>
    <xf numFmtId="4" fontId="2" fillId="5" borderId="48" xfId="0" applyNumberFormat="1" applyFont="1" applyFill="1" applyBorder="1"/>
    <xf numFmtId="0" fontId="2" fillId="5" borderId="46" xfId="0" applyFont="1" applyFill="1" applyBorder="1"/>
    <xf numFmtId="3" fontId="2" fillId="5" borderId="46" xfId="0" applyNumberFormat="1" applyFont="1" applyFill="1" applyBorder="1" applyAlignment="1">
      <alignment horizontal="center"/>
    </xf>
    <xf numFmtId="3" fontId="2" fillId="5" borderId="46" xfId="0" applyNumberFormat="1" applyFont="1" applyFill="1" applyBorder="1"/>
    <xf numFmtId="44" fontId="2" fillId="5" borderId="44" xfId="3" applyFont="1" applyFill="1" applyBorder="1"/>
    <xf numFmtId="0" fontId="6" fillId="5" borderId="22" xfId="0" applyFont="1" applyFill="1" applyBorder="1"/>
    <xf numFmtId="0" fontId="2" fillId="5" borderId="22" xfId="0" applyFont="1" applyFill="1" applyBorder="1"/>
    <xf numFmtId="0" fontId="2" fillId="5" borderId="47" xfId="0" applyFont="1" applyFill="1" applyBorder="1"/>
    <xf numFmtId="0" fontId="2" fillId="5" borderId="48" xfId="0" applyFont="1" applyFill="1" applyBorder="1"/>
    <xf numFmtId="0" fontId="2" fillId="5" borderId="49" xfId="0" applyFont="1" applyFill="1" applyBorder="1"/>
    <xf numFmtId="0" fontId="2" fillId="5" borderId="50" xfId="0" applyFont="1" applyFill="1" applyBorder="1" applyAlignment="1">
      <alignment horizontal="center"/>
    </xf>
    <xf numFmtId="0" fontId="2" fillId="5" borderId="28" xfId="0" applyFont="1" applyFill="1" applyBorder="1"/>
    <xf numFmtId="171" fontId="2" fillId="5" borderId="49" xfId="0" applyNumberFormat="1" applyFont="1" applyFill="1" applyBorder="1"/>
    <xf numFmtId="172" fontId="2" fillId="5" borderId="55" xfId="0" applyNumberFormat="1" applyFont="1" applyFill="1" applyBorder="1" applyAlignment="1">
      <alignment horizontal="center"/>
    </xf>
    <xf numFmtId="4" fontId="2" fillId="5" borderId="55" xfId="0" applyNumberFormat="1" applyFont="1" applyFill="1" applyBorder="1" applyAlignment="1">
      <alignment horizontal="center"/>
    </xf>
    <xf numFmtId="173" fontId="2" fillId="5" borderId="49" xfId="0" applyNumberFormat="1" applyFont="1" applyFill="1" applyBorder="1" applyAlignment="1">
      <alignment horizontal="center"/>
    </xf>
    <xf numFmtId="172" fontId="2" fillId="5" borderId="55" xfId="0" applyNumberFormat="1" applyFont="1" applyFill="1" applyBorder="1"/>
    <xf numFmtId="44" fontId="2" fillId="5" borderId="45" xfId="3" applyFont="1" applyFill="1" applyBorder="1"/>
    <xf numFmtId="0" fontId="2" fillId="5" borderId="51" xfId="0" applyFont="1" applyFill="1" applyBorder="1" applyAlignment="1">
      <alignment horizontal="center"/>
    </xf>
    <xf numFmtId="175" fontId="2" fillId="5" borderId="49" xfId="0" applyNumberFormat="1" applyFont="1" applyFill="1" applyBorder="1"/>
    <xf numFmtId="9" fontId="2" fillId="5" borderId="55" xfId="0" applyNumberFormat="1" applyFont="1" applyFill="1" applyBorder="1" applyAlignment="1">
      <alignment horizontal="center"/>
    </xf>
    <xf numFmtId="44" fontId="2" fillId="5" borderId="60" xfId="3" applyFont="1" applyFill="1" applyBorder="1"/>
    <xf numFmtId="44" fontId="2" fillId="5" borderId="60" xfId="3" applyFont="1" applyFill="1" applyBorder="1" applyAlignment="1"/>
    <xf numFmtId="168" fontId="2" fillId="5" borderId="49" xfId="0" applyNumberFormat="1" applyFont="1" applyFill="1" applyBorder="1"/>
    <xf numFmtId="3" fontId="2" fillId="5" borderId="49" xfId="0" applyNumberFormat="1" applyFont="1" applyFill="1" applyBorder="1"/>
    <xf numFmtId="3" fontId="2" fillId="5" borderId="59" xfId="0" applyNumberFormat="1" applyFont="1" applyFill="1" applyBorder="1"/>
    <xf numFmtId="0" fontId="2" fillId="5" borderId="0" xfId="0" applyFont="1" applyFill="1" applyAlignment="1">
      <alignment horizontal="center"/>
    </xf>
    <xf numFmtId="3" fontId="2" fillId="5" borderId="45" xfId="0" applyNumberFormat="1" applyFont="1" applyFill="1" applyBorder="1"/>
    <xf numFmtId="0" fontId="7" fillId="5" borderId="19" xfId="0" applyFont="1" applyFill="1" applyBorder="1"/>
    <xf numFmtId="0" fontId="6" fillId="5" borderId="24" xfId="0" applyFont="1" applyFill="1" applyBorder="1"/>
    <xf numFmtId="2" fontId="2" fillId="0" borderId="11" xfId="0" applyNumberFormat="1" applyFont="1" applyBorder="1" applyAlignment="1">
      <alignment horizontal="center" vertical="center"/>
    </xf>
    <xf numFmtId="0" fontId="0" fillId="5" borderId="28" xfId="0" applyFill="1" applyBorder="1" applyAlignment="1">
      <alignment horizontal="centerContinuous"/>
    </xf>
    <xf numFmtId="0" fontId="0" fillId="5" borderId="27" xfId="0" applyFill="1" applyBorder="1"/>
    <xf numFmtId="0" fontId="0" fillId="5" borderId="28" xfId="0" applyFill="1" applyBorder="1"/>
    <xf numFmtId="0" fontId="2" fillId="5" borderId="31" xfId="0" quotePrefix="1" applyFont="1" applyFill="1" applyBorder="1" applyAlignment="1">
      <alignment horizontal="center"/>
    </xf>
    <xf numFmtId="3" fontId="2" fillId="5" borderId="25" xfId="0" applyNumberFormat="1" applyFont="1" applyFill="1" applyBorder="1" applyAlignment="1">
      <alignment horizontal="center"/>
    </xf>
    <xf numFmtId="4" fontId="2" fillId="5" borderId="25" xfId="0" applyNumberFormat="1" applyFont="1" applyFill="1" applyBorder="1"/>
    <xf numFmtId="4" fontId="2" fillId="5" borderId="0" xfId="0" applyNumberFormat="1" applyFont="1" applyFill="1"/>
    <xf numFmtId="2" fontId="2" fillId="5" borderId="36" xfId="0" applyNumberFormat="1" applyFont="1" applyFill="1" applyBorder="1"/>
    <xf numFmtId="3" fontId="2" fillId="5" borderId="37" xfId="0" applyNumberFormat="1" applyFont="1" applyFill="1" applyBorder="1" applyAlignment="1">
      <alignment horizontal="center"/>
    </xf>
    <xf numFmtId="4" fontId="2" fillId="5" borderId="37" xfId="0" applyNumberFormat="1" applyFont="1" applyFill="1" applyBorder="1"/>
    <xf numFmtId="4" fontId="2" fillId="5" borderId="38" xfId="0" applyNumberFormat="1" applyFont="1" applyFill="1" applyBorder="1"/>
    <xf numFmtId="3" fontId="2" fillId="5" borderId="37" xfId="0" applyNumberFormat="1" applyFont="1" applyFill="1" applyBorder="1"/>
    <xf numFmtId="179" fontId="2" fillId="5" borderId="25" xfId="0" applyNumberFormat="1" applyFont="1" applyFill="1" applyBorder="1"/>
    <xf numFmtId="3" fontId="2" fillId="5" borderId="42" xfId="0" applyNumberFormat="1" applyFont="1" applyFill="1" applyBorder="1" applyAlignment="1">
      <alignment horizontal="center"/>
    </xf>
    <xf numFmtId="3" fontId="2" fillId="5" borderId="42" xfId="0" applyNumberFormat="1" applyFont="1" applyFill="1" applyBorder="1"/>
    <xf numFmtId="4" fontId="2" fillId="5" borderId="42" xfId="0" applyNumberFormat="1" applyFont="1" applyFill="1" applyBorder="1"/>
    <xf numFmtId="4" fontId="2" fillId="5" borderId="43" xfId="0" applyNumberFormat="1" applyFont="1" applyFill="1" applyBorder="1"/>
    <xf numFmtId="3" fontId="2" fillId="5" borderId="25" xfId="0" applyNumberFormat="1" applyFont="1" applyFill="1" applyBorder="1"/>
    <xf numFmtId="171" fontId="2" fillId="5" borderId="25" xfId="0" applyNumberFormat="1" applyFont="1" applyFill="1" applyBorder="1"/>
    <xf numFmtId="4" fontId="2" fillId="5" borderId="45" xfId="0" applyNumberFormat="1" applyFont="1" applyFill="1" applyBorder="1"/>
    <xf numFmtId="172" fontId="2" fillId="5" borderId="25" xfId="0" applyNumberFormat="1" applyFont="1" applyFill="1" applyBorder="1" applyAlignment="1">
      <alignment horizontal="center"/>
    </xf>
    <xf numFmtId="4" fontId="2" fillId="5" borderId="25" xfId="0" applyNumberFormat="1" applyFont="1" applyFill="1" applyBorder="1" applyAlignment="1">
      <alignment horizontal="center"/>
    </xf>
    <xf numFmtId="173" fontId="2" fillId="5" borderId="25" xfId="0" applyNumberFormat="1" applyFont="1" applyFill="1" applyBorder="1" applyAlignment="1">
      <alignment horizontal="center"/>
    </xf>
    <xf numFmtId="0" fontId="2" fillId="5" borderId="25" xfId="0" applyFont="1" applyFill="1" applyBorder="1"/>
    <xf numFmtId="172" fontId="2" fillId="5" borderId="25" xfId="0" applyNumberFormat="1" applyFont="1" applyFill="1" applyBorder="1"/>
    <xf numFmtId="9" fontId="2" fillId="5" borderId="25" xfId="1" applyFont="1" applyFill="1" applyBorder="1" applyAlignment="1">
      <alignment horizontal="center"/>
    </xf>
    <xf numFmtId="3" fontId="2" fillId="5" borderId="52" xfId="0" applyNumberFormat="1" applyFont="1" applyFill="1" applyBorder="1"/>
    <xf numFmtId="0" fontId="2" fillId="5" borderId="39" xfId="0" applyFont="1" applyFill="1" applyBorder="1"/>
    <xf numFmtId="0" fontId="2" fillId="5" borderId="40" xfId="0" applyFont="1" applyFill="1" applyBorder="1"/>
    <xf numFmtId="0" fontId="2" fillId="5" borderId="0" xfId="0" applyFont="1" applyFill="1" applyAlignment="1">
      <alignment horizontal="centerContinuous"/>
    </xf>
    <xf numFmtId="0" fontId="6" fillId="31" borderId="9" xfId="0" applyFont="1" applyFill="1" applyBorder="1"/>
    <xf numFmtId="0" fontId="2" fillId="31" borderId="9" xfId="0" applyFont="1" applyFill="1" applyBorder="1"/>
    <xf numFmtId="0" fontId="0" fillId="31" borderId="9" xfId="0" applyFill="1" applyBorder="1"/>
    <xf numFmtId="0" fontId="2" fillId="31" borderId="30" xfId="0" applyFont="1" applyFill="1" applyBorder="1" applyAlignment="1">
      <alignment horizontal="center"/>
    </xf>
    <xf numFmtId="0" fontId="2" fillId="31" borderId="31" xfId="0" applyFont="1" applyFill="1" applyBorder="1" applyAlignment="1">
      <alignment horizontal="center"/>
    </xf>
    <xf numFmtId="0" fontId="2" fillId="31" borderId="32" xfId="0" applyFont="1" applyFill="1" applyBorder="1"/>
    <xf numFmtId="3" fontId="2" fillId="31" borderId="55" xfId="0" applyNumberFormat="1" applyFont="1" applyFill="1" applyBorder="1" applyAlignment="1">
      <alignment horizontal="center"/>
    </xf>
    <xf numFmtId="4" fontId="2" fillId="31" borderId="55" xfId="0" applyNumberFormat="1" applyFont="1" applyFill="1" applyBorder="1"/>
    <xf numFmtId="4" fontId="2" fillId="31" borderId="9" xfId="0" applyNumberFormat="1" applyFont="1" applyFill="1" applyBorder="1"/>
    <xf numFmtId="2" fontId="2" fillId="31" borderId="36" xfId="0" applyNumberFormat="1" applyFont="1" applyFill="1" applyBorder="1"/>
    <xf numFmtId="3" fontId="2" fillId="31" borderId="56" xfId="0" applyNumberFormat="1" applyFont="1" applyFill="1" applyBorder="1" applyAlignment="1">
      <alignment horizontal="center"/>
    </xf>
    <xf numFmtId="4" fontId="2" fillId="31" borderId="56" xfId="0" applyNumberFormat="1" applyFont="1" applyFill="1" applyBorder="1"/>
    <xf numFmtId="4" fontId="2" fillId="31" borderId="34" xfId="0" applyNumberFormat="1" applyFont="1" applyFill="1" applyBorder="1"/>
    <xf numFmtId="0" fontId="2" fillId="31" borderId="36" xfId="0" applyFont="1" applyFill="1" applyBorder="1"/>
    <xf numFmtId="3" fontId="2" fillId="31" borderId="57" xfId="0" applyNumberFormat="1" applyFont="1" applyFill="1" applyBorder="1" applyAlignment="1">
      <alignment horizontal="center"/>
    </xf>
    <xf numFmtId="3" fontId="2" fillId="31" borderId="57" xfId="0" applyNumberFormat="1" applyFont="1" applyFill="1" applyBorder="1"/>
    <xf numFmtId="179" fontId="2" fillId="31" borderId="55" xfId="0" applyNumberFormat="1" applyFont="1" applyFill="1" applyBorder="1"/>
    <xf numFmtId="4" fontId="2" fillId="31" borderId="48" xfId="0" applyNumberFormat="1" applyFont="1" applyFill="1" applyBorder="1"/>
    <xf numFmtId="3" fontId="2" fillId="31" borderId="41" xfId="0" applyNumberFormat="1" applyFont="1" applyFill="1" applyBorder="1" applyAlignment="1">
      <alignment horizontal="center"/>
    </xf>
    <xf numFmtId="3" fontId="2" fillId="31" borderId="41" xfId="0" applyNumberFormat="1" applyFont="1" applyFill="1" applyBorder="1"/>
    <xf numFmtId="4" fontId="2" fillId="31" borderId="46" xfId="0" applyNumberFormat="1" applyFont="1" applyFill="1" applyBorder="1"/>
    <xf numFmtId="4" fontId="2" fillId="31" borderId="22" xfId="0" applyNumberFormat="1" applyFont="1" applyFill="1" applyBorder="1"/>
    <xf numFmtId="0" fontId="2" fillId="31" borderId="44" xfId="0" applyFont="1" applyFill="1" applyBorder="1"/>
    <xf numFmtId="0" fontId="7" fillId="31" borderId="9" xfId="0" applyFont="1" applyFill="1" applyBorder="1" applyAlignment="1">
      <alignment horizontal="center"/>
    </xf>
    <xf numFmtId="3" fontId="2" fillId="31" borderId="44" xfId="0" applyNumberFormat="1" applyFont="1" applyFill="1" applyBorder="1"/>
    <xf numFmtId="3" fontId="2" fillId="31" borderId="55" xfId="0" applyNumberFormat="1" applyFont="1" applyFill="1" applyBorder="1"/>
    <xf numFmtId="171" fontId="2" fillId="31" borderId="55" xfId="0" applyNumberFormat="1" applyFont="1" applyFill="1" applyBorder="1"/>
    <xf numFmtId="3" fontId="2" fillId="31" borderId="46" xfId="0" applyNumberFormat="1" applyFont="1" applyFill="1" applyBorder="1" applyAlignment="1">
      <alignment horizontal="center"/>
    </xf>
    <xf numFmtId="3" fontId="2" fillId="31" borderId="46" xfId="0" applyNumberFormat="1" applyFont="1" applyFill="1" applyBorder="1"/>
    <xf numFmtId="4" fontId="2" fillId="31" borderId="44" xfId="0" applyNumberFormat="1" applyFont="1" applyFill="1" applyBorder="1"/>
    <xf numFmtId="0" fontId="2" fillId="31" borderId="22" xfId="0" applyFont="1" applyFill="1" applyBorder="1"/>
    <xf numFmtId="0" fontId="2" fillId="31" borderId="49" xfId="0" applyFont="1" applyFill="1" applyBorder="1"/>
    <xf numFmtId="0" fontId="2" fillId="31" borderId="50" xfId="0" applyFont="1" applyFill="1" applyBorder="1" applyAlignment="1">
      <alignment horizontal="center"/>
    </xf>
    <xf numFmtId="0" fontId="2" fillId="31" borderId="28" xfId="0" applyFont="1" applyFill="1" applyBorder="1"/>
    <xf numFmtId="172" fontId="2" fillId="31" borderId="55" xfId="0" applyNumberFormat="1" applyFont="1" applyFill="1" applyBorder="1" applyAlignment="1">
      <alignment horizontal="center"/>
    </xf>
    <xf numFmtId="4" fontId="2" fillId="31" borderId="55" xfId="0" applyNumberFormat="1" applyFont="1" applyFill="1" applyBorder="1" applyAlignment="1">
      <alignment horizontal="center"/>
    </xf>
    <xf numFmtId="173" fontId="2" fillId="31" borderId="49" xfId="0" applyNumberFormat="1" applyFont="1" applyFill="1" applyBorder="1" applyAlignment="1">
      <alignment horizontal="center"/>
    </xf>
    <xf numFmtId="172" fontId="2" fillId="31" borderId="55" xfId="0" applyNumberFormat="1" applyFont="1" applyFill="1" applyBorder="1"/>
    <xf numFmtId="3" fontId="2" fillId="31" borderId="59" xfId="0" applyNumberFormat="1" applyFont="1" applyFill="1" applyBorder="1" applyAlignment="1">
      <alignment horizontal="center"/>
    </xf>
    <xf numFmtId="4" fontId="2" fillId="31" borderId="45" xfId="0" applyNumberFormat="1" applyFont="1" applyFill="1" applyBorder="1"/>
    <xf numFmtId="0" fontId="2" fillId="31" borderId="51" xfId="0" applyFont="1" applyFill="1" applyBorder="1" applyAlignment="1">
      <alignment horizontal="center"/>
    </xf>
    <xf numFmtId="168" fontId="2" fillId="31" borderId="49" xfId="0" applyNumberFormat="1" applyFont="1" applyFill="1" applyBorder="1"/>
    <xf numFmtId="9" fontId="2" fillId="31" borderId="55" xfId="0" applyNumberFormat="1" applyFont="1" applyFill="1" applyBorder="1" applyAlignment="1">
      <alignment horizontal="center"/>
    </xf>
    <xf numFmtId="0" fontId="2" fillId="31" borderId="20" xfId="0" applyFont="1" applyFill="1" applyBorder="1"/>
    <xf numFmtId="3" fontId="2" fillId="31" borderId="49" xfId="0" applyNumberFormat="1" applyFont="1" applyFill="1" applyBorder="1"/>
    <xf numFmtId="0" fontId="2" fillId="31" borderId="24" xfId="0" applyFont="1" applyFill="1" applyBorder="1"/>
    <xf numFmtId="3" fontId="2" fillId="31" borderId="59" xfId="0" applyNumberFormat="1" applyFont="1" applyFill="1" applyBorder="1"/>
    <xf numFmtId="0" fontId="2" fillId="31" borderId="46" xfId="0" applyFont="1" applyFill="1" applyBorder="1"/>
    <xf numFmtId="0" fontId="2" fillId="31" borderId="9" xfId="0" applyFont="1" applyFill="1" applyBorder="1" applyAlignment="1">
      <alignment horizontal="center"/>
    </xf>
    <xf numFmtId="0" fontId="0" fillId="0" borderId="0" xfId="0"/>
    <xf numFmtId="0" fontId="2" fillId="5" borderId="31" xfId="0" applyFont="1" applyFill="1" applyBorder="1" applyAlignment="1">
      <alignment horizontal="center"/>
    </xf>
    <xf numFmtId="0" fontId="10" fillId="0" borderId="0" xfId="0" applyFont="1"/>
    <xf numFmtId="170" fontId="0" fillId="0" borderId="0" xfId="0" applyNumberFormat="1"/>
    <xf numFmtId="0" fontId="10" fillId="0" borderId="25" xfId="0" applyFont="1" applyBorder="1" applyAlignment="1">
      <alignment horizontal="center"/>
    </xf>
    <xf numFmtId="0" fontId="4" fillId="0" borderId="9" xfId="2"/>
    <xf numFmtId="180" fontId="4" fillId="0" borderId="9" xfId="2" applyNumberFormat="1"/>
    <xf numFmtId="180" fontId="4" fillId="0" borderId="25" xfId="2" applyNumberFormat="1" applyBorder="1"/>
    <xf numFmtId="9" fontId="0" fillId="5" borderId="0" xfId="1" applyFont="1" applyFill="1"/>
    <xf numFmtId="181" fontId="2" fillId="5" borderId="44" xfId="3" applyNumberFormat="1" applyFont="1" applyFill="1" applyBorder="1"/>
    <xf numFmtId="3" fontId="2" fillId="32" borderId="45" xfId="0" applyNumberFormat="1" applyFont="1" applyFill="1" applyBorder="1"/>
    <xf numFmtId="0" fontId="2" fillId="31" borderId="23" xfId="0" applyFont="1" applyFill="1" applyBorder="1"/>
    <xf numFmtId="0" fontId="2" fillId="31" borderId="29" xfId="0" applyFont="1" applyFill="1" applyBorder="1"/>
    <xf numFmtId="0" fontId="2" fillId="31" borderId="30" xfId="0" applyFont="1" applyFill="1" applyBorder="1"/>
    <xf numFmtId="4" fontId="2" fillId="31" borderId="60" xfId="0" applyNumberFormat="1" applyFont="1" applyFill="1" applyBorder="1"/>
    <xf numFmtId="4" fontId="2" fillId="33" borderId="45" xfId="0" applyNumberFormat="1" applyFont="1" applyFill="1" applyBorder="1"/>
    <xf numFmtId="0" fontId="2" fillId="5" borderId="29" xfId="0" applyFont="1" applyFill="1" applyBorder="1"/>
    <xf numFmtId="0" fontId="2" fillId="5" borderId="30" xfId="0" applyFont="1" applyFill="1" applyBorder="1"/>
    <xf numFmtId="0" fontId="2" fillId="5" borderId="51" xfId="0" applyFont="1" applyFill="1" applyBorder="1"/>
    <xf numFmtId="4" fontId="2" fillId="5" borderId="52" xfId="0" applyNumberFormat="1" applyFont="1" applyFill="1" applyBorder="1"/>
    <xf numFmtId="3" fontId="2" fillId="5" borderId="74" xfId="0" applyNumberFormat="1" applyFont="1" applyFill="1" applyBorder="1" applyAlignment="1">
      <alignment horizontal="center"/>
    </xf>
    <xf numFmtId="4" fontId="2" fillId="5" borderId="74" xfId="0" applyNumberFormat="1" applyFont="1" applyFill="1" applyBorder="1"/>
    <xf numFmtId="4" fontId="2" fillId="32" borderId="45" xfId="0" applyNumberFormat="1" applyFont="1" applyFill="1" applyBorder="1"/>
    <xf numFmtId="4" fontId="2" fillId="5" borderId="60" xfId="0" applyNumberFormat="1" applyFont="1" applyFill="1" applyBorder="1"/>
    <xf numFmtId="0" fontId="2" fillId="5" borderId="23" xfId="0" applyFont="1" applyFill="1" applyBorder="1"/>
    <xf numFmtId="3" fontId="2" fillId="5" borderId="75" xfId="0" applyNumberFormat="1" applyFont="1" applyFill="1" applyBorder="1" applyAlignment="1">
      <alignment horizontal="center"/>
    </xf>
    <xf numFmtId="4" fontId="2" fillId="31" borderId="23" xfId="0" applyNumberFormat="1" applyFont="1" applyFill="1" applyBorder="1"/>
    <xf numFmtId="0" fontId="2" fillId="31" borderId="51" xfId="0" applyFont="1" applyFill="1" applyBorder="1"/>
    <xf numFmtId="3" fontId="2" fillId="31" borderId="75" xfId="0" applyNumberFormat="1" applyFont="1" applyFill="1" applyBorder="1" applyAlignment="1">
      <alignment horizontal="center"/>
    </xf>
    <xf numFmtId="0" fontId="31" fillId="0" borderId="25" xfId="2" applyFont="1" applyBorder="1" applyAlignment="1">
      <alignment horizontal="center" wrapText="1"/>
    </xf>
    <xf numFmtId="180" fontId="31" fillId="0" borderId="25" xfId="2" applyNumberFormat="1" applyFont="1" applyBorder="1" applyAlignment="1">
      <alignment horizontal="center" wrapText="1"/>
    </xf>
    <xf numFmtId="0" fontId="4" fillId="0" borderId="25" xfId="2" applyBorder="1"/>
    <xf numFmtId="0" fontId="10" fillId="0" borderId="25" xfId="2" applyFont="1" applyBorder="1"/>
    <xf numFmtId="0" fontId="10" fillId="0" borderId="25" xfId="2" applyFont="1" applyBorder="1" applyAlignment="1">
      <alignment horizontal="left" wrapText="1"/>
    </xf>
    <xf numFmtId="0" fontId="31" fillId="0" borderId="25" xfId="2" applyFont="1" applyBorder="1"/>
    <xf numFmtId="4" fontId="4" fillId="0" borderId="25" xfId="2" applyNumberFormat="1" applyBorder="1"/>
    <xf numFmtId="180" fontId="31" fillId="0" borderId="25" xfId="2" applyNumberFormat="1" applyFont="1" applyBorder="1"/>
    <xf numFmtId="180" fontId="31" fillId="28" borderId="9" xfId="2" applyNumberFormat="1" applyFont="1" applyFill="1"/>
    <xf numFmtId="180" fontId="31" fillId="29" borderId="25" xfId="2" applyNumberFormat="1" applyFont="1" applyFill="1" applyBorder="1"/>
    <xf numFmtId="10" fontId="31" fillId="0" borderId="25" xfId="2" applyNumberFormat="1" applyFont="1" applyBorder="1"/>
    <xf numFmtId="9" fontId="4" fillId="0" borderId="9" xfId="2" applyNumberFormat="1"/>
    <xf numFmtId="180" fontId="31" fillId="0" borderId="9" xfId="2" applyNumberFormat="1" applyFont="1"/>
    <xf numFmtId="44" fontId="0" fillId="0" borderId="25" xfId="3" applyFont="1" applyBorder="1"/>
    <xf numFmtId="0" fontId="7" fillId="3" borderId="25" xfId="0" applyFont="1" applyFill="1" applyBorder="1" applyAlignment="1">
      <alignment vertical="center"/>
    </xf>
    <xf numFmtId="167" fontId="7" fillId="3" borderId="25" xfId="0" applyNumberFormat="1" applyFont="1" applyFill="1" applyBorder="1" applyAlignment="1">
      <alignment vertical="center"/>
    </xf>
    <xf numFmtId="10" fontId="10" fillId="0" borderId="25" xfId="0" applyNumberFormat="1" applyFont="1" applyBorder="1" applyAlignment="1">
      <alignment horizontal="center"/>
    </xf>
    <xf numFmtId="174" fontId="0" fillId="0" borderId="25" xfId="3" applyNumberFormat="1" applyFont="1" applyBorder="1"/>
    <xf numFmtId="167" fontId="7" fillId="0" borderId="76" xfId="0" applyNumberFormat="1" applyFont="1" applyBorder="1" applyAlignment="1">
      <alignment horizontal="center" vertical="center" wrapText="1"/>
    </xf>
    <xf numFmtId="167" fontId="7" fillId="0" borderId="77" xfId="0" applyNumberFormat="1" applyFont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 wrapText="1"/>
    </xf>
    <xf numFmtId="167" fontId="7" fillId="0" borderId="78" xfId="0" applyNumberFormat="1" applyFont="1" applyBorder="1" applyAlignment="1">
      <alignment horizontal="center" vertical="center" wrapText="1"/>
    </xf>
    <xf numFmtId="0" fontId="10" fillId="0" borderId="25" xfId="0" applyFont="1" applyBorder="1"/>
    <xf numFmtId="0" fontId="10" fillId="0" borderId="25" xfId="0" applyFont="1" applyFill="1" applyBorder="1"/>
    <xf numFmtId="0" fontId="0" fillId="0" borderId="25" xfId="0" applyBorder="1"/>
    <xf numFmtId="1" fontId="0" fillId="0" borderId="25" xfId="0" applyNumberFormat="1" applyBorder="1"/>
    <xf numFmtId="167" fontId="7" fillId="0" borderId="25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82" fontId="0" fillId="0" borderId="25" xfId="0" applyNumberFormat="1" applyBorder="1"/>
    <xf numFmtId="169" fontId="0" fillId="0" borderId="0" xfId="0" applyNumberFormat="1"/>
    <xf numFmtId="0" fontId="0" fillId="29" borderId="25" xfId="0" applyFill="1" applyBorder="1"/>
    <xf numFmtId="44" fontId="0" fillId="29" borderId="25" xfId="3" applyFont="1" applyFill="1" applyBorder="1"/>
    <xf numFmtId="9" fontId="0" fillId="29" borderId="25" xfId="0" applyNumberFormat="1" applyFill="1" applyBorder="1"/>
    <xf numFmtId="170" fontId="30" fillId="29" borderId="25" xfId="0" applyNumberFormat="1" applyFont="1" applyFill="1" applyBorder="1"/>
    <xf numFmtId="44" fontId="0" fillId="29" borderId="25" xfId="3" applyNumberFormat="1" applyFont="1" applyFill="1" applyBorder="1"/>
    <xf numFmtId="170" fontId="0" fillId="0" borderId="25" xfId="0" applyNumberFormat="1" applyBorder="1"/>
    <xf numFmtId="0" fontId="2" fillId="28" borderId="31" xfId="0" applyFont="1" applyFill="1" applyBorder="1" applyAlignment="1">
      <alignment horizontal="center"/>
    </xf>
    <xf numFmtId="183" fontId="34" fillId="0" borderId="9" xfId="56" applyFont="1" applyAlignment="1">
      <alignment horizontal="center" vertical="center" wrapText="1"/>
    </xf>
    <xf numFmtId="183" fontId="34" fillId="0" borderId="9" xfId="56" applyFont="1" applyAlignment="1">
      <alignment vertical="center"/>
    </xf>
    <xf numFmtId="175" fontId="34" fillId="0" borderId="9" xfId="56" applyNumberFormat="1" applyFont="1" applyAlignment="1">
      <alignment vertical="center"/>
    </xf>
    <xf numFmtId="183" fontId="33" fillId="0" borderId="25" xfId="56" applyFont="1" applyBorder="1" applyAlignment="1">
      <alignment horizontal="left" vertical="center" wrapText="1"/>
    </xf>
    <xf numFmtId="175" fontId="34" fillId="0" borderId="25" xfId="56" applyNumberFormat="1" applyFont="1" applyBorder="1" applyAlignment="1">
      <alignment horizontal="center" vertical="center" wrapText="1"/>
    </xf>
    <xf numFmtId="185" fontId="35" fillId="0" borderId="25" xfId="1" applyNumberFormat="1" applyFont="1" applyFill="1" applyBorder="1" applyAlignment="1">
      <alignment horizontal="center" vertical="center"/>
    </xf>
    <xf numFmtId="10" fontId="34" fillId="0" borderId="25" xfId="1" applyNumberFormat="1" applyFont="1" applyFill="1" applyBorder="1" applyAlignment="1">
      <alignment horizontal="center" vertical="center" wrapText="1"/>
    </xf>
    <xf numFmtId="183" fontId="33" fillId="0" borderId="9" xfId="56" applyFont="1" applyAlignment="1">
      <alignment horizontal="center" vertical="center" wrapText="1"/>
    </xf>
    <xf numFmtId="175" fontId="34" fillId="0" borderId="9" xfId="56" applyNumberFormat="1" applyFont="1" applyAlignment="1">
      <alignment horizontal="center" vertical="center" wrapText="1"/>
    </xf>
    <xf numFmtId="183" fontId="33" fillId="0" borderId="25" xfId="56" applyFont="1" applyBorder="1" applyAlignment="1">
      <alignment horizontal="center" vertical="center" wrapText="1"/>
    </xf>
    <xf numFmtId="183" fontId="33" fillId="0" borderId="25" xfId="56" applyFont="1" applyBorder="1" applyAlignment="1">
      <alignment horizontal="justify" vertical="center" wrapText="1"/>
    </xf>
    <xf numFmtId="9" fontId="34" fillId="0" borderId="25" xfId="56" applyNumberFormat="1" applyFont="1" applyBorder="1" applyAlignment="1">
      <alignment horizontal="center" vertical="center" wrapText="1"/>
    </xf>
    <xf numFmtId="186" fontId="34" fillId="0" borderId="25" xfId="56" applyNumberFormat="1" applyFont="1" applyBorder="1" applyAlignment="1">
      <alignment horizontal="center" vertical="center"/>
    </xf>
    <xf numFmtId="10" fontId="34" fillId="0" borderId="25" xfId="1" applyNumberFormat="1" applyFont="1" applyFill="1" applyBorder="1" applyAlignment="1">
      <alignment horizontal="center" vertical="center"/>
    </xf>
    <xf numFmtId="175" fontId="34" fillId="0" borderId="25" xfId="56" applyNumberFormat="1" applyFont="1" applyBorder="1" applyAlignment="1">
      <alignment vertical="center"/>
    </xf>
    <xf numFmtId="183" fontId="33" fillId="0" borderId="25" xfId="56" applyFont="1" applyBorder="1" applyAlignment="1">
      <alignment horizontal="center" vertical="center"/>
    </xf>
    <xf numFmtId="175" fontId="33" fillId="0" borderId="25" xfId="56" applyNumberFormat="1" applyFont="1" applyBorder="1" applyAlignment="1">
      <alignment horizontal="center" vertical="center"/>
    </xf>
    <xf numFmtId="5" fontId="34" fillId="0" borderId="25" xfId="56" applyNumberFormat="1" applyFont="1" applyBorder="1" applyAlignment="1">
      <alignment horizontal="center" vertical="center" wrapText="1"/>
    </xf>
    <xf numFmtId="185" fontId="34" fillId="0" borderId="25" xfId="56" applyNumberFormat="1" applyFont="1" applyBorder="1" applyAlignment="1">
      <alignment horizontal="center" vertical="center" wrapText="1"/>
    </xf>
    <xf numFmtId="10" fontId="34" fillId="0" borderId="25" xfId="56" applyNumberFormat="1" applyFont="1" applyBorder="1" applyAlignment="1">
      <alignment horizontal="center" vertical="center"/>
    </xf>
    <xf numFmtId="168" fontId="34" fillId="0" borderId="25" xfId="3" applyNumberFormat="1" applyFont="1" applyFill="1" applyBorder="1" applyAlignment="1">
      <alignment vertical="center"/>
    </xf>
    <xf numFmtId="44" fontId="0" fillId="0" borderId="0" xfId="3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0" fillId="29" borderId="38" xfId="0" applyFont="1" applyFill="1" applyBorder="1" applyAlignment="1">
      <alignment horizontal="center"/>
    </xf>
    <xf numFmtId="0" fontId="30" fillId="29" borderId="35" xfId="0" applyFont="1" applyFill="1" applyBorder="1" applyAlignment="1">
      <alignment horizontal="center"/>
    </xf>
    <xf numFmtId="167" fontId="3" fillId="0" borderId="6" xfId="0" applyNumberFormat="1" applyFont="1" applyBorder="1" applyAlignment="1">
      <alignment horizontal="left" vertical="center" wrapText="1"/>
    </xf>
    <xf numFmtId="167" fontId="3" fillId="0" borderId="11" xfId="0" applyNumberFormat="1" applyFont="1" applyBorder="1" applyAlignment="1">
      <alignment horizontal="left" vertical="center" wrapText="1"/>
    </xf>
    <xf numFmtId="167" fontId="3" fillId="0" borderId="8" xfId="0" applyNumberFormat="1" applyFont="1" applyBorder="1" applyAlignment="1">
      <alignment horizontal="left" vertical="center" wrapText="1"/>
    </xf>
    <xf numFmtId="167" fontId="7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/>
    <xf numFmtId="0" fontId="4" fillId="0" borderId="8" xfId="0" applyFont="1" applyBorder="1"/>
    <xf numFmtId="2" fontId="7" fillId="0" borderId="6" xfId="0" applyNumberFormat="1" applyFont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167" fontId="7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8" fillId="4" borderId="25" xfId="0" applyFont="1" applyFill="1" applyBorder="1" applyAlignment="1">
      <alignment horizontal="center" wrapText="1"/>
    </xf>
    <xf numFmtId="167" fontId="7" fillId="3" borderId="25" xfId="0" applyNumberFormat="1" applyFont="1" applyFill="1" applyBorder="1" applyAlignment="1">
      <alignment horizontal="center" vertical="center"/>
    </xf>
    <xf numFmtId="0" fontId="4" fillId="30" borderId="38" xfId="2" applyFill="1" applyBorder="1" applyAlignment="1">
      <alignment horizontal="center"/>
    </xf>
    <xf numFmtId="0" fontId="4" fillId="30" borderId="34" xfId="2" applyFill="1" applyBorder="1" applyAlignment="1">
      <alignment horizontal="center"/>
    </xf>
    <xf numFmtId="0" fontId="4" fillId="30" borderId="35" xfId="2" applyFill="1" applyBorder="1" applyAlignment="1">
      <alignment horizontal="center"/>
    </xf>
    <xf numFmtId="0" fontId="31" fillId="0" borderId="38" xfId="2" applyFont="1" applyBorder="1" applyAlignment="1">
      <alignment horizontal="center"/>
    </xf>
    <xf numFmtId="0" fontId="31" fillId="0" borderId="34" xfId="2" applyFont="1" applyBorder="1" applyAlignment="1">
      <alignment horizontal="center"/>
    </xf>
    <xf numFmtId="0" fontId="31" fillId="0" borderId="35" xfId="2" applyFont="1" applyBorder="1" applyAlignment="1">
      <alignment horizontal="center"/>
    </xf>
    <xf numFmtId="183" fontId="33" fillId="0" borderId="38" xfId="56" applyFont="1" applyBorder="1" applyAlignment="1">
      <alignment horizontal="center" vertical="center"/>
    </xf>
    <xf numFmtId="183" fontId="33" fillId="0" borderId="34" xfId="56" applyFont="1" applyBorder="1" applyAlignment="1">
      <alignment horizontal="center" vertical="center"/>
    </xf>
    <xf numFmtId="183" fontId="33" fillId="0" borderId="35" xfId="56" applyFont="1" applyBorder="1" applyAlignment="1">
      <alignment horizontal="center" vertical="center"/>
    </xf>
    <xf numFmtId="184" fontId="34" fillId="0" borderId="38" xfId="56" applyNumberFormat="1" applyFont="1" applyBorder="1" applyAlignment="1">
      <alignment horizontal="center" vertical="center" wrapText="1"/>
    </xf>
    <xf numFmtId="184" fontId="34" fillId="0" borderId="35" xfId="56" applyNumberFormat="1" applyFont="1" applyBorder="1" applyAlignment="1">
      <alignment horizontal="center" vertical="center" wrapText="1"/>
    </xf>
    <xf numFmtId="186" fontId="35" fillId="0" borderId="25" xfId="1" applyNumberFormat="1" applyFont="1" applyFill="1" applyBorder="1" applyAlignment="1">
      <alignment horizontal="center" vertical="center"/>
    </xf>
    <xf numFmtId="175" fontId="34" fillId="0" borderId="25" xfId="56" applyNumberFormat="1" applyFont="1" applyBorder="1" applyAlignment="1">
      <alignment horizontal="center" vertical="center" wrapText="1"/>
    </xf>
    <xf numFmtId="0" fontId="31" fillId="0" borderId="25" xfId="2" applyFont="1" applyBorder="1" applyAlignment="1">
      <alignment horizontal="left"/>
    </xf>
    <xf numFmtId="183" fontId="33" fillId="0" borderId="25" xfId="56" applyFont="1" applyBorder="1" applyAlignment="1">
      <alignment horizontal="center" vertical="center" wrapText="1"/>
    </xf>
    <xf numFmtId="183" fontId="33" fillId="0" borderId="25" xfId="56" applyFont="1" applyBorder="1" applyAlignment="1">
      <alignment horizontal="center" vertical="center"/>
    </xf>
    <xf numFmtId="175" fontId="33" fillId="0" borderId="25" xfId="56" applyNumberFormat="1" applyFont="1" applyBorder="1" applyAlignment="1">
      <alignment horizontal="center" vertical="center"/>
    </xf>
    <xf numFmtId="183" fontId="33" fillId="0" borderId="25" xfId="56" applyFont="1" applyBorder="1" applyAlignment="1">
      <alignment horizontal="right" vertical="center" wrapText="1"/>
    </xf>
    <xf numFmtId="183" fontId="33" fillId="0" borderId="38" xfId="56" applyFont="1" applyBorder="1" applyAlignment="1">
      <alignment horizontal="center" vertical="center" wrapText="1"/>
    </xf>
    <xf numFmtId="183" fontId="33" fillId="0" borderId="35" xfId="56" applyFont="1" applyBorder="1" applyAlignment="1">
      <alignment horizontal="center" vertical="center" wrapText="1"/>
    </xf>
    <xf numFmtId="175" fontId="34" fillId="0" borderId="38" xfId="56" applyNumberFormat="1" applyFont="1" applyBorder="1" applyAlignment="1">
      <alignment horizontal="center" vertical="center" wrapText="1"/>
    </xf>
    <xf numFmtId="175" fontId="34" fillId="0" borderId="35" xfId="56" applyNumberFormat="1" applyFont="1" applyBorder="1" applyAlignment="1">
      <alignment horizontal="center" vertical="center" wrapText="1"/>
    </xf>
    <xf numFmtId="167" fontId="3" fillId="0" borderId="25" xfId="0" applyNumberFormat="1" applyFont="1" applyBorder="1" applyAlignment="1">
      <alignment horizontal="left" vertical="center" wrapText="1"/>
    </xf>
    <xf numFmtId="167" fontId="7" fillId="0" borderId="25" xfId="0" applyNumberFormat="1" applyFont="1" applyBorder="1" applyAlignment="1">
      <alignment horizontal="center" vertical="center" wrapText="1"/>
    </xf>
    <xf numFmtId="0" fontId="4" fillId="0" borderId="25" xfId="0" applyFont="1" applyBorder="1"/>
    <xf numFmtId="167" fontId="7" fillId="0" borderId="6" xfId="0" applyNumberFormat="1" applyFont="1" applyBorder="1" applyAlignment="1">
      <alignment horizontal="center" vertical="center" wrapText="1"/>
    </xf>
    <xf numFmtId="0" fontId="4" fillId="0" borderId="11" xfId="0" applyFont="1" applyBorder="1"/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29" xfId="0" applyFont="1" applyFill="1" applyBorder="1" applyAlignment="1">
      <alignment horizontal="center"/>
    </xf>
    <xf numFmtId="0" fontId="2" fillId="5" borderId="30" xfId="0" applyFont="1" applyFill="1" applyBorder="1" applyAlignment="1">
      <alignment horizontal="center"/>
    </xf>
    <xf numFmtId="0" fontId="2" fillId="5" borderId="53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left"/>
    </xf>
    <xf numFmtId="0" fontId="2" fillId="5" borderId="34" xfId="0" applyFont="1" applyFill="1" applyBorder="1" applyAlignment="1">
      <alignment horizontal="left"/>
    </xf>
    <xf numFmtId="0" fontId="2" fillId="5" borderId="54" xfId="0" applyFont="1" applyFill="1" applyBorder="1" applyAlignment="1">
      <alignment horizontal="left"/>
    </xf>
    <xf numFmtId="0" fontId="2" fillId="5" borderId="39" xfId="0" applyFont="1" applyFill="1" applyBorder="1" applyAlignment="1">
      <alignment horizontal="left"/>
    </xf>
    <xf numFmtId="0" fontId="2" fillId="5" borderId="40" xfId="0" applyFont="1" applyFill="1" applyBorder="1" applyAlignment="1">
      <alignment horizontal="left"/>
    </xf>
    <xf numFmtId="0" fontId="2" fillId="5" borderId="58" xfId="0" applyFont="1" applyFill="1" applyBorder="1" applyAlignment="1">
      <alignment horizontal="left"/>
    </xf>
    <xf numFmtId="0" fontId="2" fillId="31" borderId="29" xfId="0" applyFont="1" applyFill="1" applyBorder="1" applyAlignment="1">
      <alignment horizontal="center"/>
    </xf>
    <xf numFmtId="0" fontId="2" fillId="31" borderId="30" xfId="0" applyFont="1" applyFill="1" applyBorder="1" applyAlignment="1">
      <alignment horizontal="center"/>
    </xf>
    <xf numFmtId="0" fontId="2" fillId="31" borderId="53" xfId="0" applyFont="1" applyFill="1" applyBorder="1" applyAlignment="1">
      <alignment horizontal="center"/>
    </xf>
    <xf numFmtId="0" fontId="2" fillId="31" borderId="33" xfId="0" applyFont="1" applyFill="1" applyBorder="1" applyAlignment="1">
      <alignment horizontal="left"/>
    </xf>
    <xf numFmtId="0" fontId="2" fillId="31" borderId="34" xfId="0" applyFont="1" applyFill="1" applyBorder="1" applyAlignment="1">
      <alignment horizontal="left"/>
    </xf>
    <xf numFmtId="0" fontId="2" fillId="31" borderId="54" xfId="0" applyFont="1" applyFill="1" applyBorder="1" applyAlignment="1">
      <alignment horizontal="left"/>
    </xf>
    <xf numFmtId="0" fontId="2" fillId="31" borderId="39" xfId="0" applyFont="1" applyFill="1" applyBorder="1" applyAlignment="1">
      <alignment horizontal="left"/>
    </xf>
    <xf numFmtId="0" fontId="2" fillId="31" borderId="40" xfId="0" applyFont="1" applyFill="1" applyBorder="1" applyAlignment="1">
      <alignment horizontal="left"/>
    </xf>
    <xf numFmtId="0" fontId="2" fillId="31" borderId="58" xfId="0" applyFont="1" applyFill="1" applyBorder="1" applyAlignment="1">
      <alignment horizontal="left"/>
    </xf>
    <xf numFmtId="0" fontId="2" fillId="5" borderId="39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left"/>
    </xf>
    <xf numFmtId="0" fontId="11" fillId="31" borderId="39" xfId="0" applyFont="1" applyFill="1" applyBorder="1" applyAlignment="1">
      <alignment horizontal="left" vertical="center"/>
    </xf>
    <xf numFmtId="0" fontId="11" fillId="31" borderId="40" xfId="0" applyFont="1" applyFill="1" applyBorder="1" applyAlignment="1">
      <alignment horizontal="left" vertical="center"/>
    </xf>
    <xf numFmtId="0" fontId="11" fillId="31" borderId="58" xfId="0" applyFont="1" applyFill="1" applyBorder="1" applyAlignment="1">
      <alignment horizontal="left" vertical="center"/>
    </xf>
    <xf numFmtId="0" fontId="6" fillId="31" borderId="22" xfId="0" applyFont="1" applyFill="1" applyBorder="1"/>
    <xf numFmtId="0" fontId="11" fillId="31" borderId="33" xfId="0" applyFont="1" applyFill="1" applyBorder="1" applyAlignment="1">
      <alignment horizontal="left" vertical="center"/>
    </xf>
    <xf numFmtId="0" fontId="11" fillId="31" borderId="35" xfId="0" applyFont="1" applyFill="1" applyBorder="1" applyAlignment="1">
      <alignment horizontal="left" vertical="center"/>
    </xf>
    <xf numFmtId="0" fontId="7" fillId="31" borderId="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6" fillId="31" borderId="26" xfId="0" applyFont="1" applyFill="1" applyBorder="1" applyAlignment="1">
      <alignment horizontal="center" vertical="center"/>
    </xf>
    <xf numFmtId="0" fontId="6" fillId="31" borderId="27" xfId="0" applyFont="1" applyFill="1" applyBorder="1" applyAlignment="1">
      <alignment horizontal="center" vertical="center"/>
    </xf>
    <xf numFmtId="0" fontId="6" fillId="31" borderId="70" xfId="0" applyFont="1" applyFill="1" applyBorder="1" applyAlignment="1">
      <alignment horizontal="center" vertical="center"/>
    </xf>
    <xf numFmtId="0" fontId="6" fillId="31" borderId="19" xfId="0" applyFont="1" applyFill="1" applyBorder="1" applyAlignment="1">
      <alignment horizontal="center" vertical="center"/>
    </xf>
    <xf numFmtId="0" fontId="6" fillId="31" borderId="9" xfId="0" applyFont="1" applyFill="1" applyBorder="1" applyAlignment="1">
      <alignment horizontal="center" vertical="center"/>
    </xf>
    <xf numFmtId="0" fontId="6" fillId="31" borderId="15" xfId="0" applyFont="1" applyFill="1" applyBorder="1" applyAlignment="1">
      <alignment horizontal="center" vertical="center"/>
    </xf>
    <xf numFmtId="0" fontId="6" fillId="31" borderId="24" xfId="0" applyFont="1" applyFill="1" applyBorder="1" applyAlignment="1">
      <alignment horizontal="center" vertical="center"/>
    </xf>
    <xf numFmtId="0" fontId="6" fillId="31" borderId="22" xfId="0" applyFont="1" applyFill="1" applyBorder="1" applyAlignment="1">
      <alignment horizontal="center" vertical="center"/>
    </xf>
    <xf numFmtId="0" fontId="6" fillId="31" borderId="72" xfId="0" applyFont="1" applyFill="1" applyBorder="1" applyAlignment="1">
      <alignment horizontal="center" vertical="center"/>
    </xf>
    <xf numFmtId="0" fontId="7" fillId="31" borderId="32" xfId="0" applyFont="1" applyFill="1" applyBorder="1" applyAlignment="1">
      <alignment horizontal="center" vertical="center"/>
    </xf>
    <xf numFmtId="0" fontId="7" fillId="31" borderId="71" xfId="0" applyFont="1" applyFill="1" applyBorder="1" applyAlignment="1">
      <alignment horizontal="center" vertical="center"/>
    </xf>
    <xf numFmtId="0" fontId="7" fillId="31" borderId="26" xfId="0" applyFont="1" applyFill="1" applyBorder="1" applyAlignment="1">
      <alignment horizontal="center" vertical="center" wrapText="1"/>
    </xf>
    <xf numFmtId="0" fontId="7" fillId="31" borderId="27" xfId="0" applyFont="1" applyFill="1" applyBorder="1" applyAlignment="1">
      <alignment horizontal="center" vertical="center" wrapText="1"/>
    </xf>
    <xf numFmtId="0" fontId="7" fillId="31" borderId="70" xfId="0" applyFont="1" applyFill="1" applyBorder="1" applyAlignment="1">
      <alignment horizontal="center" vertical="center" wrapText="1"/>
    </xf>
    <xf numFmtId="0" fontId="7" fillId="31" borderId="21" xfId="0" applyFont="1" applyFill="1" applyBorder="1" applyAlignment="1">
      <alignment horizontal="center" vertical="center" wrapText="1"/>
    </xf>
    <xf numFmtId="0" fontId="7" fillId="31" borderId="17" xfId="0" applyFont="1" applyFill="1" applyBorder="1" applyAlignment="1">
      <alignment horizontal="center" vertical="center" wrapText="1"/>
    </xf>
    <xf numFmtId="0" fontId="7" fillId="31" borderId="18" xfId="0" applyFont="1" applyFill="1" applyBorder="1" applyAlignment="1">
      <alignment horizontal="center" vertical="center" wrapText="1"/>
    </xf>
    <xf numFmtId="0" fontId="6" fillId="31" borderId="73" xfId="0" applyFont="1" applyFill="1" applyBorder="1" applyAlignment="1">
      <alignment horizontal="center" vertical="center"/>
    </xf>
    <xf numFmtId="0" fontId="6" fillId="31" borderId="16" xfId="0" applyFont="1" applyFill="1" applyBorder="1" applyAlignment="1">
      <alignment horizontal="center" vertical="center"/>
    </xf>
    <xf numFmtId="0" fontId="6" fillId="31" borderId="18" xfId="0" applyFont="1" applyFill="1" applyBorder="1" applyAlignment="1">
      <alignment horizontal="center" vertical="center"/>
    </xf>
    <xf numFmtId="0" fontId="2" fillId="31" borderId="33" xfId="0" applyFont="1" applyFill="1" applyBorder="1" applyAlignment="1">
      <alignment horizontal="center"/>
    </xf>
    <xf numFmtId="0" fontId="2" fillId="31" borderId="34" xfId="0" applyFont="1" applyFill="1" applyBorder="1" applyAlignment="1">
      <alignment horizontal="center"/>
    </xf>
    <xf numFmtId="0" fontId="2" fillId="31" borderId="54" xfId="0" applyFont="1" applyFill="1" applyBorder="1" applyAlignment="1">
      <alignment horizontal="center"/>
    </xf>
    <xf numFmtId="0" fontId="11" fillId="31" borderId="41" xfId="0" applyFont="1" applyFill="1" applyBorder="1" applyAlignment="1">
      <alignment horizontal="left" vertical="center"/>
    </xf>
    <xf numFmtId="0" fontId="11" fillId="31" borderId="34" xfId="0" applyFont="1" applyFill="1" applyBorder="1" applyAlignment="1">
      <alignment horizontal="left" vertical="center"/>
    </xf>
    <xf numFmtId="0" fontId="11" fillId="31" borderId="54" xfId="0" applyFont="1" applyFill="1" applyBorder="1" applyAlignment="1">
      <alignment horizontal="left" vertical="center"/>
    </xf>
    <xf numFmtId="0" fontId="2" fillId="5" borderId="34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left"/>
    </xf>
    <xf numFmtId="0" fontId="2" fillId="5" borderId="31" xfId="0" applyFont="1" applyFill="1" applyBorder="1" applyAlignment="1">
      <alignment horizontal="center"/>
    </xf>
    <xf numFmtId="0" fontId="11" fillId="5" borderId="33" xfId="0" applyFont="1" applyFill="1" applyBorder="1" applyAlignment="1">
      <alignment horizontal="left" vertical="center"/>
    </xf>
    <xf numFmtId="0" fontId="11" fillId="5" borderId="34" xfId="0" applyFont="1" applyFill="1" applyBorder="1" applyAlignment="1">
      <alignment horizontal="left" vertical="center"/>
    </xf>
    <xf numFmtId="0" fontId="11" fillId="5" borderId="35" xfId="0" applyFont="1" applyFill="1" applyBorder="1" applyAlignment="1">
      <alignment horizontal="left" vertical="center"/>
    </xf>
    <xf numFmtId="0" fontId="7" fillId="5" borderId="32" xfId="0" quotePrefix="1" applyFont="1" applyFill="1" applyBorder="1" applyAlignment="1">
      <alignment horizontal="center" vertical="center"/>
    </xf>
    <xf numFmtId="0" fontId="7" fillId="5" borderId="44" xfId="0" quotePrefix="1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left" vertical="center"/>
    </xf>
    <xf numFmtId="0" fontId="11" fillId="5" borderId="40" xfId="0" applyFont="1" applyFill="1" applyBorder="1" applyAlignment="1">
      <alignment horizontal="left" vertical="center"/>
    </xf>
    <xf numFmtId="0" fontId="11" fillId="5" borderId="41" xfId="0" applyFont="1" applyFill="1" applyBorder="1" applyAlignment="1">
      <alignment horizontal="left" vertical="center"/>
    </xf>
  </cellXfs>
  <cellStyles count="57">
    <cellStyle name="20% - Énfasis1 2" xfId="4" xr:uid="{00000000-0005-0000-0000-000000000000}"/>
    <cellStyle name="20% - Énfasis2 2" xfId="5" xr:uid="{00000000-0005-0000-0000-000001000000}"/>
    <cellStyle name="20% - Énfasis3 2" xfId="6" xr:uid="{00000000-0005-0000-0000-000002000000}"/>
    <cellStyle name="20% - Énfasis4 2" xfId="7" xr:uid="{00000000-0005-0000-0000-000003000000}"/>
    <cellStyle name="20% - Énfasis5 2" xfId="8" xr:uid="{00000000-0005-0000-0000-000004000000}"/>
    <cellStyle name="20% - Énfasis6 2" xfId="9" xr:uid="{00000000-0005-0000-0000-000005000000}"/>
    <cellStyle name="40% - Énfasis1 2" xfId="10" xr:uid="{00000000-0005-0000-0000-000006000000}"/>
    <cellStyle name="40% - Énfasis2 2" xfId="11" xr:uid="{00000000-0005-0000-0000-000007000000}"/>
    <cellStyle name="40% - Énfasis3 2" xfId="12" xr:uid="{00000000-0005-0000-0000-000008000000}"/>
    <cellStyle name="40% - Énfasis4 2" xfId="13" xr:uid="{00000000-0005-0000-0000-000009000000}"/>
    <cellStyle name="40% - Énfasis5 2" xfId="14" xr:uid="{00000000-0005-0000-0000-00000A000000}"/>
    <cellStyle name="40% - Énfasis6 2" xfId="15" xr:uid="{00000000-0005-0000-0000-00000B000000}"/>
    <cellStyle name="60% - Énfasis1 2" xfId="16" xr:uid="{00000000-0005-0000-0000-00000C000000}"/>
    <cellStyle name="60% - Énfasis2 2" xfId="17" xr:uid="{00000000-0005-0000-0000-00000D000000}"/>
    <cellStyle name="60% - Énfasis3 2" xfId="18" xr:uid="{00000000-0005-0000-0000-00000E000000}"/>
    <cellStyle name="60% - Énfasis4 2" xfId="19" xr:uid="{00000000-0005-0000-0000-00000F000000}"/>
    <cellStyle name="60% - Énfasis5 2" xfId="20" xr:uid="{00000000-0005-0000-0000-000010000000}"/>
    <cellStyle name="60% - Énfasis6 2" xfId="21" xr:uid="{00000000-0005-0000-0000-000011000000}"/>
    <cellStyle name="Buena 2" xfId="22" xr:uid="{00000000-0005-0000-0000-000012000000}"/>
    <cellStyle name="Cálculo 2" xfId="23" xr:uid="{00000000-0005-0000-0000-000013000000}"/>
    <cellStyle name="Celda de comprobación 2" xfId="24" xr:uid="{00000000-0005-0000-0000-000014000000}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 2" xfId="31" xr:uid="{00000000-0005-0000-0000-00001B000000}"/>
    <cellStyle name="Énfasis6 2" xfId="32" xr:uid="{00000000-0005-0000-0000-00001C000000}"/>
    <cellStyle name="Entrada 2" xfId="33" xr:uid="{00000000-0005-0000-0000-00001D000000}"/>
    <cellStyle name="Euro" xfId="34" xr:uid="{00000000-0005-0000-0000-00001E000000}"/>
    <cellStyle name="Hipervínculo 2" xfId="35" xr:uid="{00000000-0005-0000-0000-00001F000000}"/>
    <cellStyle name="Incorrecto 2" xfId="36" xr:uid="{00000000-0005-0000-0000-000020000000}"/>
    <cellStyle name="Millares [0] 2" xfId="37" xr:uid="{00000000-0005-0000-0000-000021000000}"/>
    <cellStyle name="Millares 2" xfId="38" xr:uid="{00000000-0005-0000-0000-000022000000}"/>
    <cellStyle name="Moneda" xfId="3" builtinId="4"/>
    <cellStyle name="Moneda [0] 2" xfId="40" xr:uid="{00000000-0005-0000-0000-000025000000}"/>
    <cellStyle name="Moneda 2" xfId="41" xr:uid="{00000000-0005-0000-0000-000026000000}"/>
    <cellStyle name="Moneda 3" xfId="39" xr:uid="{00000000-0005-0000-0000-000027000000}"/>
    <cellStyle name="Neutral 2" xfId="42" xr:uid="{00000000-0005-0000-0000-000029000000}"/>
    <cellStyle name="Normal" xfId="0" builtinId="0"/>
    <cellStyle name="Normal 10" xfId="54" xr:uid="{838E2699-D847-477B-9A8C-3ABF90CD5695}"/>
    <cellStyle name="Normal 2" xfId="2" xr:uid="{00000000-0005-0000-0000-00002B000000}"/>
    <cellStyle name="Normal 4" xfId="55" xr:uid="{99DEBDBC-E93F-42BB-A68E-693B230559DA}"/>
    <cellStyle name="Normal 6 2" xfId="56" xr:uid="{CFF78EB7-6DEE-4DC2-8F9E-0B17264EBDF4}"/>
    <cellStyle name="Notas 2" xfId="43" xr:uid="{00000000-0005-0000-0000-00002C000000}"/>
    <cellStyle name="Porcentaje" xfId="1" builtinId="5"/>
    <cellStyle name="Porcentaje 2" xfId="44" xr:uid="{00000000-0005-0000-0000-00002E000000}"/>
    <cellStyle name="Porcentual 2" xfId="45" xr:uid="{00000000-0005-0000-0000-00002F000000}"/>
    <cellStyle name="Porcentual 3" xfId="46" xr:uid="{00000000-0005-0000-0000-000030000000}"/>
    <cellStyle name="Salida 2" xfId="47" xr:uid="{00000000-0005-0000-0000-000031000000}"/>
    <cellStyle name="Texto de advertencia 2" xfId="48" xr:uid="{00000000-0005-0000-0000-000032000000}"/>
    <cellStyle name="Texto explicativo 2" xfId="49" xr:uid="{00000000-0005-0000-0000-000033000000}"/>
    <cellStyle name="Título 2 2" xfId="51" xr:uid="{00000000-0005-0000-0000-000034000000}"/>
    <cellStyle name="Título 3 2" xfId="52" xr:uid="{00000000-0005-0000-0000-000035000000}"/>
    <cellStyle name="Título 4" xfId="50" xr:uid="{00000000-0005-0000-0000-000036000000}"/>
    <cellStyle name="Total 2" xfId="53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731520</xdr:colOff>
      <xdr:row>2</xdr:row>
      <xdr:rowOff>68580</xdr:rowOff>
    </xdr:from>
    <xdr:to>
      <xdr:col>2</xdr:col>
      <xdr:colOff>175260</xdr:colOff>
      <xdr:row>4</xdr:row>
      <xdr:rowOff>129540</xdr:rowOff>
    </xdr:to>
    <xdr:pic>
      <xdr:nvPicPr>
        <xdr:cNvPr id="10" name="Gráfico 1">
          <a:extLst>
            <a:ext uri="{FF2B5EF4-FFF2-40B4-BE49-F238E27FC236}">
              <a16:creationId xmlns:a16="http://schemas.microsoft.com/office/drawing/2014/main" id="{DC8B6E64-5C4A-4098-BBC3-B1C0BB40675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31520" y="411480"/>
          <a:ext cx="1013460" cy="579120"/>
        </a:xfrm>
        <a:prstGeom prst="rect">
          <a:avLst/>
        </a:prstGeom>
      </xdr:spPr>
    </xdr:pic>
    <xdr:clientData/>
  </xdr:twoCellAnchor>
  <xdr:twoCellAnchor editAs="oneCell">
    <xdr:from>
      <xdr:col>0</xdr:col>
      <xdr:colOff>693420</xdr:colOff>
      <xdr:row>46</xdr:row>
      <xdr:rowOff>129540</xdr:rowOff>
    </xdr:from>
    <xdr:to>
      <xdr:col>2</xdr:col>
      <xdr:colOff>137160</xdr:colOff>
      <xdr:row>51</xdr:row>
      <xdr:rowOff>76200</xdr:rowOff>
    </xdr:to>
    <xdr:pic>
      <xdr:nvPicPr>
        <xdr:cNvPr id="11" name="Gráfico 1">
          <a:extLst>
            <a:ext uri="{FF2B5EF4-FFF2-40B4-BE49-F238E27FC236}">
              <a16:creationId xmlns:a16="http://schemas.microsoft.com/office/drawing/2014/main" id="{BAB1D563-B442-44EA-8110-616AD6E8E6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3420" y="8161020"/>
          <a:ext cx="1013460" cy="579120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495300</xdr:colOff>
      <xdr:row>90</xdr:row>
      <xdr:rowOff>30480</xdr:rowOff>
    </xdr:from>
    <xdr:to>
      <xdr:col>1</xdr:col>
      <xdr:colOff>723900</xdr:colOff>
      <xdr:row>92</xdr:row>
      <xdr:rowOff>114300</xdr:rowOff>
    </xdr:to>
    <xdr:pic>
      <xdr:nvPicPr>
        <xdr:cNvPr id="12" name="Gráfico 1">
          <a:extLst>
            <a:ext uri="{FF2B5EF4-FFF2-40B4-BE49-F238E27FC236}">
              <a16:creationId xmlns:a16="http://schemas.microsoft.com/office/drawing/2014/main" id="{28827886-A462-46B7-A50E-676204A0804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95300" y="15361920"/>
          <a:ext cx="1013460" cy="579120"/>
        </a:xfrm>
        <a:prstGeom prst="rect">
          <a:avLst/>
        </a:prstGeom>
      </xdr:spPr>
    </xdr:pic>
    <xdr:clientData/>
  </xdr:twoCellAnchor>
  <xdr:twoCellAnchor editAs="oneCell">
    <xdr:from>
      <xdr:col>0</xdr:col>
      <xdr:colOff>586740</xdr:colOff>
      <xdr:row>131</xdr:row>
      <xdr:rowOff>38100</xdr:rowOff>
    </xdr:from>
    <xdr:to>
      <xdr:col>2</xdr:col>
      <xdr:colOff>30480</xdr:colOff>
      <xdr:row>133</xdr:row>
      <xdr:rowOff>60960</xdr:rowOff>
    </xdr:to>
    <xdr:pic>
      <xdr:nvPicPr>
        <xdr:cNvPr id="13" name="Gráfico 1">
          <a:extLst>
            <a:ext uri="{FF2B5EF4-FFF2-40B4-BE49-F238E27FC236}">
              <a16:creationId xmlns:a16="http://schemas.microsoft.com/office/drawing/2014/main" id="{861C7E9A-BEA8-4E55-8405-71882813552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6740" y="22532340"/>
          <a:ext cx="1013460" cy="579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86726-21AE-467D-8286-2F6951AF7644}">
  <dimension ref="A2:K22"/>
  <sheetViews>
    <sheetView tabSelected="1" workbookViewId="0">
      <selection activeCell="J19" sqref="J19"/>
    </sheetView>
  </sheetViews>
  <sheetFormatPr baseColWidth="10" defaultRowHeight="13.2" x14ac:dyDescent="0.25"/>
  <cols>
    <col min="9" max="9" width="13.109375" customWidth="1"/>
    <col min="10" max="10" width="13" customWidth="1"/>
    <col min="11" max="11" width="20.33203125" customWidth="1"/>
  </cols>
  <sheetData>
    <row r="2" spans="1:11" ht="12.75" customHeight="1" x14ac:dyDescent="0.25">
      <c r="A2" s="248" t="s">
        <v>101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1" x14ac:dyDescent="0.25">
      <c r="A3" s="249"/>
      <c r="B3" s="249"/>
      <c r="C3" s="249"/>
      <c r="D3" s="249"/>
      <c r="E3" s="249"/>
      <c r="F3" s="249"/>
      <c r="G3" s="249"/>
      <c r="H3" s="249"/>
      <c r="I3" s="249"/>
      <c r="J3" s="249"/>
      <c r="K3" s="249"/>
    </row>
    <row r="4" spans="1:11" ht="13.95" customHeight="1" x14ac:dyDescent="0.3">
      <c r="A4" s="264" t="s">
        <v>128</v>
      </c>
      <c r="B4" s="264"/>
      <c r="C4" s="264"/>
      <c r="D4" s="203">
        <v>3</v>
      </c>
      <c r="E4" s="204" t="s">
        <v>31</v>
      </c>
      <c r="F4" s="265"/>
      <c r="G4" s="265"/>
      <c r="H4" s="265"/>
      <c r="I4" s="265"/>
      <c r="J4" s="265"/>
      <c r="K4" s="265"/>
    </row>
    <row r="5" spans="1:11" x14ac:dyDescent="0.25">
      <c r="A5" s="207" t="s">
        <v>0</v>
      </c>
      <c r="B5" s="261" t="s">
        <v>1</v>
      </c>
      <c r="C5" s="262"/>
      <c r="D5" s="262"/>
      <c r="E5" s="262"/>
      <c r="F5" s="262"/>
      <c r="G5" s="263"/>
      <c r="H5" s="208" t="s">
        <v>2</v>
      </c>
      <c r="I5" s="209" t="s">
        <v>92</v>
      </c>
      <c r="J5" s="208" t="s">
        <v>93</v>
      </c>
      <c r="K5" s="210" t="s">
        <v>3</v>
      </c>
    </row>
    <row r="6" spans="1:11" ht="30" customHeight="1" x14ac:dyDescent="0.25">
      <c r="A6" s="2">
        <v>1</v>
      </c>
      <c r="B6" s="252" t="s">
        <v>127</v>
      </c>
      <c r="C6" s="253"/>
      <c r="D6" s="253"/>
      <c r="E6" s="253"/>
      <c r="F6" s="253"/>
      <c r="G6" s="254"/>
      <c r="H6" s="3" t="s">
        <v>40</v>
      </c>
      <c r="I6" s="4">
        <f>MEMORIAS!L5</f>
        <v>1</v>
      </c>
      <c r="J6" s="5">
        <f>'APU''S'!H43</f>
        <v>1366888</v>
      </c>
      <c r="K6" s="6">
        <f>I6*J6</f>
        <v>1366888</v>
      </c>
    </row>
    <row r="7" spans="1:11" ht="24" customHeight="1" x14ac:dyDescent="0.25">
      <c r="A7" s="2">
        <v>2</v>
      </c>
      <c r="B7" s="252" t="s">
        <v>42</v>
      </c>
      <c r="C7" s="253"/>
      <c r="D7" s="253"/>
      <c r="E7" s="253"/>
      <c r="F7" s="253"/>
      <c r="G7" s="254"/>
      <c r="H7" s="3" t="s">
        <v>45</v>
      </c>
      <c r="I7" s="80">
        <f>MEMORIAS!K10</f>
        <v>500</v>
      </c>
      <c r="J7" s="5">
        <f>'APU''S'!H87</f>
        <v>34328</v>
      </c>
      <c r="K7" s="6">
        <f t="shared" ref="K7:K9" si="0">I7*J7</f>
        <v>17164000</v>
      </c>
    </row>
    <row r="8" spans="1:11" ht="27.75" customHeight="1" x14ac:dyDescent="0.25">
      <c r="A8" s="2">
        <v>3</v>
      </c>
      <c r="B8" s="252" t="s">
        <v>43</v>
      </c>
      <c r="C8" s="253"/>
      <c r="D8" s="253"/>
      <c r="E8" s="253"/>
      <c r="F8" s="253"/>
      <c r="G8" s="254"/>
      <c r="H8" s="3" t="s">
        <v>4</v>
      </c>
      <c r="I8" s="80">
        <f>MEMORIAS!J16</f>
        <v>1500</v>
      </c>
      <c r="J8" s="5">
        <f>'APU''S'!H128</f>
        <v>2928</v>
      </c>
      <c r="K8" s="6">
        <f t="shared" si="0"/>
        <v>4392000</v>
      </c>
    </row>
    <row r="9" spans="1:11" ht="30.75" customHeight="1" x14ac:dyDescent="0.25">
      <c r="A9" s="2">
        <v>4</v>
      </c>
      <c r="B9" s="252" t="s">
        <v>41</v>
      </c>
      <c r="C9" s="253"/>
      <c r="D9" s="253"/>
      <c r="E9" s="253"/>
      <c r="F9" s="253"/>
      <c r="G9" s="254"/>
      <c r="H9" s="3" t="s">
        <v>45</v>
      </c>
      <c r="I9" s="4">
        <f>+MEMORIAS!L20</f>
        <v>450</v>
      </c>
      <c r="J9" s="5">
        <f>'APU''S'!H169</f>
        <v>34328</v>
      </c>
      <c r="K9" s="6">
        <f t="shared" si="0"/>
        <v>15447600</v>
      </c>
    </row>
    <row r="10" spans="1:11" x14ac:dyDescent="0.25">
      <c r="A10" s="7"/>
      <c r="B10" s="255"/>
      <c r="C10" s="256"/>
      <c r="D10" s="256"/>
      <c r="E10" s="256"/>
      <c r="F10" s="256"/>
      <c r="G10" s="257"/>
      <c r="H10" s="258" t="s">
        <v>5</v>
      </c>
      <c r="I10" s="259"/>
      <c r="J10" s="260"/>
      <c r="K10" s="8">
        <f>ROUND(SUM(K6:K9),0)</f>
        <v>38370488</v>
      </c>
    </row>
    <row r="11" spans="1:11" x14ac:dyDescent="0.25">
      <c r="I11" s="164" t="s">
        <v>48</v>
      </c>
      <c r="J11" s="205">
        <f ca="1">ADMINISTRACIÓN!F34</f>
        <v>0.11</v>
      </c>
      <c r="K11" s="224">
        <f ca="1">ROUNDUP(ADMINISTRACIÓN!G36,0)</f>
        <v>4220754</v>
      </c>
    </row>
    <row r="12" spans="1:11" x14ac:dyDescent="0.25">
      <c r="I12" s="250" t="s">
        <v>47</v>
      </c>
      <c r="J12" s="251"/>
      <c r="K12" s="222">
        <f ca="1">K10+K11</f>
        <v>42591242</v>
      </c>
    </row>
    <row r="13" spans="1:11" x14ac:dyDescent="0.25">
      <c r="I13" s="219" t="s">
        <v>94</v>
      </c>
      <c r="J13" s="219"/>
      <c r="K13" s="220">
        <v>42000000</v>
      </c>
    </row>
    <row r="14" spans="1:11" x14ac:dyDescent="0.25">
      <c r="I14" s="219" t="s">
        <v>95</v>
      </c>
      <c r="J14" s="221"/>
      <c r="K14" s="223">
        <f ca="1">K12-K13</f>
        <v>591242</v>
      </c>
    </row>
    <row r="15" spans="1:11" x14ac:dyDescent="0.25">
      <c r="K15" s="163"/>
    </row>
    <row r="16" spans="1:11" x14ac:dyDescent="0.25">
      <c r="J16" s="218"/>
      <c r="K16" s="163"/>
    </row>
    <row r="18" spans="11:11" x14ac:dyDescent="0.25">
      <c r="K18" s="163"/>
    </row>
    <row r="20" spans="11:11" x14ac:dyDescent="0.25">
      <c r="K20" s="247"/>
    </row>
    <row r="21" spans="11:11" x14ac:dyDescent="0.25">
      <c r="K21" s="247"/>
    </row>
    <row r="22" spans="11:11" x14ac:dyDescent="0.25">
      <c r="K22" s="247"/>
    </row>
  </sheetData>
  <mergeCells count="11">
    <mergeCell ref="A2:K3"/>
    <mergeCell ref="I12:J12"/>
    <mergeCell ref="B8:G8"/>
    <mergeCell ref="B9:G9"/>
    <mergeCell ref="B10:G10"/>
    <mergeCell ref="H10:J10"/>
    <mergeCell ref="B5:G5"/>
    <mergeCell ref="B6:G6"/>
    <mergeCell ref="B7:G7"/>
    <mergeCell ref="A4:C4"/>
    <mergeCell ref="F4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7A9B2-71CB-474A-A550-D94410F591A2}">
  <dimension ref="B2:H61"/>
  <sheetViews>
    <sheetView topLeftCell="A10" workbookViewId="0">
      <selection activeCell="F34" sqref="F34"/>
    </sheetView>
  </sheetViews>
  <sheetFormatPr baseColWidth="10" defaultRowHeight="13.2" x14ac:dyDescent="0.25"/>
  <cols>
    <col min="1" max="1" width="11.5546875" style="165"/>
    <col min="2" max="2" width="58.109375" style="165" bestFit="1" customWidth="1"/>
    <col min="3" max="4" width="11.5546875" style="165"/>
    <col min="5" max="5" width="19.44140625" style="165" customWidth="1"/>
    <col min="6" max="6" width="12.109375" style="165" bestFit="1" customWidth="1"/>
    <col min="7" max="7" width="19.33203125" style="165" customWidth="1"/>
    <col min="8" max="8" width="16.5546875" style="165" bestFit="1" customWidth="1"/>
    <col min="9" max="257" width="11.5546875" style="165"/>
    <col min="258" max="258" width="58.109375" style="165" bestFit="1" customWidth="1"/>
    <col min="259" max="260" width="11.5546875" style="165"/>
    <col min="261" max="261" width="19.44140625" style="165" customWidth="1"/>
    <col min="262" max="262" width="11.5546875" style="165"/>
    <col min="263" max="263" width="16.5546875" style="165" customWidth="1"/>
    <col min="264" max="264" width="16.5546875" style="165" bestFit="1" customWidth="1"/>
    <col min="265" max="513" width="11.5546875" style="165"/>
    <col min="514" max="514" width="58.109375" style="165" bestFit="1" customWidth="1"/>
    <col min="515" max="516" width="11.5546875" style="165"/>
    <col min="517" max="517" width="19.44140625" style="165" customWidth="1"/>
    <col min="518" max="518" width="11.5546875" style="165"/>
    <col min="519" max="519" width="16.5546875" style="165" customWidth="1"/>
    <col min="520" max="520" width="16.5546875" style="165" bestFit="1" customWidth="1"/>
    <col min="521" max="769" width="11.5546875" style="165"/>
    <col min="770" max="770" width="58.109375" style="165" bestFit="1" customWidth="1"/>
    <col min="771" max="772" width="11.5546875" style="165"/>
    <col min="773" max="773" width="19.44140625" style="165" customWidth="1"/>
    <col min="774" max="774" width="11.5546875" style="165"/>
    <col min="775" max="775" width="16.5546875" style="165" customWidth="1"/>
    <col min="776" max="776" width="16.5546875" style="165" bestFit="1" customWidth="1"/>
    <col min="777" max="1025" width="11.5546875" style="165"/>
    <col min="1026" max="1026" width="58.109375" style="165" bestFit="1" customWidth="1"/>
    <col min="1027" max="1028" width="11.5546875" style="165"/>
    <col min="1029" max="1029" width="19.44140625" style="165" customWidth="1"/>
    <col min="1030" max="1030" width="11.5546875" style="165"/>
    <col min="1031" max="1031" width="16.5546875" style="165" customWidth="1"/>
    <col min="1032" max="1032" width="16.5546875" style="165" bestFit="1" customWidth="1"/>
    <col min="1033" max="1281" width="11.5546875" style="165"/>
    <col min="1282" max="1282" width="58.109375" style="165" bestFit="1" customWidth="1"/>
    <col min="1283" max="1284" width="11.5546875" style="165"/>
    <col min="1285" max="1285" width="19.44140625" style="165" customWidth="1"/>
    <col min="1286" max="1286" width="11.5546875" style="165"/>
    <col min="1287" max="1287" width="16.5546875" style="165" customWidth="1"/>
    <col min="1288" max="1288" width="16.5546875" style="165" bestFit="1" customWidth="1"/>
    <col min="1289" max="1537" width="11.5546875" style="165"/>
    <col min="1538" max="1538" width="58.109375" style="165" bestFit="1" customWidth="1"/>
    <col min="1539" max="1540" width="11.5546875" style="165"/>
    <col min="1541" max="1541" width="19.44140625" style="165" customWidth="1"/>
    <col min="1542" max="1542" width="11.5546875" style="165"/>
    <col min="1543" max="1543" width="16.5546875" style="165" customWidth="1"/>
    <col min="1544" max="1544" width="16.5546875" style="165" bestFit="1" customWidth="1"/>
    <col min="1545" max="1793" width="11.5546875" style="165"/>
    <col min="1794" max="1794" width="58.109375" style="165" bestFit="1" customWidth="1"/>
    <col min="1795" max="1796" width="11.5546875" style="165"/>
    <col min="1797" max="1797" width="19.44140625" style="165" customWidth="1"/>
    <col min="1798" max="1798" width="11.5546875" style="165"/>
    <col min="1799" max="1799" width="16.5546875" style="165" customWidth="1"/>
    <col min="1800" max="1800" width="16.5546875" style="165" bestFit="1" customWidth="1"/>
    <col min="1801" max="2049" width="11.5546875" style="165"/>
    <col min="2050" max="2050" width="58.109375" style="165" bestFit="1" customWidth="1"/>
    <col min="2051" max="2052" width="11.5546875" style="165"/>
    <col min="2053" max="2053" width="19.44140625" style="165" customWidth="1"/>
    <col min="2054" max="2054" width="11.5546875" style="165"/>
    <col min="2055" max="2055" width="16.5546875" style="165" customWidth="1"/>
    <col min="2056" max="2056" width="16.5546875" style="165" bestFit="1" customWidth="1"/>
    <col min="2057" max="2305" width="11.5546875" style="165"/>
    <col min="2306" max="2306" width="58.109375" style="165" bestFit="1" customWidth="1"/>
    <col min="2307" max="2308" width="11.5546875" style="165"/>
    <col min="2309" max="2309" width="19.44140625" style="165" customWidth="1"/>
    <col min="2310" max="2310" width="11.5546875" style="165"/>
    <col min="2311" max="2311" width="16.5546875" style="165" customWidth="1"/>
    <col min="2312" max="2312" width="16.5546875" style="165" bestFit="1" customWidth="1"/>
    <col min="2313" max="2561" width="11.5546875" style="165"/>
    <col min="2562" max="2562" width="58.109375" style="165" bestFit="1" customWidth="1"/>
    <col min="2563" max="2564" width="11.5546875" style="165"/>
    <col min="2565" max="2565" width="19.44140625" style="165" customWidth="1"/>
    <col min="2566" max="2566" width="11.5546875" style="165"/>
    <col min="2567" max="2567" width="16.5546875" style="165" customWidth="1"/>
    <col min="2568" max="2568" width="16.5546875" style="165" bestFit="1" customWidth="1"/>
    <col min="2569" max="2817" width="11.5546875" style="165"/>
    <col min="2818" max="2818" width="58.109375" style="165" bestFit="1" customWidth="1"/>
    <col min="2819" max="2820" width="11.5546875" style="165"/>
    <col min="2821" max="2821" width="19.44140625" style="165" customWidth="1"/>
    <col min="2822" max="2822" width="11.5546875" style="165"/>
    <col min="2823" max="2823" width="16.5546875" style="165" customWidth="1"/>
    <col min="2824" max="2824" width="16.5546875" style="165" bestFit="1" customWidth="1"/>
    <col min="2825" max="3073" width="11.5546875" style="165"/>
    <col min="3074" max="3074" width="58.109375" style="165" bestFit="1" customWidth="1"/>
    <col min="3075" max="3076" width="11.5546875" style="165"/>
    <col min="3077" max="3077" width="19.44140625" style="165" customWidth="1"/>
    <col min="3078" max="3078" width="11.5546875" style="165"/>
    <col min="3079" max="3079" width="16.5546875" style="165" customWidth="1"/>
    <col min="3080" max="3080" width="16.5546875" style="165" bestFit="1" customWidth="1"/>
    <col min="3081" max="3329" width="11.5546875" style="165"/>
    <col min="3330" max="3330" width="58.109375" style="165" bestFit="1" customWidth="1"/>
    <col min="3331" max="3332" width="11.5546875" style="165"/>
    <col min="3333" max="3333" width="19.44140625" style="165" customWidth="1"/>
    <col min="3334" max="3334" width="11.5546875" style="165"/>
    <col min="3335" max="3335" width="16.5546875" style="165" customWidth="1"/>
    <col min="3336" max="3336" width="16.5546875" style="165" bestFit="1" customWidth="1"/>
    <col min="3337" max="3585" width="11.5546875" style="165"/>
    <col min="3586" max="3586" width="58.109375" style="165" bestFit="1" customWidth="1"/>
    <col min="3587" max="3588" width="11.5546875" style="165"/>
    <col min="3589" max="3589" width="19.44140625" style="165" customWidth="1"/>
    <col min="3590" max="3590" width="11.5546875" style="165"/>
    <col min="3591" max="3591" width="16.5546875" style="165" customWidth="1"/>
    <col min="3592" max="3592" width="16.5546875" style="165" bestFit="1" customWidth="1"/>
    <col min="3593" max="3841" width="11.5546875" style="165"/>
    <col min="3842" max="3842" width="58.109375" style="165" bestFit="1" customWidth="1"/>
    <col min="3843" max="3844" width="11.5546875" style="165"/>
    <col min="3845" max="3845" width="19.44140625" style="165" customWidth="1"/>
    <col min="3846" max="3846" width="11.5546875" style="165"/>
    <col min="3847" max="3847" width="16.5546875" style="165" customWidth="1"/>
    <col min="3848" max="3848" width="16.5546875" style="165" bestFit="1" customWidth="1"/>
    <col min="3849" max="4097" width="11.5546875" style="165"/>
    <col min="4098" max="4098" width="58.109375" style="165" bestFit="1" customWidth="1"/>
    <col min="4099" max="4100" width="11.5546875" style="165"/>
    <col min="4101" max="4101" width="19.44140625" style="165" customWidth="1"/>
    <col min="4102" max="4102" width="11.5546875" style="165"/>
    <col min="4103" max="4103" width="16.5546875" style="165" customWidth="1"/>
    <col min="4104" max="4104" width="16.5546875" style="165" bestFit="1" customWidth="1"/>
    <col min="4105" max="4353" width="11.5546875" style="165"/>
    <col min="4354" max="4354" width="58.109375" style="165" bestFit="1" customWidth="1"/>
    <col min="4355" max="4356" width="11.5546875" style="165"/>
    <col min="4357" max="4357" width="19.44140625" style="165" customWidth="1"/>
    <col min="4358" max="4358" width="11.5546875" style="165"/>
    <col min="4359" max="4359" width="16.5546875" style="165" customWidth="1"/>
    <col min="4360" max="4360" width="16.5546875" style="165" bestFit="1" customWidth="1"/>
    <col min="4361" max="4609" width="11.5546875" style="165"/>
    <col min="4610" max="4610" width="58.109375" style="165" bestFit="1" customWidth="1"/>
    <col min="4611" max="4612" width="11.5546875" style="165"/>
    <col min="4613" max="4613" width="19.44140625" style="165" customWidth="1"/>
    <col min="4614" max="4614" width="11.5546875" style="165"/>
    <col min="4615" max="4615" width="16.5546875" style="165" customWidth="1"/>
    <col min="4616" max="4616" width="16.5546875" style="165" bestFit="1" customWidth="1"/>
    <col min="4617" max="4865" width="11.5546875" style="165"/>
    <col min="4866" max="4866" width="58.109375" style="165" bestFit="1" customWidth="1"/>
    <col min="4867" max="4868" width="11.5546875" style="165"/>
    <col min="4869" max="4869" width="19.44140625" style="165" customWidth="1"/>
    <col min="4870" max="4870" width="11.5546875" style="165"/>
    <col min="4871" max="4871" width="16.5546875" style="165" customWidth="1"/>
    <col min="4872" max="4872" width="16.5546875" style="165" bestFit="1" customWidth="1"/>
    <col min="4873" max="5121" width="11.5546875" style="165"/>
    <col min="5122" max="5122" width="58.109375" style="165" bestFit="1" customWidth="1"/>
    <col min="5123" max="5124" width="11.5546875" style="165"/>
    <col min="5125" max="5125" width="19.44140625" style="165" customWidth="1"/>
    <col min="5126" max="5126" width="11.5546875" style="165"/>
    <col min="5127" max="5127" width="16.5546875" style="165" customWidth="1"/>
    <col min="5128" max="5128" width="16.5546875" style="165" bestFit="1" customWidth="1"/>
    <col min="5129" max="5377" width="11.5546875" style="165"/>
    <col min="5378" max="5378" width="58.109375" style="165" bestFit="1" customWidth="1"/>
    <col min="5379" max="5380" width="11.5546875" style="165"/>
    <col min="5381" max="5381" width="19.44140625" style="165" customWidth="1"/>
    <col min="5382" max="5382" width="11.5546875" style="165"/>
    <col min="5383" max="5383" width="16.5546875" style="165" customWidth="1"/>
    <col min="5384" max="5384" width="16.5546875" style="165" bestFit="1" customWidth="1"/>
    <col min="5385" max="5633" width="11.5546875" style="165"/>
    <col min="5634" max="5634" width="58.109375" style="165" bestFit="1" customWidth="1"/>
    <col min="5635" max="5636" width="11.5546875" style="165"/>
    <col min="5637" max="5637" width="19.44140625" style="165" customWidth="1"/>
    <col min="5638" max="5638" width="11.5546875" style="165"/>
    <col min="5639" max="5639" width="16.5546875" style="165" customWidth="1"/>
    <col min="5640" max="5640" width="16.5546875" style="165" bestFit="1" customWidth="1"/>
    <col min="5641" max="5889" width="11.5546875" style="165"/>
    <col min="5890" max="5890" width="58.109375" style="165" bestFit="1" customWidth="1"/>
    <col min="5891" max="5892" width="11.5546875" style="165"/>
    <col min="5893" max="5893" width="19.44140625" style="165" customWidth="1"/>
    <col min="5894" max="5894" width="11.5546875" style="165"/>
    <col min="5895" max="5895" width="16.5546875" style="165" customWidth="1"/>
    <col min="5896" max="5896" width="16.5546875" style="165" bestFit="1" customWidth="1"/>
    <col min="5897" max="6145" width="11.5546875" style="165"/>
    <col min="6146" max="6146" width="58.109375" style="165" bestFit="1" customWidth="1"/>
    <col min="6147" max="6148" width="11.5546875" style="165"/>
    <col min="6149" max="6149" width="19.44140625" style="165" customWidth="1"/>
    <col min="6150" max="6150" width="11.5546875" style="165"/>
    <col min="6151" max="6151" width="16.5546875" style="165" customWidth="1"/>
    <col min="6152" max="6152" width="16.5546875" style="165" bestFit="1" customWidth="1"/>
    <col min="6153" max="6401" width="11.5546875" style="165"/>
    <col min="6402" max="6402" width="58.109375" style="165" bestFit="1" customWidth="1"/>
    <col min="6403" max="6404" width="11.5546875" style="165"/>
    <col min="6405" max="6405" width="19.44140625" style="165" customWidth="1"/>
    <col min="6406" max="6406" width="11.5546875" style="165"/>
    <col min="6407" max="6407" width="16.5546875" style="165" customWidth="1"/>
    <col min="6408" max="6408" width="16.5546875" style="165" bestFit="1" customWidth="1"/>
    <col min="6409" max="6657" width="11.5546875" style="165"/>
    <col min="6658" max="6658" width="58.109375" style="165" bestFit="1" customWidth="1"/>
    <col min="6659" max="6660" width="11.5546875" style="165"/>
    <col min="6661" max="6661" width="19.44140625" style="165" customWidth="1"/>
    <col min="6662" max="6662" width="11.5546875" style="165"/>
    <col min="6663" max="6663" width="16.5546875" style="165" customWidth="1"/>
    <col min="6664" max="6664" width="16.5546875" style="165" bestFit="1" customWidth="1"/>
    <col min="6665" max="6913" width="11.5546875" style="165"/>
    <col min="6914" max="6914" width="58.109375" style="165" bestFit="1" customWidth="1"/>
    <col min="6915" max="6916" width="11.5546875" style="165"/>
    <col min="6917" max="6917" width="19.44140625" style="165" customWidth="1"/>
    <col min="6918" max="6918" width="11.5546875" style="165"/>
    <col min="6919" max="6919" width="16.5546875" style="165" customWidth="1"/>
    <col min="6920" max="6920" width="16.5546875" style="165" bestFit="1" customWidth="1"/>
    <col min="6921" max="7169" width="11.5546875" style="165"/>
    <col min="7170" max="7170" width="58.109375" style="165" bestFit="1" customWidth="1"/>
    <col min="7171" max="7172" width="11.5546875" style="165"/>
    <col min="7173" max="7173" width="19.44140625" style="165" customWidth="1"/>
    <col min="7174" max="7174" width="11.5546875" style="165"/>
    <col min="7175" max="7175" width="16.5546875" style="165" customWidth="1"/>
    <col min="7176" max="7176" width="16.5546875" style="165" bestFit="1" customWidth="1"/>
    <col min="7177" max="7425" width="11.5546875" style="165"/>
    <col min="7426" max="7426" width="58.109375" style="165" bestFit="1" customWidth="1"/>
    <col min="7427" max="7428" width="11.5546875" style="165"/>
    <col min="7429" max="7429" width="19.44140625" style="165" customWidth="1"/>
    <col min="7430" max="7430" width="11.5546875" style="165"/>
    <col min="7431" max="7431" width="16.5546875" style="165" customWidth="1"/>
    <col min="7432" max="7432" width="16.5546875" style="165" bestFit="1" customWidth="1"/>
    <col min="7433" max="7681" width="11.5546875" style="165"/>
    <col min="7682" max="7682" width="58.109375" style="165" bestFit="1" customWidth="1"/>
    <col min="7683" max="7684" width="11.5546875" style="165"/>
    <col min="7685" max="7685" width="19.44140625" style="165" customWidth="1"/>
    <col min="7686" max="7686" width="11.5546875" style="165"/>
    <col min="7687" max="7687" width="16.5546875" style="165" customWidth="1"/>
    <col min="7688" max="7688" width="16.5546875" style="165" bestFit="1" customWidth="1"/>
    <col min="7689" max="7937" width="11.5546875" style="165"/>
    <col min="7938" max="7938" width="58.109375" style="165" bestFit="1" customWidth="1"/>
    <col min="7939" max="7940" width="11.5546875" style="165"/>
    <col min="7941" max="7941" width="19.44140625" style="165" customWidth="1"/>
    <col min="7942" max="7942" width="11.5546875" style="165"/>
    <col min="7943" max="7943" width="16.5546875" style="165" customWidth="1"/>
    <col min="7944" max="7944" width="16.5546875" style="165" bestFit="1" customWidth="1"/>
    <col min="7945" max="8193" width="11.5546875" style="165"/>
    <col min="8194" max="8194" width="58.109375" style="165" bestFit="1" customWidth="1"/>
    <col min="8195" max="8196" width="11.5546875" style="165"/>
    <col min="8197" max="8197" width="19.44140625" style="165" customWidth="1"/>
    <col min="8198" max="8198" width="11.5546875" style="165"/>
    <col min="8199" max="8199" width="16.5546875" style="165" customWidth="1"/>
    <col min="8200" max="8200" width="16.5546875" style="165" bestFit="1" customWidth="1"/>
    <col min="8201" max="8449" width="11.5546875" style="165"/>
    <col min="8450" max="8450" width="58.109375" style="165" bestFit="1" customWidth="1"/>
    <col min="8451" max="8452" width="11.5546875" style="165"/>
    <col min="8453" max="8453" width="19.44140625" style="165" customWidth="1"/>
    <col min="8454" max="8454" width="11.5546875" style="165"/>
    <col min="8455" max="8455" width="16.5546875" style="165" customWidth="1"/>
    <col min="8456" max="8456" width="16.5546875" style="165" bestFit="1" customWidth="1"/>
    <col min="8457" max="8705" width="11.5546875" style="165"/>
    <col min="8706" max="8706" width="58.109375" style="165" bestFit="1" customWidth="1"/>
    <col min="8707" max="8708" width="11.5546875" style="165"/>
    <col min="8709" max="8709" width="19.44140625" style="165" customWidth="1"/>
    <col min="8710" max="8710" width="11.5546875" style="165"/>
    <col min="8711" max="8711" width="16.5546875" style="165" customWidth="1"/>
    <col min="8712" max="8712" width="16.5546875" style="165" bestFit="1" customWidth="1"/>
    <col min="8713" max="8961" width="11.5546875" style="165"/>
    <col min="8962" max="8962" width="58.109375" style="165" bestFit="1" customWidth="1"/>
    <col min="8963" max="8964" width="11.5546875" style="165"/>
    <col min="8965" max="8965" width="19.44140625" style="165" customWidth="1"/>
    <col min="8966" max="8966" width="11.5546875" style="165"/>
    <col min="8967" max="8967" width="16.5546875" style="165" customWidth="1"/>
    <col min="8968" max="8968" width="16.5546875" style="165" bestFit="1" customWidth="1"/>
    <col min="8969" max="9217" width="11.5546875" style="165"/>
    <col min="9218" max="9218" width="58.109375" style="165" bestFit="1" customWidth="1"/>
    <col min="9219" max="9220" width="11.5546875" style="165"/>
    <col min="9221" max="9221" width="19.44140625" style="165" customWidth="1"/>
    <col min="9222" max="9222" width="11.5546875" style="165"/>
    <col min="9223" max="9223" width="16.5546875" style="165" customWidth="1"/>
    <col min="9224" max="9224" width="16.5546875" style="165" bestFit="1" customWidth="1"/>
    <col min="9225" max="9473" width="11.5546875" style="165"/>
    <col min="9474" max="9474" width="58.109375" style="165" bestFit="1" customWidth="1"/>
    <col min="9475" max="9476" width="11.5546875" style="165"/>
    <col min="9477" max="9477" width="19.44140625" style="165" customWidth="1"/>
    <col min="9478" max="9478" width="11.5546875" style="165"/>
    <col min="9479" max="9479" width="16.5546875" style="165" customWidth="1"/>
    <col min="9480" max="9480" width="16.5546875" style="165" bestFit="1" customWidth="1"/>
    <col min="9481" max="9729" width="11.5546875" style="165"/>
    <col min="9730" max="9730" width="58.109375" style="165" bestFit="1" customWidth="1"/>
    <col min="9731" max="9732" width="11.5546875" style="165"/>
    <col min="9733" max="9733" width="19.44140625" style="165" customWidth="1"/>
    <col min="9734" max="9734" width="11.5546875" style="165"/>
    <col min="9735" max="9735" width="16.5546875" style="165" customWidth="1"/>
    <col min="9736" max="9736" width="16.5546875" style="165" bestFit="1" customWidth="1"/>
    <col min="9737" max="9985" width="11.5546875" style="165"/>
    <col min="9986" max="9986" width="58.109375" style="165" bestFit="1" customWidth="1"/>
    <col min="9987" max="9988" width="11.5546875" style="165"/>
    <col min="9989" max="9989" width="19.44140625" style="165" customWidth="1"/>
    <col min="9990" max="9990" width="11.5546875" style="165"/>
    <col min="9991" max="9991" width="16.5546875" style="165" customWidth="1"/>
    <col min="9992" max="9992" width="16.5546875" style="165" bestFit="1" customWidth="1"/>
    <col min="9993" max="10241" width="11.5546875" style="165"/>
    <col min="10242" max="10242" width="58.109375" style="165" bestFit="1" customWidth="1"/>
    <col min="10243" max="10244" width="11.5546875" style="165"/>
    <col min="10245" max="10245" width="19.44140625" style="165" customWidth="1"/>
    <col min="10246" max="10246" width="11.5546875" style="165"/>
    <col min="10247" max="10247" width="16.5546875" style="165" customWidth="1"/>
    <col min="10248" max="10248" width="16.5546875" style="165" bestFit="1" customWidth="1"/>
    <col min="10249" max="10497" width="11.5546875" style="165"/>
    <col min="10498" max="10498" width="58.109375" style="165" bestFit="1" customWidth="1"/>
    <col min="10499" max="10500" width="11.5546875" style="165"/>
    <col min="10501" max="10501" width="19.44140625" style="165" customWidth="1"/>
    <col min="10502" max="10502" width="11.5546875" style="165"/>
    <col min="10503" max="10503" width="16.5546875" style="165" customWidth="1"/>
    <col min="10504" max="10504" width="16.5546875" style="165" bestFit="1" customWidth="1"/>
    <col min="10505" max="10753" width="11.5546875" style="165"/>
    <col min="10754" max="10754" width="58.109375" style="165" bestFit="1" customWidth="1"/>
    <col min="10755" max="10756" width="11.5546875" style="165"/>
    <col min="10757" max="10757" width="19.44140625" style="165" customWidth="1"/>
    <col min="10758" max="10758" width="11.5546875" style="165"/>
    <col min="10759" max="10759" width="16.5546875" style="165" customWidth="1"/>
    <col min="10760" max="10760" width="16.5546875" style="165" bestFit="1" customWidth="1"/>
    <col min="10761" max="11009" width="11.5546875" style="165"/>
    <col min="11010" max="11010" width="58.109375" style="165" bestFit="1" customWidth="1"/>
    <col min="11011" max="11012" width="11.5546875" style="165"/>
    <col min="11013" max="11013" width="19.44140625" style="165" customWidth="1"/>
    <col min="11014" max="11014" width="11.5546875" style="165"/>
    <col min="11015" max="11015" width="16.5546875" style="165" customWidth="1"/>
    <col min="11016" max="11016" width="16.5546875" style="165" bestFit="1" customWidth="1"/>
    <col min="11017" max="11265" width="11.5546875" style="165"/>
    <col min="11266" max="11266" width="58.109375" style="165" bestFit="1" customWidth="1"/>
    <col min="11267" max="11268" width="11.5546875" style="165"/>
    <col min="11269" max="11269" width="19.44140625" style="165" customWidth="1"/>
    <col min="11270" max="11270" width="11.5546875" style="165"/>
    <col min="11271" max="11271" width="16.5546875" style="165" customWidth="1"/>
    <col min="11272" max="11272" width="16.5546875" style="165" bestFit="1" customWidth="1"/>
    <col min="11273" max="11521" width="11.5546875" style="165"/>
    <col min="11522" max="11522" width="58.109375" style="165" bestFit="1" customWidth="1"/>
    <col min="11523" max="11524" width="11.5546875" style="165"/>
    <col min="11525" max="11525" width="19.44140625" style="165" customWidth="1"/>
    <col min="11526" max="11526" width="11.5546875" style="165"/>
    <col min="11527" max="11527" width="16.5546875" style="165" customWidth="1"/>
    <col min="11528" max="11528" width="16.5546875" style="165" bestFit="1" customWidth="1"/>
    <col min="11529" max="11777" width="11.5546875" style="165"/>
    <col min="11778" max="11778" width="58.109375" style="165" bestFit="1" customWidth="1"/>
    <col min="11779" max="11780" width="11.5546875" style="165"/>
    <col min="11781" max="11781" width="19.44140625" style="165" customWidth="1"/>
    <col min="11782" max="11782" width="11.5546875" style="165"/>
    <col min="11783" max="11783" width="16.5546875" style="165" customWidth="1"/>
    <col min="11784" max="11784" width="16.5546875" style="165" bestFit="1" customWidth="1"/>
    <col min="11785" max="12033" width="11.5546875" style="165"/>
    <col min="12034" max="12034" width="58.109375" style="165" bestFit="1" customWidth="1"/>
    <col min="12035" max="12036" width="11.5546875" style="165"/>
    <col min="12037" max="12037" width="19.44140625" style="165" customWidth="1"/>
    <col min="12038" max="12038" width="11.5546875" style="165"/>
    <col min="12039" max="12039" width="16.5546875" style="165" customWidth="1"/>
    <col min="12040" max="12040" width="16.5546875" style="165" bestFit="1" customWidth="1"/>
    <col min="12041" max="12289" width="11.5546875" style="165"/>
    <col min="12290" max="12290" width="58.109375" style="165" bestFit="1" customWidth="1"/>
    <col min="12291" max="12292" width="11.5546875" style="165"/>
    <col min="12293" max="12293" width="19.44140625" style="165" customWidth="1"/>
    <col min="12294" max="12294" width="11.5546875" style="165"/>
    <col min="12295" max="12295" width="16.5546875" style="165" customWidth="1"/>
    <col min="12296" max="12296" width="16.5546875" style="165" bestFit="1" customWidth="1"/>
    <col min="12297" max="12545" width="11.5546875" style="165"/>
    <col min="12546" max="12546" width="58.109375" style="165" bestFit="1" customWidth="1"/>
    <col min="12547" max="12548" width="11.5546875" style="165"/>
    <col min="12549" max="12549" width="19.44140625" style="165" customWidth="1"/>
    <col min="12550" max="12550" width="11.5546875" style="165"/>
    <col min="12551" max="12551" width="16.5546875" style="165" customWidth="1"/>
    <col min="12552" max="12552" width="16.5546875" style="165" bestFit="1" customWidth="1"/>
    <col min="12553" max="12801" width="11.5546875" style="165"/>
    <col min="12802" max="12802" width="58.109375" style="165" bestFit="1" customWidth="1"/>
    <col min="12803" max="12804" width="11.5546875" style="165"/>
    <col min="12805" max="12805" width="19.44140625" style="165" customWidth="1"/>
    <col min="12806" max="12806" width="11.5546875" style="165"/>
    <col min="12807" max="12807" width="16.5546875" style="165" customWidth="1"/>
    <col min="12808" max="12808" width="16.5546875" style="165" bestFit="1" customWidth="1"/>
    <col min="12809" max="13057" width="11.5546875" style="165"/>
    <col min="13058" max="13058" width="58.109375" style="165" bestFit="1" customWidth="1"/>
    <col min="13059" max="13060" width="11.5546875" style="165"/>
    <col min="13061" max="13061" width="19.44140625" style="165" customWidth="1"/>
    <col min="13062" max="13062" width="11.5546875" style="165"/>
    <col min="13063" max="13063" width="16.5546875" style="165" customWidth="1"/>
    <col min="13064" max="13064" width="16.5546875" style="165" bestFit="1" customWidth="1"/>
    <col min="13065" max="13313" width="11.5546875" style="165"/>
    <col min="13314" max="13314" width="58.109375" style="165" bestFit="1" customWidth="1"/>
    <col min="13315" max="13316" width="11.5546875" style="165"/>
    <col min="13317" max="13317" width="19.44140625" style="165" customWidth="1"/>
    <col min="13318" max="13318" width="11.5546875" style="165"/>
    <col min="13319" max="13319" width="16.5546875" style="165" customWidth="1"/>
    <col min="13320" max="13320" width="16.5546875" style="165" bestFit="1" customWidth="1"/>
    <col min="13321" max="13569" width="11.5546875" style="165"/>
    <col min="13570" max="13570" width="58.109375" style="165" bestFit="1" customWidth="1"/>
    <col min="13571" max="13572" width="11.5546875" style="165"/>
    <col min="13573" max="13573" width="19.44140625" style="165" customWidth="1"/>
    <col min="13574" max="13574" width="11.5546875" style="165"/>
    <col min="13575" max="13575" width="16.5546875" style="165" customWidth="1"/>
    <col min="13576" max="13576" width="16.5546875" style="165" bestFit="1" customWidth="1"/>
    <col min="13577" max="13825" width="11.5546875" style="165"/>
    <col min="13826" max="13826" width="58.109375" style="165" bestFit="1" customWidth="1"/>
    <col min="13827" max="13828" width="11.5546875" style="165"/>
    <col min="13829" max="13829" width="19.44140625" style="165" customWidth="1"/>
    <col min="13830" max="13830" width="11.5546875" style="165"/>
    <col min="13831" max="13831" width="16.5546875" style="165" customWidth="1"/>
    <col min="13832" max="13832" width="16.5546875" style="165" bestFit="1" customWidth="1"/>
    <col min="13833" max="14081" width="11.5546875" style="165"/>
    <col min="14082" max="14082" width="58.109375" style="165" bestFit="1" customWidth="1"/>
    <col min="14083" max="14084" width="11.5546875" style="165"/>
    <col min="14085" max="14085" width="19.44140625" style="165" customWidth="1"/>
    <col min="14086" max="14086" width="11.5546875" style="165"/>
    <col min="14087" max="14087" width="16.5546875" style="165" customWidth="1"/>
    <col min="14088" max="14088" width="16.5546875" style="165" bestFit="1" customWidth="1"/>
    <col min="14089" max="14337" width="11.5546875" style="165"/>
    <col min="14338" max="14338" width="58.109375" style="165" bestFit="1" customWidth="1"/>
    <col min="14339" max="14340" width="11.5546875" style="165"/>
    <col min="14341" max="14341" width="19.44140625" style="165" customWidth="1"/>
    <col min="14342" max="14342" width="11.5546875" style="165"/>
    <col min="14343" max="14343" width="16.5546875" style="165" customWidth="1"/>
    <col min="14344" max="14344" width="16.5546875" style="165" bestFit="1" customWidth="1"/>
    <col min="14345" max="14593" width="11.5546875" style="165"/>
    <col min="14594" max="14594" width="58.109375" style="165" bestFit="1" customWidth="1"/>
    <col min="14595" max="14596" width="11.5546875" style="165"/>
    <col min="14597" max="14597" width="19.44140625" style="165" customWidth="1"/>
    <col min="14598" max="14598" width="11.5546875" style="165"/>
    <col min="14599" max="14599" width="16.5546875" style="165" customWidth="1"/>
    <col min="14600" max="14600" width="16.5546875" style="165" bestFit="1" customWidth="1"/>
    <col min="14601" max="14849" width="11.5546875" style="165"/>
    <col min="14850" max="14850" width="58.109375" style="165" bestFit="1" customWidth="1"/>
    <col min="14851" max="14852" width="11.5546875" style="165"/>
    <col min="14853" max="14853" width="19.44140625" style="165" customWidth="1"/>
    <col min="14854" max="14854" width="11.5546875" style="165"/>
    <col min="14855" max="14855" width="16.5546875" style="165" customWidth="1"/>
    <col min="14856" max="14856" width="16.5546875" style="165" bestFit="1" customWidth="1"/>
    <col min="14857" max="15105" width="11.5546875" style="165"/>
    <col min="15106" max="15106" width="58.109375" style="165" bestFit="1" customWidth="1"/>
    <col min="15107" max="15108" width="11.5546875" style="165"/>
    <col min="15109" max="15109" width="19.44140625" style="165" customWidth="1"/>
    <col min="15110" max="15110" width="11.5546875" style="165"/>
    <col min="15111" max="15111" width="16.5546875" style="165" customWidth="1"/>
    <col min="15112" max="15112" width="16.5546875" style="165" bestFit="1" customWidth="1"/>
    <col min="15113" max="15361" width="11.5546875" style="165"/>
    <col min="15362" max="15362" width="58.109375" style="165" bestFit="1" customWidth="1"/>
    <col min="15363" max="15364" width="11.5546875" style="165"/>
    <col min="15365" max="15365" width="19.44140625" style="165" customWidth="1"/>
    <col min="15366" max="15366" width="11.5546875" style="165"/>
    <col min="15367" max="15367" width="16.5546875" style="165" customWidth="1"/>
    <col min="15368" max="15368" width="16.5546875" style="165" bestFit="1" customWidth="1"/>
    <col min="15369" max="15617" width="11.5546875" style="165"/>
    <col min="15618" max="15618" width="58.109375" style="165" bestFit="1" customWidth="1"/>
    <col min="15619" max="15620" width="11.5546875" style="165"/>
    <col min="15621" max="15621" width="19.44140625" style="165" customWidth="1"/>
    <col min="15622" max="15622" width="11.5546875" style="165"/>
    <col min="15623" max="15623" width="16.5546875" style="165" customWidth="1"/>
    <col min="15624" max="15624" width="16.5546875" style="165" bestFit="1" customWidth="1"/>
    <col min="15625" max="15873" width="11.5546875" style="165"/>
    <col min="15874" max="15874" width="58.109375" style="165" bestFit="1" customWidth="1"/>
    <col min="15875" max="15876" width="11.5546875" style="165"/>
    <col min="15877" max="15877" width="19.44140625" style="165" customWidth="1"/>
    <col min="15878" max="15878" width="11.5546875" style="165"/>
    <col min="15879" max="15879" width="16.5546875" style="165" customWidth="1"/>
    <col min="15880" max="15880" width="16.5546875" style="165" bestFit="1" customWidth="1"/>
    <col min="15881" max="16129" width="11.5546875" style="165"/>
    <col min="16130" max="16130" width="58.109375" style="165" bestFit="1" customWidth="1"/>
    <col min="16131" max="16132" width="11.5546875" style="165"/>
    <col min="16133" max="16133" width="19.44140625" style="165" customWidth="1"/>
    <col min="16134" max="16134" width="11.5546875" style="165"/>
    <col min="16135" max="16135" width="16.5546875" style="165" customWidth="1"/>
    <col min="16136" max="16136" width="16.5546875" style="165" bestFit="1" customWidth="1"/>
    <col min="16137" max="16384" width="11.5546875" style="165"/>
  </cols>
  <sheetData>
    <row r="2" spans="2:7" ht="46.8" x14ac:dyDescent="0.3">
      <c r="B2" s="189" t="s">
        <v>59</v>
      </c>
      <c r="C2" s="189" t="s">
        <v>60</v>
      </c>
      <c r="D2" s="189" t="s">
        <v>61</v>
      </c>
      <c r="E2" s="189" t="s">
        <v>62</v>
      </c>
      <c r="F2" s="189" t="s">
        <v>63</v>
      </c>
      <c r="G2" s="190" t="s">
        <v>64</v>
      </c>
    </row>
    <row r="3" spans="2:7" x14ac:dyDescent="0.25">
      <c r="B3" s="191" t="s">
        <v>65</v>
      </c>
      <c r="C3" s="191"/>
      <c r="D3" s="191"/>
      <c r="E3" s="191"/>
      <c r="F3" s="191"/>
      <c r="G3" s="167"/>
    </row>
    <row r="4" spans="2:7" x14ac:dyDescent="0.25">
      <c r="B4" s="191" t="s">
        <v>66</v>
      </c>
      <c r="C4" s="191"/>
      <c r="D4" s="191"/>
      <c r="E4" s="191"/>
      <c r="F4" s="191"/>
      <c r="G4" s="167"/>
    </row>
    <row r="5" spans="2:7" x14ac:dyDescent="0.25">
      <c r="B5" s="191" t="s">
        <v>67</v>
      </c>
      <c r="C5" s="191"/>
      <c r="D5" s="167"/>
      <c r="E5" s="191"/>
      <c r="F5" s="191"/>
      <c r="G5" s="167">
        <f>+C5*D5*E5*F5</f>
        <v>0</v>
      </c>
    </row>
    <row r="6" spans="2:7" x14ac:dyDescent="0.25">
      <c r="B6" s="192" t="s">
        <v>68</v>
      </c>
      <c r="C6" s="191"/>
      <c r="D6" s="167"/>
      <c r="E6" s="191"/>
      <c r="F6" s="191"/>
      <c r="G6" s="167">
        <f>+D6*C6*F6</f>
        <v>0</v>
      </c>
    </row>
    <row r="7" spans="2:7" x14ac:dyDescent="0.25">
      <c r="B7" s="193" t="s">
        <v>69</v>
      </c>
      <c r="C7" s="191"/>
      <c r="D7" s="167"/>
      <c r="E7" s="191"/>
      <c r="F7" s="191"/>
      <c r="G7" s="167">
        <f>+C7*D7*E7*F7</f>
        <v>0</v>
      </c>
    </row>
    <row r="8" spans="2:7" ht="15.6" x14ac:dyDescent="0.3">
      <c r="B8" s="194" t="s">
        <v>70</v>
      </c>
      <c r="C8" s="191"/>
      <c r="D8" s="191"/>
      <c r="E8" s="191"/>
      <c r="F8" s="191"/>
      <c r="G8" s="167"/>
    </row>
    <row r="9" spans="2:7" x14ac:dyDescent="0.25">
      <c r="B9" s="191" t="s">
        <v>71</v>
      </c>
      <c r="C9" s="191"/>
      <c r="D9" s="191"/>
      <c r="E9" s="191"/>
      <c r="F9" s="191"/>
      <c r="G9" s="195">
        <v>1.47</v>
      </c>
    </row>
    <row r="10" spans="2:7" x14ac:dyDescent="0.25">
      <c r="B10" s="191"/>
      <c r="C10" s="191"/>
      <c r="D10" s="191"/>
      <c r="E10" s="191"/>
      <c r="F10" s="191"/>
      <c r="G10" s="167"/>
    </row>
    <row r="11" spans="2:7" ht="15.6" x14ac:dyDescent="0.3">
      <c r="B11" s="194" t="s">
        <v>72</v>
      </c>
      <c r="C11" s="191"/>
      <c r="D11" s="191"/>
      <c r="E11" s="191"/>
      <c r="F11" s="191"/>
      <c r="G11" s="167">
        <f>+G9*(G5+G7+G6)</f>
        <v>0</v>
      </c>
    </row>
    <row r="12" spans="2:7" x14ac:dyDescent="0.25">
      <c r="B12" s="191"/>
      <c r="C12" s="191"/>
      <c r="D12" s="191"/>
      <c r="E12" s="191"/>
      <c r="F12" s="191"/>
      <c r="G12" s="167"/>
    </row>
    <row r="13" spans="2:7" x14ac:dyDescent="0.25">
      <c r="B13" s="266" t="s">
        <v>73</v>
      </c>
      <c r="C13" s="267"/>
      <c r="D13" s="267"/>
      <c r="E13" s="267"/>
      <c r="F13" s="267"/>
      <c r="G13" s="268"/>
    </row>
    <row r="14" spans="2:7" ht="12.75" customHeight="1" x14ac:dyDescent="0.25">
      <c r="B14" s="191"/>
      <c r="C14" s="191"/>
      <c r="D14" s="191"/>
      <c r="E14" s="191"/>
      <c r="F14" s="191"/>
      <c r="G14" s="167"/>
    </row>
    <row r="15" spans="2:7" x14ac:dyDescent="0.25">
      <c r="B15" s="191" t="s">
        <v>99</v>
      </c>
      <c r="C15" s="191"/>
      <c r="D15" s="167">
        <v>200000</v>
      </c>
      <c r="E15" s="191"/>
      <c r="F15" s="191">
        <v>0</v>
      </c>
      <c r="G15" s="167">
        <v>0</v>
      </c>
    </row>
    <row r="16" spans="2:7" x14ac:dyDescent="0.25">
      <c r="B16" s="192"/>
      <c r="C16" s="191"/>
      <c r="D16" s="167"/>
      <c r="E16" s="191"/>
      <c r="F16" s="191"/>
      <c r="G16" s="167"/>
    </row>
    <row r="17" spans="2:8" x14ac:dyDescent="0.25">
      <c r="B17" s="191" t="s">
        <v>74</v>
      </c>
      <c r="C17" s="191"/>
      <c r="D17" s="167"/>
      <c r="E17" s="191"/>
      <c r="F17" s="191">
        <v>1</v>
      </c>
      <c r="G17" s="167">
        <f>+G15+G11+G16</f>
        <v>0</v>
      </c>
    </row>
    <row r="18" spans="2:8" x14ac:dyDescent="0.25">
      <c r="B18" s="266"/>
      <c r="C18" s="267"/>
      <c r="D18" s="267"/>
      <c r="E18" s="267"/>
      <c r="F18" s="267"/>
      <c r="G18" s="268"/>
    </row>
    <row r="19" spans="2:8" ht="15.6" x14ac:dyDescent="0.3">
      <c r="B19" s="269" t="s">
        <v>75</v>
      </c>
      <c r="C19" s="270"/>
      <c r="D19" s="270"/>
      <c r="E19" s="270"/>
      <c r="F19" s="270"/>
      <c r="G19" s="271"/>
    </row>
    <row r="20" spans="2:8" x14ac:dyDescent="0.25">
      <c r="B20" s="191" t="s">
        <v>98</v>
      </c>
      <c r="C20" s="191"/>
      <c r="D20" s="191"/>
      <c r="E20" s="191"/>
      <c r="F20" s="191"/>
      <c r="G20" s="167">
        <f>0.005*35000000</f>
        <v>175000</v>
      </c>
      <c r="H20" s="166"/>
    </row>
    <row r="21" spans="2:8" x14ac:dyDescent="0.25">
      <c r="B21" s="191" t="s">
        <v>76</v>
      </c>
      <c r="C21" s="191"/>
      <c r="D21" s="191"/>
      <c r="E21" s="191"/>
      <c r="F21" s="191"/>
      <c r="G21" s="167">
        <v>0</v>
      </c>
    </row>
    <row r="22" spans="2:8" ht="12.75" customHeight="1" x14ac:dyDescent="0.25">
      <c r="B22" s="191" t="s">
        <v>77</v>
      </c>
      <c r="C22" s="191"/>
      <c r="D22" s="191"/>
      <c r="E22" s="191"/>
      <c r="F22" s="191"/>
      <c r="G22" s="167">
        <f>0.025*35000000</f>
        <v>875000</v>
      </c>
    </row>
    <row r="23" spans="2:8" ht="12.75" customHeight="1" x14ac:dyDescent="0.25">
      <c r="B23" s="191" t="s">
        <v>100</v>
      </c>
      <c r="C23" s="191"/>
      <c r="D23" s="191"/>
      <c r="E23" s="191"/>
      <c r="F23" s="191"/>
      <c r="G23" s="167">
        <f>0.02*35000000</f>
        <v>700000</v>
      </c>
    </row>
    <row r="24" spans="2:8" x14ac:dyDescent="0.25">
      <c r="B24" s="191" t="s">
        <v>78</v>
      </c>
      <c r="C24" s="191"/>
      <c r="D24" s="191"/>
      <c r="E24" s="191"/>
      <c r="F24" s="191"/>
      <c r="G24" s="167">
        <f>0.05*35000000</f>
        <v>1750000</v>
      </c>
    </row>
    <row r="25" spans="2:8" ht="12.75" customHeight="1" x14ac:dyDescent="0.25">
      <c r="B25" s="191" t="s">
        <v>79</v>
      </c>
      <c r="C25" s="191"/>
      <c r="D25" s="191"/>
      <c r="E25" s="191"/>
      <c r="F25" s="191"/>
      <c r="G25" s="167">
        <v>0</v>
      </c>
    </row>
    <row r="26" spans="2:8" x14ac:dyDescent="0.25">
      <c r="B26" s="191" t="s">
        <v>80</v>
      </c>
      <c r="C26" s="191"/>
      <c r="D26" s="191"/>
      <c r="E26" s="191"/>
      <c r="F26" s="191"/>
      <c r="G26" s="167">
        <v>0</v>
      </c>
    </row>
    <row r="27" spans="2:8" x14ac:dyDescent="0.25">
      <c r="B27" s="191" t="s">
        <v>81</v>
      </c>
      <c r="C27" s="191"/>
      <c r="D27" s="191"/>
      <c r="E27" s="191"/>
      <c r="F27" s="191"/>
      <c r="G27" s="167">
        <f ca="1">H61</f>
        <v>556532.59163488005</v>
      </c>
    </row>
    <row r="28" spans="2:8" x14ac:dyDescent="0.25">
      <c r="B28" s="266"/>
      <c r="C28" s="267"/>
      <c r="D28" s="267"/>
      <c r="E28" s="267"/>
      <c r="F28" s="267"/>
      <c r="G28" s="268"/>
    </row>
    <row r="29" spans="2:8" ht="15.6" x14ac:dyDescent="0.3">
      <c r="B29" s="194" t="s">
        <v>82</v>
      </c>
      <c r="C29" s="191"/>
      <c r="D29" s="191"/>
      <c r="E29" s="191"/>
      <c r="F29" s="191"/>
      <c r="G29" s="196">
        <f ca="1">+SUM(G20:G27)</f>
        <v>4056532.5916348798</v>
      </c>
    </row>
    <row r="30" spans="2:8" ht="15.6" x14ac:dyDescent="0.3">
      <c r="B30" s="194" t="s">
        <v>83</v>
      </c>
      <c r="C30" s="191"/>
      <c r="D30" s="191"/>
      <c r="E30" s="191"/>
      <c r="F30" s="191"/>
      <c r="G30" s="196">
        <f ca="1">+G29+G17</f>
        <v>4056532.5916348798</v>
      </c>
    </row>
    <row r="31" spans="2:8" ht="15.6" x14ac:dyDescent="0.3">
      <c r="B31" s="194" t="s">
        <v>84</v>
      </c>
      <c r="C31" s="191"/>
      <c r="D31" s="191"/>
      <c r="E31" s="191"/>
      <c r="F31" s="191"/>
      <c r="G31" s="197">
        <f>'LA MILAGROSA'!K10</f>
        <v>38370488</v>
      </c>
    </row>
    <row r="32" spans="2:8" x14ac:dyDescent="0.25">
      <c r="B32" s="266"/>
      <c r="C32" s="267"/>
      <c r="D32" s="267"/>
      <c r="E32" s="267"/>
      <c r="F32" s="267"/>
      <c r="G32" s="268"/>
    </row>
    <row r="33" spans="2:8" ht="15.6" x14ac:dyDescent="0.3">
      <c r="B33" s="279" t="s">
        <v>89</v>
      </c>
      <c r="C33" s="279"/>
      <c r="D33" s="191"/>
      <c r="E33" s="191"/>
      <c r="F33" s="191"/>
      <c r="G33" s="198">
        <f>'LA MILAGROSA'!K10</f>
        <v>38370488</v>
      </c>
    </row>
    <row r="34" spans="2:8" ht="15.6" x14ac:dyDescent="0.3">
      <c r="B34" s="279" t="s">
        <v>85</v>
      </c>
      <c r="C34" s="279"/>
      <c r="D34" s="191"/>
      <c r="E34" s="191"/>
      <c r="F34" s="199">
        <f ca="1">ROUNDUP(G30/G33,2)</f>
        <v>0.11</v>
      </c>
      <c r="G34" s="206">
        <f ca="1">+G33*F34</f>
        <v>4220753.68</v>
      </c>
    </row>
    <row r="35" spans="2:8" ht="15.6" x14ac:dyDescent="0.3">
      <c r="B35" s="279" t="s">
        <v>86</v>
      </c>
      <c r="C35" s="279"/>
      <c r="D35" s="191"/>
      <c r="E35" s="191"/>
      <c r="F35" s="199">
        <v>0</v>
      </c>
      <c r="G35" s="202">
        <f>+G33*F35</f>
        <v>0</v>
      </c>
    </row>
    <row r="36" spans="2:8" ht="15.6" x14ac:dyDescent="0.3">
      <c r="B36" s="279" t="s">
        <v>87</v>
      </c>
      <c r="C36" s="279"/>
      <c r="D36" s="191"/>
      <c r="E36" s="191"/>
      <c r="F36" s="199">
        <f ca="1">+F34+F35</f>
        <v>0.11</v>
      </c>
      <c r="G36" s="206">
        <f ca="1">+G34+G35</f>
        <v>4220753.68</v>
      </c>
    </row>
    <row r="37" spans="2:8" ht="15.6" x14ac:dyDescent="0.3">
      <c r="B37" s="279" t="s">
        <v>88</v>
      </c>
      <c r="C37" s="279"/>
      <c r="D37" s="191"/>
      <c r="E37" s="191"/>
      <c r="F37" s="191"/>
      <c r="G37" s="198">
        <f ca="1">+G33+G36</f>
        <v>42591241.68</v>
      </c>
    </row>
    <row r="39" spans="2:8" ht="15.6" x14ac:dyDescent="0.3">
      <c r="E39" s="200"/>
      <c r="G39" s="201"/>
    </row>
    <row r="40" spans="2:8" x14ac:dyDescent="0.25">
      <c r="F40" s="166"/>
      <c r="G40" s="166"/>
    </row>
    <row r="43" spans="2:8" x14ac:dyDescent="0.25">
      <c r="G43" s="166"/>
    </row>
    <row r="44" spans="2:8" ht="13.8" x14ac:dyDescent="0.25">
      <c r="B44" s="272" t="s">
        <v>102</v>
      </c>
      <c r="C44" s="273"/>
      <c r="D44" s="273"/>
      <c r="E44" s="273"/>
      <c r="F44" s="273"/>
      <c r="G44" s="273"/>
      <c r="H44" s="274"/>
    </row>
    <row r="45" spans="2:8" ht="13.8" x14ac:dyDescent="0.25">
      <c r="B45" s="226"/>
      <c r="C45" s="226"/>
      <c r="D45" s="226"/>
      <c r="E45" s="226"/>
      <c r="F45" s="227"/>
      <c r="G45" s="227"/>
      <c r="H45" s="228"/>
    </row>
    <row r="46" spans="2:8" ht="13.8" x14ac:dyDescent="0.25">
      <c r="B46" s="229" t="s">
        <v>103</v>
      </c>
      <c r="C46" s="230">
        <f ca="1">G37</f>
        <v>42591241.68</v>
      </c>
      <c r="D46" s="275"/>
      <c r="E46" s="276"/>
      <c r="F46" s="227"/>
      <c r="G46" s="227"/>
      <c r="H46" s="228"/>
    </row>
    <row r="47" spans="2:8" ht="14.4" x14ac:dyDescent="0.25">
      <c r="B47" s="229" t="s">
        <v>104</v>
      </c>
      <c r="C47" s="231">
        <v>2</v>
      </c>
      <c r="D47" s="277">
        <f>+IFERROR(C47*30,"")</f>
        <v>60</v>
      </c>
      <c r="E47" s="277"/>
      <c r="F47" s="227"/>
      <c r="G47" s="227"/>
      <c r="H47" s="228"/>
    </row>
    <row r="48" spans="2:8" ht="13.8" x14ac:dyDescent="0.25">
      <c r="B48" s="229" t="s">
        <v>105</v>
      </c>
      <c r="C48" s="232">
        <v>0</v>
      </c>
      <c r="D48" s="278">
        <f ca="1">+IFERROR(C48*C46,"")</f>
        <v>0</v>
      </c>
      <c r="E48" s="278"/>
      <c r="F48" s="227"/>
      <c r="G48" s="227"/>
      <c r="H48" s="228"/>
    </row>
    <row r="49" spans="2:8" ht="13.8" x14ac:dyDescent="0.25">
      <c r="B49" s="233"/>
      <c r="C49" s="234"/>
      <c r="D49" s="234"/>
      <c r="E49" s="226"/>
      <c r="F49" s="227"/>
      <c r="G49" s="227"/>
      <c r="H49" s="228"/>
    </row>
    <row r="50" spans="2:8" ht="13.8" x14ac:dyDescent="0.25">
      <c r="B50" s="280" t="s">
        <v>106</v>
      </c>
      <c r="C50" s="280" t="s">
        <v>107</v>
      </c>
      <c r="D50" s="280"/>
      <c r="E50" s="280"/>
      <c r="F50" s="280" t="s">
        <v>108</v>
      </c>
      <c r="G50" s="280" t="s">
        <v>109</v>
      </c>
      <c r="H50" s="282" t="s">
        <v>110</v>
      </c>
    </row>
    <row r="51" spans="2:8" ht="13.8" x14ac:dyDescent="0.25">
      <c r="B51" s="280"/>
      <c r="C51" s="235" t="s">
        <v>111</v>
      </c>
      <c r="D51" s="235" t="s">
        <v>112</v>
      </c>
      <c r="E51" s="235" t="s">
        <v>113</v>
      </c>
      <c r="F51" s="281"/>
      <c r="G51" s="280"/>
      <c r="H51" s="282"/>
    </row>
    <row r="52" spans="2:8" ht="13.8" x14ac:dyDescent="0.25">
      <c r="B52" s="236" t="s">
        <v>114</v>
      </c>
      <c r="C52" s="237">
        <v>0.2</v>
      </c>
      <c r="D52" s="230">
        <f ca="1">$C$46</f>
        <v>42591241.68</v>
      </c>
      <c r="E52" s="230">
        <f ca="1">+IFERROR(C52*D52,"")</f>
        <v>8518248.3360000011</v>
      </c>
      <c r="F52" s="238">
        <f>+IFERROR($C$4+180,"")</f>
        <v>180</v>
      </c>
      <c r="G52" s="239">
        <v>5.0000000000000001E-3</v>
      </c>
      <c r="H52" s="240">
        <f ca="1">+IFERROR(G52*E52*F52/360,"")</f>
        <v>21295.620840000003</v>
      </c>
    </row>
    <row r="53" spans="2:8" ht="13.8" x14ac:dyDescent="0.25">
      <c r="B53" s="236" t="s">
        <v>115</v>
      </c>
      <c r="C53" s="237">
        <v>0</v>
      </c>
      <c r="D53" s="230">
        <f t="shared" ref="D53:D55" ca="1" si="0">$C$46</f>
        <v>42591241.68</v>
      </c>
      <c r="E53" s="230">
        <f ca="1">+IFERROR(C53*D53,"")</f>
        <v>0</v>
      </c>
      <c r="F53" s="238">
        <f>+IFERROR($C$4+180,"")</f>
        <v>180</v>
      </c>
      <c r="G53" s="239">
        <v>4.0000000000000001E-3</v>
      </c>
      <c r="H53" s="240">
        <f ca="1">+IFERROR(G53*E53*F53/360,"")</f>
        <v>0</v>
      </c>
    </row>
    <row r="54" spans="2:8" ht="13.8" x14ac:dyDescent="0.25">
      <c r="B54" s="236" t="s">
        <v>116</v>
      </c>
      <c r="C54" s="237">
        <v>0.1</v>
      </c>
      <c r="D54" s="230">
        <f t="shared" ca="1" si="0"/>
        <v>42591241.68</v>
      </c>
      <c r="E54" s="230">
        <f ca="1">+IFERROR(C54*D54,"")</f>
        <v>4259124.1680000005</v>
      </c>
      <c r="F54" s="238">
        <f>+IFERROR($C$4+1080,"")</f>
        <v>1080</v>
      </c>
      <c r="G54" s="239">
        <v>3.0000000000000001E-3</v>
      </c>
      <c r="H54" s="240">
        <f ca="1">+IFERROR(G54*E54*F54/360,"")</f>
        <v>38332.117512000004</v>
      </c>
    </row>
    <row r="55" spans="2:8" ht="13.8" x14ac:dyDescent="0.25">
      <c r="B55" s="236" t="s">
        <v>117</v>
      </c>
      <c r="C55" s="237">
        <v>0.2</v>
      </c>
      <c r="D55" s="230">
        <f t="shared" ca="1" si="0"/>
        <v>42591241.68</v>
      </c>
      <c r="E55" s="230">
        <f ca="1">+IFERROR(C55*D55,"")</f>
        <v>8518248.3360000011</v>
      </c>
      <c r="F55" s="238">
        <f>+IF($B$3="","",1800)</f>
        <v>1800</v>
      </c>
      <c r="G55" s="239">
        <v>5.0000000000000001E-3</v>
      </c>
      <c r="H55" s="240">
        <f ca="1">+IFERROR(G55*E55*F55/360,"")</f>
        <v>212956.20840000006</v>
      </c>
    </row>
    <row r="56" spans="2:8" ht="13.8" x14ac:dyDescent="0.25">
      <c r="B56" s="236" t="s">
        <v>118</v>
      </c>
      <c r="C56" s="235" t="s">
        <v>119</v>
      </c>
      <c r="D56" s="284" t="s">
        <v>120</v>
      </c>
      <c r="E56" s="285"/>
      <c r="F56" s="241" t="s">
        <v>121</v>
      </c>
      <c r="G56" s="235" t="s">
        <v>122</v>
      </c>
      <c r="H56" s="242" t="s">
        <v>110</v>
      </c>
    </row>
    <row r="57" spans="2:8" ht="13.8" x14ac:dyDescent="0.25">
      <c r="B57" s="235">
        <v>200</v>
      </c>
      <c r="C57" s="243">
        <v>1750905</v>
      </c>
      <c r="D57" s="286">
        <f>+IFERROR(IF(D46&gt;10000,D46+5%,B57*C57),"")</f>
        <v>350181000</v>
      </c>
      <c r="E57" s="287"/>
      <c r="F57" s="244">
        <f>C47</f>
        <v>2</v>
      </c>
      <c r="G57" s="245">
        <v>3.0000000000000001E-3</v>
      </c>
      <c r="H57" s="240">
        <f>D57*F57*G57/12</f>
        <v>175090.5</v>
      </c>
    </row>
    <row r="58" spans="2:8" ht="13.8" x14ac:dyDescent="0.25">
      <c r="B58" s="283" t="s">
        <v>123</v>
      </c>
      <c r="C58" s="283"/>
      <c r="D58" s="283"/>
      <c r="E58" s="283"/>
      <c r="F58" s="283"/>
      <c r="G58" s="283"/>
      <c r="H58" s="240">
        <f ca="1">SUM(H52:H55)+H57</f>
        <v>447674.44675200008</v>
      </c>
    </row>
    <row r="59" spans="2:8" ht="13.8" x14ac:dyDescent="0.25">
      <c r="B59" s="283" t="s">
        <v>124</v>
      </c>
      <c r="C59" s="283"/>
      <c r="D59" s="283"/>
      <c r="E59" s="283"/>
      <c r="F59" s="283"/>
      <c r="G59" s="283"/>
      <c r="H59" s="240">
        <f ca="1">+IF(H58="","",20000)</f>
        <v>20000</v>
      </c>
    </row>
    <row r="60" spans="2:8" ht="13.8" x14ac:dyDescent="0.25">
      <c r="B60" s="283" t="s">
        <v>125</v>
      </c>
      <c r="C60" s="283"/>
      <c r="D60" s="283"/>
      <c r="E60" s="283"/>
      <c r="F60" s="283"/>
      <c r="G60" s="283"/>
      <c r="H60" s="240">
        <f ca="1">+IFERROR((H58+H59)*0.19,"")</f>
        <v>88858.14488288002</v>
      </c>
    </row>
    <row r="61" spans="2:8" ht="13.8" x14ac:dyDescent="0.25">
      <c r="B61" s="283" t="s">
        <v>126</v>
      </c>
      <c r="C61" s="283"/>
      <c r="D61" s="283"/>
      <c r="E61" s="283"/>
      <c r="F61" s="283"/>
      <c r="G61" s="283"/>
      <c r="H61" s="246">
        <f ca="1">IF(H58="","",SUM(H58:H60))</f>
        <v>556532.59163488005</v>
      </c>
    </row>
  </sheetData>
  <protectedRanges>
    <protectedRange sqref="C48 C52:C55" name="Rango1_1_1"/>
  </protectedRanges>
  <mergeCells count="25">
    <mergeCell ref="B61:G61"/>
    <mergeCell ref="D56:E56"/>
    <mergeCell ref="D57:E57"/>
    <mergeCell ref="B58:G58"/>
    <mergeCell ref="B59:G59"/>
    <mergeCell ref="B60:G60"/>
    <mergeCell ref="B50:B51"/>
    <mergeCell ref="C50:E50"/>
    <mergeCell ref="F50:F51"/>
    <mergeCell ref="G50:G51"/>
    <mergeCell ref="H50:H51"/>
    <mergeCell ref="B44:H44"/>
    <mergeCell ref="D46:E46"/>
    <mergeCell ref="D47:E47"/>
    <mergeCell ref="D48:E48"/>
    <mergeCell ref="B33:C33"/>
    <mergeCell ref="B34:C34"/>
    <mergeCell ref="B35:C35"/>
    <mergeCell ref="B36:C36"/>
    <mergeCell ref="B37:C37"/>
    <mergeCell ref="B13:G13"/>
    <mergeCell ref="B18:G18"/>
    <mergeCell ref="B19:G19"/>
    <mergeCell ref="B28:G28"/>
    <mergeCell ref="B32:G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9F722-90F5-424D-8983-0BE81377B12D}">
  <dimension ref="A1:L23"/>
  <sheetViews>
    <sheetView workbookViewId="0">
      <selection activeCell="A29" sqref="A29"/>
    </sheetView>
  </sheetViews>
  <sheetFormatPr baseColWidth="10" defaultRowHeight="13.2" x14ac:dyDescent="0.25"/>
  <cols>
    <col min="10" max="10" width="19" customWidth="1"/>
  </cols>
  <sheetData>
    <row r="1" spans="1:12" s="160" customFormat="1" x14ac:dyDescent="0.25"/>
    <row r="2" spans="1:12" s="160" customFormat="1" x14ac:dyDescent="0.25">
      <c r="A2" s="162" t="s">
        <v>53</v>
      </c>
      <c r="B2" s="160">
        <v>3</v>
      </c>
      <c r="C2" s="162" t="s">
        <v>54</v>
      </c>
    </row>
    <row r="4" spans="1:12" x14ac:dyDescent="0.25">
      <c r="A4" s="1" t="s">
        <v>0</v>
      </c>
      <c r="B4" s="291" t="s">
        <v>1</v>
      </c>
      <c r="C4" s="256"/>
      <c r="D4" s="256"/>
      <c r="E4" s="256"/>
      <c r="F4" s="256"/>
      <c r="G4" s="292"/>
      <c r="H4" s="211" t="s">
        <v>49</v>
      </c>
      <c r="I4" s="211" t="s">
        <v>50</v>
      </c>
      <c r="J4" s="211" t="s">
        <v>97</v>
      </c>
      <c r="K4" s="211" t="s">
        <v>51</v>
      </c>
      <c r="L4" s="212" t="s">
        <v>52</v>
      </c>
    </row>
    <row r="5" spans="1:12" ht="26.4" customHeight="1" x14ac:dyDescent="0.25">
      <c r="A5" s="2">
        <v>1</v>
      </c>
      <c r="B5" s="252" t="s">
        <v>44</v>
      </c>
      <c r="C5" s="253"/>
      <c r="D5" s="253"/>
      <c r="E5" s="253"/>
      <c r="F5" s="253"/>
      <c r="G5" s="253"/>
      <c r="H5" s="213">
        <v>2</v>
      </c>
      <c r="I5" s="213">
        <v>2500</v>
      </c>
      <c r="J5" s="213">
        <v>2</v>
      </c>
      <c r="K5" s="213">
        <f>I5*J5*H5</f>
        <v>10000</v>
      </c>
      <c r="L5" s="213">
        <f>K5/10000</f>
        <v>1</v>
      </c>
    </row>
    <row r="9" spans="1:12" x14ac:dyDescent="0.25">
      <c r="A9" s="1" t="s">
        <v>0</v>
      </c>
      <c r="B9" s="291" t="s">
        <v>1</v>
      </c>
      <c r="C9" s="256"/>
      <c r="D9" s="256"/>
      <c r="E9" s="256"/>
      <c r="F9" s="256"/>
      <c r="G9" s="292"/>
      <c r="H9" s="211" t="s">
        <v>49</v>
      </c>
      <c r="I9" s="211" t="s">
        <v>50</v>
      </c>
      <c r="J9" s="211" t="s">
        <v>91</v>
      </c>
      <c r="K9" s="211" t="s">
        <v>90</v>
      </c>
    </row>
    <row r="10" spans="1:12" ht="13.8" x14ac:dyDescent="0.25">
      <c r="A10" s="2">
        <v>2</v>
      </c>
      <c r="B10" s="252" t="s">
        <v>42</v>
      </c>
      <c r="C10" s="253"/>
      <c r="D10" s="253"/>
      <c r="E10" s="253"/>
      <c r="F10" s="253"/>
      <c r="G10" s="253"/>
      <c r="H10" s="213">
        <v>1</v>
      </c>
      <c r="I10" s="214">
        <v>1000</v>
      </c>
      <c r="J10" s="213">
        <v>0.5</v>
      </c>
      <c r="K10" s="213">
        <f>H10*I10*J10</f>
        <v>500</v>
      </c>
    </row>
    <row r="15" spans="1:12" x14ac:dyDescent="0.25">
      <c r="A15" s="215" t="s">
        <v>0</v>
      </c>
      <c r="B15" s="289" t="s">
        <v>1</v>
      </c>
      <c r="C15" s="290"/>
      <c r="D15" s="290"/>
      <c r="E15" s="290"/>
      <c r="F15" s="290"/>
      <c r="G15" s="290"/>
      <c r="H15" s="211" t="s">
        <v>49</v>
      </c>
      <c r="I15" s="211" t="s">
        <v>50</v>
      </c>
      <c r="J15" s="211" t="s">
        <v>51</v>
      </c>
    </row>
    <row r="16" spans="1:12" ht="27" customHeight="1" x14ac:dyDescent="0.25">
      <c r="A16" s="216">
        <v>3</v>
      </c>
      <c r="B16" s="288" t="s">
        <v>43</v>
      </c>
      <c r="C16" s="288"/>
      <c r="D16" s="288"/>
      <c r="E16" s="288"/>
      <c r="F16" s="288"/>
      <c r="G16" s="288"/>
      <c r="H16" s="213">
        <v>1.5</v>
      </c>
      <c r="I16" s="213">
        <v>1000</v>
      </c>
      <c r="J16" s="213">
        <f>H16*I16</f>
        <v>1500</v>
      </c>
    </row>
    <row r="19" spans="1:12" x14ac:dyDescent="0.25">
      <c r="A19" s="215" t="s">
        <v>0</v>
      </c>
      <c r="B19" s="289" t="s">
        <v>1</v>
      </c>
      <c r="C19" s="290"/>
      <c r="D19" s="290"/>
      <c r="E19" s="290"/>
      <c r="F19" s="290"/>
      <c r="G19" s="290"/>
      <c r="H19" s="211" t="s">
        <v>49</v>
      </c>
      <c r="I19" s="211" t="s">
        <v>50</v>
      </c>
      <c r="J19" s="211" t="s">
        <v>51</v>
      </c>
      <c r="K19" s="212" t="s">
        <v>91</v>
      </c>
      <c r="L19" s="212" t="s">
        <v>90</v>
      </c>
    </row>
    <row r="20" spans="1:12" ht="26.4" customHeight="1" x14ac:dyDescent="0.25">
      <c r="A20" s="216">
        <v>4</v>
      </c>
      <c r="B20" s="288" t="s">
        <v>41</v>
      </c>
      <c r="C20" s="288"/>
      <c r="D20" s="288"/>
      <c r="E20" s="288"/>
      <c r="F20" s="288"/>
      <c r="G20" s="288"/>
      <c r="H20" s="213">
        <v>1.5</v>
      </c>
      <c r="I20" s="217">
        <v>1000</v>
      </c>
      <c r="J20" s="213">
        <f>H20*I20</f>
        <v>1500</v>
      </c>
      <c r="K20" s="213">
        <v>0.3</v>
      </c>
      <c r="L20" s="213">
        <f>J20*K20</f>
        <v>450</v>
      </c>
    </row>
    <row r="23" spans="1:12" x14ac:dyDescent="0.25">
      <c r="I23" s="160"/>
    </row>
  </sheetData>
  <mergeCells count="8">
    <mergeCell ref="B20:G20"/>
    <mergeCell ref="B16:G16"/>
    <mergeCell ref="B19:G19"/>
    <mergeCell ref="B4:G4"/>
    <mergeCell ref="B5:G5"/>
    <mergeCell ref="B9:G9"/>
    <mergeCell ref="B10:G10"/>
    <mergeCell ref="B15:G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58B7-E2EC-45ED-B395-E00F5AD6FDDD}">
  <dimension ref="A2:J169"/>
  <sheetViews>
    <sheetView topLeftCell="A28" zoomScaleNormal="100" workbookViewId="0">
      <selection activeCell="F40" sqref="F40"/>
    </sheetView>
  </sheetViews>
  <sheetFormatPr baseColWidth="10" defaultColWidth="11.44140625" defaultRowHeight="13.2" x14ac:dyDescent="0.25"/>
  <cols>
    <col min="1" max="16384" width="11.44140625" style="9"/>
  </cols>
  <sheetData>
    <row r="2" spans="1:8" ht="13.8" thickBot="1" x14ac:dyDescent="0.3"/>
    <row r="3" spans="1:8" x14ac:dyDescent="0.25">
      <c r="A3" s="10"/>
      <c r="B3" s="11"/>
      <c r="C3" s="12"/>
      <c r="D3" s="293" t="s">
        <v>6</v>
      </c>
      <c r="E3" s="294"/>
      <c r="F3" s="294"/>
      <c r="G3" s="294"/>
      <c r="H3" s="295"/>
    </row>
    <row r="4" spans="1:8" ht="27.75" customHeight="1" x14ac:dyDescent="0.25">
      <c r="A4" s="14"/>
      <c r="B4" s="15"/>
      <c r="C4" s="16"/>
      <c r="D4" s="296"/>
      <c r="E4" s="297"/>
      <c r="F4" s="297"/>
      <c r="G4" s="297"/>
      <c r="H4" s="298"/>
    </row>
    <row r="5" spans="1:8" ht="13.8" thickBot="1" x14ac:dyDescent="0.3">
      <c r="A5" s="20"/>
      <c r="B5" s="21"/>
      <c r="C5" s="22"/>
      <c r="D5" s="299"/>
      <c r="E5" s="300"/>
      <c r="F5" s="300"/>
      <c r="G5" s="300"/>
      <c r="H5" s="301"/>
    </row>
    <row r="6" spans="1:8" x14ac:dyDescent="0.25">
      <c r="A6" s="302" t="s">
        <v>32</v>
      </c>
      <c r="B6" s="305" t="s">
        <v>44</v>
      </c>
      <c r="C6" s="306"/>
      <c r="D6" s="306"/>
      <c r="E6" s="306"/>
      <c r="F6" s="307"/>
      <c r="G6" s="302" t="s">
        <v>33</v>
      </c>
      <c r="H6" s="314"/>
    </row>
    <row r="7" spans="1:8" x14ac:dyDescent="0.25">
      <c r="A7" s="303"/>
      <c r="B7" s="308"/>
      <c r="C7" s="309"/>
      <c r="D7" s="309"/>
      <c r="E7" s="309"/>
      <c r="F7" s="310"/>
      <c r="G7" s="303"/>
      <c r="H7" s="315"/>
    </row>
    <row r="8" spans="1:8" ht="13.8" thickBot="1" x14ac:dyDescent="0.3">
      <c r="A8" s="304"/>
      <c r="B8" s="308"/>
      <c r="C8" s="309"/>
      <c r="D8" s="309"/>
      <c r="E8" s="309"/>
      <c r="F8" s="310"/>
      <c r="G8" s="303"/>
      <c r="H8" s="315"/>
    </row>
    <row r="9" spans="1:8" x14ac:dyDescent="0.25">
      <c r="A9" s="78"/>
      <c r="B9" s="308"/>
      <c r="C9" s="309"/>
      <c r="D9" s="309"/>
      <c r="E9" s="309"/>
      <c r="F9" s="310"/>
      <c r="G9" s="303"/>
      <c r="H9" s="315"/>
    </row>
    <row r="10" spans="1:8" ht="13.8" thickBot="1" x14ac:dyDescent="0.3">
      <c r="A10" s="79" t="s">
        <v>8</v>
      </c>
      <c r="B10" s="311"/>
      <c r="C10" s="312"/>
      <c r="D10" s="312"/>
      <c r="E10" s="312"/>
      <c r="F10" s="313"/>
      <c r="G10" s="304"/>
      <c r="H10" s="316"/>
    </row>
    <row r="11" spans="1:8" x14ac:dyDescent="0.25">
      <c r="A11" s="319" t="s">
        <v>9</v>
      </c>
      <c r="B11" s="320"/>
      <c r="C11" s="321"/>
      <c r="D11" s="24" t="s">
        <v>10</v>
      </c>
      <c r="E11" s="24" t="s">
        <v>11</v>
      </c>
      <c r="F11" s="24" t="s">
        <v>12</v>
      </c>
      <c r="G11" s="23" t="s">
        <v>13</v>
      </c>
      <c r="H11" s="25"/>
    </row>
    <row r="12" spans="1:8" x14ac:dyDescent="0.25">
      <c r="A12" s="322" t="s">
        <v>35</v>
      </c>
      <c r="B12" s="323"/>
      <c r="C12" s="324"/>
      <c r="D12" s="26"/>
      <c r="E12" s="26"/>
      <c r="F12" s="27">
        <v>10</v>
      </c>
      <c r="G12" s="28">
        <f>H41*F12%</f>
        <v>98288.5</v>
      </c>
      <c r="H12" s="29"/>
    </row>
    <row r="13" spans="1:8" x14ac:dyDescent="0.25">
      <c r="A13" s="322" t="s">
        <v>34</v>
      </c>
      <c r="B13" s="323"/>
      <c r="C13" s="324"/>
      <c r="D13" s="30"/>
      <c r="E13" s="31">
        <v>10000</v>
      </c>
      <c r="F13" s="32">
        <v>7.0000000000000007E-2</v>
      </c>
      <c r="G13" s="33">
        <f>E13/F13</f>
        <v>142857.14285714284</v>
      </c>
      <c r="H13" s="29"/>
    </row>
    <row r="14" spans="1:8" x14ac:dyDescent="0.25">
      <c r="A14" s="34" t="s">
        <v>34</v>
      </c>
      <c r="B14" s="35"/>
      <c r="C14" s="36"/>
      <c r="D14" s="37"/>
      <c r="E14" s="31">
        <v>10000</v>
      </c>
      <c r="F14" s="32">
        <v>7.0000000000000007E-2</v>
      </c>
      <c r="G14" s="33">
        <f>E14/F14</f>
        <v>142857.14285714284</v>
      </c>
      <c r="H14" s="29"/>
    </row>
    <row r="15" spans="1:8" x14ac:dyDescent="0.25">
      <c r="A15" s="322"/>
      <c r="B15" s="323"/>
      <c r="C15" s="324"/>
      <c r="D15" s="38"/>
      <c r="E15" s="39"/>
      <c r="F15" s="32"/>
      <c r="G15" s="40"/>
      <c r="H15" s="29"/>
    </row>
    <row r="16" spans="1:8" ht="13.8" thickBot="1" x14ac:dyDescent="0.3">
      <c r="A16" s="325"/>
      <c r="B16" s="326"/>
      <c r="C16" s="327"/>
      <c r="D16" s="41"/>
      <c r="E16" s="42"/>
      <c r="F16" s="43"/>
      <c r="G16" s="44"/>
      <c r="H16" s="45"/>
    </row>
    <row r="17" spans="1:8" ht="13.8" thickBot="1" x14ac:dyDescent="0.3">
      <c r="A17" s="17"/>
      <c r="B17" s="17"/>
      <c r="C17" s="17"/>
      <c r="D17" s="17"/>
      <c r="E17" s="17"/>
      <c r="F17" s="17"/>
      <c r="G17" s="46" t="s">
        <v>14</v>
      </c>
      <c r="H17" s="169">
        <f>ROUNDUP(SUM(G12:G14),0)</f>
        <v>384003</v>
      </c>
    </row>
    <row r="18" spans="1:8" ht="13.8" thickBot="1" x14ac:dyDescent="0.3">
      <c r="A18" s="18" t="s">
        <v>15</v>
      </c>
      <c r="B18" s="18"/>
      <c r="C18" s="18"/>
      <c r="D18" s="17"/>
      <c r="E18" s="17"/>
      <c r="F18" s="17"/>
      <c r="G18" s="17"/>
      <c r="H18" s="17"/>
    </row>
    <row r="19" spans="1:8" x14ac:dyDescent="0.25">
      <c r="A19" s="319" t="s">
        <v>9</v>
      </c>
      <c r="B19" s="320"/>
      <c r="C19" s="321"/>
      <c r="D19" s="24" t="s">
        <v>16</v>
      </c>
      <c r="E19" s="24" t="s">
        <v>17</v>
      </c>
      <c r="F19" s="24" t="s">
        <v>18</v>
      </c>
      <c r="G19" s="23" t="s">
        <v>13</v>
      </c>
      <c r="H19" s="25"/>
    </row>
    <row r="20" spans="1:8" x14ac:dyDescent="0.25">
      <c r="A20" s="317"/>
      <c r="B20" s="318"/>
      <c r="C20" s="48"/>
      <c r="D20" s="30"/>
      <c r="E20" s="31"/>
      <c r="F20" s="49"/>
      <c r="G20" s="50"/>
      <c r="H20" s="29"/>
    </row>
    <row r="21" spans="1:8" x14ac:dyDescent="0.25">
      <c r="A21" s="317"/>
      <c r="B21" s="318"/>
      <c r="C21" s="48"/>
      <c r="D21" s="30"/>
      <c r="E21" s="31"/>
      <c r="F21" s="49"/>
      <c r="G21" s="50"/>
      <c r="H21" s="29"/>
    </row>
    <row r="22" spans="1:8" x14ac:dyDescent="0.25">
      <c r="A22" s="317"/>
      <c r="B22" s="318"/>
      <c r="C22" s="48"/>
      <c r="D22" s="30"/>
      <c r="E22" s="31"/>
      <c r="F22" s="49"/>
      <c r="G22" s="50"/>
      <c r="H22" s="29"/>
    </row>
    <row r="23" spans="1:8" x14ac:dyDescent="0.25">
      <c r="A23" s="317"/>
      <c r="B23" s="318"/>
      <c r="C23" s="48"/>
      <c r="D23" s="30"/>
      <c r="E23" s="31"/>
      <c r="F23" s="49"/>
      <c r="G23" s="50"/>
      <c r="H23" s="29"/>
    </row>
    <row r="24" spans="1:8" ht="13.8" thickBot="1" x14ac:dyDescent="0.3">
      <c r="A24" s="317"/>
      <c r="B24" s="318"/>
      <c r="C24" s="51"/>
      <c r="D24" s="52"/>
      <c r="E24" s="53"/>
      <c r="F24" s="43"/>
      <c r="G24" s="44"/>
      <c r="H24" s="45"/>
    </row>
    <row r="25" spans="1:8" ht="13.8" thickBot="1" x14ac:dyDescent="0.3">
      <c r="A25" s="17"/>
      <c r="B25" s="17"/>
      <c r="C25" s="17"/>
      <c r="D25" s="17"/>
      <c r="E25" s="17"/>
      <c r="F25" s="17"/>
      <c r="G25" s="46" t="s">
        <v>14</v>
      </c>
      <c r="H25" s="54">
        <v>0</v>
      </c>
    </row>
    <row r="26" spans="1:8" ht="13.8" thickBot="1" x14ac:dyDescent="0.3">
      <c r="A26" s="55" t="s">
        <v>19</v>
      </c>
      <c r="B26" s="55"/>
      <c r="C26" s="56"/>
      <c r="D26" s="17"/>
      <c r="E26" s="17"/>
      <c r="F26" s="17"/>
      <c r="G26" s="17"/>
      <c r="H26" s="17"/>
    </row>
    <row r="27" spans="1:8" x14ac:dyDescent="0.25">
      <c r="A27" s="176" t="s">
        <v>20</v>
      </c>
      <c r="B27" s="177"/>
      <c r="C27" s="178" t="s">
        <v>21</v>
      </c>
      <c r="D27" s="161" t="s">
        <v>22</v>
      </c>
      <c r="E27" s="161" t="s">
        <v>23</v>
      </c>
      <c r="F27" s="161" t="s">
        <v>24</v>
      </c>
      <c r="G27" s="60" t="s">
        <v>13</v>
      </c>
      <c r="H27" s="61"/>
    </row>
    <row r="28" spans="1:8" x14ac:dyDescent="0.25">
      <c r="A28" s="317"/>
      <c r="B28" s="318"/>
      <c r="C28" s="62"/>
      <c r="D28" s="63"/>
      <c r="E28" s="63"/>
      <c r="F28" s="64"/>
      <c r="G28" s="183"/>
      <c r="H28" s="29"/>
    </row>
    <row r="29" spans="1:8" x14ac:dyDescent="0.25">
      <c r="A29" s="317"/>
      <c r="B29" s="318"/>
      <c r="C29" s="65"/>
      <c r="D29" s="63"/>
      <c r="E29" s="63"/>
      <c r="F29" s="64"/>
      <c r="G29" s="183"/>
      <c r="H29" s="29"/>
    </row>
    <row r="30" spans="1:8" x14ac:dyDescent="0.25">
      <c r="A30" s="317"/>
      <c r="B30" s="318"/>
      <c r="C30" s="59"/>
      <c r="D30" s="30"/>
      <c r="E30" s="66"/>
      <c r="F30" s="32"/>
      <c r="G30" s="183"/>
      <c r="H30" s="29"/>
    </row>
    <row r="31" spans="1:8" ht="13.8" thickBot="1" x14ac:dyDescent="0.3">
      <c r="A31" s="337"/>
      <c r="B31" s="338"/>
      <c r="C31" s="52"/>
      <c r="D31" s="53"/>
      <c r="E31" s="43"/>
      <c r="F31" s="44"/>
      <c r="G31" s="185"/>
      <c r="H31" s="29"/>
    </row>
    <row r="32" spans="1:8" ht="13.8" thickBot="1" x14ac:dyDescent="0.3">
      <c r="A32" s="17"/>
      <c r="B32" s="17"/>
      <c r="C32" s="17"/>
      <c r="D32" s="17"/>
      <c r="E32" s="17"/>
      <c r="F32" s="17"/>
      <c r="G32" s="46" t="s">
        <v>14</v>
      </c>
      <c r="H32" s="67">
        <v>0</v>
      </c>
    </row>
    <row r="33" spans="1:10" ht="13.8" thickBot="1" x14ac:dyDescent="0.3">
      <c r="A33" s="55" t="s">
        <v>25</v>
      </c>
      <c r="B33" s="55"/>
      <c r="C33" s="17"/>
      <c r="D33" s="17"/>
      <c r="E33" s="17"/>
      <c r="F33" s="17"/>
      <c r="G33" s="17"/>
      <c r="H33" s="17"/>
    </row>
    <row r="34" spans="1:10" x14ac:dyDescent="0.25">
      <c r="A34" s="176" t="s">
        <v>26</v>
      </c>
      <c r="B34" s="177"/>
      <c r="C34" s="68" t="s">
        <v>27</v>
      </c>
      <c r="D34" s="161" t="s">
        <v>28</v>
      </c>
      <c r="E34" s="161" t="s">
        <v>29</v>
      </c>
      <c r="F34" s="161" t="s">
        <v>12</v>
      </c>
      <c r="G34" s="60" t="s">
        <v>13</v>
      </c>
      <c r="H34" s="25"/>
    </row>
    <row r="35" spans="1:10" x14ac:dyDescent="0.25">
      <c r="A35" s="57" t="s">
        <v>96</v>
      </c>
      <c r="B35" s="58"/>
      <c r="C35" s="69">
        <v>130000</v>
      </c>
      <c r="D35" s="70">
        <v>1.82</v>
      </c>
      <c r="E35" s="31">
        <f>C35*D35</f>
        <v>236600</v>
      </c>
      <c r="F35" s="32">
        <v>0.52</v>
      </c>
      <c r="G35" s="71">
        <f>E35/F35</f>
        <v>455000</v>
      </c>
      <c r="H35" s="19"/>
      <c r="J35" s="168"/>
    </row>
    <row r="36" spans="1:10" x14ac:dyDescent="0.25">
      <c r="A36" s="322" t="s">
        <v>36</v>
      </c>
      <c r="B36" s="339"/>
      <c r="C36" s="69">
        <v>150000</v>
      </c>
      <c r="D36" s="70">
        <v>1.83</v>
      </c>
      <c r="E36" s="31">
        <f>C36*D36</f>
        <v>274500</v>
      </c>
      <c r="F36" s="32">
        <v>0.52</v>
      </c>
      <c r="G36" s="72">
        <f>SUM(E36/F36)</f>
        <v>527884.61538461538</v>
      </c>
      <c r="H36" s="19"/>
    </row>
    <row r="37" spans="1:10" x14ac:dyDescent="0.25">
      <c r="A37" s="317"/>
      <c r="B37" s="318"/>
      <c r="C37" s="73"/>
      <c r="D37" s="70"/>
      <c r="E37" s="31"/>
      <c r="F37" s="32"/>
      <c r="G37" s="183"/>
      <c r="H37" s="29"/>
    </row>
    <row r="38" spans="1:10" x14ac:dyDescent="0.25">
      <c r="A38" s="317"/>
      <c r="B38" s="318"/>
      <c r="C38" s="74"/>
      <c r="D38" s="30"/>
      <c r="E38" s="31"/>
      <c r="F38" s="32"/>
      <c r="G38" s="183"/>
      <c r="H38" s="29"/>
      <c r="J38" s="168"/>
    </row>
    <row r="39" spans="1:10" x14ac:dyDescent="0.25">
      <c r="A39" s="317"/>
      <c r="B39" s="318"/>
      <c r="C39" s="74"/>
      <c r="D39" s="30"/>
      <c r="E39" s="31"/>
      <c r="F39" s="32"/>
      <c r="G39" s="183"/>
      <c r="H39" s="29"/>
    </row>
    <row r="40" spans="1:10" ht="13.8" thickBot="1" x14ac:dyDescent="0.3">
      <c r="A40" s="337"/>
      <c r="B40" s="338"/>
      <c r="C40" s="75"/>
      <c r="D40" s="51"/>
      <c r="E40" s="51"/>
      <c r="F40" s="51"/>
      <c r="G40" s="184"/>
      <c r="H40" s="45"/>
    </row>
    <row r="41" spans="1:10" ht="13.8" thickBot="1" x14ac:dyDescent="0.3">
      <c r="A41" s="17"/>
      <c r="B41" s="17"/>
      <c r="C41" s="17"/>
      <c r="D41" s="17"/>
      <c r="E41" s="17"/>
      <c r="F41" s="17"/>
      <c r="G41" s="46" t="s">
        <v>14</v>
      </c>
      <c r="H41" s="47">
        <f>ROUNDUP(SUM(G35:G36),0)</f>
        <v>982885</v>
      </c>
    </row>
    <row r="42" spans="1:10" ht="13.8" thickBot="1" x14ac:dyDescent="0.3">
      <c r="A42" s="17"/>
      <c r="B42" s="17"/>
      <c r="C42" s="17"/>
      <c r="D42" s="17"/>
      <c r="E42" s="17"/>
      <c r="F42" s="17"/>
      <c r="G42" s="76"/>
      <c r="H42" s="17"/>
    </row>
    <row r="43" spans="1:10" ht="13.8" thickBot="1" x14ac:dyDescent="0.3">
      <c r="A43" s="17"/>
      <c r="B43" s="17"/>
      <c r="C43" s="17"/>
      <c r="D43" s="17"/>
      <c r="E43" s="15" t="s">
        <v>30</v>
      </c>
      <c r="F43" s="15"/>
      <c r="G43" s="15"/>
      <c r="H43" s="170">
        <f>ROUND(SUM(H17+H25+H32+H41),0)</f>
        <v>1366888</v>
      </c>
    </row>
    <row r="46" spans="1:10" ht="13.8" thickBot="1" x14ac:dyDescent="0.3"/>
    <row r="47" spans="1:10" x14ac:dyDescent="0.25">
      <c r="A47" s="348"/>
      <c r="B47" s="349"/>
      <c r="C47" s="350"/>
      <c r="D47" s="357" t="s">
        <v>6</v>
      </c>
      <c r="E47" s="358"/>
      <c r="F47" s="358"/>
      <c r="G47" s="358"/>
      <c r="H47" s="359"/>
    </row>
    <row r="48" spans="1:10" x14ac:dyDescent="0.25">
      <c r="A48" s="351"/>
      <c r="B48" s="352"/>
      <c r="C48" s="353"/>
      <c r="D48" s="360"/>
      <c r="E48" s="361"/>
      <c r="F48" s="361"/>
      <c r="G48" s="361"/>
      <c r="H48" s="362"/>
    </row>
    <row r="49" spans="1:8" x14ac:dyDescent="0.25">
      <c r="A49" s="351"/>
      <c r="B49" s="352"/>
      <c r="C49" s="353"/>
      <c r="D49" s="360"/>
      <c r="E49" s="361"/>
      <c r="F49" s="361"/>
      <c r="G49" s="361"/>
      <c r="H49" s="362"/>
    </row>
    <row r="50" spans="1:8" ht="10.5" customHeight="1" x14ac:dyDescent="0.25">
      <c r="A50" s="351"/>
      <c r="B50" s="352"/>
      <c r="C50" s="353"/>
      <c r="D50" s="360"/>
      <c r="E50" s="361"/>
      <c r="F50" s="361"/>
      <c r="G50" s="361"/>
      <c r="H50" s="362"/>
    </row>
    <row r="51" spans="1:8" hidden="1" x14ac:dyDescent="0.25">
      <c r="A51" s="351"/>
      <c r="B51" s="352"/>
      <c r="C51" s="353"/>
      <c r="D51" s="360"/>
      <c r="E51" s="361"/>
      <c r="F51" s="361"/>
      <c r="G51" s="361"/>
      <c r="H51" s="362"/>
    </row>
    <row r="52" spans="1:8" ht="13.8" thickBot="1" x14ac:dyDescent="0.3">
      <c r="A52" s="354"/>
      <c r="B52" s="355"/>
      <c r="C52" s="356"/>
      <c r="D52" s="363"/>
      <c r="E52" s="364"/>
      <c r="F52" s="364"/>
      <c r="G52" s="364"/>
      <c r="H52" s="365"/>
    </row>
    <row r="53" spans="1:8" x14ac:dyDescent="0.25">
      <c r="A53" s="366" t="s">
        <v>37</v>
      </c>
      <c r="B53" s="368" t="s">
        <v>42</v>
      </c>
      <c r="C53" s="369"/>
      <c r="D53" s="369"/>
      <c r="E53" s="369"/>
      <c r="F53" s="370"/>
      <c r="G53" s="374" t="s">
        <v>46</v>
      </c>
      <c r="H53" s="359"/>
    </row>
    <row r="54" spans="1:8" ht="13.8" thickBot="1" x14ac:dyDescent="0.3">
      <c r="A54" s="367"/>
      <c r="B54" s="371"/>
      <c r="C54" s="372"/>
      <c r="D54" s="372"/>
      <c r="E54" s="372"/>
      <c r="F54" s="373"/>
      <c r="G54" s="375"/>
      <c r="H54" s="376"/>
    </row>
    <row r="55" spans="1:8" ht="13.8" thickBot="1" x14ac:dyDescent="0.3">
      <c r="A55" s="111" t="s">
        <v>8</v>
      </c>
      <c r="B55" s="111"/>
      <c r="C55" s="112"/>
      <c r="D55" s="112"/>
      <c r="E55" s="112"/>
      <c r="F55" s="112"/>
      <c r="G55" s="113"/>
      <c r="H55" s="112"/>
    </row>
    <row r="56" spans="1:8" x14ac:dyDescent="0.25">
      <c r="A56" s="328" t="s">
        <v>9</v>
      </c>
      <c r="B56" s="329"/>
      <c r="C56" s="330"/>
      <c r="D56" s="115" t="s">
        <v>10</v>
      </c>
      <c r="E56" s="115" t="s">
        <v>11</v>
      </c>
      <c r="F56" s="115" t="s">
        <v>12</v>
      </c>
      <c r="G56" s="114" t="s">
        <v>13</v>
      </c>
      <c r="H56" s="116"/>
    </row>
    <row r="57" spans="1:8" x14ac:dyDescent="0.25">
      <c r="A57" s="331" t="s">
        <v>38</v>
      </c>
      <c r="B57" s="332"/>
      <c r="C57" s="333"/>
      <c r="D57" s="117"/>
      <c r="E57" s="118">
        <v>30000</v>
      </c>
      <c r="F57" s="118">
        <v>20</v>
      </c>
      <c r="G57" s="119">
        <f>E57/F57</f>
        <v>1500</v>
      </c>
      <c r="H57" s="120"/>
    </row>
    <row r="58" spans="1:8" x14ac:dyDescent="0.25">
      <c r="A58" s="377"/>
      <c r="B58" s="378"/>
      <c r="C58" s="379"/>
      <c r="D58" s="121"/>
      <c r="E58" s="122"/>
      <c r="F58" s="118"/>
      <c r="G58" s="123"/>
      <c r="H58" s="124"/>
    </row>
    <row r="59" spans="1:8" x14ac:dyDescent="0.25">
      <c r="A59" s="331"/>
      <c r="B59" s="332"/>
      <c r="C59" s="333"/>
      <c r="D59" s="125"/>
      <c r="E59" s="126"/>
      <c r="F59" s="127"/>
      <c r="G59" s="128"/>
      <c r="H59" s="124"/>
    </row>
    <row r="60" spans="1:8" ht="13.8" thickBot="1" x14ac:dyDescent="0.3">
      <c r="A60" s="334"/>
      <c r="B60" s="335"/>
      <c r="C60" s="336"/>
      <c r="D60" s="129"/>
      <c r="E60" s="130"/>
      <c r="F60" s="131"/>
      <c r="G60" s="132"/>
      <c r="H60" s="133"/>
    </row>
    <row r="61" spans="1:8" ht="13.8" thickBot="1" x14ac:dyDescent="0.3">
      <c r="A61" s="112"/>
      <c r="B61" s="112"/>
      <c r="C61" s="112"/>
      <c r="D61" s="112"/>
      <c r="E61" s="112"/>
      <c r="F61" s="112"/>
      <c r="G61" s="134" t="s">
        <v>14</v>
      </c>
      <c r="H61" s="135">
        <f>G57</f>
        <v>1500</v>
      </c>
    </row>
    <row r="62" spans="1:8" ht="13.8" thickBot="1" x14ac:dyDescent="0.3">
      <c r="A62" s="343" t="s">
        <v>15</v>
      </c>
      <c r="B62" s="343"/>
      <c r="C62" s="343"/>
      <c r="D62" s="112"/>
      <c r="E62" s="112"/>
      <c r="F62" s="112"/>
      <c r="G62" s="112"/>
      <c r="H62" s="112"/>
    </row>
    <row r="63" spans="1:8" x14ac:dyDescent="0.25">
      <c r="A63" s="328" t="s">
        <v>9</v>
      </c>
      <c r="B63" s="329"/>
      <c r="C63" s="330"/>
      <c r="D63" s="115" t="s">
        <v>16</v>
      </c>
      <c r="E63" s="115" t="s">
        <v>17</v>
      </c>
      <c r="F63" s="115" t="s">
        <v>18</v>
      </c>
      <c r="G63" s="143" t="s">
        <v>13</v>
      </c>
      <c r="H63" s="116"/>
    </row>
    <row r="64" spans="1:8" x14ac:dyDescent="0.25">
      <c r="A64" s="344"/>
      <c r="B64" s="381"/>
      <c r="C64" s="382"/>
      <c r="D64" s="117"/>
      <c r="E64" s="136"/>
      <c r="F64" s="137"/>
      <c r="G64" s="174"/>
      <c r="H64" s="124"/>
    </row>
    <row r="65" spans="1:8" x14ac:dyDescent="0.25">
      <c r="A65" s="344"/>
      <c r="B65" s="381"/>
      <c r="C65" s="382"/>
      <c r="D65" s="117"/>
      <c r="E65" s="136"/>
      <c r="F65" s="137"/>
      <c r="G65" s="174"/>
      <c r="H65" s="124"/>
    </row>
    <row r="66" spans="1:8" x14ac:dyDescent="0.25">
      <c r="A66" s="344"/>
      <c r="B66" s="381"/>
      <c r="C66" s="382"/>
      <c r="D66" s="117"/>
      <c r="E66" s="136"/>
      <c r="F66" s="137"/>
      <c r="G66" s="174"/>
      <c r="H66" s="124"/>
    </row>
    <row r="67" spans="1:8" x14ac:dyDescent="0.25">
      <c r="A67" s="344"/>
      <c r="B67" s="381"/>
      <c r="C67" s="382"/>
      <c r="D67" s="117"/>
      <c r="E67" s="136"/>
      <c r="F67" s="137"/>
      <c r="G67" s="174"/>
      <c r="H67" s="124"/>
    </row>
    <row r="68" spans="1:8" ht="13.8" thickBot="1" x14ac:dyDescent="0.3">
      <c r="A68" s="340"/>
      <c r="B68" s="341"/>
      <c r="C68" s="342"/>
      <c r="D68" s="138"/>
      <c r="E68" s="139"/>
      <c r="F68" s="131"/>
      <c r="G68" s="186"/>
      <c r="H68" s="133"/>
    </row>
    <row r="69" spans="1:8" ht="13.8" thickBot="1" x14ac:dyDescent="0.3">
      <c r="A69" s="112"/>
      <c r="B69" s="112"/>
      <c r="C69" s="112"/>
      <c r="D69" s="112"/>
      <c r="E69" s="112"/>
      <c r="F69" s="112"/>
      <c r="G69" s="134" t="s">
        <v>14</v>
      </c>
      <c r="H69" s="140">
        <v>0</v>
      </c>
    </row>
    <row r="70" spans="1:8" ht="13.8" thickBot="1" x14ac:dyDescent="0.3">
      <c r="A70" s="343" t="s">
        <v>19</v>
      </c>
      <c r="B70" s="343"/>
      <c r="C70" s="141"/>
      <c r="D70" s="112"/>
      <c r="E70" s="112"/>
      <c r="F70" s="112"/>
      <c r="G70" s="112"/>
      <c r="H70" s="112"/>
    </row>
    <row r="71" spans="1:8" x14ac:dyDescent="0.25">
      <c r="A71" s="172" t="s">
        <v>20</v>
      </c>
      <c r="B71" s="173"/>
      <c r="C71" s="187" t="s">
        <v>21</v>
      </c>
      <c r="D71" s="115" t="s">
        <v>22</v>
      </c>
      <c r="E71" s="115" t="s">
        <v>23</v>
      </c>
      <c r="F71" s="115" t="s">
        <v>24</v>
      </c>
      <c r="G71" s="143" t="s">
        <v>13</v>
      </c>
      <c r="H71" s="144"/>
    </row>
    <row r="72" spans="1:8" x14ac:dyDescent="0.25">
      <c r="A72" s="377"/>
      <c r="B72" s="379"/>
      <c r="C72" s="137"/>
      <c r="D72" s="145"/>
      <c r="E72" s="145"/>
      <c r="F72" s="146"/>
      <c r="G72" s="174"/>
      <c r="H72" s="124"/>
    </row>
    <row r="73" spans="1:8" x14ac:dyDescent="0.25">
      <c r="A73" s="344"/>
      <c r="B73" s="345"/>
      <c r="C73" s="147"/>
      <c r="D73" s="145"/>
      <c r="E73" s="145"/>
      <c r="F73" s="146"/>
      <c r="G73" s="174"/>
      <c r="H73" s="124"/>
    </row>
    <row r="74" spans="1:8" x14ac:dyDescent="0.25">
      <c r="A74" s="344"/>
      <c r="B74" s="345"/>
      <c r="C74" s="142"/>
      <c r="D74" s="117"/>
      <c r="E74" s="148"/>
      <c r="F74" s="118"/>
      <c r="G74" s="174"/>
      <c r="H74" s="124"/>
    </row>
    <row r="75" spans="1:8" ht="13.8" thickBot="1" x14ac:dyDescent="0.3">
      <c r="A75" s="340"/>
      <c r="B75" s="380"/>
      <c r="C75" s="149"/>
      <c r="D75" s="139"/>
      <c r="E75" s="131"/>
      <c r="F75" s="132"/>
      <c r="G75" s="188"/>
      <c r="H75" s="124"/>
    </row>
    <row r="76" spans="1:8" ht="13.8" thickBot="1" x14ac:dyDescent="0.3">
      <c r="A76" s="112"/>
      <c r="B76" s="112"/>
      <c r="C76" s="112"/>
      <c r="D76" s="112"/>
      <c r="E76" s="112"/>
      <c r="F76" s="112"/>
      <c r="G76" s="134" t="s">
        <v>14</v>
      </c>
      <c r="H76" s="150">
        <v>0</v>
      </c>
    </row>
    <row r="77" spans="1:8" ht="13.8" thickBot="1" x14ac:dyDescent="0.3">
      <c r="A77" s="343" t="s">
        <v>25</v>
      </c>
      <c r="B77" s="343"/>
      <c r="C77" s="112"/>
      <c r="D77" s="112"/>
      <c r="E77" s="112"/>
      <c r="F77" s="112"/>
      <c r="G77" s="112"/>
      <c r="H77" s="112"/>
    </row>
    <row r="78" spans="1:8" x14ac:dyDescent="0.25">
      <c r="A78" s="172" t="s">
        <v>26</v>
      </c>
      <c r="B78" s="173"/>
      <c r="C78" s="151" t="s">
        <v>27</v>
      </c>
      <c r="D78" s="115" t="s">
        <v>28</v>
      </c>
      <c r="E78" s="115" t="s">
        <v>29</v>
      </c>
      <c r="F78" s="115" t="s">
        <v>12</v>
      </c>
      <c r="G78" s="143" t="s">
        <v>13</v>
      </c>
      <c r="H78" s="144"/>
    </row>
    <row r="79" spans="1:8" x14ac:dyDescent="0.25">
      <c r="A79" s="344" t="s">
        <v>39</v>
      </c>
      <c r="B79" s="345"/>
      <c r="C79" s="152">
        <v>80000</v>
      </c>
      <c r="D79" s="153">
        <v>1.82</v>
      </c>
      <c r="E79" s="118">
        <f>C79*D79</f>
        <v>145600</v>
      </c>
      <c r="F79" s="118">
        <v>100</v>
      </c>
      <c r="G79" s="174">
        <f t="shared" ref="G79:G80" si="0">E79/F79</f>
        <v>1456</v>
      </c>
      <c r="H79" s="154"/>
    </row>
    <row r="80" spans="1:8" x14ac:dyDescent="0.25">
      <c r="A80" s="344" t="s">
        <v>55</v>
      </c>
      <c r="B80" s="345"/>
      <c r="C80" s="152">
        <v>150000</v>
      </c>
      <c r="D80" s="153">
        <v>1.83</v>
      </c>
      <c r="E80" s="118">
        <f t="shared" ref="E80" si="1">C80*D80</f>
        <v>274500</v>
      </c>
      <c r="F80" s="118">
        <v>17.5</v>
      </c>
      <c r="G80" s="174">
        <f t="shared" si="0"/>
        <v>15685.714285714286</v>
      </c>
      <c r="H80" s="154"/>
    </row>
    <row r="81" spans="1:8" x14ac:dyDescent="0.25">
      <c r="A81" s="344" t="s">
        <v>56</v>
      </c>
      <c r="B81" s="345"/>
      <c r="C81" s="152">
        <v>150000</v>
      </c>
      <c r="D81" s="153">
        <v>1.83</v>
      </c>
      <c r="E81" s="118">
        <f>ROUNDUP(C81*D81,0)</f>
        <v>274500</v>
      </c>
      <c r="F81" s="118">
        <v>17.5</v>
      </c>
      <c r="G81" s="174">
        <f>E81/F81</f>
        <v>15685.714285714286</v>
      </c>
      <c r="H81" s="154"/>
    </row>
    <row r="82" spans="1:8" x14ac:dyDescent="0.25">
      <c r="A82" s="344"/>
      <c r="B82" s="345"/>
      <c r="C82" s="155"/>
      <c r="D82" s="117"/>
      <c r="E82" s="136"/>
      <c r="F82" s="118"/>
      <c r="G82" s="174"/>
      <c r="H82" s="154"/>
    </row>
    <row r="83" spans="1:8" x14ac:dyDescent="0.25">
      <c r="A83" s="344"/>
      <c r="B83" s="345"/>
      <c r="C83" s="155"/>
      <c r="D83" s="117"/>
      <c r="E83" s="136"/>
      <c r="F83" s="118"/>
      <c r="G83" s="174"/>
      <c r="H83" s="154"/>
    </row>
    <row r="84" spans="1:8" ht="13.8" thickBot="1" x14ac:dyDescent="0.3">
      <c r="A84" s="156"/>
      <c r="B84" s="141"/>
      <c r="C84" s="157"/>
      <c r="D84" s="158"/>
      <c r="E84" s="158"/>
      <c r="F84" s="158"/>
      <c r="G84" s="171"/>
      <c r="H84" s="171"/>
    </row>
    <row r="85" spans="1:8" ht="13.8" thickBot="1" x14ac:dyDescent="0.3">
      <c r="A85" s="112"/>
      <c r="B85" s="112"/>
      <c r="C85" s="112"/>
      <c r="D85" s="112"/>
      <c r="E85" s="112"/>
      <c r="F85" s="112"/>
      <c r="G85" s="134" t="s">
        <v>14</v>
      </c>
      <c r="H85" s="140">
        <f>ROUNDUP(SUM(G79:G81),0)</f>
        <v>32828</v>
      </c>
    </row>
    <row r="86" spans="1:8" ht="13.8" thickBot="1" x14ac:dyDescent="0.3">
      <c r="A86" s="112"/>
      <c r="B86" s="112"/>
      <c r="C86" s="112"/>
      <c r="D86" s="112"/>
      <c r="E86" s="112"/>
      <c r="F86" s="112"/>
      <c r="G86" s="159"/>
      <c r="H86" s="112"/>
    </row>
    <row r="87" spans="1:8" ht="13.8" thickBot="1" x14ac:dyDescent="0.3">
      <c r="A87" s="112"/>
      <c r="B87" s="112"/>
      <c r="C87" s="112"/>
      <c r="D87" s="112"/>
      <c r="E87" s="346" t="s">
        <v>30</v>
      </c>
      <c r="F87" s="346"/>
      <c r="G87" s="347"/>
      <c r="H87" s="175">
        <f>ROUNDUP(H61+H85,0)</f>
        <v>34328</v>
      </c>
    </row>
    <row r="90" spans="1:8" ht="13.8" thickBot="1" x14ac:dyDescent="0.3"/>
    <row r="91" spans="1:8" x14ac:dyDescent="0.25">
      <c r="A91" s="10"/>
      <c r="B91" s="11"/>
      <c r="C91" s="81"/>
      <c r="D91" s="82"/>
      <c r="E91" s="13"/>
      <c r="F91" s="82"/>
      <c r="G91" s="82"/>
      <c r="H91" s="83"/>
    </row>
    <row r="92" spans="1:8" ht="26.25" customHeight="1" x14ac:dyDescent="0.25">
      <c r="A92" s="14"/>
      <c r="B92" s="15"/>
      <c r="C92" s="16"/>
      <c r="D92" s="296" t="s">
        <v>6</v>
      </c>
      <c r="E92" s="297"/>
      <c r="F92" s="297"/>
      <c r="G92" s="297"/>
      <c r="H92" s="298"/>
    </row>
    <row r="93" spans="1:8" ht="13.8" thickBot="1" x14ac:dyDescent="0.3">
      <c r="A93" s="20"/>
      <c r="B93" s="21"/>
      <c r="C93" s="22"/>
      <c r="D93" s="299"/>
      <c r="E93" s="300"/>
      <c r="F93" s="300"/>
      <c r="G93" s="300"/>
      <c r="H93" s="301"/>
    </row>
    <row r="94" spans="1:8" x14ac:dyDescent="0.25">
      <c r="A94" s="389" t="s">
        <v>57</v>
      </c>
      <c r="B94" s="305" t="s">
        <v>43</v>
      </c>
      <c r="C94" s="306"/>
      <c r="D94" s="306"/>
      <c r="E94" s="306"/>
      <c r="F94" s="307"/>
      <c r="G94" s="293" t="s">
        <v>7</v>
      </c>
      <c r="H94" s="295"/>
    </row>
    <row r="95" spans="1:8" ht="13.8" thickBot="1" x14ac:dyDescent="0.3">
      <c r="A95" s="390"/>
      <c r="B95" s="311"/>
      <c r="C95" s="312"/>
      <c r="D95" s="312"/>
      <c r="E95" s="312"/>
      <c r="F95" s="313"/>
      <c r="G95" s="299"/>
      <c r="H95" s="301"/>
    </row>
    <row r="96" spans="1:8" ht="13.8" thickBot="1" x14ac:dyDescent="0.3">
      <c r="A96" s="18" t="s">
        <v>8</v>
      </c>
      <c r="B96" s="18"/>
      <c r="C96" s="17"/>
      <c r="D96" s="17"/>
      <c r="E96" s="17"/>
      <c r="F96" s="17"/>
      <c r="H96" s="17"/>
    </row>
    <row r="97" spans="1:8" x14ac:dyDescent="0.25">
      <c r="A97" s="319" t="s">
        <v>9</v>
      </c>
      <c r="B97" s="320"/>
      <c r="C97" s="385"/>
      <c r="D97" s="24" t="s">
        <v>10</v>
      </c>
      <c r="E97" s="84" t="s">
        <v>11</v>
      </c>
      <c r="F97" s="24" t="s">
        <v>12</v>
      </c>
      <c r="G97" s="23" t="s">
        <v>13</v>
      </c>
      <c r="H97" s="25"/>
    </row>
    <row r="98" spans="1:8" x14ac:dyDescent="0.25">
      <c r="A98" s="322" t="s">
        <v>38</v>
      </c>
      <c r="B98" s="323"/>
      <c r="C98" s="339"/>
      <c r="D98" s="85"/>
      <c r="E98" s="86">
        <v>3000</v>
      </c>
      <c r="F98" s="86">
        <v>20</v>
      </c>
      <c r="G98" s="87">
        <f>E98/F98</f>
        <v>150</v>
      </c>
      <c r="H98" s="88"/>
    </row>
    <row r="99" spans="1:8" x14ac:dyDescent="0.25">
      <c r="A99" s="317"/>
      <c r="B99" s="383"/>
      <c r="C99" s="318"/>
      <c r="D99" s="89"/>
      <c r="E99" s="90"/>
      <c r="F99" s="86"/>
      <c r="G99" s="91"/>
      <c r="H99" s="29"/>
    </row>
    <row r="100" spans="1:8" x14ac:dyDescent="0.25">
      <c r="A100" s="322"/>
      <c r="B100" s="323"/>
      <c r="C100" s="339"/>
      <c r="D100" s="89"/>
      <c r="E100" s="92"/>
      <c r="F100" s="93"/>
      <c r="G100" s="91"/>
      <c r="H100" s="29"/>
    </row>
    <row r="101" spans="1:8" ht="13.8" thickBot="1" x14ac:dyDescent="0.3">
      <c r="A101" s="325"/>
      <c r="B101" s="326"/>
      <c r="C101" s="384"/>
      <c r="D101" s="94"/>
      <c r="E101" s="95"/>
      <c r="F101" s="96"/>
      <c r="G101" s="97"/>
      <c r="H101" s="45"/>
    </row>
    <row r="102" spans="1:8" ht="13.8" thickBot="1" x14ac:dyDescent="0.3">
      <c r="A102" s="17"/>
      <c r="B102" s="17"/>
      <c r="C102" s="17"/>
      <c r="D102" s="17"/>
      <c r="E102" s="17"/>
      <c r="F102" s="17"/>
      <c r="G102" s="46" t="s">
        <v>14</v>
      </c>
      <c r="H102" s="67">
        <f>G98</f>
        <v>150</v>
      </c>
    </row>
    <row r="103" spans="1:8" ht="13.8" thickBot="1" x14ac:dyDescent="0.3">
      <c r="A103" s="18" t="s">
        <v>15</v>
      </c>
      <c r="B103" s="18"/>
      <c r="C103" s="17"/>
      <c r="D103" s="17"/>
      <c r="E103" s="17"/>
      <c r="F103" s="17"/>
      <c r="G103" s="17"/>
      <c r="H103" s="17"/>
    </row>
    <row r="104" spans="1:8" x14ac:dyDescent="0.25">
      <c r="A104" s="319" t="s">
        <v>9</v>
      </c>
      <c r="B104" s="320"/>
      <c r="C104" s="385"/>
      <c r="D104" s="161" t="s">
        <v>16</v>
      </c>
      <c r="E104" s="161" t="s">
        <v>17</v>
      </c>
      <c r="F104" s="161" t="s">
        <v>18</v>
      </c>
      <c r="G104" s="60" t="s">
        <v>13</v>
      </c>
      <c r="H104" s="25"/>
    </row>
    <row r="105" spans="1:8" x14ac:dyDescent="0.25">
      <c r="A105" s="386"/>
      <c r="B105" s="387"/>
      <c r="C105" s="388"/>
      <c r="D105" s="85"/>
      <c r="E105" s="98"/>
      <c r="F105" s="99"/>
      <c r="G105" s="179"/>
      <c r="H105" s="29"/>
    </row>
    <row r="106" spans="1:8" x14ac:dyDescent="0.25">
      <c r="A106" s="386"/>
      <c r="B106" s="387"/>
      <c r="C106" s="388"/>
      <c r="D106" s="85"/>
      <c r="E106" s="98"/>
      <c r="F106" s="99"/>
      <c r="G106" s="179"/>
      <c r="H106" s="29"/>
    </row>
    <row r="107" spans="1:8" x14ac:dyDescent="0.25">
      <c r="A107" s="386"/>
      <c r="B107" s="387"/>
      <c r="C107" s="388"/>
      <c r="D107" s="85"/>
      <c r="E107" s="98"/>
      <c r="F107" s="99"/>
      <c r="G107" s="179"/>
      <c r="H107" s="29"/>
    </row>
    <row r="108" spans="1:8" x14ac:dyDescent="0.25">
      <c r="A108" s="386"/>
      <c r="B108" s="387"/>
      <c r="C108" s="388"/>
      <c r="D108" s="85"/>
      <c r="E108" s="98"/>
      <c r="F108" s="99"/>
      <c r="G108" s="179"/>
      <c r="H108" s="29"/>
    </row>
    <row r="109" spans="1:8" ht="13.8" thickBot="1" x14ac:dyDescent="0.3">
      <c r="A109" s="391"/>
      <c r="B109" s="392"/>
      <c r="C109" s="393"/>
      <c r="D109" s="94"/>
      <c r="E109" s="95"/>
      <c r="F109" s="96"/>
      <c r="G109" s="181"/>
      <c r="H109" s="45"/>
    </row>
    <row r="110" spans="1:8" ht="13.8" thickBot="1" x14ac:dyDescent="0.3">
      <c r="A110" s="17"/>
      <c r="B110" s="17"/>
      <c r="C110" s="17"/>
      <c r="D110" s="17"/>
      <c r="E110" s="17"/>
      <c r="F110" s="17"/>
      <c r="G110" s="46" t="s">
        <v>14</v>
      </c>
      <c r="H110" s="100">
        <f>SUM(G105:G109)</f>
        <v>0</v>
      </c>
    </row>
    <row r="111" spans="1:8" ht="13.8" thickBot="1" x14ac:dyDescent="0.3">
      <c r="A111" s="55" t="s">
        <v>19</v>
      </c>
      <c r="B111" s="55"/>
      <c r="C111" s="56"/>
      <c r="D111" s="17"/>
      <c r="E111" s="17"/>
      <c r="F111" s="17"/>
      <c r="G111" s="17"/>
      <c r="H111" s="17"/>
    </row>
    <row r="112" spans="1:8" x14ac:dyDescent="0.25">
      <c r="A112" s="176" t="s">
        <v>20</v>
      </c>
      <c r="B112" s="177"/>
      <c r="C112" s="178" t="s">
        <v>21</v>
      </c>
      <c r="D112" s="161" t="s">
        <v>22</v>
      </c>
      <c r="E112" s="161" t="s">
        <v>23</v>
      </c>
      <c r="F112" s="161" t="s">
        <v>24</v>
      </c>
      <c r="G112" s="60" t="s">
        <v>13</v>
      </c>
      <c r="H112" s="25"/>
    </row>
    <row r="113" spans="1:10" x14ac:dyDescent="0.25">
      <c r="A113" s="317"/>
      <c r="B113" s="318"/>
      <c r="C113" s="99"/>
      <c r="D113" s="101"/>
      <c r="E113" s="101"/>
      <c r="F113" s="102"/>
      <c r="G113" s="179"/>
      <c r="H113" s="29"/>
    </row>
    <row r="114" spans="1:10" x14ac:dyDescent="0.25">
      <c r="A114" s="386"/>
      <c r="B114" s="387"/>
      <c r="C114" s="103"/>
      <c r="D114" s="101"/>
      <c r="E114" s="101"/>
      <c r="F114" s="102"/>
      <c r="G114" s="179"/>
      <c r="H114" s="29"/>
    </row>
    <row r="115" spans="1:10" x14ac:dyDescent="0.25">
      <c r="A115" s="386"/>
      <c r="B115" s="387"/>
      <c r="C115" s="104"/>
      <c r="D115" s="85"/>
      <c r="E115" s="105"/>
      <c r="F115" s="86"/>
      <c r="G115" s="179"/>
      <c r="H115" s="29"/>
    </row>
    <row r="116" spans="1:10" ht="13.8" thickBot="1" x14ac:dyDescent="0.3">
      <c r="A116" s="391"/>
      <c r="B116" s="392"/>
      <c r="C116" s="94"/>
      <c r="D116" s="95"/>
      <c r="E116" s="96"/>
      <c r="F116" s="97"/>
      <c r="G116" s="180"/>
      <c r="H116" s="29"/>
    </row>
    <row r="117" spans="1:10" ht="13.8" thickBot="1" x14ac:dyDescent="0.3">
      <c r="A117" s="17"/>
      <c r="B117" s="17"/>
      <c r="C117" s="17"/>
      <c r="D117" s="17"/>
      <c r="E117" s="17"/>
      <c r="F117" s="17"/>
      <c r="G117" s="46" t="s">
        <v>14</v>
      </c>
      <c r="H117" s="100">
        <f>SUM(G113:G115)</f>
        <v>0</v>
      </c>
    </row>
    <row r="118" spans="1:10" ht="13.8" thickBot="1" x14ac:dyDescent="0.3">
      <c r="A118" s="55" t="s">
        <v>25</v>
      </c>
      <c r="B118" s="55"/>
      <c r="C118" s="17"/>
      <c r="D118" s="17"/>
      <c r="E118" s="17"/>
      <c r="F118" s="17"/>
      <c r="G118" s="17"/>
      <c r="H118" s="17"/>
    </row>
    <row r="119" spans="1:10" x14ac:dyDescent="0.25">
      <c r="A119" s="57" t="s">
        <v>26</v>
      </c>
      <c r="B119" s="58"/>
      <c r="C119" s="68" t="s">
        <v>27</v>
      </c>
      <c r="D119" s="225" t="s">
        <v>28</v>
      </c>
      <c r="E119" s="84" t="s">
        <v>29</v>
      </c>
      <c r="F119" s="68" t="s">
        <v>12</v>
      </c>
      <c r="G119" s="23" t="s">
        <v>13</v>
      </c>
      <c r="H119" s="25"/>
    </row>
    <row r="120" spans="1:10" x14ac:dyDescent="0.25">
      <c r="A120" s="387" t="s">
        <v>39</v>
      </c>
      <c r="B120" s="387"/>
      <c r="C120" s="152">
        <v>80000</v>
      </c>
      <c r="D120" s="106">
        <v>1.82</v>
      </c>
      <c r="E120" s="86">
        <f>+D120*C120</f>
        <v>145600</v>
      </c>
      <c r="F120" s="86">
        <v>250</v>
      </c>
      <c r="G120" s="107">
        <f>+E120/F120</f>
        <v>582.4</v>
      </c>
      <c r="H120" s="29"/>
      <c r="J120" s="9">
        <f>+G120*'LA MILAGROSA'!$I$8</f>
        <v>873600</v>
      </c>
    </row>
    <row r="121" spans="1:10" x14ac:dyDescent="0.25">
      <c r="A121" s="344" t="s">
        <v>55</v>
      </c>
      <c r="B121" s="345"/>
      <c r="C121" s="152">
        <v>150000</v>
      </c>
      <c r="D121" s="153">
        <v>1.83</v>
      </c>
      <c r="E121" s="118">
        <f t="shared" ref="E121" si="2">C121*D121</f>
        <v>274500</v>
      </c>
      <c r="F121" s="118">
        <v>250</v>
      </c>
      <c r="G121" s="174">
        <f t="shared" ref="G121" si="3">E121/F121</f>
        <v>1098</v>
      </c>
      <c r="H121" s="29"/>
      <c r="J121" s="9">
        <f>+G121*'LA MILAGROSA'!$I$8</f>
        <v>1647000</v>
      </c>
    </row>
    <row r="122" spans="1:10" x14ac:dyDescent="0.25">
      <c r="A122" s="344" t="s">
        <v>56</v>
      </c>
      <c r="B122" s="345"/>
      <c r="C122" s="152">
        <v>150000</v>
      </c>
      <c r="D122" s="153">
        <v>1.83</v>
      </c>
      <c r="E122" s="118">
        <f>ROUNDUP(C122*D122,0)</f>
        <v>274500</v>
      </c>
      <c r="F122" s="118">
        <v>250</v>
      </c>
      <c r="G122" s="174">
        <f>E122/F122</f>
        <v>1098</v>
      </c>
      <c r="H122" s="29"/>
      <c r="J122" s="9">
        <f>+G122*'LA MILAGROSA'!$I$8</f>
        <v>1647000</v>
      </c>
    </row>
    <row r="123" spans="1:10" x14ac:dyDescent="0.25">
      <c r="A123" s="387"/>
      <c r="B123" s="387"/>
      <c r="C123" s="98"/>
      <c r="D123" s="85"/>
      <c r="E123" s="98"/>
      <c r="F123" s="86"/>
      <c r="G123" s="91"/>
      <c r="H123" s="29"/>
    </row>
    <row r="124" spans="1:10" x14ac:dyDescent="0.25">
      <c r="A124" s="387"/>
      <c r="B124" s="387"/>
      <c r="C124" s="98"/>
      <c r="D124" s="85"/>
      <c r="E124" s="98"/>
      <c r="F124" s="86"/>
      <c r="G124" s="91"/>
      <c r="H124" s="29"/>
    </row>
    <row r="125" spans="1:10" ht="13.8" thickBot="1" x14ac:dyDescent="0.3">
      <c r="A125" s="108"/>
      <c r="B125" s="109"/>
      <c r="C125" s="95"/>
      <c r="D125" s="51"/>
      <c r="E125" s="51"/>
      <c r="F125" s="51"/>
      <c r="G125" s="56"/>
      <c r="H125" s="45"/>
    </row>
    <row r="126" spans="1:10" ht="13.8" thickBot="1" x14ac:dyDescent="0.3">
      <c r="A126" s="17"/>
      <c r="B126" s="17"/>
      <c r="C126" s="17"/>
      <c r="D126" s="17"/>
      <c r="E126" s="17"/>
      <c r="F126" s="17"/>
      <c r="G126" s="46" t="s">
        <v>14</v>
      </c>
      <c r="H126" s="100">
        <f>SUM(G120:G125)</f>
        <v>2778.4</v>
      </c>
    </row>
    <row r="127" spans="1:10" ht="13.8" thickBot="1" x14ac:dyDescent="0.3">
      <c r="A127" s="17"/>
      <c r="B127" s="17"/>
      <c r="C127" s="17"/>
      <c r="D127" s="17"/>
      <c r="E127" s="17"/>
      <c r="F127" s="17"/>
      <c r="G127" s="76"/>
      <c r="H127" s="17"/>
    </row>
    <row r="128" spans="1:10" ht="13.8" thickBot="1" x14ac:dyDescent="0.3">
      <c r="A128" s="17"/>
      <c r="B128" s="17"/>
      <c r="C128" s="17"/>
      <c r="D128" s="17"/>
      <c r="E128" s="15" t="s">
        <v>30</v>
      </c>
      <c r="F128" s="110"/>
      <c r="G128" s="110"/>
      <c r="H128" s="182">
        <f>ROUND(SUM(H102+H110+H117+H126),0)</f>
        <v>2928</v>
      </c>
    </row>
    <row r="131" spans="1:8" ht="13.8" thickBot="1" x14ac:dyDescent="0.3"/>
    <row r="132" spans="1:8" x14ac:dyDescent="0.25">
      <c r="A132" s="10"/>
      <c r="B132" s="11"/>
      <c r="C132" s="81"/>
      <c r="D132" s="293" t="s">
        <v>6</v>
      </c>
      <c r="E132" s="294"/>
      <c r="F132" s="294"/>
      <c r="G132" s="294"/>
      <c r="H132" s="295"/>
    </row>
    <row r="133" spans="1:8" ht="30.75" customHeight="1" x14ac:dyDescent="0.25">
      <c r="A133" s="14"/>
      <c r="B133" s="15"/>
      <c r="C133" s="16"/>
      <c r="D133" s="296"/>
      <c r="E133" s="297"/>
      <c r="F133" s="297"/>
      <c r="G133" s="297"/>
      <c r="H133" s="298"/>
    </row>
    <row r="134" spans="1:8" ht="13.8" thickBot="1" x14ac:dyDescent="0.3">
      <c r="A134" s="20"/>
      <c r="B134" s="21"/>
      <c r="C134" s="22"/>
      <c r="D134" s="299"/>
      <c r="E134" s="300"/>
      <c r="F134" s="300"/>
      <c r="G134" s="300"/>
      <c r="H134" s="301"/>
    </row>
    <row r="135" spans="1:8" x14ac:dyDescent="0.25">
      <c r="A135" s="389" t="s">
        <v>58</v>
      </c>
      <c r="B135" s="305" t="s">
        <v>41</v>
      </c>
      <c r="C135" s="306"/>
      <c r="D135" s="306"/>
      <c r="E135" s="306"/>
      <c r="F135" s="307"/>
      <c r="G135" s="293" t="s">
        <v>46</v>
      </c>
      <c r="H135" s="295"/>
    </row>
    <row r="136" spans="1:8" ht="13.8" thickBot="1" x14ac:dyDescent="0.3">
      <c r="A136" s="390"/>
      <c r="B136" s="311"/>
      <c r="C136" s="312"/>
      <c r="D136" s="312"/>
      <c r="E136" s="312"/>
      <c r="F136" s="313"/>
      <c r="G136" s="299"/>
      <c r="H136" s="301"/>
    </row>
    <row r="137" spans="1:8" ht="13.8" thickBot="1" x14ac:dyDescent="0.3">
      <c r="A137" s="18" t="s">
        <v>8</v>
      </c>
      <c r="B137" s="18"/>
      <c r="C137" s="17"/>
      <c r="D137" s="17"/>
      <c r="E137" s="17"/>
      <c r="F137" s="17"/>
      <c r="H137" s="17"/>
    </row>
    <row r="138" spans="1:8" x14ac:dyDescent="0.25">
      <c r="A138" s="319" t="s">
        <v>9</v>
      </c>
      <c r="B138" s="320"/>
      <c r="C138" s="385"/>
      <c r="D138" s="24" t="s">
        <v>10</v>
      </c>
      <c r="E138" s="84" t="s">
        <v>11</v>
      </c>
      <c r="F138" s="24" t="s">
        <v>12</v>
      </c>
      <c r="G138" s="23" t="s">
        <v>13</v>
      </c>
      <c r="H138" s="25"/>
    </row>
    <row r="139" spans="1:8" x14ac:dyDescent="0.25">
      <c r="A139" s="322" t="s">
        <v>38</v>
      </c>
      <c r="B139" s="323"/>
      <c r="C139" s="339"/>
      <c r="D139" s="85"/>
      <c r="E139" s="86">
        <v>30000</v>
      </c>
      <c r="F139" s="86">
        <v>20</v>
      </c>
      <c r="G139" s="87">
        <f>E139/F139</f>
        <v>1500</v>
      </c>
      <c r="H139" s="88"/>
    </row>
    <row r="140" spans="1:8" x14ac:dyDescent="0.25">
      <c r="A140" s="317"/>
      <c r="B140" s="383"/>
      <c r="C140" s="318"/>
      <c r="D140" s="89"/>
      <c r="E140" s="90"/>
      <c r="F140" s="86"/>
      <c r="G140" s="91"/>
      <c r="H140" s="29"/>
    </row>
    <row r="141" spans="1:8" x14ac:dyDescent="0.25">
      <c r="A141" s="322"/>
      <c r="B141" s="323"/>
      <c r="C141" s="339"/>
      <c r="D141" s="89"/>
      <c r="E141" s="92"/>
      <c r="F141" s="93"/>
      <c r="G141" s="91"/>
      <c r="H141" s="29"/>
    </row>
    <row r="142" spans="1:8" ht="13.8" thickBot="1" x14ac:dyDescent="0.3">
      <c r="A142" s="325"/>
      <c r="B142" s="326"/>
      <c r="C142" s="384"/>
      <c r="D142" s="94"/>
      <c r="E142" s="95"/>
      <c r="F142" s="96"/>
      <c r="G142" s="97"/>
      <c r="H142" s="45"/>
    </row>
    <row r="143" spans="1:8" ht="13.8" thickBot="1" x14ac:dyDescent="0.3">
      <c r="A143" s="17"/>
      <c r="B143" s="17"/>
      <c r="C143" s="17"/>
      <c r="D143" s="17"/>
      <c r="E143" s="17"/>
      <c r="F143" s="17"/>
      <c r="G143" s="46" t="s">
        <v>14</v>
      </c>
      <c r="H143" s="77">
        <f>G139</f>
        <v>1500</v>
      </c>
    </row>
    <row r="144" spans="1:8" ht="13.8" thickBot="1" x14ac:dyDescent="0.3">
      <c r="A144" s="18" t="s">
        <v>15</v>
      </c>
      <c r="B144" s="18"/>
      <c r="C144" s="17"/>
      <c r="D144" s="17"/>
      <c r="E144" s="17"/>
      <c r="F144" s="17"/>
      <c r="G144" s="17"/>
      <c r="H144" s="17"/>
    </row>
    <row r="145" spans="1:8" x14ac:dyDescent="0.25">
      <c r="A145" s="319" t="s">
        <v>9</v>
      </c>
      <c r="B145" s="320"/>
      <c r="C145" s="385"/>
      <c r="D145" s="24" t="s">
        <v>16</v>
      </c>
      <c r="E145" s="24" t="s">
        <v>17</v>
      </c>
      <c r="F145" s="24" t="s">
        <v>18</v>
      </c>
      <c r="G145" s="23" t="s">
        <v>13</v>
      </c>
      <c r="H145" s="25"/>
    </row>
    <row r="146" spans="1:8" x14ac:dyDescent="0.25">
      <c r="A146" s="387"/>
      <c r="B146" s="387"/>
      <c r="C146" s="388"/>
      <c r="D146" s="85"/>
      <c r="E146" s="98"/>
      <c r="F146" s="99"/>
      <c r="G146" s="91"/>
      <c r="H146" s="29"/>
    </row>
    <row r="147" spans="1:8" x14ac:dyDescent="0.25">
      <c r="A147" s="387"/>
      <c r="B147" s="387"/>
      <c r="C147" s="388"/>
      <c r="D147" s="85"/>
      <c r="E147" s="98"/>
      <c r="F147" s="99"/>
      <c r="G147" s="91"/>
      <c r="H147" s="29"/>
    </row>
    <row r="148" spans="1:8" x14ac:dyDescent="0.25">
      <c r="A148" s="387"/>
      <c r="B148" s="387"/>
      <c r="C148" s="388"/>
      <c r="D148" s="85"/>
      <c r="E148" s="98"/>
      <c r="F148" s="99"/>
      <c r="G148" s="91"/>
      <c r="H148" s="29"/>
    </row>
    <row r="149" spans="1:8" x14ac:dyDescent="0.25">
      <c r="A149" s="387"/>
      <c r="B149" s="387"/>
      <c r="C149" s="388"/>
      <c r="D149" s="85"/>
      <c r="E149" s="98"/>
      <c r="F149" s="99"/>
      <c r="G149" s="91"/>
      <c r="H149" s="29"/>
    </row>
    <row r="150" spans="1:8" ht="13.8" thickBot="1" x14ac:dyDescent="0.3">
      <c r="A150" s="387"/>
      <c r="B150" s="387"/>
      <c r="C150" s="388"/>
      <c r="D150" s="94"/>
      <c r="E150" s="95"/>
      <c r="F150" s="96"/>
      <c r="G150" s="97"/>
      <c r="H150" s="45"/>
    </row>
    <row r="151" spans="1:8" ht="13.8" thickBot="1" x14ac:dyDescent="0.3">
      <c r="A151" s="17"/>
      <c r="B151" s="17"/>
      <c r="C151" s="17"/>
      <c r="D151" s="17"/>
      <c r="E151" s="17"/>
      <c r="F151" s="17"/>
      <c r="G151" s="46" t="s">
        <v>14</v>
      </c>
      <c r="H151" s="100">
        <f>SUM(G146:G150)</f>
        <v>0</v>
      </c>
    </row>
    <row r="152" spans="1:8" ht="13.8" thickBot="1" x14ac:dyDescent="0.3">
      <c r="A152" s="55" t="s">
        <v>19</v>
      </c>
      <c r="B152" s="55"/>
      <c r="C152" s="56"/>
      <c r="D152" s="17"/>
      <c r="E152" s="17"/>
      <c r="F152" s="17"/>
      <c r="G152" s="17"/>
      <c r="H152" s="17"/>
    </row>
    <row r="153" spans="1:8" x14ac:dyDescent="0.25">
      <c r="A153" s="57" t="s">
        <v>20</v>
      </c>
      <c r="B153" s="58"/>
      <c r="C153" s="59" t="s">
        <v>21</v>
      </c>
      <c r="D153" s="24" t="s">
        <v>22</v>
      </c>
      <c r="E153" s="24" t="s">
        <v>23</v>
      </c>
      <c r="F153" s="24" t="s">
        <v>24</v>
      </c>
      <c r="G153" s="60" t="s">
        <v>13</v>
      </c>
      <c r="H153" s="25"/>
    </row>
    <row r="154" spans="1:8" x14ac:dyDescent="0.25">
      <c r="A154" s="317"/>
      <c r="B154" s="318"/>
      <c r="C154" s="99"/>
      <c r="D154" s="101"/>
      <c r="E154" s="101"/>
      <c r="F154" s="102"/>
      <c r="G154" s="86"/>
      <c r="H154" s="29"/>
    </row>
    <row r="155" spans="1:8" x14ac:dyDescent="0.25">
      <c r="A155" s="387"/>
      <c r="B155" s="387"/>
      <c r="C155" s="103"/>
      <c r="D155" s="101"/>
      <c r="E155" s="101"/>
      <c r="F155" s="102"/>
      <c r="G155" s="86"/>
      <c r="H155" s="29"/>
    </row>
    <row r="156" spans="1:8" x14ac:dyDescent="0.25">
      <c r="A156" s="387"/>
      <c r="B156" s="387"/>
      <c r="C156" s="104"/>
      <c r="D156" s="85"/>
      <c r="E156" s="105"/>
      <c r="F156" s="86"/>
      <c r="G156" s="86"/>
      <c r="H156" s="29"/>
    </row>
    <row r="157" spans="1:8" ht="13.8" thickBot="1" x14ac:dyDescent="0.3">
      <c r="A157" s="387"/>
      <c r="B157" s="387"/>
      <c r="C157" s="94"/>
      <c r="D157" s="95"/>
      <c r="E157" s="96"/>
      <c r="F157" s="97"/>
      <c r="G157" s="94"/>
      <c r="H157" s="29"/>
    </row>
    <row r="158" spans="1:8" ht="13.8" thickBot="1" x14ac:dyDescent="0.3">
      <c r="A158" s="17"/>
      <c r="B158" s="17"/>
      <c r="C158" s="17"/>
      <c r="D158" s="17"/>
      <c r="E158" s="17"/>
      <c r="F158" s="17"/>
      <c r="G158" s="46" t="s">
        <v>14</v>
      </c>
      <c r="H158" s="100">
        <f>SUM(G154:G156)</f>
        <v>0</v>
      </c>
    </row>
    <row r="159" spans="1:8" ht="13.8" thickBot="1" x14ac:dyDescent="0.3">
      <c r="A159" s="55" t="s">
        <v>25</v>
      </c>
      <c r="B159" s="55"/>
      <c r="C159" s="17"/>
      <c r="D159" s="17"/>
      <c r="E159" s="17"/>
      <c r="F159" s="17"/>
      <c r="G159" s="17"/>
      <c r="H159" s="17"/>
    </row>
    <row r="160" spans="1:8" x14ac:dyDescent="0.25">
      <c r="A160" s="57" t="s">
        <v>26</v>
      </c>
      <c r="B160" s="58"/>
      <c r="C160" s="68" t="s">
        <v>27</v>
      </c>
      <c r="D160" s="24" t="s">
        <v>28</v>
      </c>
      <c r="E160" s="84" t="s">
        <v>29</v>
      </c>
      <c r="F160" s="68" t="s">
        <v>12</v>
      </c>
      <c r="G160" s="23" t="s">
        <v>13</v>
      </c>
      <c r="H160" s="25"/>
    </row>
    <row r="161" spans="1:9" x14ac:dyDescent="0.25">
      <c r="A161" s="344" t="s">
        <v>39</v>
      </c>
      <c r="B161" s="345"/>
      <c r="C161" s="152">
        <v>80000</v>
      </c>
      <c r="D161" s="153">
        <v>1.82</v>
      </c>
      <c r="E161" s="118">
        <f>C161*D161</f>
        <v>145600</v>
      </c>
      <c r="F161" s="118">
        <v>100</v>
      </c>
      <c r="G161" s="174">
        <f t="shared" ref="G161:G162" si="4">E161/F161</f>
        <v>1456</v>
      </c>
      <c r="H161" s="29"/>
      <c r="I161" s="9">
        <f>+G161*'LA MILAGROSA'!$I$9</f>
        <v>655200</v>
      </c>
    </row>
    <row r="162" spans="1:9" x14ac:dyDescent="0.25">
      <c r="A162" s="344" t="s">
        <v>55</v>
      </c>
      <c r="B162" s="345"/>
      <c r="C162" s="152">
        <v>150000</v>
      </c>
      <c r="D162" s="153">
        <v>1.83</v>
      </c>
      <c r="E162" s="118">
        <f t="shared" ref="E162" si="5">C162*D162</f>
        <v>274500</v>
      </c>
      <c r="F162" s="118">
        <v>17.5</v>
      </c>
      <c r="G162" s="174">
        <f t="shared" si="4"/>
        <v>15685.714285714286</v>
      </c>
      <c r="H162" s="29"/>
      <c r="I162" s="9">
        <f>+G162*'LA MILAGROSA'!$I$9</f>
        <v>7058571.4285714291</v>
      </c>
    </row>
    <row r="163" spans="1:9" x14ac:dyDescent="0.25">
      <c r="A163" s="344" t="s">
        <v>56</v>
      </c>
      <c r="B163" s="345"/>
      <c r="C163" s="152">
        <v>150000</v>
      </c>
      <c r="D163" s="153">
        <v>1.83</v>
      </c>
      <c r="E163" s="118">
        <f>ROUNDUP(C163*D163,0)</f>
        <v>274500</v>
      </c>
      <c r="F163" s="118">
        <v>17.5</v>
      </c>
      <c r="G163" s="174">
        <f>E163/F163</f>
        <v>15685.714285714286</v>
      </c>
      <c r="H163" s="29"/>
      <c r="I163" s="9">
        <f>+G163*'LA MILAGROSA'!$I$9</f>
        <v>7058571.4285714291</v>
      </c>
    </row>
    <row r="164" spans="1:9" x14ac:dyDescent="0.25">
      <c r="A164" s="387"/>
      <c r="B164" s="387"/>
      <c r="C164" s="98"/>
      <c r="D164" s="85"/>
      <c r="E164" s="98"/>
      <c r="F164" s="86"/>
      <c r="G164" s="91"/>
      <c r="H164" s="29"/>
    </row>
    <row r="165" spans="1:9" x14ac:dyDescent="0.25">
      <c r="A165" s="387"/>
      <c r="B165" s="387"/>
      <c r="C165" s="98"/>
      <c r="D165" s="85"/>
      <c r="E165" s="98"/>
      <c r="F165" s="86"/>
      <c r="G165" s="91"/>
      <c r="H165" s="29"/>
    </row>
    <row r="166" spans="1:9" ht="13.8" thickBot="1" x14ac:dyDescent="0.3">
      <c r="A166" s="108"/>
      <c r="B166" s="109"/>
      <c r="C166" s="95"/>
      <c r="D166" s="51"/>
      <c r="E166" s="51"/>
      <c r="F166" s="51"/>
      <c r="G166" s="56"/>
      <c r="H166" s="45"/>
    </row>
    <row r="167" spans="1:9" ht="13.8" thickBot="1" x14ac:dyDescent="0.3">
      <c r="A167" s="17"/>
      <c r="B167" s="17"/>
      <c r="C167" s="17"/>
      <c r="D167" s="17"/>
      <c r="E167" s="17"/>
      <c r="F167" s="17"/>
      <c r="G167" s="46" t="s">
        <v>14</v>
      </c>
      <c r="H167" s="100">
        <f>ROUNDUP(SUM(G161:G166),0)</f>
        <v>32828</v>
      </c>
    </row>
    <row r="168" spans="1:9" ht="13.8" thickBot="1" x14ac:dyDescent="0.3">
      <c r="A168" s="17"/>
      <c r="B168" s="17"/>
      <c r="C168" s="17"/>
      <c r="D168" s="17"/>
      <c r="E168" s="17"/>
      <c r="F168" s="17"/>
      <c r="G168" s="76"/>
      <c r="H168" s="17"/>
    </row>
    <row r="169" spans="1:9" ht="13.8" thickBot="1" x14ac:dyDescent="0.3">
      <c r="A169" s="17"/>
      <c r="B169" s="17"/>
      <c r="C169" s="17"/>
      <c r="D169" s="17"/>
      <c r="E169" s="15" t="s">
        <v>30</v>
      </c>
      <c r="F169" s="110"/>
      <c r="G169" s="110"/>
      <c r="H169" s="182">
        <f>ROUND(SUM(H143+H151+H158+H167),0)</f>
        <v>34328</v>
      </c>
    </row>
  </sheetData>
  <mergeCells count="101">
    <mergeCell ref="A157:B157"/>
    <mergeCell ref="A161:B161"/>
    <mergeCell ref="A162:B162"/>
    <mergeCell ref="A163:B163"/>
    <mergeCell ref="A164:B164"/>
    <mergeCell ref="A165:B165"/>
    <mergeCell ref="A148:C148"/>
    <mergeCell ref="A149:C149"/>
    <mergeCell ref="A150:C150"/>
    <mergeCell ref="A154:B154"/>
    <mergeCell ref="A155:B155"/>
    <mergeCell ref="A156:B156"/>
    <mergeCell ref="A140:C140"/>
    <mergeCell ref="A141:C141"/>
    <mergeCell ref="A142:C142"/>
    <mergeCell ref="A145:C145"/>
    <mergeCell ref="A146:C146"/>
    <mergeCell ref="A147:C147"/>
    <mergeCell ref="D132:H134"/>
    <mergeCell ref="A135:A136"/>
    <mergeCell ref="B135:F136"/>
    <mergeCell ref="G135:H136"/>
    <mergeCell ref="A138:C138"/>
    <mergeCell ref="A139:C139"/>
    <mergeCell ref="A116:B116"/>
    <mergeCell ref="A120:B120"/>
    <mergeCell ref="A121:B121"/>
    <mergeCell ref="A122:B122"/>
    <mergeCell ref="A123:B123"/>
    <mergeCell ref="A124:B124"/>
    <mergeCell ref="A107:C107"/>
    <mergeCell ref="A108:C108"/>
    <mergeCell ref="A109:C109"/>
    <mergeCell ref="A113:B113"/>
    <mergeCell ref="A114:B114"/>
    <mergeCell ref="A115:B115"/>
    <mergeCell ref="A99:C99"/>
    <mergeCell ref="A100:C100"/>
    <mergeCell ref="A101:C101"/>
    <mergeCell ref="A104:C104"/>
    <mergeCell ref="A105:C105"/>
    <mergeCell ref="A106:C106"/>
    <mergeCell ref="D92:H93"/>
    <mergeCell ref="A94:A95"/>
    <mergeCell ref="B94:F95"/>
    <mergeCell ref="G94:H95"/>
    <mergeCell ref="A97:C97"/>
    <mergeCell ref="A98:C98"/>
    <mergeCell ref="A68:C68"/>
    <mergeCell ref="A70:B70"/>
    <mergeCell ref="A77:B77"/>
    <mergeCell ref="A79:B79"/>
    <mergeCell ref="E87:G87"/>
    <mergeCell ref="A47:C52"/>
    <mergeCell ref="A83:B83"/>
    <mergeCell ref="D47:H52"/>
    <mergeCell ref="A53:A54"/>
    <mergeCell ref="B53:F54"/>
    <mergeCell ref="G53:H54"/>
    <mergeCell ref="A58:C58"/>
    <mergeCell ref="A62:C62"/>
    <mergeCell ref="A73:B73"/>
    <mergeCell ref="A74:B74"/>
    <mergeCell ref="A75:B75"/>
    <mergeCell ref="A80:B80"/>
    <mergeCell ref="A81:B81"/>
    <mergeCell ref="A82:B82"/>
    <mergeCell ref="A72:B72"/>
    <mergeCell ref="A64:C64"/>
    <mergeCell ref="A65:C65"/>
    <mergeCell ref="A66:C66"/>
    <mergeCell ref="A67:C67"/>
    <mergeCell ref="A56:C56"/>
    <mergeCell ref="A57:C57"/>
    <mergeCell ref="A59:C59"/>
    <mergeCell ref="A60:C60"/>
    <mergeCell ref="A63:C63"/>
    <mergeCell ref="A39:B39"/>
    <mergeCell ref="A40:B40"/>
    <mergeCell ref="A29:B29"/>
    <mergeCell ref="A36:B36"/>
    <mergeCell ref="A37:B37"/>
    <mergeCell ref="A38:B38"/>
    <mergeCell ref="A30:B30"/>
    <mergeCell ref="A31:B31"/>
    <mergeCell ref="D3:H5"/>
    <mergeCell ref="A6:A8"/>
    <mergeCell ref="B6:F10"/>
    <mergeCell ref="G6:H10"/>
    <mergeCell ref="A20:B20"/>
    <mergeCell ref="A21:B21"/>
    <mergeCell ref="A22:B22"/>
    <mergeCell ref="A28:B28"/>
    <mergeCell ref="A23:B23"/>
    <mergeCell ref="A24:B24"/>
    <mergeCell ref="A11:C11"/>
    <mergeCell ref="A13:C13"/>
    <mergeCell ref="A12:C12"/>
    <mergeCell ref="A15:C15"/>
    <mergeCell ref="A16:C16"/>
    <mergeCell ref="A19:C19"/>
  </mergeCells>
  <pageMargins left="0.7" right="0.7" top="0.75" bottom="0.75" header="0.3" footer="0.3"/>
  <pageSetup paperSize="9" scale="97" orientation="portrait" r:id="rId1"/>
  <rowBreaks count="3" manualBreakCount="3">
    <brk id="44" max="16383" man="1"/>
    <brk id="88" max="16383" man="1"/>
    <brk id="1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LA MILAGROSA</vt:lpstr>
      <vt:lpstr>ADMINISTRACIÓN</vt:lpstr>
      <vt:lpstr>MEMORIAS</vt:lpstr>
      <vt:lpstr>APU'S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VELEZ BETANCUR</dc:creator>
  <cp:lastModifiedBy>Usuario</cp:lastModifiedBy>
  <cp:lastPrinted>2023-05-03T17:38:39Z</cp:lastPrinted>
  <dcterms:created xsi:type="dcterms:W3CDTF">2007-10-26T15:44:26Z</dcterms:created>
  <dcterms:modified xsi:type="dcterms:W3CDTF">2026-01-26T23:53:33Z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0x0101005E7326A5BD4B9D4EA45A567216D4ACF6</vt:lpwstr>
  </property>
</Properties>
</file>