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RODRIGO\Desktop\MEN\MEN 2026\Contratacion directa licencia NEWTENBERG\"/>
    </mc:Choice>
  </mc:AlternateContent>
  <xr:revisionPtr revIDLastSave="0" documentId="8_{55AD507C-7E2D-49C9-B08D-55CFD7A2AB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 DETALLADO" sheetId="9" r:id="rId1"/>
    <sheet name="PRESUPUESTO" sheetId="1" r:id="rId2"/>
    <sheet name="Anexo1-Detalle Estimación Bolsa" sheetId="6" r:id="rId3"/>
    <sheet name="Variaciones año a año" sheetId="2" r:id="rId4"/>
    <sheet name="Plan de Pagos" sheetId="3" r:id="rId5"/>
    <sheet name="Estudio Horas Dllo 2025_2026" sheetId="8" r:id="rId6"/>
  </sheets>
  <definedNames>
    <definedName name="_xlnm._FilterDatabase" localSheetId="2" hidden="1">'Anexo1-Detalle Estimación Bolsa'!$K$2:$N$14</definedName>
    <definedName name="_ftn1" localSheetId="2">'Anexo1-Detalle Estimación Bolsa'!#REF!</definedName>
    <definedName name="_ftnref1" localSheetId="2">'Anexo1-Detalle Estimación Bolsa'!#REF!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9" l="1"/>
  <c r="F4" i="9"/>
  <c r="F5" i="9"/>
  <c r="F3" i="9"/>
  <c r="E5" i="9"/>
  <c r="E4" i="9"/>
  <c r="E3" i="9"/>
  <c r="BV9" i="1"/>
  <c r="BT5" i="1"/>
  <c r="BX5" i="1" s="1"/>
  <c r="I16" i="6"/>
  <c r="BL6" i="1"/>
  <c r="M3" i="2"/>
  <c r="D10" i="8"/>
  <c r="D9" i="8"/>
  <c r="D8" i="8"/>
  <c r="E3" i="8"/>
  <c r="O14" i="6"/>
  <c r="O12" i="6"/>
  <c r="O13" i="6"/>
  <c r="O10" i="6"/>
  <c r="O11" i="6"/>
  <c r="O7" i="6"/>
  <c r="O8" i="6"/>
  <c r="O9" i="6"/>
  <c r="O6" i="6"/>
  <c r="O5" i="6"/>
  <c r="O4" i="6"/>
  <c r="O3" i="6"/>
  <c r="O3" i="2"/>
  <c r="BU6" i="1"/>
  <c r="BV6" i="1" s="1"/>
  <c r="V4" i="6"/>
  <c r="V5" i="6"/>
  <c r="V6" i="6"/>
  <c r="V7" i="6"/>
  <c r="V8" i="6"/>
  <c r="V9" i="6"/>
  <c r="V10" i="6"/>
  <c r="V11" i="6"/>
  <c r="V12" i="6"/>
  <c r="V13" i="6"/>
  <c r="V14" i="6"/>
  <c r="V3" i="6"/>
  <c r="BK5" i="1"/>
  <c r="M2" i="2" s="1"/>
  <c r="BX6" i="1" l="1"/>
  <c r="BO5" i="1"/>
  <c r="BU5" i="1"/>
  <c r="BV5" i="1" s="1"/>
  <c r="O2" i="2"/>
  <c r="P2" i="2" s="1"/>
  <c r="BO6" i="1"/>
  <c r="BE12" i="1"/>
  <c r="BK12" i="1"/>
  <c r="BL7" i="1"/>
  <c r="BM7" i="1" s="1"/>
  <c r="BL5" i="1"/>
  <c r="BM5" i="1" s="1"/>
  <c r="K2" i="2"/>
  <c r="N2" i="2" s="1"/>
  <c r="D5" i="6"/>
  <c r="K5" i="2"/>
  <c r="BM28" i="1" l="1"/>
  <c r="D6" i="6"/>
  <c r="K3" i="2"/>
  <c r="AY12" i="1"/>
  <c r="I5" i="2"/>
  <c r="L5" i="2" s="1"/>
  <c r="AS12" i="1"/>
  <c r="BO7" i="1"/>
  <c r="BF7" i="1"/>
  <c r="BG7" i="1" s="1"/>
  <c r="BF5" i="1"/>
  <c r="BG5" i="1" s="1"/>
  <c r="N3" i="2" l="1"/>
  <c r="BM6" i="1"/>
  <c r="BM11" i="1" s="1"/>
  <c r="BM15" i="1" s="1"/>
  <c r="P3" i="2"/>
  <c r="BF6" i="1"/>
  <c r="BG6" i="1" s="1"/>
  <c r="BG11" i="1" l="1"/>
  <c r="BG15" i="1" s="1"/>
  <c r="AS6" i="1"/>
  <c r="G3" i="2" s="1"/>
  <c r="H3" i="2" s="1"/>
  <c r="I3" i="2"/>
  <c r="L3" i="2" s="1"/>
  <c r="G2" i="2"/>
  <c r="J3" i="2" l="1"/>
  <c r="AY5" i="1"/>
  <c r="G5" i="2"/>
  <c r="AT7" i="1"/>
  <c r="AU7" i="1" s="1"/>
  <c r="AT6" i="1"/>
  <c r="AU6" i="1" s="1"/>
  <c r="AT5" i="1"/>
  <c r="AU5" i="1" s="1"/>
  <c r="E2" i="2"/>
  <c r="H2" i="2" s="1"/>
  <c r="AM12" i="1"/>
  <c r="E5" i="2" s="1"/>
  <c r="AN7" i="1"/>
  <c r="AO7" i="1" s="1"/>
  <c r="AN6" i="1"/>
  <c r="AO6" i="1" s="1"/>
  <c r="AN5" i="1"/>
  <c r="AO5" i="1" s="1"/>
  <c r="C3" i="2"/>
  <c r="F3" i="2" s="1"/>
  <c r="B3" i="2"/>
  <c r="C2" i="2"/>
  <c r="B2" i="2"/>
  <c r="I2" i="2" l="1"/>
  <c r="J5" i="2"/>
  <c r="H5" i="2"/>
  <c r="F2" i="2"/>
  <c r="AU11" i="1"/>
  <c r="AO11" i="1"/>
  <c r="D2" i="2"/>
  <c r="AG12" i="1"/>
  <c r="C5" i="2" s="1"/>
  <c r="F5" i="2" s="1"/>
  <c r="AZ7" i="1"/>
  <c r="BA7" i="1" s="1"/>
  <c r="AZ6" i="1"/>
  <c r="BA6" i="1" s="1"/>
  <c r="AZ5" i="1"/>
  <c r="BA5" i="1" s="1"/>
  <c r="J2" i="2" l="1"/>
  <c r="L2" i="2"/>
  <c r="BA11" i="1"/>
  <c r="BA15" i="1" s="1"/>
  <c r="AA12" i="1" l="1"/>
  <c r="B5" i="2" s="1"/>
  <c r="D5" i="2" s="1"/>
  <c r="AH7" i="1" l="1"/>
  <c r="AH6" i="1"/>
  <c r="AH5" i="1"/>
  <c r="AC7" i="1"/>
  <c r="AC6" i="1"/>
  <c r="AC5" i="1"/>
  <c r="AC11" i="1" l="1"/>
  <c r="AI7" i="1"/>
  <c r="AI6" i="1"/>
  <c r="AI5" i="1"/>
  <c r="P7" i="1"/>
  <c r="Q7" i="1" s="1"/>
  <c r="P6" i="1"/>
  <c r="Q6" i="1" s="1"/>
  <c r="P5" i="1"/>
  <c r="Q5" i="1" s="1"/>
  <c r="Q11" i="1" s="1"/>
  <c r="J5" i="1"/>
  <c r="K5" i="1" s="1"/>
  <c r="K11" i="1" s="1"/>
  <c r="E11" i="1"/>
  <c r="W6" i="1"/>
  <c r="W5" i="1"/>
  <c r="AI11" i="1" l="1"/>
  <c r="W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5" authorId="0" shapeId="0" xr:uid="{654AF091-6284-3D4A-BFC3-44DC54565A53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Aumento: 5,18%</t>
        </r>
      </text>
    </comment>
    <comment ref="D6" authorId="0" shapeId="0" xr:uid="{24ADBFAA-8E28-B443-8D6D-1741B44D1246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Variación: 5%</t>
        </r>
      </text>
    </comment>
  </commentList>
</comments>
</file>

<file path=xl/sharedStrings.xml><?xml version="1.0" encoding="utf-8"?>
<sst xmlns="http://schemas.openxmlformats.org/spreadsheetml/2006/main" count="316" uniqueCount="146">
  <si>
    <t>HISTÓRICOS DE VALORES CONTRATADOS</t>
  </si>
  <si>
    <t>OFERTA ECONÓMICA</t>
  </si>
  <si>
    <t>CMS NEWTENBERG ENGINE - Vigencia 2015</t>
  </si>
  <si>
    <t>CMS NEWTENBERG ENGINE - Vigencia 2016</t>
  </si>
  <si>
    <t>CMS NEWTENBERG ENGINE - Vigencia 2017</t>
  </si>
  <si>
    <t>CMS NEWTENBERG ENGINE - Vigencia 2018</t>
  </si>
  <si>
    <t>CMS NEWTENBERG ENGINE - Vigencia 2019</t>
  </si>
  <si>
    <t>CMS NEWTENBERG ENGINE - Vigencia 2020</t>
  </si>
  <si>
    <t>CMS NEWTENBERG ENGINE - Vigencia 2021</t>
  </si>
  <si>
    <t>CMS NEWTENBERG ENGINE - Vigencia 2022</t>
  </si>
  <si>
    <t>CMS NEWTENBERG ENGINE - Vigencia 2023</t>
  </si>
  <si>
    <t>CMS NEWTENBERG ENGINE - Vigencia 2024</t>
  </si>
  <si>
    <t>CMS NEWTENBERG ENGINE - Vigencia 2025</t>
  </si>
  <si>
    <t>CMS NEWTENBERG ENGINE - Vigencia 2026</t>
  </si>
  <si>
    <t>Descripción</t>
  </si>
  <si>
    <t>Valor Antes de IVA</t>
  </si>
  <si>
    <t>IVA</t>
  </si>
  <si>
    <t>Valor Total</t>
  </si>
  <si>
    <t>Variación de la Oferta respecto de vigencias anteriores</t>
  </si>
  <si>
    <t xml:space="preserve">REDISEÑO DE LA PÁGINA WEB INSTITUCIONAL Y EL CENTRO VIRTUAL DE NOTICIAS DEL MINISTERIO DE EDUCACIÓN NACIONAL EN LA PLATAFORMA NEWTEMBERGW3. </t>
  </si>
  <si>
    <t>Servicio de soporte y mantenimiento de la licencia de plataforma CMS NEWTENBERG ENGINE - Vigencia 2016</t>
  </si>
  <si>
    <t>Renovación anual de uso y soporte a la licencia del CMS Newtenberg Engine.
-Servicio de soporte y asistencia básica a usuario. 
-Soporte técnico y del licenciamiento de la herramienta.</t>
  </si>
  <si>
    <t>Renovación año 2020 de uso y soporte a la licencia del CMS Newtenberg Engine
- Soporte técnico y del licenciamiento de la herramienta Servicio -2020. 
- Servicio de soporte y asistencia básica a usuario, 20 horas al mes no acumulables, por 12 meses..</t>
  </si>
  <si>
    <t>Soporte técnico y del licenciamiento de la herramienta Servicio -2021
Servicio de soporte y asistencia básica a usuario, 20 horas al mes no acumulables, por 12 meses, contados a partir del 26 de junio de 2021 hasta el 25 de junio de 2022</t>
  </si>
  <si>
    <t>Soporte técnico y del licenciamiento de la herramienta Servicio -2021
Servicio de soporte y asistencia básica a usuario, 20 horas al mes no acumulables, por 12 meses, contados a partir del 26 de junio de 2022 hasta el 25 de junio de 2023</t>
  </si>
  <si>
    <t>Activación de la licencia soportada CMS Newtenberg Engine 2023
(Desde el acta de inicio hasta el 31 de diciembre de 2023)
Servicio de soporte y asistencia básica a usuario, 20 horas al mes no acumulables, por 12 meses, contados a partir del 26 de junio de 2023 hasta el 25 de junio de 2024</t>
  </si>
  <si>
    <t>Activación de la licencia soportada CMS Newtenberg
Engine 2025 (Desde el acta de inicio hasta el 31 de
diciembre de 2024)
Servicio de soporte y asistencia básica a usuario, 20 horas al mes no acumulables, por 12 meses, contados a partir del 26 de junio de 2024 hasta el 25 de junio de 2025</t>
  </si>
  <si>
    <t>Activación de la licencia soportada CMS Newtenberg
Engine 2025 (Desde el acta de inicio hasta el 31 de
diciembre de 2025)
Servicio de soporte y asistencia básica a usuario, 20 horas al mes no acumulables, por 12 meses, contados a partir del 26 de junio de 2025 hasta el 25 de junio de 2026</t>
  </si>
  <si>
    <t>Respecto de la oferta contratada en 2024, se tiene para esta vigencia un incremento del valor antes de IVA correspondiente al 5,2% el cual corresponde a IPC</t>
  </si>
  <si>
    <t>Activación de la licencia soportada CMS Newtenberg  Engine 2026 (Desde el acta de inicio hasta el 31 de diciembre de 2026).
Servicio de soporte y asistencia básica a usuario, 20 horas  al mes no acumulables, por 12 meses, contados a partir del 26 de junio de 2026 hasta el 25 de junio de 2027.</t>
  </si>
  <si>
    <t>Servicios profesionales especializados para la implementación de funcionalidades en los sitios web del Ministerio de Educación. (*)</t>
  </si>
  <si>
    <t>Servicios profesionales especializados para la implementación de funcionalidades en los sitios web del Ministerio de Educación. (*) (será una bolsa global para servicios profesionales y se descontará en la medida que se apruebe por el Ministerio la participación de los roles definidos en la tabla de tarifas por perfil establecidos en la oferta)</t>
  </si>
  <si>
    <t>Servicios profesionales especializados para la implementación de funcionalidades en los sitios web del Ministerio de Educación:
- Apoyo especializado en la actualización del sitio web institucional con la aplicación de los lineamientos de la política de Gobierno Digital para entidades públicas
- Apoyo especializado en la actualización del micrositio del Sistema SACES</t>
  </si>
  <si>
    <t>Servicios profesionales especializados para la implementación de funcionalidades en los sitios web del Ministerio de Educación.</t>
  </si>
  <si>
    <t>Bolsa de recursos para la implementación y actualización de funcionalidades sobre los sitios web del Ministerio de Educación soportados.</t>
  </si>
  <si>
    <t>Estimación por juicio de experto para apoyo especializado. Se analiza el precio promedio de variación respecto al año anterior correspondiente a 5,1%</t>
  </si>
  <si>
    <t xml:space="preserve">Bolsa de recursos para la implementación de funcionalidades en los sitios web del Ministerio de Educación. </t>
  </si>
  <si>
    <t>Capacitación en el uso de la herramienta a usuarios del CMS en el Ministerio.(16 horas)</t>
  </si>
  <si>
    <t>capacitación presencial con profesionales expertos en la herramienta, en 2 sesiones de 4 horas cada una, para un total de 8 horas</t>
  </si>
  <si>
    <t>Capacitación presencial con profesionales expertos en la herramienta, en 1 sesión de 4 horas</t>
  </si>
  <si>
    <t>Capacitación presencial con profesionales expertos en la herramienta, en 1 sesión  de 2 horas</t>
  </si>
  <si>
    <t>Capacitación presencial con profesionales expertos en la herramienta, en 2 sesiones  de 2 horas</t>
  </si>
  <si>
    <t>Capacitación con expertos en la herramienta, en 2 sesiones de 2 horas</t>
  </si>
  <si>
    <t xml:space="preserve">Respecto del valor unitario de la hora de capacitación, esta tuvo un incremento de 9,28% correspondiente a IPC, frente al valor contratado en 2023. </t>
  </si>
  <si>
    <t>VALOR TOTAL OFERTA EN 2015</t>
  </si>
  <si>
    <t>VALOR TOTAL OFERTA EN 2016</t>
  </si>
  <si>
    <t>VALOR TOTAL OFERTA EN 2017</t>
  </si>
  <si>
    <t>VALOR TOTAL OFERTA EN 2018</t>
  </si>
  <si>
    <t>VALOR TOTAL OFERTA EN 2019</t>
  </si>
  <si>
    <t>VALOR TOTAL OFERTA EN 2020</t>
  </si>
  <si>
    <t>VALOR TOTAL OFERTA EN 2023</t>
  </si>
  <si>
    <t>VALOR TOTAL OFERTA EN 2024</t>
  </si>
  <si>
    <t>ITEMS BOLSA DE DESARROLLO</t>
  </si>
  <si>
    <t>Categoría</t>
  </si>
  <si>
    <t>Subcategoría</t>
  </si>
  <si>
    <t>Nivel</t>
  </si>
  <si>
    <t>Valor unitario hora antes de IVA (Vigencia 2026)</t>
  </si>
  <si>
    <t>Valor unitario hora antes de IVA (Vigencia 2025)</t>
  </si>
  <si>
    <t>Variación 2025 Vs 2026</t>
  </si>
  <si>
    <t>Valor unitario hora antes de IVA (Vigencia 2024)</t>
  </si>
  <si>
    <t>Variación</t>
  </si>
  <si>
    <t>Necesidad</t>
  </si>
  <si>
    <t xml:space="preserve">SUBTOTAL  </t>
  </si>
  <si>
    <t>TOTAL (+IVA)</t>
  </si>
  <si>
    <t>Dirección de proyecto</t>
  </si>
  <si>
    <t>Jefe de desarrollo</t>
  </si>
  <si>
    <t>Senior</t>
  </si>
  <si>
    <t>Jefe de proyecto</t>
  </si>
  <si>
    <t>Arquitectura de proyecto</t>
  </si>
  <si>
    <t>Arquitecto j2ee</t>
  </si>
  <si>
    <t>Otras actualizaciones según los últimos lineamientos vigentes y normas sobre las sedes electrónicas o necesidades y prioridades del Ministerio.</t>
  </si>
  <si>
    <t>Construcción de proyecto</t>
  </si>
  <si>
    <t>Dba otras</t>
  </si>
  <si>
    <t>TOTAL</t>
  </si>
  <si>
    <t>Programador j2ee</t>
  </si>
  <si>
    <t>Programador otras</t>
  </si>
  <si>
    <t>Junior</t>
  </si>
  <si>
    <t>Diseño de proyecto</t>
  </si>
  <si>
    <t>Diseñador gráfico</t>
  </si>
  <si>
    <t>Diseñador web</t>
  </si>
  <si>
    <t>Análisis de proyecto</t>
  </si>
  <si>
    <t>Analista</t>
  </si>
  <si>
    <t>Concepto</t>
  </si>
  <si>
    <t>Valor Año 2019
Antes de IVA</t>
  </si>
  <si>
    <t>Valor Año 2020
Antes de IVA</t>
  </si>
  <si>
    <t>Variación 2020 Vs 2019</t>
  </si>
  <si>
    <t>Valor Año 2021
Antes de IVA</t>
  </si>
  <si>
    <t>Variación 2021 Vs 2020</t>
  </si>
  <si>
    <t>Valor Año 2022
Antes de IVA</t>
  </si>
  <si>
    <t>Variación 2022 Vs 2021</t>
  </si>
  <si>
    <t>Valor Año 2023
Antes de IVA</t>
  </si>
  <si>
    <t>Variación 2023 Vs 2022</t>
  </si>
  <si>
    <t>Valor Año 2024
Antes de IVA</t>
  </si>
  <si>
    <t>Variación 2024 Vs 2023</t>
  </si>
  <si>
    <t>Valor Año 2025
Antes de IVA</t>
  </si>
  <si>
    <t>Variación 2025 Vs 2024</t>
  </si>
  <si>
    <t>Valor Año 2026
Antes de IVA</t>
  </si>
  <si>
    <t>Variación 2026 Vs 2025</t>
  </si>
  <si>
    <t>Renovación de uso y soporte a la licencia del CMS Newtenberg Engine</t>
  </si>
  <si>
    <t>Servicios profesionales especializados para la implementación de funcionalidades en los sitios web del Ministerio de Educación</t>
  </si>
  <si>
    <t>Valor hora Año 2019
Antes de IVA</t>
  </si>
  <si>
    <t>Valor hora Año 2020
Antes de IVA</t>
  </si>
  <si>
    <t>Valor hora Año 2021
Antes de IVA</t>
  </si>
  <si>
    <t>Capacitación</t>
  </si>
  <si>
    <t>CONCEPTO DE PAGO</t>
  </si>
  <si>
    <t>FECHA DE PAGO</t>
  </si>
  <si>
    <t>ESTUDIO DE PRECIOS HORAS DE DESARROLLO</t>
  </si>
  <si>
    <t>Proveedor</t>
  </si>
  <si>
    <t>Contrato Vigencia 2025</t>
  </si>
  <si>
    <t>Valor unitario IVA INCLUIDO</t>
  </si>
  <si>
    <t>Proyección 2026 con Incremento (IVA INCLUIDO)</t>
  </si>
  <si>
    <t>Promedio</t>
  </si>
  <si>
    <t>TMS CORPORATION S.A.S</t>
  </si>
  <si>
    <t>CO1.PCCNTR.7949706</t>
  </si>
  <si>
    <t>SOPORTE LÓGICO S.A.S</t>
  </si>
  <si>
    <t>CO1.PCCNTR.7859288</t>
  </si>
  <si>
    <t>$ 211.470,00</t>
  </si>
  <si>
    <t>NODUM PROYECTOS Y SOLUCIONES S.A.S (o3)</t>
  </si>
  <si>
    <t>CO1.PCCNTR.8007268</t>
  </si>
  <si>
    <t>MEGASOFT S.A.S - NEON</t>
  </si>
  <si>
    <t>CO1.PCCNTR.8047082</t>
  </si>
  <si>
    <t>Mediana</t>
  </si>
  <si>
    <t>max</t>
  </si>
  <si>
    <t>min</t>
  </si>
  <si>
    <t>Promedio Valor Hora</t>
  </si>
  <si>
    <t>Respecto de la oferta contratada en 2025, se tiene para esta vigencia un incremento del valor antes de IVA correspondiente al 5,5% el cual no supera el máximo de lo proyectado por la encuesta de expectativas económicas en relación con la inflación total a diciembre de 2025.</t>
  </si>
  <si>
    <t>Estimación por juicio de experto para apoyo especializado.  Se analiza el precio promedio variación respecto al año anterior correspondiente a 5,5%.</t>
  </si>
  <si>
    <t>Renovación año 2026 de uso y soporte a la licencia del CMS Newtenberg
Engine</t>
  </si>
  <si>
    <t>Activación de la licencia soportada CMS Newtenberg Engine 2026 (Desde el acta de inicio hasta el 31 de diciembre de 2026)</t>
  </si>
  <si>
    <t>Servicio de soporte y asistencia básica a usuario, 20 horas al mes no acumulables, por 12 meses, contados a partir del 26 de junio de 2026 hasta el 25 de junio de 2027</t>
  </si>
  <si>
    <t>Valor
(Antes de IVA)</t>
  </si>
  <si>
    <t>Bolsa de recursos</t>
  </si>
  <si>
    <t xml:space="preserve">Concepto </t>
  </si>
  <si>
    <t>Bolsa de recursos para la implementación de funcionalidades en los sitios web del Ministerio de Educación</t>
  </si>
  <si>
    <t>Valor Total IVA incluido</t>
  </si>
  <si>
    <t>VALOR A PAGAR</t>
  </si>
  <si>
    <t>CERTIFICADO DE LA ACTIVACIÓN DE LA LICENCIA SOPORTADA CMS NEWTENBERG ENGINE 2025 (DESDE EL ACTA DE INICIO HASTA EL 31 DE DICIEMBRE DE 2025).</t>
  </si>
  <si>
    <t>ACTIVACIÓN DEL SERVICIO DE SOPORTE BÁSICO AL USUARIO EN EL USO DEL CMS NEWTENBERG ENGINE POR 12 MESES, CONTADOS A PARTIR DEL 26 DE JUNIO DE 2026 HASTA EL 25 DE JUNIO DE 2027.</t>
  </si>
  <si>
    <t>Marzo de 2026</t>
  </si>
  <si>
    <t>$ 130.767.910,00</t>
  </si>
  <si>
    <t>CONSUMO DE LA BOLSA DE RECURSOS POR REQUERIMIENTOS IMPLEMENTADOS, RECIBIDOS Y APROBADOS POR EL SUPERVISOR.</t>
  </si>
  <si>
    <t>Mayo de 2026</t>
  </si>
  <si>
    <t>$17.495.975</t>
  </si>
  <si>
    <t>Diciembre de 2026</t>
  </si>
  <si>
    <t>TOTAL CONTRATO/CONVENIO</t>
  </si>
  <si>
    <t>$165.759.860,00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</si>
</sst>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&quot;$&quot;#,##0.00;[Red]\-&quot;$&quot;#,##0.00"/>
    <numFmt numFmtId="169" formatCode="_-&quot;$&quot;* #,##0_-;\-&quot;$&quot;* #,##0_-;_-&quot;$&quot;* &quot;-&quot;_-;_-@_-"/>
    <numFmt numFmtId="170" formatCode="&quot;$&quot;\ #,##0_);[Red]\(&quot;$&quot;\ #,##0\)"/>
    <numFmt numFmtId="171" formatCode="_(&quot;$&quot;\ * #,##0.00_);_(&quot;$&quot;\ * \(#,##0.00\);_(&quot;$&quot;\ * &quot;-&quot;??_);_(@_)"/>
    <numFmt numFmtId="172" formatCode="_(&quot;$&quot;\ * #,##0_);_(&quot;$&quot;\ * \(#,##0\);_(&quot;$&quot;\ * &quot;-&quot;??_);_(@_)"/>
    <numFmt numFmtId="173" formatCode="&quot;$&quot;\ #,##0.00"/>
    <numFmt numFmtId="174" formatCode="&quot;$&quot;\ #,##0.00_);[Red]\(&quot;$&quot;\ #,##0.00\)"/>
    <numFmt numFmtId="175" formatCode="_-[$$-240A]\ * #,##0.00_-;\-[$$-240A]\ * #,##0.00_-;_-[$$-240A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7"/>
      <color theme="0"/>
      <name val="Arial"/>
      <family val="2"/>
    </font>
    <font>
      <sz val="7"/>
      <color theme="1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0">
    <xf numFmtId="0" fontId="0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128">
    <xf numFmtId="0" fontId="0" fillId="0" borderId="0" xfId="0"/>
    <xf numFmtId="165" fontId="0" fillId="0" borderId="0" xfId="0" applyNumberFormat="1"/>
    <xf numFmtId="17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center" vertical="center"/>
    </xf>
    <xf numFmtId="165" fontId="5" fillId="0" borderId="0" xfId="0" applyNumberFormat="1" applyFont="1"/>
    <xf numFmtId="0" fontId="6" fillId="5" borderId="1" xfId="8" applyFont="1" applyFill="1" applyBorder="1" applyAlignment="1">
      <alignment horizontal="center" vertical="center"/>
    </xf>
    <xf numFmtId="0" fontId="7" fillId="0" borderId="1" xfId="8" applyFont="1" applyBorder="1" applyAlignment="1">
      <alignment horizontal="justify" vertical="center"/>
    </xf>
    <xf numFmtId="168" fontId="5" fillId="0" borderId="1" xfId="8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10" fontId="5" fillId="0" borderId="1" xfId="2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3" fontId="5" fillId="0" borderId="0" xfId="0" applyNumberFormat="1" applyFont="1" applyAlignment="1">
      <alignment horizontal="center" vertical="center"/>
    </xf>
    <xf numFmtId="10" fontId="5" fillId="0" borderId="0" xfId="2" applyNumberFormat="1" applyFont="1" applyAlignment="1">
      <alignment horizontal="center" vertical="center"/>
    </xf>
    <xf numFmtId="0" fontId="8" fillId="0" borderId="0" xfId="0" applyFont="1"/>
    <xf numFmtId="0" fontId="8" fillId="3" borderId="14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wrapText="1"/>
    </xf>
    <xf numFmtId="170" fontId="5" fillId="0" borderId="14" xfId="0" applyNumberFormat="1" applyFont="1" applyBorder="1" applyAlignment="1">
      <alignment horizontal="right" vertical="center"/>
    </xf>
    <xf numFmtId="172" fontId="5" fillId="0" borderId="14" xfId="0" applyNumberFormat="1" applyFont="1" applyBorder="1" applyAlignment="1">
      <alignment horizontal="right" vertical="center"/>
    </xf>
    <xf numFmtId="170" fontId="5" fillId="0" borderId="14" xfId="0" applyNumberFormat="1" applyFont="1" applyBorder="1" applyAlignment="1">
      <alignment vertical="center"/>
    </xf>
    <xf numFmtId="172" fontId="5" fillId="0" borderId="14" xfId="0" applyNumberFormat="1" applyFont="1" applyBorder="1" applyAlignment="1">
      <alignment vertical="center"/>
    </xf>
    <xf numFmtId="170" fontId="7" fillId="0" borderId="14" xfId="0" applyNumberFormat="1" applyFont="1" applyBorder="1" applyAlignment="1">
      <alignment horizontal="right" vertical="center"/>
    </xf>
    <xf numFmtId="172" fontId="7" fillId="0" borderId="14" xfId="1" applyNumberFormat="1" applyFont="1" applyBorder="1" applyAlignment="1">
      <alignment horizontal="right" vertical="center"/>
    </xf>
    <xf numFmtId="170" fontId="7" fillId="0" borderId="14" xfId="1" applyNumberFormat="1" applyFont="1" applyBorder="1" applyAlignment="1">
      <alignment horizontal="right" vertical="center"/>
    </xf>
    <xf numFmtId="174" fontId="7" fillId="0" borderId="14" xfId="1" applyNumberFormat="1" applyFont="1" applyBorder="1" applyAlignment="1">
      <alignment horizontal="right" vertical="center"/>
    </xf>
    <xf numFmtId="10" fontId="5" fillId="0" borderId="14" xfId="2" applyNumberFormat="1" applyFont="1" applyBorder="1" applyAlignment="1">
      <alignment horizontal="center" vertical="center"/>
    </xf>
    <xf numFmtId="0" fontId="10" fillId="0" borderId="14" xfId="0" applyFont="1" applyBorder="1" applyAlignment="1">
      <alignment vertical="center" wrapText="1"/>
    </xf>
    <xf numFmtId="170" fontId="7" fillId="0" borderId="11" xfId="0" applyNumberFormat="1" applyFont="1" applyBorder="1" applyAlignment="1">
      <alignment horizontal="right" vertical="center"/>
    </xf>
    <xf numFmtId="172" fontId="7" fillId="0" borderId="11" xfId="1" applyNumberFormat="1" applyFont="1" applyBorder="1" applyAlignment="1">
      <alignment horizontal="right" vertical="center"/>
    </xf>
    <xf numFmtId="170" fontId="9" fillId="0" borderId="11" xfId="0" applyNumberFormat="1" applyFont="1" applyBorder="1" applyAlignment="1">
      <alignment horizontal="right" vertical="center"/>
    </xf>
    <xf numFmtId="170" fontId="7" fillId="0" borderId="11" xfId="1" applyNumberFormat="1" applyFont="1" applyBorder="1" applyAlignment="1">
      <alignment horizontal="right" vertical="center"/>
    </xf>
    <xf numFmtId="174" fontId="7" fillId="0" borderId="11" xfId="1" applyNumberFormat="1" applyFont="1" applyBorder="1" applyAlignment="1">
      <alignment horizontal="right" vertical="center"/>
    </xf>
    <xf numFmtId="10" fontId="5" fillId="0" borderId="11" xfId="2" applyNumberFormat="1" applyFont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171" fontId="5" fillId="0" borderId="0" xfId="0" applyNumberFormat="1" applyFont="1"/>
    <xf numFmtId="0" fontId="5" fillId="0" borderId="2" xfId="0" applyFont="1" applyBorder="1"/>
    <xf numFmtId="0" fontId="5" fillId="0" borderId="3" xfId="0" applyFont="1" applyBorder="1"/>
    <xf numFmtId="172" fontId="5" fillId="0" borderId="0" xfId="0" applyNumberFormat="1" applyFont="1"/>
    <xf numFmtId="172" fontId="8" fillId="2" borderId="6" xfId="0" applyNumberFormat="1" applyFont="1" applyFill="1" applyBorder="1"/>
    <xf numFmtId="171" fontId="8" fillId="2" borderId="6" xfId="0" applyNumberFormat="1" applyFont="1" applyFill="1" applyBorder="1"/>
    <xf numFmtId="170" fontId="5" fillId="0" borderId="0" xfId="0" applyNumberFormat="1" applyFont="1"/>
    <xf numFmtId="170" fontId="9" fillId="0" borderId="0" xfId="0" applyNumberFormat="1" applyFont="1"/>
    <xf numFmtId="0" fontId="4" fillId="0" borderId="0" xfId="0" applyFont="1"/>
    <xf numFmtId="166" fontId="5" fillId="0" borderId="0" xfId="3" applyFont="1"/>
    <xf numFmtId="166" fontId="5" fillId="0" borderId="0" xfId="0" applyNumberFormat="1" applyFont="1"/>
    <xf numFmtId="170" fontId="4" fillId="0" borderId="0" xfId="0" applyNumberFormat="1" applyFont="1"/>
    <xf numFmtId="164" fontId="5" fillId="0" borderId="0" xfId="0" applyNumberFormat="1" applyFont="1"/>
    <xf numFmtId="10" fontId="5" fillId="0" borderId="0" xfId="2" applyNumberFormat="1" applyFont="1"/>
    <xf numFmtId="0" fontId="6" fillId="5" borderId="1" xfId="8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/>
    <xf numFmtId="0" fontId="8" fillId="2" borderId="0" xfId="0" applyFont="1" applyFill="1" applyAlignment="1">
      <alignment horizontal="center"/>
    </xf>
    <xf numFmtId="165" fontId="5" fillId="0" borderId="1" xfId="0" applyNumberFormat="1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/>
    </xf>
    <xf numFmtId="0" fontId="12" fillId="0" borderId="22" xfId="0" applyFont="1" applyBorder="1" applyAlignment="1">
      <alignment horizontal="center" vertical="center"/>
    </xf>
    <xf numFmtId="165" fontId="12" fillId="0" borderId="22" xfId="0" applyNumberFormat="1" applyFont="1" applyBorder="1" applyAlignment="1">
      <alignment horizontal="right" vertical="center"/>
    </xf>
    <xf numFmtId="165" fontId="12" fillId="0" borderId="15" xfId="0" applyNumberFormat="1" applyFont="1" applyBorder="1" applyAlignment="1">
      <alignment horizontal="right" vertical="center"/>
    </xf>
    <xf numFmtId="0" fontId="12" fillId="0" borderId="22" xfId="0" applyFont="1" applyBorder="1" applyAlignment="1">
      <alignment vertical="center"/>
    </xf>
    <xf numFmtId="165" fontId="5" fillId="7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wrapText="1"/>
    </xf>
    <xf numFmtId="165" fontId="5" fillId="0" borderId="1" xfId="0" applyNumberFormat="1" applyFont="1" applyBorder="1" applyAlignment="1">
      <alignment horizontal="right" vertical="center"/>
    </xf>
    <xf numFmtId="165" fontId="8" fillId="0" borderId="1" xfId="0" applyNumberFormat="1" applyFont="1" applyBorder="1" applyAlignment="1">
      <alignment horizontal="right" vertical="center"/>
    </xf>
    <xf numFmtId="168" fontId="5" fillId="7" borderId="1" xfId="8" applyNumberFormat="1" applyFont="1" applyFill="1" applyBorder="1" applyAlignment="1">
      <alignment horizontal="right" vertical="center"/>
    </xf>
    <xf numFmtId="168" fontId="5" fillId="0" borderId="0" xfId="0" applyNumberFormat="1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3" fontId="13" fillId="0" borderId="0" xfId="0" applyNumberFormat="1" applyFont="1" applyAlignment="1">
      <alignment horizontal="center" vertical="center" wrapText="1"/>
    </xf>
    <xf numFmtId="173" fontId="0" fillId="0" borderId="0" xfId="0" applyNumberFormat="1" applyAlignment="1">
      <alignment horizontal="center" vertical="center"/>
    </xf>
    <xf numFmtId="173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2" borderId="14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8" fillId="2" borderId="4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7" fillId="0" borderId="1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165" fontId="13" fillId="0" borderId="20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175" fontId="0" fillId="0" borderId="0" xfId="0" applyNumberFormat="1"/>
    <xf numFmtId="0" fontId="16" fillId="0" borderId="2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justify" vertical="center" wrapText="1"/>
    </xf>
    <xf numFmtId="0" fontId="17" fillId="0" borderId="25" xfId="0" applyFont="1" applyBorder="1" applyAlignment="1">
      <alignment horizontal="justify" vertical="center" wrapText="1"/>
    </xf>
    <xf numFmtId="0" fontId="17" fillId="0" borderId="26" xfId="0" applyFont="1" applyBorder="1" applyAlignment="1">
      <alignment horizontal="justify" vertical="center" wrapText="1"/>
    </xf>
    <xf numFmtId="0" fontId="16" fillId="0" borderId="26" xfId="0" applyFont="1" applyBorder="1" applyAlignment="1">
      <alignment horizontal="right" vertical="center" wrapText="1"/>
    </xf>
    <xf numFmtId="0" fontId="17" fillId="0" borderId="29" xfId="0" applyFont="1" applyBorder="1" applyAlignment="1">
      <alignment horizontal="justify" vertical="center" wrapText="1"/>
    </xf>
    <xf numFmtId="0" fontId="17" fillId="0" borderId="27" xfId="0" applyFont="1" applyBorder="1" applyAlignment="1">
      <alignment horizontal="justify" vertical="center" wrapText="1"/>
    </xf>
    <xf numFmtId="0" fontId="17" fillId="0" borderId="25" xfId="0" applyFont="1" applyBorder="1" applyAlignment="1">
      <alignment horizontal="justify" vertical="center" wrapText="1"/>
    </xf>
    <xf numFmtId="0" fontId="16" fillId="0" borderId="29" xfId="0" applyFont="1" applyBorder="1" applyAlignment="1">
      <alignment horizontal="right" vertical="center" wrapText="1"/>
    </xf>
    <xf numFmtId="0" fontId="16" fillId="0" borderId="27" xfId="0" applyFont="1" applyBorder="1" applyAlignment="1">
      <alignment horizontal="right" vertical="center" wrapText="1"/>
    </xf>
    <xf numFmtId="0" fontId="16" fillId="0" borderId="25" xfId="0" applyFont="1" applyBorder="1" applyAlignment="1">
      <alignment horizontal="right" vertical="center" wrapText="1"/>
    </xf>
    <xf numFmtId="0" fontId="16" fillId="0" borderId="30" xfId="0" applyFont="1" applyBorder="1" applyAlignment="1">
      <alignment horizontal="right" vertical="center" wrapText="1"/>
    </xf>
    <xf numFmtId="0" fontId="16" fillId="0" borderId="31" xfId="0" applyFont="1" applyBorder="1" applyAlignment="1">
      <alignment horizontal="right" vertical="center" wrapText="1"/>
    </xf>
    <xf numFmtId="0" fontId="16" fillId="0" borderId="28" xfId="0" applyFont="1" applyBorder="1" applyAlignment="1">
      <alignment horizontal="right" vertical="center" wrapText="1"/>
    </xf>
    <xf numFmtId="0" fontId="16" fillId="0" borderId="26" xfId="0" applyFont="1" applyBorder="1" applyAlignment="1">
      <alignment horizontal="right" vertical="center" wrapText="1"/>
    </xf>
  </cellXfs>
  <cellStyles count="10">
    <cellStyle name="Hipervínculo 2" xfId="6" xr:uid="{216FF8CA-3E1A-42AC-9434-2D1422DE238C}"/>
    <cellStyle name="Moneda" xfId="1" builtinId="4"/>
    <cellStyle name="Moneda [0]" xfId="3" builtinId="7"/>
    <cellStyle name="Moneda [0] 2" xfId="7" xr:uid="{288CF4AE-2716-4540-B8DA-3A20EF57D720}"/>
    <cellStyle name="Moneda 2" xfId="5" xr:uid="{7247D5A3-4833-4DE8-9144-9C580A68B5D7}"/>
    <cellStyle name="Moneda 3" xfId="9" xr:uid="{3A055571-2BFE-4D53-92DF-7E2C8F7B1E0A}"/>
    <cellStyle name="Normal" xfId="0" builtinId="0"/>
    <cellStyle name="Normal 2" xfId="4" xr:uid="{DB312838-DD18-42B8-AC07-E207B1C0C2C5}"/>
    <cellStyle name="Normal 2 2" xfId="8" xr:uid="{9A9B7BF2-6FFF-4B04-B519-BD909838DD49}"/>
    <cellStyle name="Porcentaje" xfId="2" builtinId="5"/>
  </cellStyles>
  <dxfs count="0"/>
  <tableStyles count="0" defaultTableStyle="TableStyleMedium2" defaultPivotStyle="PivotStyleLight16"/>
  <colors>
    <mruColors>
      <color rgb="FFFFB7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DC2F-1854-4A39-804C-B1C249611FFB}">
  <dimension ref="B2:G6"/>
  <sheetViews>
    <sheetView tabSelected="1" workbookViewId="0">
      <selection activeCell="H5" sqref="H5"/>
    </sheetView>
  </sheetViews>
  <sheetFormatPr baseColWidth="10" defaultRowHeight="15" x14ac:dyDescent="0.25"/>
  <cols>
    <col min="2" max="2" width="25.85546875" style="70" customWidth="1"/>
    <col min="3" max="3" width="29.28515625" customWidth="1"/>
    <col min="4" max="6" width="17" style="73" customWidth="1"/>
    <col min="7" max="7" width="15.5703125" bestFit="1" customWidth="1"/>
  </cols>
  <sheetData>
    <row r="2" spans="2:7" s="70" customFormat="1" ht="30" x14ac:dyDescent="0.25">
      <c r="B2" s="71" t="s">
        <v>132</v>
      </c>
      <c r="C2" s="71" t="s">
        <v>14</v>
      </c>
      <c r="D2" s="72" t="s">
        <v>130</v>
      </c>
      <c r="E2" s="72" t="s">
        <v>16</v>
      </c>
      <c r="F2" s="72" t="s">
        <v>134</v>
      </c>
    </row>
    <row r="3" spans="2:7" ht="75" x14ac:dyDescent="0.25">
      <c r="B3" s="75" t="s">
        <v>127</v>
      </c>
      <c r="C3" s="69" t="s">
        <v>128</v>
      </c>
      <c r="D3" s="73">
        <v>91656000</v>
      </c>
      <c r="E3" s="73">
        <f>D3*19%</f>
        <v>17414640</v>
      </c>
      <c r="F3" s="73">
        <f>D3+E3</f>
        <v>109070640</v>
      </c>
    </row>
    <row r="4" spans="2:7" ht="90" x14ac:dyDescent="0.25">
      <c r="B4" s="75"/>
      <c r="C4" s="69" t="s">
        <v>129</v>
      </c>
      <c r="D4" s="73">
        <v>18233000</v>
      </c>
      <c r="E4" s="73">
        <f>D4*19%</f>
        <v>3464270</v>
      </c>
      <c r="F4" s="73">
        <f t="shared" ref="F4:F5" si="0">D4+E4</f>
        <v>21697270</v>
      </c>
      <c r="G4" s="2"/>
    </row>
    <row r="5" spans="2:7" ht="75" x14ac:dyDescent="0.25">
      <c r="B5" s="70" t="s">
        <v>131</v>
      </c>
      <c r="C5" s="69" t="s">
        <v>133</v>
      </c>
      <c r="D5" s="73">
        <v>29405000</v>
      </c>
      <c r="E5" s="73">
        <f>D5*19%</f>
        <v>5586950</v>
      </c>
      <c r="F5" s="73">
        <f t="shared" si="0"/>
        <v>34991950</v>
      </c>
      <c r="G5" s="111"/>
    </row>
    <row r="6" spans="2:7" x14ac:dyDescent="0.25">
      <c r="C6" s="69"/>
      <c r="F6" s="74">
        <f>SUM(F3:F5)</f>
        <v>165759860</v>
      </c>
    </row>
  </sheetData>
  <mergeCells count="1">
    <mergeCell ref="B3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Y28"/>
  <sheetViews>
    <sheetView topLeftCell="BQ1" zoomScale="145" zoomScaleNormal="145" workbookViewId="0">
      <selection activeCell="BU31" sqref="BU31"/>
    </sheetView>
  </sheetViews>
  <sheetFormatPr baseColWidth="10" defaultColWidth="11.42578125" defaultRowHeight="9" x14ac:dyDescent="0.15"/>
  <cols>
    <col min="1" max="1" width="22" style="3" customWidth="1"/>
    <col min="2" max="2" width="9.28515625" style="3" customWidth="1"/>
    <col min="3" max="3" width="15" style="3" bestFit="1" customWidth="1"/>
    <col min="4" max="4" width="12.28515625" style="3" bestFit="1" customWidth="1"/>
    <col min="5" max="5" width="16.28515625" style="3" bestFit="1" customWidth="1"/>
    <col min="6" max="6" width="4.7109375" style="3" customWidth="1"/>
    <col min="7" max="7" width="19.7109375" style="3" customWidth="1"/>
    <col min="8" max="8" width="6.28515625" style="3" customWidth="1"/>
    <col min="9" max="9" width="12" style="3" bestFit="1" customWidth="1"/>
    <col min="10" max="10" width="11.85546875" style="3" bestFit="1" customWidth="1"/>
    <col min="11" max="11" width="15.85546875" style="3" bestFit="1" customWidth="1"/>
    <col min="12" max="12" width="4.7109375" style="3" customWidth="1"/>
    <col min="13" max="13" width="19.28515625" style="3" customWidth="1"/>
    <col min="14" max="14" width="9.42578125" style="3" customWidth="1"/>
    <col min="15" max="15" width="12" style="3" bestFit="1" customWidth="1"/>
    <col min="16" max="16" width="11.85546875" style="3" bestFit="1" customWidth="1"/>
    <col min="17" max="17" width="15.42578125" style="3" bestFit="1" customWidth="1"/>
    <col min="18" max="18" width="3.28515625" style="3" customWidth="1"/>
    <col min="19" max="19" width="29.42578125" style="3" bestFit="1" customWidth="1"/>
    <col min="20" max="20" width="18.28515625" style="3" bestFit="1" customWidth="1"/>
    <col min="21" max="21" width="12" style="3" bestFit="1" customWidth="1"/>
    <col min="22" max="22" width="11.42578125" style="3" bestFit="1" customWidth="1"/>
    <col min="23" max="23" width="18.7109375" style="3" customWidth="1"/>
    <col min="24" max="24" width="3.28515625" style="3" customWidth="1"/>
    <col min="25" max="25" width="29.42578125" style="3" bestFit="1" customWidth="1"/>
    <col min="26" max="26" width="18.28515625" style="3" bestFit="1" customWidth="1"/>
    <col min="27" max="27" width="12" style="3" bestFit="1" customWidth="1"/>
    <col min="28" max="28" width="11.42578125" style="3" bestFit="1" customWidth="1"/>
    <col min="29" max="29" width="15.85546875" style="3" bestFit="1" customWidth="1"/>
    <col min="30" max="30" width="3.28515625" style="3" customWidth="1"/>
    <col min="31" max="31" width="29.42578125" style="3" bestFit="1" customWidth="1"/>
    <col min="32" max="32" width="18.28515625" style="3" bestFit="1" customWidth="1"/>
    <col min="33" max="33" width="12" style="3" bestFit="1" customWidth="1"/>
    <col min="34" max="34" width="12.42578125" style="3" bestFit="1" customWidth="1"/>
    <col min="35" max="35" width="21.42578125" style="3" customWidth="1"/>
    <col min="36" max="36" width="3.28515625" style="3" customWidth="1"/>
    <col min="37" max="37" width="29.42578125" style="3" bestFit="1" customWidth="1"/>
    <col min="38" max="38" width="18.28515625" style="3" bestFit="1" customWidth="1"/>
    <col min="39" max="39" width="12" style="3" bestFit="1" customWidth="1"/>
    <col min="40" max="40" width="12.42578125" style="3" bestFit="1" customWidth="1"/>
    <col min="41" max="41" width="21.42578125" style="3" customWidth="1"/>
    <col min="42" max="42" width="3.28515625" style="3" customWidth="1"/>
    <col min="43" max="43" width="29.42578125" style="3" bestFit="1" customWidth="1"/>
    <col min="44" max="44" width="18.28515625" style="3" bestFit="1" customWidth="1"/>
    <col min="45" max="45" width="12" style="3" bestFit="1" customWidth="1"/>
    <col min="46" max="46" width="12.42578125" style="3" bestFit="1" customWidth="1"/>
    <col min="47" max="47" width="21.42578125" style="3" customWidth="1"/>
    <col min="48" max="48" width="3.28515625" style="3" customWidth="1"/>
    <col min="49" max="49" width="29.42578125" style="3" bestFit="1" customWidth="1"/>
    <col min="50" max="50" width="18.28515625" style="3" bestFit="1" customWidth="1"/>
    <col min="51" max="51" width="12" style="3" bestFit="1" customWidth="1"/>
    <col min="52" max="52" width="12.42578125" style="3" bestFit="1" customWidth="1"/>
    <col min="53" max="53" width="21.42578125" style="3" customWidth="1"/>
    <col min="54" max="54" width="3.28515625" style="3" customWidth="1"/>
    <col min="55" max="55" width="29.42578125" style="3" bestFit="1" customWidth="1"/>
    <col min="56" max="56" width="18.28515625" style="3" bestFit="1" customWidth="1"/>
    <col min="57" max="57" width="12" style="3" bestFit="1" customWidth="1"/>
    <col min="58" max="58" width="12.42578125" style="3" bestFit="1" customWidth="1"/>
    <col min="59" max="59" width="11.85546875" style="3" bestFit="1" customWidth="1"/>
    <col min="60" max="60" width="3.28515625" style="3" customWidth="1"/>
    <col min="61" max="61" width="29.42578125" style="3" bestFit="1" customWidth="1"/>
    <col min="62" max="62" width="18.28515625" style="3" bestFit="1" customWidth="1"/>
    <col min="63" max="63" width="12" style="3" bestFit="1" customWidth="1"/>
    <col min="64" max="64" width="10.28515625" style="3" customWidth="1"/>
    <col min="65" max="65" width="11.85546875" style="3" bestFit="1" customWidth="1"/>
    <col min="66" max="66" width="4" style="3" customWidth="1"/>
    <col min="67" max="67" width="4.42578125" style="3" bestFit="1" customWidth="1"/>
    <col min="68" max="68" width="27.7109375" style="3" customWidth="1"/>
    <col min="69" max="69" width="4.28515625" style="3" customWidth="1"/>
    <col min="70" max="70" width="11.42578125" style="3"/>
    <col min="71" max="71" width="27.140625" style="3" customWidth="1"/>
    <col min="72" max="74" width="11.42578125" style="3"/>
    <col min="75" max="75" width="5" style="3" customWidth="1"/>
    <col min="76" max="76" width="6.85546875" style="3" customWidth="1"/>
    <col min="77" max="77" width="30.28515625" style="3" customWidth="1"/>
    <col min="78" max="16384" width="11.42578125" style="3"/>
  </cols>
  <sheetData>
    <row r="1" spans="1:77" x14ac:dyDescent="0.15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"/>
      <c r="AK1" s="9"/>
      <c r="AL1" s="9"/>
      <c r="AM1" s="9"/>
      <c r="AN1" s="9"/>
      <c r="AO1" s="9"/>
      <c r="AP1" s="15"/>
      <c r="AQ1" s="15"/>
      <c r="AR1" s="15"/>
      <c r="AS1" s="15"/>
      <c r="AT1" s="15"/>
      <c r="AU1" s="15"/>
      <c r="AV1" s="15"/>
      <c r="AW1" s="15" t="s">
        <v>1</v>
      </c>
      <c r="AX1" s="15"/>
      <c r="AY1" s="15"/>
      <c r="AZ1" s="15"/>
      <c r="BA1" s="15"/>
      <c r="BB1" s="15"/>
      <c r="BC1" s="15" t="s">
        <v>1</v>
      </c>
      <c r="BD1" s="15"/>
      <c r="BE1" s="15"/>
      <c r="BF1" s="15"/>
      <c r="BG1" s="15"/>
      <c r="BH1" s="15"/>
      <c r="BI1" s="15" t="s">
        <v>1</v>
      </c>
      <c r="BJ1" s="15"/>
      <c r="BK1" s="15"/>
      <c r="BL1" s="15"/>
      <c r="BM1" s="15"/>
      <c r="BN1" s="15"/>
      <c r="BP1" s="15"/>
      <c r="BR1" s="15" t="s">
        <v>1</v>
      </c>
      <c r="BS1" s="15"/>
      <c r="BT1" s="15"/>
      <c r="BU1" s="15"/>
      <c r="BV1" s="15"/>
      <c r="BW1" s="15"/>
    </row>
    <row r="3" spans="1:77" x14ac:dyDescent="0.15">
      <c r="A3" s="76" t="s">
        <v>2</v>
      </c>
      <c r="B3" s="76"/>
      <c r="C3" s="76"/>
      <c r="D3" s="76"/>
      <c r="E3" s="76"/>
      <c r="G3" s="76" t="s">
        <v>3</v>
      </c>
      <c r="H3" s="76"/>
      <c r="I3" s="76"/>
      <c r="J3" s="76"/>
      <c r="K3" s="76"/>
      <c r="M3" s="76" t="s">
        <v>4</v>
      </c>
      <c r="N3" s="76"/>
      <c r="O3" s="76"/>
      <c r="P3" s="76"/>
      <c r="Q3" s="76"/>
      <c r="S3" s="76" t="s">
        <v>5</v>
      </c>
      <c r="T3" s="76"/>
      <c r="U3" s="76"/>
      <c r="V3" s="76"/>
      <c r="W3" s="76"/>
      <c r="Y3" s="76" t="s">
        <v>6</v>
      </c>
      <c r="Z3" s="76"/>
      <c r="AA3" s="76"/>
      <c r="AB3" s="76"/>
      <c r="AC3" s="76"/>
      <c r="AE3" s="76" t="s">
        <v>7</v>
      </c>
      <c r="AF3" s="76"/>
      <c r="AG3" s="76"/>
      <c r="AH3" s="76"/>
      <c r="AI3" s="76"/>
      <c r="AK3" s="76" t="s">
        <v>8</v>
      </c>
      <c r="AL3" s="76"/>
      <c r="AM3" s="76"/>
      <c r="AN3" s="76"/>
      <c r="AO3" s="76"/>
      <c r="AQ3" s="76" t="s">
        <v>9</v>
      </c>
      <c r="AR3" s="76"/>
      <c r="AS3" s="76"/>
      <c r="AT3" s="76"/>
      <c r="AU3" s="76"/>
      <c r="AW3" s="76" t="s">
        <v>10</v>
      </c>
      <c r="AX3" s="76"/>
      <c r="AY3" s="76"/>
      <c r="AZ3" s="76"/>
      <c r="BA3" s="76"/>
      <c r="BC3" s="76" t="s">
        <v>11</v>
      </c>
      <c r="BD3" s="76"/>
      <c r="BE3" s="76"/>
      <c r="BF3" s="76"/>
      <c r="BG3" s="76"/>
      <c r="BI3" s="76" t="s">
        <v>12</v>
      </c>
      <c r="BJ3" s="76"/>
      <c r="BK3" s="76"/>
      <c r="BL3" s="76"/>
      <c r="BM3" s="76"/>
      <c r="BR3" s="76" t="s">
        <v>13</v>
      </c>
      <c r="BS3" s="76"/>
      <c r="BT3" s="76"/>
      <c r="BU3" s="76"/>
      <c r="BV3" s="76"/>
      <c r="BW3" s="53"/>
    </row>
    <row r="4" spans="1:77" ht="45" customHeight="1" x14ac:dyDescent="0.15">
      <c r="A4" s="77" t="s">
        <v>14</v>
      </c>
      <c r="B4" s="77"/>
      <c r="C4" s="17" t="s">
        <v>15</v>
      </c>
      <c r="D4" s="16" t="s">
        <v>16</v>
      </c>
      <c r="E4" s="17" t="s">
        <v>17</v>
      </c>
      <c r="G4" s="77" t="s">
        <v>14</v>
      </c>
      <c r="H4" s="77"/>
      <c r="I4" s="17" t="s">
        <v>15</v>
      </c>
      <c r="J4" s="16" t="s">
        <v>16</v>
      </c>
      <c r="K4" s="17" t="s">
        <v>17</v>
      </c>
      <c r="M4" s="77" t="s">
        <v>14</v>
      </c>
      <c r="N4" s="77"/>
      <c r="O4" s="17" t="s">
        <v>15</v>
      </c>
      <c r="P4" s="16" t="s">
        <v>16</v>
      </c>
      <c r="Q4" s="17" t="s">
        <v>17</v>
      </c>
      <c r="S4" s="77" t="s">
        <v>14</v>
      </c>
      <c r="T4" s="77"/>
      <c r="U4" s="17" t="s">
        <v>15</v>
      </c>
      <c r="V4" s="16" t="s">
        <v>16</v>
      </c>
      <c r="W4" s="17" t="s">
        <v>17</v>
      </c>
      <c r="Y4" s="77" t="s">
        <v>14</v>
      </c>
      <c r="Z4" s="77"/>
      <c r="AA4" s="17" t="s">
        <v>15</v>
      </c>
      <c r="AB4" s="16" t="s">
        <v>16</v>
      </c>
      <c r="AC4" s="17" t="s">
        <v>17</v>
      </c>
      <c r="AE4" s="77" t="s">
        <v>14</v>
      </c>
      <c r="AF4" s="77"/>
      <c r="AG4" s="17" t="s">
        <v>15</v>
      </c>
      <c r="AH4" s="16" t="s">
        <v>16</v>
      </c>
      <c r="AI4" s="17" t="s">
        <v>17</v>
      </c>
      <c r="AK4" s="77" t="s">
        <v>14</v>
      </c>
      <c r="AL4" s="77"/>
      <c r="AM4" s="17" t="s">
        <v>15</v>
      </c>
      <c r="AN4" s="16" t="s">
        <v>16</v>
      </c>
      <c r="AO4" s="17" t="s">
        <v>17</v>
      </c>
      <c r="AQ4" s="77" t="s">
        <v>14</v>
      </c>
      <c r="AR4" s="77"/>
      <c r="AS4" s="17" t="s">
        <v>15</v>
      </c>
      <c r="AT4" s="16" t="s">
        <v>16</v>
      </c>
      <c r="AU4" s="17" t="s">
        <v>17</v>
      </c>
      <c r="AW4" s="77" t="s">
        <v>14</v>
      </c>
      <c r="AX4" s="77"/>
      <c r="AY4" s="17" t="s">
        <v>15</v>
      </c>
      <c r="AZ4" s="16" t="s">
        <v>16</v>
      </c>
      <c r="BA4" s="17" t="s">
        <v>17</v>
      </c>
      <c r="BC4" s="77" t="s">
        <v>14</v>
      </c>
      <c r="BD4" s="77"/>
      <c r="BE4" s="17" t="s">
        <v>15</v>
      </c>
      <c r="BF4" s="16" t="s">
        <v>16</v>
      </c>
      <c r="BG4" s="17" t="s">
        <v>17</v>
      </c>
      <c r="BI4" s="77" t="s">
        <v>14</v>
      </c>
      <c r="BJ4" s="77"/>
      <c r="BK4" s="17" t="s">
        <v>15</v>
      </c>
      <c r="BL4" s="16" t="s">
        <v>16</v>
      </c>
      <c r="BM4" s="17" t="s">
        <v>17</v>
      </c>
      <c r="BO4" s="79" t="s">
        <v>18</v>
      </c>
      <c r="BP4" s="79"/>
      <c r="BR4" s="77" t="s">
        <v>14</v>
      </c>
      <c r="BS4" s="77"/>
      <c r="BT4" s="17" t="s">
        <v>15</v>
      </c>
      <c r="BU4" s="16" t="s">
        <v>16</v>
      </c>
      <c r="BV4" s="17" t="s">
        <v>17</v>
      </c>
      <c r="BW4" s="11"/>
      <c r="BX4" s="79" t="s">
        <v>18</v>
      </c>
      <c r="BY4" s="79"/>
    </row>
    <row r="5" spans="1:77" ht="66" customHeight="1" x14ac:dyDescent="0.15">
      <c r="A5" s="90" t="s">
        <v>19</v>
      </c>
      <c r="B5" s="90"/>
      <c r="C5" s="18">
        <v>181767155</v>
      </c>
      <c r="D5" s="18">
        <v>29082745</v>
      </c>
      <c r="E5" s="19">
        <v>210849900</v>
      </c>
      <c r="G5" s="90" t="s">
        <v>20</v>
      </c>
      <c r="H5" s="90"/>
      <c r="I5" s="20">
        <v>87300000</v>
      </c>
      <c r="J5" s="20">
        <f>I5*16%</f>
        <v>13968000</v>
      </c>
      <c r="K5" s="21">
        <f>I5+J5</f>
        <v>101268000</v>
      </c>
      <c r="M5" s="78" t="s">
        <v>21</v>
      </c>
      <c r="N5" s="78"/>
      <c r="O5" s="22">
        <v>67458000</v>
      </c>
      <c r="P5" s="22">
        <f>+O5*19%</f>
        <v>12817020</v>
      </c>
      <c r="Q5" s="22">
        <f>+O5+P5</f>
        <v>80275020</v>
      </c>
      <c r="S5" s="78" t="s">
        <v>21</v>
      </c>
      <c r="T5" s="78"/>
      <c r="U5" s="22">
        <v>70217032</v>
      </c>
      <c r="V5" s="22">
        <v>0</v>
      </c>
      <c r="W5" s="22">
        <f>+U5+V5</f>
        <v>70217032</v>
      </c>
      <c r="Y5" s="78" t="s">
        <v>21</v>
      </c>
      <c r="Z5" s="78"/>
      <c r="AA5" s="22">
        <v>72324500</v>
      </c>
      <c r="AB5" s="23">
        <v>0</v>
      </c>
      <c r="AC5" s="22">
        <f>+AA5+AB5</f>
        <v>72324500</v>
      </c>
      <c r="AE5" s="78" t="s">
        <v>22</v>
      </c>
      <c r="AF5" s="78"/>
      <c r="AG5" s="22">
        <v>75072831</v>
      </c>
      <c r="AH5" s="23">
        <f>+AG5*19%</f>
        <v>14263837.890000001</v>
      </c>
      <c r="AI5" s="22">
        <f>+AG5+AH5</f>
        <v>89336668.890000001</v>
      </c>
      <c r="AK5" s="78" t="s">
        <v>23</v>
      </c>
      <c r="AL5" s="78"/>
      <c r="AM5" s="22">
        <v>76282000</v>
      </c>
      <c r="AN5" s="23">
        <f>+AM5*19%</f>
        <v>14493580</v>
      </c>
      <c r="AO5" s="24">
        <f t="shared" ref="AO5:AO6" si="0">ROUND((AM5+AN5),0)</f>
        <v>90775580</v>
      </c>
      <c r="AQ5" s="78" t="s">
        <v>24</v>
      </c>
      <c r="AR5" s="78"/>
      <c r="AS5" s="22">
        <v>80096100</v>
      </c>
      <c r="AT5" s="23">
        <f>+AS5*19%</f>
        <v>15218259</v>
      </c>
      <c r="AU5" s="25">
        <f t="shared" ref="AU5:AU6" si="1">ROUND((AS5+AT5),0)</f>
        <v>95314359</v>
      </c>
      <c r="AW5" s="78" t="s">
        <v>25</v>
      </c>
      <c r="AX5" s="78"/>
      <c r="AY5" s="22">
        <f>75571000+15033000</f>
        <v>90604000</v>
      </c>
      <c r="AZ5" s="23">
        <f>+AY5*19%</f>
        <v>17214760</v>
      </c>
      <c r="BA5" s="24">
        <f>ROUND((AY5+AZ5),0)</f>
        <v>107818760</v>
      </c>
      <c r="BC5" s="78" t="s">
        <v>26</v>
      </c>
      <c r="BD5" s="78"/>
      <c r="BE5" s="22">
        <v>99012000</v>
      </c>
      <c r="BF5" s="23">
        <f>+BE5*19%</f>
        <v>18812280</v>
      </c>
      <c r="BG5" s="24">
        <f>ROUND((BE5+BF5),0)</f>
        <v>117824280</v>
      </c>
      <c r="BI5" s="78" t="s">
        <v>27</v>
      </c>
      <c r="BJ5" s="78"/>
      <c r="BK5" s="22">
        <f>86878000+17282000</f>
        <v>104160000</v>
      </c>
      <c r="BL5" s="23">
        <f>+BK5*19%</f>
        <v>19790400</v>
      </c>
      <c r="BM5" s="24">
        <f>ROUND((BK5+BL5),0)</f>
        <v>123950400</v>
      </c>
      <c r="BO5" s="26">
        <f>(BK5-BE5)/BE5</f>
        <v>5.1993697733608048E-2</v>
      </c>
      <c r="BP5" s="27" t="s">
        <v>28</v>
      </c>
      <c r="BR5" s="78" t="s">
        <v>29</v>
      </c>
      <c r="BS5" s="78"/>
      <c r="BT5" s="22">
        <f>91656000+18233000</f>
        <v>109889000</v>
      </c>
      <c r="BU5" s="23">
        <f>BT5*19%</f>
        <v>20878910</v>
      </c>
      <c r="BV5" s="24">
        <f>ROUND((BT5+BU5),0)</f>
        <v>130767910</v>
      </c>
      <c r="BW5" s="24"/>
      <c r="BX5" s="26">
        <f>(BT5-BK5)/BK5</f>
        <v>5.5001920122887862E-2</v>
      </c>
      <c r="BY5" s="55" t="s">
        <v>125</v>
      </c>
    </row>
    <row r="6" spans="1:77" ht="37.5" customHeight="1" x14ac:dyDescent="0.15">
      <c r="A6" s="90"/>
      <c r="B6" s="90"/>
      <c r="C6" s="90"/>
      <c r="D6" s="90"/>
      <c r="E6" s="90"/>
      <c r="G6" s="90"/>
      <c r="H6" s="90"/>
      <c r="I6" s="90"/>
      <c r="J6" s="90"/>
      <c r="K6" s="90"/>
      <c r="M6" s="78" t="s">
        <v>30</v>
      </c>
      <c r="N6" s="78"/>
      <c r="O6" s="22">
        <v>25000000</v>
      </c>
      <c r="P6" s="23">
        <f>+O6*19%</f>
        <v>4750000</v>
      </c>
      <c r="Q6" s="23">
        <f>+O6+P6</f>
        <v>29750000</v>
      </c>
      <c r="S6" s="78" t="s">
        <v>31</v>
      </c>
      <c r="T6" s="78"/>
      <c r="U6" s="22">
        <v>30000000</v>
      </c>
      <c r="V6" s="23">
        <v>0</v>
      </c>
      <c r="W6" s="23">
        <f>+U6+V6</f>
        <v>30000000</v>
      </c>
      <c r="Y6" s="78" t="s">
        <v>31</v>
      </c>
      <c r="Z6" s="78"/>
      <c r="AA6" s="22">
        <v>30900000</v>
      </c>
      <c r="AB6" s="23">
        <v>0</v>
      </c>
      <c r="AC6" s="23">
        <f>+AA6+AB6</f>
        <v>30900000</v>
      </c>
      <c r="AE6" s="78" t="s">
        <v>31</v>
      </c>
      <c r="AF6" s="78"/>
      <c r="AG6" s="22">
        <v>20000000</v>
      </c>
      <c r="AH6" s="23">
        <f>+AG6*19%</f>
        <v>3800000</v>
      </c>
      <c r="AI6" s="24">
        <f>+AG6+AH6</f>
        <v>23800000</v>
      </c>
      <c r="AK6" s="78" t="s">
        <v>32</v>
      </c>
      <c r="AL6" s="78"/>
      <c r="AM6" s="22">
        <v>20322000</v>
      </c>
      <c r="AN6" s="23">
        <f>+AM6*19%</f>
        <v>3861180</v>
      </c>
      <c r="AO6" s="24">
        <f t="shared" si="0"/>
        <v>24183180</v>
      </c>
      <c r="AQ6" s="78" t="s">
        <v>33</v>
      </c>
      <c r="AR6" s="78"/>
      <c r="AS6" s="22">
        <f>58181000-(32289293.55/1.19)</f>
        <v>31047139.873949576</v>
      </c>
      <c r="AT6" s="23">
        <f>+AS6*19%</f>
        <v>5898956.5760504194</v>
      </c>
      <c r="AU6" s="25">
        <f t="shared" si="1"/>
        <v>36946096</v>
      </c>
      <c r="AW6" s="78" t="s">
        <v>34</v>
      </c>
      <c r="AX6" s="78"/>
      <c r="AY6" s="22">
        <v>26508800</v>
      </c>
      <c r="AZ6" s="23">
        <f>+AY6*19%</f>
        <v>5036672</v>
      </c>
      <c r="BA6" s="24">
        <f>ROUND((AY6+AZ6),0)</f>
        <v>31545472</v>
      </c>
      <c r="BC6" s="78" t="s">
        <v>34</v>
      </c>
      <c r="BD6" s="78"/>
      <c r="BE6" s="22">
        <v>45666000</v>
      </c>
      <c r="BF6" s="23">
        <f>+BE6*19%</f>
        <v>8676540</v>
      </c>
      <c r="BG6" s="24">
        <f>ROUND((BE6+BF6),0)</f>
        <v>54342540</v>
      </c>
      <c r="BI6" s="78" t="s">
        <v>34</v>
      </c>
      <c r="BJ6" s="78"/>
      <c r="BK6" s="22">
        <v>36828000</v>
      </c>
      <c r="BL6" s="23">
        <f>+BK6*19%</f>
        <v>6997320</v>
      </c>
      <c r="BM6" s="24">
        <f>ROUND((BK6+BL6),0)</f>
        <v>43825320</v>
      </c>
      <c r="BO6" s="26">
        <f>AVERAGE('Anexo1-Detalle Estimación Bolsa'!V3:V14)</f>
        <v>5.0964505338973003E-2</v>
      </c>
      <c r="BP6" s="27" t="s">
        <v>35</v>
      </c>
      <c r="BR6" s="78" t="s">
        <v>36</v>
      </c>
      <c r="BS6" s="78"/>
      <c r="BT6" s="22">
        <v>29405000</v>
      </c>
      <c r="BU6" s="23">
        <f>BT6*19%</f>
        <v>5586950</v>
      </c>
      <c r="BV6" s="24">
        <f>ROUND((BT6+BU6),0)</f>
        <v>34991950</v>
      </c>
      <c r="BW6" s="24"/>
      <c r="BX6" s="26">
        <f>AVERAGE('Anexo1-Detalle Estimación Bolsa'!O3:O14)</f>
        <v>5.5000000000000014E-2</v>
      </c>
      <c r="BY6" s="55" t="s">
        <v>126</v>
      </c>
    </row>
    <row r="7" spans="1:77" ht="41.45" hidden="1" customHeight="1" x14ac:dyDescent="0.15">
      <c r="A7" s="90"/>
      <c r="B7" s="90"/>
      <c r="C7" s="90"/>
      <c r="D7" s="90"/>
      <c r="E7" s="90"/>
      <c r="G7" s="90"/>
      <c r="H7" s="90"/>
      <c r="I7" s="90"/>
      <c r="J7" s="90"/>
      <c r="K7" s="90"/>
      <c r="M7" s="89" t="s">
        <v>37</v>
      </c>
      <c r="N7" s="89"/>
      <c r="O7" s="28">
        <v>3000000</v>
      </c>
      <c r="P7" s="29">
        <f>+O7*19%</f>
        <v>570000</v>
      </c>
      <c r="Q7" s="29">
        <f>+O7+P7</f>
        <v>3570000</v>
      </c>
      <c r="S7" s="89"/>
      <c r="T7" s="89"/>
      <c r="U7" s="28"/>
      <c r="V7" s="29"/>
      <c r="W7" s="29"/>
      <c r="Y7" s="89" t="s">
        <v>38</v>
      </c>
      <c r="Z7" s="89"/>
      <c r="AA7" s="30">
        <v>1914000</v>
      </c>
      <c r="AB7" s="29">
        <v>0</v>
      </c>
      <c r="AC7" s="29">
        <f>+AA7+AB7</f>
        <v>1914000</v>
      </c>
      <c r="AE7" s="80" t="s">
        <v>39</v>
      </c>
      <c r="AF7" s="80"/>
      <c r="AG7" s="30">
        <v>993366</v>
      </c>
      <c r="AH7" s="29">
        <f>AG7*19%</f>
        <v>188739.54</v>
      </c>
      <c r="AI7" s="31">
        <f>+AG7+AH7</f>
        <v>1182105.54</v>
      </c>
      <c r="AK7" s="80" t="s">
        <v>40</v>
      </c>
      <c r="AL7" s="80"/>
      <c r="AM7" s="30">
        <v>512690</v>
      </c>
      <c r="AN7" s="29">
        <f>AM7*19%</f>
        <v>97411.1</v>
      </c>
      <c r="AO7" s="31">
        <f>ROUND((AM7+AN7),0)</f>
        <v>610101</v>
      </c>
      <c r="AQ7" s="80" t="s">
        <v>41</v>
      </c>
      <c r="AR7" s="80"/>
      <c r="AS7" s="30">
        <v>1077115</v>
      </c>
      <c r="AT7" s="29">
        <f>AS7*19%</f>
        <v>204651.85</v>
      </c>
      <c r="AU7" s="32">
        <f>ROUND((AS7+AT7),0)</f>
        <v>1281767</v>
      </c>
      <c r="AW7" s="80" t="s">
        <v>42</v>
      </c>
      <c r="AX7" s="80"/>
      <c r="AY7" s="30">
        <v>1218000</v>
      </c>
      <c r="AZ7" s="29">
        <f>AY7*19%</f>
        <v>231420</v>
      </c>
      <c r="BA7" s="31">
        <f>ROUND((AY7+AZ7),0)</f>
        <v>1449420</v>
      </c>
      <c r="BC7" s="80" t="s">
        <v>42</v>
      </c>
      <c r="BD7" s="80"/>
      <c r="BE7" s="30">
        <v>1331000</v>
      </c>
      <c r="BF7" s="29">
        <f>BE7*19%</f>
        <v>252890</v>
      </c>
      <c r="BG7" s="31">
        <f>ROUND((BE7+BF7),0)</f>
        <v>1583890</v>
      </c>
      <c r="BI7" s="80" t="s">
        <v>42</v>
      </c>
      <c r="BJ7" s="80"/>
      <c r="BK7" s="30">
        <v>1331000</v>
      </c>
      <c r="BL7" s="29">
        <f>BK7*19%</f>
        <v>252890</v>
      </c>
      <c r="BM7" s="31">
        <f>ROUND((BK7+BL7),0)</f>
        <v>1583890</v>
      </c>
      <c r="BO7" s="33">
        <f>(BE7-AY7)/AY7</f>
        <v>9.2775041050903118E-2</v>
      </c>
      <c r="BP7" s="34" t="s">
        <v>43</v>
      </c>
    </row>
    <row r="8" spans="1:77" ht="9" customHeight="1" x14ac:dyDescent="0.15">
      <c r="A8" s="90"/>
      <c r="B8" s="90"/>
      <c r="C8" s="90"/>
      <c r="D8" s="90"/>
      <c r="E8" s="90"/>
      <c r="G8" s="90"/>
      <c r="H8" s="90"/>
      <c r="I8" s="90"/>
      <c r="J8" s="90"/>
      <c r="K8" s="90"/>
      <c r="M8" s="92"/>
      <c r="N8" s="93"/>
      <c r="O8" s="93"/>
      <c r="P8" s="93"/>
      <c r="Q8" s="94"/>
      <c r="S8" s="81"/>
      <c r="T8" s="82"/>
      <c r="U8" s="82"/>
      <c r="V8" s="82"/>
      <c r="W8" s="83"/>
      <c r="Y8" s="81"/>
      <c r="Z8" s="82"/>
      <c r="AA8" s="82"/>
      <c r="AB8" s="82"/>
      <c r="AC8" s="83"/>
      <c r="AE8" s="81"/>
      <c r="AF8" s="82"/>
      <c r="AG8" s="82"/>
      <c r="AH8" s="82"/>
      <c r="AI8" s="83"/>
      <c r="AK8" s="81"/>
      <c r="AL8" s="82"/>
      <c r="AM8" s="82"/>
      <c r="AN8" s="82"/>
      <c r="AO8" s="83"/>
      <c r="AQ8" s="81"/>
      <c r="AR8" s="82"/>
      <c r="AS8" s="82"/>
      <c r="AT8" s="82"/>
      <c r="AU8" s="83"/>
      <c r="AW8" s="81"/>
      <c r="AX8" s="82"/>
      <c r="AY8" s="82"/>
      <c r="AZ8" s="82"/>
      <c r="BA8" s="83"/>
      <c r="BC8" s="81"/>
      <c r="BD8" s="82"/>
      <c r="BE8" s="82"/>
      <c r="BF8" s="82"/>
      <c r="BG8" s="83"/>
      <c r="BI8" s="81"/>
      <c r="BJ8" s="82"/>
      <c r="BK8" s="82"/>
      <c r="BL8" s="82"/>
      <c r="BM8" s="83"/>
      <c r="BO8" s="35"/>
    </row>
    <row r="9" spans="1:77" ht="12" customHeight="1" x14ac:dyDescent="0.15">
      <c r="A9" s="90"/>
      <c r="B9" s="90"/>
      <c r="C9" s="90"/>
      <c r="D9" s="90"/>
      <c r="E9" s="90"/>
      <c r="G9" s="90"/>
      <c r="H9" s="90"/>
      <c r="I9" s="90"/>
      <c r="J9" s="90"/>
      <c r="K9" s="90"/>
      <c r="M9" s="95"/>
      <c r="N9" s="96"/>
      <c r="O9" s="96"/>
      <c r="P9" s="96"/>
      <c r="Q9" s="97"/>
      <c r="S9" s="84"/>
      <c r="T9" s="85"/>
      <c r="U9" s="85"/>
      <c r="V9" s="85"/>
      <c r="W9" s="86"/>
      <c r="Y9" s="84"/>
      <c r="Z9" s="85"/>
      <c r="AA9" s="85"/>
      <c r="AB9" s="85"/>
      <c r="AC9" s="86"/>
      <c r="AE9" s="84"/>
      <c r="AF9" s="85"/>
      <c r="AG9" s="85"/>
      <c r="AH9" s="85"/>
      <c r="AI9" s="86"/>
      <c r="AK9" s="84"/>
      <c r="AL9" s="85"/>
      <c r="AM9" s="85"/>
      <c r="AN9" s="85"/>
      <c r="AO9" s="86"/>
      <c r="AQ9" s="84"/>
      <c r="AR9" s="85"/>
      <c r="AS9" s="85"/>
      <c r="AT9" s="85"/>
      <c r="AU9" s="86"/>
      <c r="AW9" s="84"/>
      <c r="AX9" s="85"/>
      <c r="AY9" s="85"/>
      <c r="AZ9" s="85"/>
      <c r="BA9" s="86"/>
      <c r="BC9" s="84"/>
      <c r="BD9" s="85"/>
      <c r="BE9" s="85"/>
      <c r="BF9" s="85"/>
      <c r="BG9" s="86"/>
      <c r="BI9" s="84"/>
      <c r="BJ9" s="85"/>
      <c r="BK9" s="85"/>
      <c r="BL9" s="85"/>
      <c r="BM9" s="86"/>
      <c r="BT9" s="41"/>
      <c r="BV9" s="41">
        <f>BV5+BV6</f>
        <v>165759860</v>
      </c>
    </row>
    <row r="10" spans="1:77" ht="5.25" customHeight="1" x14ac:dyDescent="0.15">
      <c r="A10" s="36"/>
      <c r="E10" s="37"/>
      <c r="G10" s="36"/>
      <c r="K10" s="37"/>
      <c r="M10" s="36"/>
      <c r="Q10" s="37"/>
      <c r="S10" s="36"/>
      <c r="W10" s="37"/>
      <c r="Y10" s="36"/>
      <c r="AC10" s="37"/>
      <c r="AE10" s="36"/>
      <c r="AI10" s="37"/>
      <c r="AK10" s="36"/>
      <c r="AO10" s="37"/>
      <c r="AQ10" s="36"/>
      <c r="AU10" s="37"/>
      <c r="AW10" s="36"/>
      <c r="BA10" s="37"/>
      <c r="BC10" s="36"/>
      <c r="BG10" s="37"/>
      <c r="BI10" s="36"/>
      <c r="BM10" s="37"/>
      <c r="BO10" s="38"/>
    </row>
    <row r="11" spans="1:77" hidden="1" x14ac:dyDescent="0.15">
      <c r="A11" s="87" t="s">
        <v>44</v>
      </c>
      <c r="B11" s="88"/>
      <c r="C11" s="88"/>
      <c r="D11" s="88"/>
      <c r="E11" s="39">
        <f>+E5</f>
        <v>210849900</v>
      </c>
      <c r="G11" s="87" t="s">
        <v>45</v>
      </c>
      <c r="H11" s="88"/>
      <c r="I11" s="88"/>
      <c r="J11" s="88"/>
      <c r="K11" s="39">
        <f>K5</f>
        <v>101268000</v>
      </c>
      <c r="M11" s="87" t="s">
        <v>46</v>
      </c>
      <c r="N11" s="88"/>
      <c r="O11" s="88"/>
      <c r="P11" s="88"/>
      <c r="Q11" s="39">
        <f>Q5</f>
        <v>80275020</v>
      </c>
      <c r="S11" s="87" t="s">
        <v>47</v>
      </c>
      <c r="T11" s="88"/>
      <c r="U11" s="88"/>
      <c r="V11" s="88"/>
      <c r="W11" s="39">
        <f>+W5+W6+W7</f>
        <v>100217032</v>
      </c>
      <c r="Y11" s="87" t="s">
        <v>48</v>
      </c>
      <c r="Z11" s="88"/>
      <c r="AA11" s="88"/>
      <c r="AB11" s="88"/>
      <c r="AC11" s="39">
        <f>+AC5+AC6+AC7</f>
        <v>105138500</v>
      </c>
      <c r="AE11" s="87" t="s">
        <v>49</v>
      </c>
      <c r="AF11" s="88"/>
      <c r="AG11" s="88"/>
      <c r="AH11" s="88"/>
      <c r="AI11" s="39">
        <f>ROUNDUP((AI5+AI6+AI7),0)</f>
        <v>114318775</v>
      </c>
      <c r="AK11" s="87" t="s">
        <v>49</v>
      </c>
      <c r="AL11" s="88"/>
      <c r="AM11" s="88"/>
      <c r="AN11" s="88"/>
      <c r="AO11" s="39">
        <f>ROUNDUP((AO5+AO6+AO7),0)</f>
        <v>115568861</v>
      </c>
      <c r="AQ11" s="87" t="s">
        <v>49</v>
      </c>
      <c r="AR11" s="88"/>
      <c r="AS11" s="88"/>
      <c r="AT11" s="88"/>
      <c r="AU11" s="40">
        <f>ROUNDUP((AU5+AU6+AU7),0)</f>
        <v>133542222</v>
      </c>
      <c r="AW11" s="87" t="s">
        <v>50</v>
      </c>
      <c r="AX11" s="88"/>
      <c r="AY11" s="88"/>
      <c r="AZ11" s="88"/>
      <c r="BA11" s="39">
        <f>ROUNDUP((BA5+BA6+BA7),0)</f>
        <v>140813652</v>
      </c>
      <c r="BC11" s="87" t="s">
        <v>51</v>
      </c>
      <c r="BD11" s="88"/>
      <c r="BE11" s="88"/>
      <c r="BF11" s="88"/>
      <c r="BG11" s="39">
        <f>ROUNDUP((BG5+BG6+BG7),0)</f>
        <v>173750710</v>
      </c>
      <c r="BI11" s="87" t="s">
        <v>51</v>
      </c>
      <c r="BJ11" s="88"/>
      <c r="BK11" s="88"/>
      <c r="BL11" s="88"/>
      <c r="BM11" s="39">
        <f>ROUNDUP((BM5+BM6+BM7),0)</f>
        <v>169359610</v>
      </c>
      <c r="BO11" s="38"/>
    </row>
    <row r="12" spans="1:77" hidden="1" x14ac:dyDescent="0.15">
      <c r="AA12" s="41">
        <f>AA7/8</f>
        <v>239250</v>
      </c>
      <c r="AG12" s="42">
        <f>AG7/4</f>
        <v>248341.5</v>
      </c>
      <c r="AH12" s="43"/>
      <c r="AM12" s="42">
        <f>AM7/2</f>
        <v>256345</v>
      </c>
      <c r="AN12" s="43"/>
      <c r="AS12" s="42">
        <f>AS7/4</f>
        <v>269278.75</v>
      </c>
      <c r="AT12" s="43"/>
      <c r="AY12" s="42">
        <f>AY7/4</f>
        <v>304500</v>
      </c>
      <c r="AZ12" s="43"/>
      <c r="BE12" s="42">
        <f>BE7/4</f>
        <v>332750</v>
      </c>
      <c r="BF12" s="43"/>
      <c r="BK12" s="42">
        <f>BK7/4</f>
        <v>332750</v>
      </c>
      <c r="BL12" s="43"/>
      <c r="BO12" s="10"/>
    </row>
    <row r="13" spans="1:77" hidden="1" x14ac:dyDescent="0.15">
      <c r="O13" s="41"/>
      <c r="S13" s="43"/>
      <c r="T13" s="43"/>
      <c r="U13" s="43"/>
      <c r="V13" s="43"/>
      <c r="W13" s="43"/>
      <c r="AC13" s="44"/>
      <c r="AG13" s="43"/>
      <c r="AH13" s="43"/>
      <c r="AI13" s="44"/>
      <c r="AM13" s="43"/>
      <c r="AN13" s="43"/>
      <c r="AO13" s="44"/>
      <c r="AS13" s="43"/>
      <c r="AT13" s="43"/>
      <c r="AU13" s="44"/>
      <c r="AY13" s="43"/>
      <c r="AZ13" s="43"/>
      <c r="BA13" s="44"/>
      <c r="BE13" s="43"/>
      <c r="BF13" s="43"/>
      <c r="BG13" s="44"/>
      <c r="BK13" s="43"/>
      <c r="BL13" s="43"/>
      <c r="BM13" s="44"/>
    </row>
    <row r="14" spans="1:77" hidden="1" x14ac:dyDescent="0.15">
      <c r="P14" s="38"/>
      <c r="S14" s="43"/>
      <c r="T14" s="43"/>
      <c r="U14" s="43"/>
      <c r="V14" s="43"/>
      <c r="W14" s="43"/>
      <c r="AC14" s="45"/>
      <c r="AG14" s="43"/>
      <c r="AH14" s="43"/>
      <c r="AI14" s="45"/>
      <c r="AM14" s="43"/>
      <c r="AN14" s="43"/>
      <c r="AO14" s="45"/>
      <c r="AS14" s="43"/>
      <c r="AT14" s="43"/>
      <c r="AU14" s="45"/>
      <c r="AY14" s="43"/>
      <c r="AZ14" s="43"/>
      <c r="BA14" s="45"/>
      <c r="BE14" s="43"/>
      <c r="BF14" s="43"/>
      <c r="BG14" s="45"/>
      <c r="BK14" s="43"/>
      <c r="BL14" s="43"/>
      <c r="BM14" s="45"/>
      <c r="BP14" s="41"/>
    </row>
    <row r="15" spans="1:77" hidden="1" x14ac:dyDescent="0.15">
      <c r="AG15" s="43"/>
      <c r="AH15" s="43"/>
      <c r="AM15" s="43"/>
      <c r="AN15" s="43"/>
      <c r="AS15" s="43"/>
      <c r="AT15" s="43"/>
      <c r="AY15" s="42"/>
      <c r="AZ15" s="43"/>
      <c r="BA15" s="38" t="e">
        <f>BA11-#REF!</f>
        <v>#REF!</v>
      </c>
      <c r="BE15" s="42"/>
      <c r="BF15" s="43"/>
      <c r="BG15" s="38">
        <f>BG11-BG6</f>
        <v>119408170</v>
      </c>
      <c r="BK15" s="42"/>
      <c r="BL15" s="43"/>
      <c r="BM15" s="38">
        <f>BM11-BM6</f>
        <v>125534290</v>
      </c>
    </row>
    <row r="16" spans="1:77" hidden="1" x14ac:dyDescent="0.15">
      <c r="AG16" s="46"/>
      <c r="AH16" s="46"/>
      <c r="AM16" s="46"/>
      <c r="AN16" s="46"/>
      <c r="AS16" s="46"/>
      <c r="AT16" s="46"/>
      <c r="AY16" s="42"/>
      <c r="AZ16" s="46"/>
      <c r="BE16" s="42"/>
      <c r="BF16" s="46"/>
      <c r="BK16" s="42"/>
      <c r="BL16" s="46"/>
    </row>
    <row r="17" spans="32:74" hidden="1" x14ac:dyDescent="0.15">
      <c r="AF17" s="47"/>
      <c r="AG17" s="43"/>
      <c r="AH17" s="43"/>
      <c r="AL17" s="47"/>
      <c r="AM17" s="43"/>
      <c r="AN17" s="43"/>
      <c r="AR17" s="47"/>
      <c r="AS17" s="43"/>
      <c r="AT17" s="43"/>
      <c r="AX17" s="47"/>
      <c r="AY17" s="42"/>
      <c r="AZ17" s="43"/>
      <c r="BD17" s="47"/>
      <c r="BE17" s="42"/>
      <c r="BF17" s="43"/>
      <c r="BJ17" s="47"/>
      <c r="BK17" s="42"/>
      <c r="BL17" s="43"/>
    </row>
    <row r="18" spans="32:74" hidden="1" x14ac:dyDescent="0.15">
      <c r="AF18" s="47"/>
      <c r="AG18" s="43"/>
      <c r="AH18" s="43"/>
      <c r="AL18" s="47"/>
      <c r="AM18" s="43"/>
      <c r="AN18" s="43"/>
      <c r="AR18" s="47"/>
      <c r="AS18" s="43"/>
      <c r="AT18" s="43"/>
      <c r="AX18" s="47"/>
      <c r="AY18" s="42"/>
      <c r="AZ18" s="43"/>
      <c r="BD18" s="47"/>
      <c r="BE18" s="42"/>
      <c r="BF18" s="43"/>
      <c r="BJ18" s="47"/>
      <c r="BK18" s="42"/>
      <c r="BL18" s="43"/>
    </row>
    <row r="19" spans="32:74" hidden="1" x14ac:dyDescent="0.15">
      <c r="AF19" s="47"/>
      <c r="AL19" s="47"/>
      <c r="AR19" s="47"/>
      <c r="AX19" s="47"/>
      <c r="AY19" s="42"/>
      <c r="BD19" s="47"/>
      <c r="BE19" s="42"/>
      <c r="BJ19" s="47"/>
      <c r="BK19" s="42"/>
    </row>
    <row r="20" spans="32:74" hidden="1" x14ac:dyDescent="0.15">
      <c r="AY20" s="42"/>
      <c r="BE20" s="42"/>
      <c r="BK20" s="42"/>
    </row>
    <row r="21" spans="32:74" hidden="1" x14ac:dyDescent="0.15">
      <c r="AH21" s="47"/>
      <c r="AN21" s="47"/>
      <c r="AT21" s="47"/>
      <c r="AZ21" s="47"/>
      <c r="BF21" s="47"/>
      <c r="BL21" s="47"/>
    </row>
    <row r="22" spans="32:74" hidden="1" x14ac:dyDescent="0.15"/>
    <row r="23" spans="32:74" hidden="1" x14ac:dyDescent="0.15"/>
    <row r="24" spans="32:74" x14ac:dyDescent="0.15">
      <c r="BT24" s="41"/>
      <c r="BV24" s="41"/>
    </row>
    <row r="25" spans="32:74" x14ac:dyDescent="0.15">
      <c r="BM25" s="41"/>
      <c r="BT25" s="41"/>
    </row>
    <row r="26" spans="32:74" x14ac:dyDescent="0.15">
      <c r="AH26" s="47"/>
      <c r="AN26" s="47"/>
      <c r="AT26" s="47"/>
      <c r="AZ26" s="47"/>
      <c r="BF26" s="47"/>
      <c r="BL26" s="47"/>
    </row>
    <row r="27" spans="32:74" x14ac:dyDescent="0.15">
      <c r="AH27" s="47"/>
      <c r="AN27" s="47"/>
      <c r="AT27" s="47"/>
      <c r="AZ27" s="47"/>
      <c r="BF27" s="47"/>
      <c r="BL27" s="47"/>
      <c r="BM27" s="24">
        <v>128907940</v>
      </c>
    </row>
    <row r="28" spans="32:74" x14ac:dyDescent="0.15">
      <c r="BM28" s="48">
        <f>(BM27-BM5)/BM27</f>
        <v>3.8457987925336487E-2</v>
      </c>
    </row>
  </sheetData>
  <mergeCells count="80">
    <mergeCell ref="BI5:BJ5"/>
    <mergeCell ref="BI6:BJ6"/>
    <mergeCell ref="BI7:BJ7"/>
    <mergeCell ref="BI8:BM9"/>
    <mergeCell ref="BI11:BL11"/>
    <mergeCell ref="BC5:BD5"/>
    <mergeCell ref="BC6:BD6"/>
    <mergeCell ref="BC7:BD7"/>
    <mergeCell ref="BC8:BG9"/>
    <mergeCell ref="BC11:BF11"/>
    <mergeCell ref="AW5:AX5"/>
    <mergeCell ref="AW6:AX6"/>
    <mergeCell ref="AW7:AX7"/>
    <mergeCell ref="AW8:BA9"/>
    <mergeCell ref="AW11:AZ11"/>
    <mergeCell ref="BO4:BP4"/>
    <mergeCell ref="M3:Q3"/>
    <mergeCell ref="M4:N4"/>
    <mergeCell ref="Y3:AC3"/>
    <mergeCell ref="Y4:Z4"/>
    <mergeCell ref="AW3:BA3"/>
    <mergeCell ref="AW4:AX4"/>
    <mergeCell ref="AK3:AO3"/>
    <mergeCell ref="AK4:AL4"/>
    <mergeCell ref="AQ3:AU3"/>
    <mergeCell ref="AQ4:AR4"/>
    <mergeCell ref="BC3:BG3"/>
    <mergeCell ref="BC4:BD4"/>
    <mergeCell ref="BI3:BM3"/>
    <mergeCell ref="BI4:BJ4"/>
    <mergeCell ref="A1:AI1"/>
    <mergeCell ref="M5:N5"/>
    <mergeCell ref="M11:P11"/>
    <mergeCell ref="S3:W3"/>
    <mergeCell ref="S4:T4"/>
    <mergeCell ref="S5:T5"/>
    <mergeCell ref="S11:V11"/>
    <mergeCell ref="S6:T6"/>
    <mergeCell ref="S7:T7"/>
    <mergeCell ref="S8:W9"/>
    <mergeCell ref="M6:N6"/>
    <mergeCell ref="M7:N7"/>
    <mergeCell ref="M8:Q9"/>
    <mergeCell ref="G11:J11"/>
    <mergeCell ref="A3:E3"/>
    <mergeCell ref="A4:B4"/>
    <mergeCell ref="A5:B5"/>
    <mergeCell ref="A11:D11"/>
    <mergeCell ref="A6:E9"/>
    <mergeCell ref="G3:K3"/>
    <mergeCell ref="G4:H4"/>
    <mergeCell ref="G5:H5"/>
    <mergeCell ref="G6:K9"/>
    <mergeCell ref="AE8:AI9"/>
    <mergeCell ref="AE11:AH11"/>
    <mergeCell ref="AE3:AI3"/>
    <mergeCell ref="AE4:AF4"/>
    <mergeCell ref="AE5:AF5"/>
    <mergeCell ref="AE6:AF6"/>
    <mergeCell ref="AE7:AF7"/>
    <mergeCell ref="Y5:Z5"/>
    <mergeCell ref="Y6:Z6"/>
    <mergeCell ref="Y7:Z7"/>
    <mergeCell ref="Y8:AC9"/>
    <mergeCell ref="Y11:AB11"/>
    <mergeCell ref="AK5:AL5"/>
    <mergeCell ref="AK6:AL6"/>
    <mergeCell ref="AK7:AL7"/>
    <mergeCell ref="AK8:AO9"/>
    <mergeCell ref="AK11:AN11"/>
    <mergeCell ref="AQ5:AR5"/>
    <mergeCell ref="AQ6:AR6"/>
    <mergeCell ref="AQ7:AR7"/>
    <mergeCell ref="AQ8:AU9"/>
    <mergeCell ref="AQ11:AT11"/>
    <mergeCell ref="BR3:BV3"/>
    <mergeCell ref="BR4:BS4"/>
    <mergeCell ref="BR5:BS5"/>
    <mergeCell ref="BR6:BS6"/>
    <mergeCell ref="BX4:BY4"/>
  </mergeCells>
  <pageMargins left="0.7" right="0.7" top="0.75" bottom="0.75" header="0.3" footer="0.3"/>
  <pageSetup scale="26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B6F23-B1C1-46A1-892F-B46D79AFFA86}">
  <dimension ref="B1:W16"/>
  <sheetViews>
    <sheetView zoomScale="175" zoomScaleNormal="175" workbookViewId="0">
      <selection activeCell="C10" sqref="C10"/>
    </sheetView>
  </sheetViews>
  <sheetFormatPr baseColWidth="10" defaultColWidth="11.42578125" defaultRowHeight="9" x14ac:dyDescent="0.15"/>
  <cols>
    <col min="1" max="1" width="2.85546875" style="3" customWidth="1"/>
    <col min="2" max="2" width="29.7109375" style="3" customWidth="1"/>
    <col min="3" max="3" width="11" style="3" customWidth="1"/>
    <col min="4" max="4" width="12.28515625" style="3" customWidth="1"/>
    <col min="5" max="5" width="5.140625" style="3" customWidth="1"/>
    <col min="6" max="6" width="15.42578125" style="3" customWidth="1"/>
    <col min="7" max="7" width="12.7109375" style="3" customWidth="1"/>
    <col min="8" max="8" width="7.140625" style="3" customWidth="1"/>
    <col min="9" max="9" width="15.42578125" style="3" customWidth="1"/>
    <col min="10" max="10" width="5.42578125" style="3" customWidth="1"/>
    <col min="11" max="11" width="16.28515625" style="3" customWidth="1"/>
    <col min="12" max="12" width="14.28515625" style="3" customWidth="1"/>
    <col min="13" max="13" width="8.28515625" style="3" customWidth="1"/>
    <col min="14" max="14" width="11.7109375" style="3" customWidth="1"/>
    <col min="15" max="15" width="9.42578125" style="3" customWidth="1"/>
    <col min="16" max="16" width="3.140625" style="3" customWidth="1"/>
    <col min="17" max="17" width="10.85546875" style="3" bestFit="1" customWidth="1"/>
    <col min="18" max="18" width="10" style="3" bestFit="1" customWidth="1"/>
    <col min="19" max="19" width="7.28515625" style="3" customWidth="1"/>
    <col min="20" max="20" width="11.42578125" style="3"/>
    <col min="21" max="21" width="3.7109375" style="3" hidden="1" customWidth="1"/>
    <col min="22" max="22" width="8" style="3" bestFit="1" customWidth="1"/>
    <col min="23" max="16384" width="11.42578125" style="3"/>
  </cols>
  <sheetData>
    <row r="1" spans="2:23" x14ac:dyDescent="0.15">
      <c r="F1" s="104">
        <v>2026</v>
      </c>
      <c r="G1" s="104"/>
      <c r="H1" s="104"/>
      <c r="I1" s="104"/>
      <c r="K1" s="100">
        <v>2025</v>
      </c>
      <c r="L1" s="100"/>
      <c r="M1" s="100"/>
      <c r="N1" s="100"/>
      <c r="O1" s="53"/>
      <c r="Q1" s="100">
        <v>2024</v>
      </c>
      <c r="R1" s="100"/>
      <c r="S1" s="100"/>
      <c r="T1" s="100"/>
    </row>
    <row r="2" spans="2:23" ht="36" x14ac:dyDescent="0.15">
      <c r="B2" s="103" t="s">
        <v>52</v>
      </c>
      <c r="C2" s="103"/>
      <c r="D2" s="103"/>
      <c r="E2" s="50"/>
      <c r="F2" s="6" t="s">
        <v>53</v>
      </c>
      <c r="G2" s="6" t="s">
        <v>54</v>
      </c>
      <c r="H2" s="6" t="s">
        <v>55</v>
      </c>
      <c r="I2" s="49" t="s">
        <v>56</v>
      </c>
      <c r="K2" s="6" t="s">
        <v>53</v>
      </c>
      <c r="L2" s="6" t="s">
        <v>54</v>
      </c>
      <c r="M2" s="6" t="s">
        <v>55</v>
      </c>
      <c r="N2" s="49" t="s">
        <v>57</v>
      </c>
      <c r="O2" s="49" t="s">
        <v>58</v>
      </c>
      <c r="Q2" s="6" t="s">
        <v>53</v>
      </c>
      <c r="R2" s="6" t="s">
        <v>54</v>
      </c>
      <c r="S2" s="6" t="s">
        <v>55</v>
      </c>
      <c r="T2" s="49" t="s">
        <v>59</v>
      </c>
      <c r="V2" s="6" t="s">
        <v>60</v>
      </c>
    </row>
    <row r="3" spans="2:23" ht="18" x14ac:dyDescent="0.15">
      <c r="B3" s="101" t="s">
        <v>61</v>
      </c>
      <c r="C3" s="101" t="s">
        <v>62</v>
      </c>
      <c r="D3" s="101" t="s">
        <v>63</v>
      </c>
      <c r="E3" s="51"/>
      <c r="F3" s="7" t="s">
        <v>64</v>
      </c>
      <c r="G3" s="7" t="s">
        <v>65</v>
      </c>
      <c r="H3" s="7" t="s">
        <v>66</v>
      </c>
      <c r="I3" s="8">
        <v>353425</v>
      </c>
      <c r="J3" s="4"/>
      <c r="K3" s="7" t="s">
        <v>64</v>
      </c>
      <c r="L3" s="7" t="s">
        <v>65</v>
      </c>
      <c r="M3" s="7" t="s">
        <v>66</v>
      </c>
      <c r="N3" s="8">
        <v>335000</v>
      </c>
      <c r="O3" s="10">
        <f>(I3-N3)/N3</f>
        <v>5.5E-2</v>
      </c>
      <c r="Q3" s="7" t="s">
        <v>64</v>
      </c>
      <c r="R3" s="7" t="s">
        <v>65</v>
      </c>
      <c r="S3" s="7" t="s">
        <v>66</v>
      </c>
      <c r="T3" s="8">
        <v>319000</v>
      </c>
      <c r="V3" s="10">
        <f t="shared" ref="V3:V14" si="0">(N3-T3)/T3</f>
        <v>5.0156739811912224E-2</v>
      </c>
      <c r="W3" s="5"/>
    </row>
    <row r="4" spans="2:23" ht="18" x14ac:dyDescent="0.15">
      <c r="B4" s="102"/>
      <c r="C4" s="102"/>
      <c r="D4" s="102"/>
      <c r="E4" s="51"/>
      <c r="F4" s="7" t="s">
        <v>64</v>
      </c>
      <c r="G4" s="7" t="s">
        <v>67</v>
      </c>
      <c r="H4" s="7" t="s">
        <v>66</v>
      </c>
      <c r="I4" s="8">
        <v>353425</v>
      </c>
      <c r="J4" s="4"/>
      <c r="K4" s="7" t="s">
        <v>64</v>
      </c>
      <c r="L4" s="7" t="s">
        <v>67</v>
      </c>
      <c r="M4" s="7" t="s">
        <v>66</v>
      </c>
      <c r="N4" s="8">
        <v>335000</v>
      </c>
      <c r="O4" s="10">
        <f>(I4-N4)/N4</f>
        <v>5.5E-2</v>
      </c>
      <c r="Q4" s="7" t="s">
        <v>64</v>
      </c>
      <c r="R4" s="7" t="s">
        <v>67</v>
      </c>
      <c r="S4" s="7" t="s">
        <v>66</v>
      </c>
      <c r="T4" s="8">
        <v>319000</v>
      </c>
      <c r="V4" s="10">
        <f t="shared" si="0"/>
        <v>5.0156739811912224E-2</v>
      </c>
    </row>
    <row r="5" spans="2:23" ht="36" x14ac:dyDescent="0.15">
      <c r="B5" s="64" t="s">
        <v>70</v>
      </c>
      <c r="C5" s="54">
        <v>29405000</v>
      </c>
      <c r="D5" s="65">
        <f>C5*1.19</f>
        <v>34991950</v>
      </c>
      <c r="E5" s="5"/>
      <c r="F5" s="7" t="s">
        <v>68</v>
      </c>
      <c r="G5" s="7" t="s">
        <v>69</v>
      </c>
      <c r="H5" s="7" t="s">
        <v>66</v>
      </c>
      <c r="I5" s="54">
        <v>282740</v>
      </c>
      <c r="K5" s="7" t="s">
        <v>68</v>
      </c>
      <c r="L5" s="7" t="s">
        <v>69</v>
      </c>
      <c r="M5" s="7" t="s">
        <v>66</v>
      </c>
      <c r="N5" s="8">
        <v>268000</v>
      </c>
      <c r="O5" s="10">
        <f>(I5-N5)/N5</f>
        <v>5.5E-2</v>
      </c>
      <c r="Q5" s="7" t="s">
        <v>68</v>
      </c>
      <c r="R5" s="7" t="s">
        <v>69</v>
      </c>
      <c r="S5" s="7" t="s">
        <v>66</v>
      </c>
      <c r="T5" s="8">
        <v>255000</v>
      </c>
      <c r="V5" s="10">
        <f t="shared" si="0"/>
        <v>5.0980392156862744E-2</v>
      </c>
    </row>
    <row r="6" spans="2:23" ht="18" x14ac:dyDescent="0.15">
      <c r="B6" s="98" t="s">
        <v>73</v>
      </c>
      <c r="C6" s="99"/>
      <c r="D6" s="66">
        <f>SUM(D5:D5)</f>
        <v>34991950</v>
      </c>
      <c r="E6" s="5"/>
      <c r="F6" s="7" t="s">
        <v>71</v>
      </c>
      <c r="G6" s="7" t="s">
        <v>72</v>
      </c>
      <c r="H6" s="7" t="s">
        <v>66</v>
      </c>
      <c r="I6" s="54">
        <v>282740</v>
      </c>
      <c r="K6" s="7" t="s">
        <v>71</v>
      </c>
      <c r="L6" s="7" t="s">
        <v>72</v>
      </c>
      <c r="M6" s="7" t="s">
        <v>66</v>
      </c>
      <c r="N6" s="8">
        <v>268000</v>
      </c>
      <c r="O6" s="10">
        <f>(I6-N6)/N6</f>
        <v>5.5E-2</v>
      </c>
      <c r="Q6" s="7" t="s">
        <v>71</v>
      </c>
      <c r="R6" s="7" t="s">
        <v>72</v>
      </c>
      <c r="S6" s="7" t="s">
        <v>66</v>
      </c>
      <c r="T6" s="8">
        <v>255000</v>
      </c>
      <c r="V6" s="10">
        <f t="shared" si="0"/>
        <v>5.0980392156862744E-2</v>
      </c>
    </row>
    <row r="7" spans="2:23" ht="18" x14ac:dyDescent="0.15">
      <c r="E7" s="52"/>
      <c r="F7" s="7" t="s">
        <v>71</v>
      </c>
      <c r="G7" s="7" t="s">
        <v>74</v>
      </c>
      <c r="H7" s="7" t="s">
        <v>66</v>
      </c>
      <c r="I7" s="54">
        <v>282740</v>
      </c>
      <c r="J7" s="5"/>
      <c r="K7" s="7" t="s">
        <v>71</v>
      </c>
      <c r="L7" s="7" t="s">
        <v>74</v>
      </c>
      <c r="M7" s="7" t="s">
        <v>66</v>
      </c>
      <c r="N7" s="8">
        <v>268000</v>
      </c>
      <c r="O7" s="10">
        <f t="shared" ref="O7:O14" si="1">(I7-N7)/N7</f>
        <v>5.5E-2</v>
      </c>
      <c r="Q7" s="7" t="s">
        <v>71</v>
      </c>
      <c r="R7" s="7" t="s">
        <v>74</v>
      </c>
      <c r="S7" s="7" t="s">
        <v>66</v>
      </c>
      <c r="T7" s="8">
        <v>255000</v>
      </c>
      <c r="V7" s="10">
        <f t="shared" si="0"/>
        <v>5.0980392156862744E-2</v>
      </c>
    </row>
    <row r="8" spans="2:23" ht="18" x14ac:dyDescent="0.15">
      <c r="F8" s="7" t="s">
        <v>71</v>
      </c>
      <c r="G8" s="7" t="s">
        <v>75</v>
      </c>
      <c r="H8" s="7" t="s">
        <v>66</v>
      </c>
      <c r="I8" s="54">
        <v>236320</v>
      </c>
      <c r="K8" s="7" t="s">
        <v>71</v>
      </c>
      <c r="L8" s="7" t="s">
        <v>75</v>
      </c>
      <c r="M8" s="7" t="s">
        <v>66</v>
      </c>
      <c r="N8" s="8">
        <v>224000</v>
      </c>
      <c r="O8" s="10">
        <f t="shared" si="1"/>
        <v>5.5E-2</v>
      </c>
      <c r="Q8" s="7" t="s">
        <v>71</v>
      </c>
      <c r="R8" s="7" t="s">
        <v>75</v>
      </c>
      <c r="S8" s="7" t="s">
        <v>66</v>
      </c>
      <c r="T8" s="8">
        <v>213000</v>
      </c>
      <c r="V8" s="10">
        <f t="shared" si="0"/>
        <v>5.1643192488262914E-2</v>
      </c>
    </row>
    <row r="9" spans="2:23" ht="18" x14ac:dyDescent="0.15">
      <c r="F9" s="7" t="s">
        <v>71</v>
      </c>
      <c r="G9" s="7" t="s">
        <v>75</v>
      </c>
      <c r="H9" s="7" t="s">
        <v>76</v>
      </c>
      <c r="I9" s="63">
        <v>130820</v>
      </c>
      <c r="K9" s="7" t="s">
        <v>71</v>
      </c>
      <c r="L9" s="7" t="s">
        <v>75</v>
      </c>
      <c r="M9" s="7" t="s">
        <v>76</v>
      </c>
      <c r="N9" s="67">
        <v>124000</v>
      </c>
      <c r="O9" s="10">
        <f t="shared" si="1"/>
        <v>5.5E-2</v>
      </c>
      <c r="Q9" s="7" t="s">
        <v>71</v>
      </c>
      <c r="R9" s="7" t="s">
        <v>75</v>
      </c>
      <c r="S9" s="7" t="s">
        <v>76</v>
      </c>
      <c r="T9" s="8">
        <v>118000</v>
      </c>
      <c r="V9" s="10">
        <f t="shared" si="0"/>
        <v>5.0847457627118647E-2</v>
      </c>
    </row>
    <row r="10" spans="2:23" ht="18" x14ac:dyDescent="0.15">
      <c r="F10" s="7" t="s">
        <v>77</v>
      </c>
      <c r="G10" s="7" t="s">
        <v>78</v>
      </c>
      <c r="H10" s="7" t="s">
        <v>66</v>
      </c>
      <c r="I10" s="54">
        <v>236320</v>
      </c>
      <c r="K10" s="7" t="s">
        <v>77</v>
      </c>
      <c r="L10" s="7" t="s">
        <v>78</v>
      </c>
      <c r="M10" s="7" t="s">
        <v>66</v>
      </c>
      <c r="N10" s="8">
        <v>224000</v>
      </c>
      <c r="O10" s="10">
        <f t="shared" si="1"/>
        <v>5.5E-2</v>
      </c>
      <c r="Q10" s="7" t="s">
        <v>77</v>
      </c>
      <c r="R10" s="7" t="s">
        <v>78</v>
      </c>
      <c r="S10" s="7" t="s">
        <v>66</v>
      </c>
      <c r="T10" s="8">
        <v>213000</v>
      </c>
      <c r="V10" s="10">
        <f t="shared" si="0"/>
        <v>5.1643192488262914E-2</v>
      </c>
    </row>
    <row r="11" spans="2:23" ht="18" x14ac:dyDescent="0.15">
      <c r="F11" s="7" t="s">
        <v>77</v>
      </c>
      <c r="G11" s="7" t="s">
        <v>79</v>
      </c>
      <c r="H11" s="7" t="s">
        <v>66</v>
      </c>
      <c r="I11" s="54">
        <v>236320</v>
      </c>
      <c r="K11" s="7" t="s">
        <v>77</v>
      </c>
      <c r="L11" s="7" t="s">
        <v>79</v>
      </c>
      <c r="M11" s="7" t="s">
        <v>66</v>
      </c>
      <c r="N11" s="8">
        <v>224000</v>
      </c>
      <c r="O11" s="10">
        <f t="shared" si="1"/>
        <v>5.5E-2</v>
      </c>
      <c r="Q11" s="7" t="s">
        <v>77</v>
      </c>
      <c r="R11" s="7" t="s">
        <v>79</v>
      </c>
      <c r="S11" s="7" t="s">
        <v>66</v>
      </c>
      <c r="T11" s="8">
        <v>213000</v>
      </c>
      <c r="V11" s="10">
        <f t="shared" si="0"/>
        <v>5.1643192488262914E-2</v>
      </c>
    </row>
    <row r="12" spans="2:23" ht="18" x14ac:dyDescent="0.15">
      <c r="F12" s="7" t="s">
        <v>77</v>
      </c>
      <c r="G12" s="7" t="s">
        <v>78</v>
      </c>
      <c r="H12" s="7" t="s">
        <v>76</v>
      </c>
      <c r="I12" s="54">
        <v>130820</v>
      </c>
      <c r="K12" s="7" t="s">
        <v>77</v>
      </c>
      <c r="L12" s="7" t="s">
        <v>78</v>
      </c>
      <c r="M12" s="7" t="s">
        <v>76</v>
      </c>
      <c r="N12" s="8">
        <v>124000</v>
      </c>
      <c r="O12" s="10">
        <f t="shared" si="1"/>
        <v>5.5E-2</v>
      </c>
      <c r="Q12" s="7" t="s">
        <v>77</v>
      </c>
      <c r="R12" s="7" t="s">
        <v>78</v>
      </c>
      <c r="S12" s="7" t="s">
        <v>76</v>
      </c>
      <c r="T12" s="8">
        <v>118000</v>
      </c>
      <c r="V12" s="10">
        <f t="shared" si="0"/>
        <v>5.0847457627118647E-2</v>
      </c>
    </row>
    <row r="13" spans="2:23" ht="18" x14ac:dyDescent="0.15">
      <c r="B13" s="91"/>
      <c r="C13" s="91"/>
      <c r="D13" s="91"/>
      <c r="E13" s="9"/>
      <c r="F13" s="7" t="s">
        <v>77</v>
      </c>
      <c r="G13" s="7" t="s">
        <v>79</v>
      </c>
      <c r="H13" s="7" t="s">
        <v>76</v>
      </c>
      <c r="I13" s="54">
        <v>130820</v>
      </c>
      <c r="K13" s="7" t="s">
        <v>77</v>
      </c>
      <c r="L13" s="7" t="s">
        <v>79</v>
      </c>
      <c r="M13" s="7" t="s">
        <v>76</v>
      </c>
      <c r="N13" s="8">
        <v>124000</v>
      </c>
      <c r="O13" s="10">
        <f t="shared" si="1"/>
        <v>5.5E-2</v>
      </c>
      <c r="Q13" s="7" t="s">
        <v>77</v>
      </c>
      <c r="R13" s="7" t="s">
        <v>79</v>
      </c>
      <c r="S13" s="7" t="s">
        <v>76</v>
      </c>
      <c r="T13" s="8">
        <v>118000</v>
      </c>
      <c r="V13" s="10">
        <f t="shared" si="0"/>
        <v>5.0847457627118647E-2</v>
      </c>
    </row>
    <row r="14" spans="2:23" ht="18" x14ac:dyDescent="0.15">
      <c r="F14" s="7" t="s">
        <v>80</v>
      </c>
      <c r="G14" s="7" t="s">
        <v>81</v>
      </c>
      <c r="H14" s="7" t="s">
        <v>76</v>
      </c>
      <c r="I14" s="54">
        <v>130820</v>
      </c>
      <c r="K14" s="7" t="s">
        <v>80</v>
      </c>
      <c r="L14" s="7" t="s">
        <v>81</v>
      </c>
      <c r="M14" s="7" t="s">
        <v>76</v>
      </c>
      <c r="N14" s="8">
        <v>124000</v>
      </c>
      <c r="O14" s="10">
        <f t="shared" si="1"/>
        <v>5.5E-2</v>
      </c>
      <c r="Q14" s="7" t="s">
        <v>80</v>
      </c>
      <c r="R14" s="7" t="s">
        <v>81</v>
      </c>
      <c r="S14" s="7" t="s">
        <v>76</v>
      </c>
      <c r="T14" s="8">
        <v>118000</v>
      </c>
      <c r="V14" s="10">
        <f t="shared" si="0"/>
        <v>5.0847457627118647E-2</v>
      </c>
    </row>
    <row r="16" spans="2:23" x14ac:dyDescent="0.15">
      <c r="H16" s="3" t="s">
        <v>124</v>
      </c>
      <c r="I16" s="68">
        <f>AVERAGE(I3:I14)</f>
        <v>232275.83333333334</v>
      </c>
    </row>
  </sheetData>
  <autoFilter ref="K2:N14" xr:uid="{EFFB6F23-B1C1-46A1-892F-B46D79AFFA86}"/>
  <mergeCells count="9">
    <mergeCell ref="B13:D13"/>
    <mergeCell ref="B6:C6"/>
    <mergeCell ref="K1:N1"/>
    <mergeCell ref="Q1:T1"/>
    <mergeCell ref="C3:C4"/>
    <mergeCell ref="D3:D4"/>
    <mergeCell ref="B2:D2"/>
    <mergeCell ref="B3:B4"/>
    <mergeCell ref="F1:I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67458-8FA8-475D-A06F-1A0F1098DC13}">
  <dimension ref="A1:P6"/>
  <sheetViews>
    <sheetView topLeftCell="G1" zoomScale="130" zoomScaleNormal="130" workbookViewId="0">
      <selection activeCell="N18" sqref="N18"/>
    </sheetView>
  </sheetViews>
  <sheetFormatPr baseColWidth="10" defaultColWidth="11.42578125" defaultRowHeight="9" x14ac:dyDescent="0.15"/>
  <cols>
    <col min="1" max="1" width="21" style="3" customWidth="1"/>
    <col min="2" max="3" width="15.85546875" style="3" bestFit="1" customWidth="1"/>
    <col min="4" max="4" width="13.85546875" style="3" customWidth="1"/>
    <col min="5" max="5" width="14.7109375" style="3" customWidth="1"/>
    <col min="6" max="6" width="13.85546875" style="3" customWidth="1"/>
    <col min="7" max="7" width="16" style="3" customWidth="1"/>
    <col min="8" max="8" width="11.42578125" style="3" bestFit="1" customWidth="1"/>
    <col min="9" max="9" width="15.85546875" style="3" bestFit="1" customWidth="1"/>
    <col min="10" max="10" width="11.42578125" style="3" bestFit="1" customWidth="1"/>
    <col min="11" max="11" width="15.85546875" style="3" bestFit="1" customWidth="1"/>
    <col min="12" max="12" width="12.85546875" style="3" customWidth="1"/>
    <col min="13" max="13" width="17.140625" style="3" bestFit="1" customWidth="1"/>
    <col min="14" max="14" width="11.42578125" style="3" bestFit="1" customWidth="1"/>
    <col min="15" max="16384" width="11.42578125" style="3"/>
  </cols>
  <sheetData>
    <row r="1" spans="1:16" s="4" customFormat="1" ht="27" x14ac:dyDescent="0.25">
      <c r="A1" s="11" t="s">
        <v>82</v>
      </c>
      <c r="B1" s="11" t="s">
        <v>83</v>
      </c>
      <c r="C1" s="11" t="s">
        <v>84</v>
      </c>
      <c r="D1" s="11" t="s">
        <v>85</v>
      </c>
      <c r="E1" s="11" t="s">
        <v>86</v>
      </c>
      <c r="F1" s="11" t="s">
        <v>87</v>
      </c>
      <c r="G1" s="11" t="s">
        <v>88</v>
      </c>
      <c r="H1" s="11" t="s">
        <v>89</v>
      </c>
      <c r="I1" s="11" t="s">
        <v>90</v>
      </c>
      <c r="J1" s="11" t="s">
        <v>91</v>
      </c>
      <c r="K1" s="11" t="s">
        <v>92</v>
      </c>
      <c r="L1" s="11" t="s">
        <v>93</v>
      </c>
      <c r="M1" s="11" t="s">
        <v>94</v>
      </c>
      <c r="N1" s="11" t="s">
        <v>95</v>
      </c>
      <c r="O1" s="11" t="s">
        <v>96</v>
      </c>
      <c r="P1" s="11" t="s">
        <v>97</v>
      </c>
    </row>
    <row r="2" spans="1:16" s="4" customFormat="1" ht="27" x14ac:dyDescent="0.25">
      <c r="A2" s="12" t="s">
        <v>98</v>
      </c>
      <c r="B2" s="13">
        <f>+PRESUPUESTO!AA5</f>
        <v>72324500</v>
      </c>
      <c r="C2" s="13">
        <f>+PRESUPUESTO!AG5</f>
        <v>75072831</v>
      </c>
      <c r="D2" s="14">
        <f>(C2-B2)/B2</f>
        <v>3.7999999999999999E-2</v>
      </c>
      <c r="E2" s="13">
        <f>+PRESUPUESTO!AM5</f>
        <v>76282000</v>
      </c>
      <c r="F2" s="14">
        <f>(E2-C2)/C2</f>
        <v>1.6106612524043485E-2</v>
      </c>
      <c r="G2" s="13">
        <f>+PRESUPUESTO!AS5</f>
        <v>80096100</v>
      </c>
      <c r="H2" s="14">
        <f>(G2-E2)/E2</f>
        <v>0.05</v>
      </c>
      <c r="I2" s="13">
        <f>+PRESUPUESTO!AY5</f>
        <v>90604000</v>
      </c>
      <c r="J2" s="14">
        <f>(I2-G2)/G2</f>
        <v>0.13119115662310649</v>
      </c>
      <c r="K2" s="13">
        <f>+PRESUPUESTO!BE5</f>
        <v>99012000</v>
      </c>
      <c r="L2" s="14">
        <f>(K2-I2)/I2</f>
        <v>9.2799434903536274E-2</v>
      </c>
      <c r="M2" s="13">
        <f>+PRESUPUESTO!BK5</f>
        <v>104160000</v>
      </c>
      <c r="N2" s="14">
        <f>(M2-K2)/K2</f>
        <v>5.1993697733608048E-2</v>
      </c>
      <c r="O2" s="13">
        <f>+PRESUPUESTO!BT5</f>
        <v>109889000</v>
      </c>
      <c r="P2" s="14">
        <f>(O2-M2)/M2</f>
        <v>5.5001920122887862E-2</v>
      </c>
    </row>
    <row r="3" spans="1:16" s="4" customFormat="1" ht="45" x14ac:dyDescent="0.25">
      <c r="A3" s="12" t="s">
        <v>99</v>
      </c>
      <c r="B3" s="13">
        <f>+PRESUPUESTO!AA6</f>
        <v>30900000</v>
      </c>
      <c r="C3" s="13">
        <f>+PRESUPUESTO!AG6</f>
        <v>20000000</v>
      </c>
      <c r="D3" s="14"/>
      <c r="E3" s="13">
        <v>20322000</v>
      </c>
      <c r="F3" s="14">
        <f>(E3-C3)/C3</f>
        <v>1.61E-2</v>
      </c>
      <c r="G3" s="13">
        <f>+PRESUPUESTO!AS6</f>
        <v>31047139.873949576</v>
      </c>
      <c r="H3" s="14">
        <f>(G3-E3)/E3</f>
        <v>0.52776005678326821</v>
      </c>
      <c r="I3" s="13">
        <f>+PRESUPUESTO!AY6</f>
        <v>26508800</v>
      </c>
      <c r="J3" s="14">
        <f>(I3-G3)/G3</f>
        <v>-0.14617577955248359</v>
      </c>
      <c r="K3" s="13">
        <f>+PRESUPUESTO!BE6</f>
        <v>45666000</v>
      </c>
      <c r="L3" s="14">
        <f>(K3-I3)/I3</f>
        <v>0.72267322549492996</v>
      </c>
      <c r="M3" s="13">
        <f>+PRESUPUESTO!BK6</f>
        <v>36828000</v>
      </c>
      <c r="N3" s="14">
        <f>(M3-K3)/K3</f>
        <v>-0.19353567205360661</v>
      </c>
      <c r="O3" s="13">
        <f>+PRESUPUESTO!BT6</f>
        <v>29405000</v>
      </c>
      <c r="P3" s="14">
        <f>(O3-M3)/M3</f>
        <v>-0.20155859671988705</v>
      </c>
    </row>
    <row r="4" spans="1:16" s="4" customFormat="1" ht="27" hidden="1" x14ac:dyDescent="0.25">
      <c r="A4" s="11" t="s">
        <v>82</v>
      </c>
      <c r="B4" s="11" t="s">
        <v>100</v>
      </c>
      <c r="C4" s="11" t="s">
        <v>101</v>
      </c>
      <c r="D4" s="11" t="s">
        <v>85</v>
      </c>
      <c r="E4" s="11" t="s">
        <v>102</v>
      </c>
      <c r="F4" s="11" t="s">
        <v>87</v>
      </c>
      <c r="G4" s="11" t="s">
        <v>88</v>
      </c>
      <c r="H4" s="11" t="s">
        <v>89</v>
      </c>
      <c r="I4" s="11" t="s">
        <v>90</v>
      </c>
      <c r="J4" s="11" t="s">
        <v>91</v>
      </c>
      <c r="K4" s="11" t="s">
        <v>92</v>
      </c>
      <c r="L4" s="11" t="s">
        <v>93</v>
      </c>
    </row>
    <row r="5" spans="1:16" s="4" customFormat="1" hidden="1" x14ac:dyDescent="0.25">
      <c r="A5" s="12" t="s">
        <v>103</v>
      </c>
      <c r="B5" s="13">
        <f>+PRESUPUESTO!AA12</f>
        <v>239250</v>
      </c>
      <c r="C5" s="13">
        <f>+PRESUPUESTO!AG12</f>
        <v>248341.5</v>
      </c>
      <c r="D5" s="14">
        <f>(C5-B5)/B5</f>
        <v>3.7999999999999999E-2</v>
      </c>
      <c r="E5" s="13">
        <f>+PRESUPUESTO!AM12</f>
        <v>256345</v>
      </c>
      <c r="F5" s="14">
        <f>(E5-C5)/C5</f>
        <v>3.2227799220025652E-2</v>
      </c>
      <c r="G5" s="13">
        <f>+PRESUPUESTO!AS12</f>
        <v>269278.75</v>
      </c>
      <c r="H5" s="14">
        <f>(G5-E5)/E5</f>
        <v>5.0454465661510857E-2</v>
      </c>
      <c r="I5" s="13">
        <f>+PRESUPUESTO!AY12</f>
        <v>304500</v>
      </c>
      <c r="J5" s="14">
        <f>(I5-G5)/G5</f>
        <v>0.13079847555739174</v>
      </c>
      <c r="K5" s="13">
        <f>+PRESUPUESTO!BE12</f>
        <v>332750</v>
      </c>
      <c r="L5" s="14">
        <f>(K5-I5)/I5</f>
        <v>9.2775041050903118E-2</v>
      </c>
    </row>
    <row r="6" spans="1:16" hidden="1" x14ac:dyDescent="0.15"/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FA722-8651-4D82-8491-E606965F29B2}">
  <dimension ref="A1:C8"/>
  <sheetViews>
    <sheetView workbookViewId="0">
      <selection activeCell="H13" sqref="H13"/>
    </sheetView>
  </sheetViews>
  <sheetFormatPr baseColWidth="10" defaultColWidth="11.42578125" defaultRowHeight="15" x14ac:dyDescent="0.25"/>
  <cols>
    <col min="1" max="1" width="34.5703125" customWidth="1"/>
    <col min="3" max="3" width="35.85546875" customWidth="1"/>
  </cols>
  <sheetData>
    <row r="1" spans="1:3" ht="23.25" thickBot="1" x14ac:dyDescent="0.3">
      <c r="A1" s="112" t="s">
        <v>104</v>
      </c>
      <c r="B1" s="113" t="s">
        <v>105</v>
      </c>
      <c r="C1" s="113" t="s">
        <v>135</v>
      </c>
    </row>
    <row r="2" spans="1:3" ht="30.6" customHeight="1" x14ac:dyDescent="0.25">
      <c r="A2" s="114" t="s">
        <v>136</v>
      </c>
      <c r="B2" s="118" t="s">
        <v>138</v>
      </c>
      <c r="C2" s="121" t="s">
        <v>139</v>
      </c>
    </row>
    <row r="3" spans="1:3" x14ac:dyDescent="0.25">
      <c r="A3" s="114"/>
      <c r="B3" s="119"/>
      <c r="C3" s="122"/>
    </row>
    <row r="4" spans="1:3" ht="40.5" customHeight="1" thickBot="1" x14ac:dyDescent="0.3">
      <c r="A4" s="115" t="s">
        <v>137</v>
      </c>
      <c r="B4" s="120"/>
      <c r="C4" s="123"/>
    </row>
    <row r="5" spans="1:3" ht="105.75" thickBot="1" x14ac:dyDescent="0.3">
      <c r="A5" s="115" t="s">
        <v>140</v>
      </c>
      <c r="B5" s="116" t="s">
        <v>141</v>
      </c>
      <c r="C5" s="117" t="s">
        <v>142</v>
      </c>
    </row>
    <row r="6" spans="1:3" ht="105.75" thickBot="1" x14ac:dyDescent="0.3">
      <c r="A6" s="115" t="s">
        <v>140</v>
      </c>
      <c r="B6" s="116" t="s">
        <v>143</v>
      </c>
      <c r="C6" s="117" t="s">
        <v>142</v>
      </c>
    </row>
    <row r="7" spans="1:3" ht="15" customHeight="1" x14ac:dyDescent="0.25">
      <c r="A7" s="124" t="s">
        <v>144</v>
      </c>
      <c r="B7" s="125"/>
      <c r="C7" s="121" t="s">
        <v>145</v>
      </c>
    </row>
    <row r="8" spans="1:3" ht="15.75" thickBot="1" x14ac:dyDescent="0.3">
      <c r="A8" s="126"/>
      <c r="B8" s="127"/>
      <c r="C8" s="123"/>
    </row>
  </sheetData>
  <mergeCells count="4">
    <mergeCell ref="B2:B4"/>
    <mergeCell ref="C2:C4"/>
    <mergeCell ref="A7:B8"/>
    <mergeCell ref="C7:C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B04E1-2221-994A-8F18-2AD141A6213A}">
  <dimension ref="A1:E10"/>
  <sheetViews>
    <sheetView zoomScale="85" zoomScaleNormal="85" workbookViewId="0">
      <selection activeCell="B14" sqref="B14"/>
    </sheetView>
  </sheetViews>
  <sheetFormatPr baseColWidth="10" defaultColWidth="11.42578125" defaultRowHeight="15" x14ac:dyDescent="0.25"/>
  <cols>
    <col min="1" max="1" width="55.42578125" customWidth="1"/>
    <col min="2" max="2" width="23" customWidth="1"/>
    <col min="3" max="3" width="19.7109375" customWidth="1"/>
    <col min="4" max="4" width="25" customWidth="1"/>
    <col min="5" max="5" width="19.85546875" customWidth="1"/>
  </cols>
  <sheetData>
    <row r="1" spans="1:5" ht="15.75" thickBot="1" x14ac:dyDescent="0.3">
      <c r="A1" s="105" t="s">
        <v>106</v>
      </c>
      <c r="B1" s="106"/>
      <c r="C1" s="106"/>
      <c r="D1" s="106"/>
      <c r="E1" s="107"/>
    </row>
    <row r="2" spans="1:5" ht="45.75" thickBot="1" x14ac:dyDescent="0.3">
      <c r="A2" s="56" t="s">
        <v>107</v>
      </c>
      <c r="B2" s="57" t="s">
        <v>108</v>
      </c>
      <c r="C2" s="57" t="s">
        <v>109</v>
      </c>
      <c r="D2" s="57" t="s">
        <v>110</v>
      </c>
      <c r="E2" s="57" t="s">
        <v>111</v>
      </c>
    </row>
    <row r="3" spans="1:5" ht="15.75" thickBot="1" x14ac:dyDescent="0.3">
      <c r="A3" s="58" t="s">
        <v>112</v>
      </c>
      <c r="B3" s="59" t="s">
        <v>113</v>
      </c>
      <c r="C3" s="60">
        <v>217520</v>
      </c>
      <c r="D3" s="60">
        <v>228480</v>
      </c>
      <c r="E3" s="108">
        <f>AVERAGE(D3:D6)</f>
        <v>257051</v>
      </c>
    </row>
    <row r="4" spans="1:5" ht="15.75" thickBot="1" x14ac:dyDescent="0.3">
      <c r="A4" s="58" t="s">
        <v>114</v>
      </c>
      <c r="B4" s="59" t="s">
        <v>115</v>
      </c>
      <c r="C4" s="60">
        <v>200638</v>
      </c>
      <c r="D4" s="61" t="s">
        <v>116</v>
      </c>
      <c r="E4" s="109"/>
    </row>
    <row r="5" spans="1:5" ht="15.75" thickBot="1" x14ac:dyDescent="0.3">
      <c r="A5" s="58" t="s">
        <v>117</v>
      </c>
      <c r="B5" s="59" t="s">
        <v>118</v>
      </c>
      <c r="C5" s="60">
        <v>323610</v>
      </c>
      <c r="D5" s="61">
        <v>340373</v>
      </c>
      <c r="E5" s="109"/>
    </row>
    <row r="6" spans="1:5" ht="15.75" thickBot="1" x14ac:dyDescent="0.3">
      <c r="A6" s="62" t="s">
        <v>119</v>
      </c>
      <c r="B6" s="59" t="s">
        <v>120</v>
      </c>
      <c r="C6" s="60">
        <v>192780</v>
      </c>
      <c r="D6" s="61">
        <v>202300</v>
      </c>
      <c r="E6" s="110"/>
    </row>
    <row r="8" spans="1:5" x14ac:dyDescent="0.25">
      <c r="D8" s="1">
        <f>MEDIAN(D3:D6)</f>
        <v>228480</v>
      </c>
      <c r="E8" t="s">
        <v>121</v>
      </c>
    </row>
    <row r="9" spans="1:5" x14ac:dyDescent="0.25">
      <c r="D9" s="1">
        <f>MAX(D3:D6)</f>
        <v>340373</v>
      </c>
      <c r="E9" t="s">
        <v>122</v>
      </c>
    </row>
    <row r="10" spans="1:5" x14ac:dyDescent="0.25">
      <c r="D10" s="1">
        <f>MIN(D3:D6)</f>
        <v>202300</v>
      </c>
      <c r="E10" t="s">
        <v>123</v>
      </c>
    </row>
  </sheetData>
  <mergeCells count="2">
    <mergeCell ref="A1:E1"/>
    <mergeCell ref="E3:E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PROPUESTA DETALLADO</vt:lpstr>
      <vt:lpstr>PRESUPUESTO</vt:lpstr>
      <vt:lpstr>Anexo1-Detalle Estimación Bolsa</vt:lpstr>
      <vt:lpstr>Variaciones año a año</vt:lpstr>
      <vt:lpstr>Plan de Pagos</vt:lpstr>
      <vt:lpstr>Estudio Horas Dllo 2025_2026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Yulieth Alvarez Mora</dc:creator>
  <cp:keywords/>
  <dc:description/>
  <cp:lastModifiedBy>Rodrigo Pinzón</cp:lastModifiedBy>
  <cp:revision/>
  <dcterms:created xsi:type="dcterms:W3CDTF">2015-12-28T15:01:48Z</dcterms:created>
  <dcterms:modified xsi:type="dcterms:W3CDTF">2026-01-15T21:47:07Z</dcterms:modified>
  <cp:category/>
  <cp:contentStatus/>
</cp:coreProperties>
</file>