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ARTESANIAS\VIGILANCIA\2026\4to EVENTO LICITACION\DOCUMENTOS A  PUBLICAR\CORREGIDOS\"/>
    </mc:Choice>
  </mc:AlternateContent>
  <xr:revisionPtr revIDLastSave="0" documentId="13_ncr:1_{A3DC7BF4-78FA-4676-AEC1-5CC01ECEA02F}" xr6:coauthVersionLast="47" xr6:coauthVersionMax="47" xr10:uidLastSave="{00000000-0000-0000-0000-000000000000}"/>
  <bookViews>
    <workbookView xWindow="-120" yWindow="-120" windowWidth="29040" windowHeight="15720" tabRatio="941" activeTab="4" xr2:uid="{00000000-000D-0000-FFFF-FFFF00000000}"/>
  </bookViews>
  <sheets>
    <sheet name="FEBRERO 26 AL 28" sheetId="75" r:id="rId1"/>
    <sheet name="MARZO A JUNIO" sheetId="76" r:id="rId2"/>
    <sheet name="JULIO 01 AL 14" sheetId="78" r:id="rId3"/>
    <sheet name="JULIO 15 AL 31" sheetId="79" r:id="rId4"/>
    <sheet name="AGT SEP OCT" sheetId="80" r:id="rId5"/>
  </sheets>
  <definedNames>
    <definedName name="_xlnm.Print_Area" localSheetId="4">'AGT SEP OCT'!$A$16:$K$77</definedName>
    <definedName name="_xlnm.Print_Area" localSheetId="0">'FEBRERO 26 AL 28'!$A$16:$K$67</definedName>
    <definedName name="_xlnm.Print_Area" localSheetId="2">'JULIO 01 AL 14'!$A$16:$K$77</definedName>
    <definedName name="_xlnm.Print_Area" localSheetId="3">'JULIO 15 AL 31'!$A$16:$K$77</definedName>
    <definedName name="_xlnm.Print_Area" localSheetId="1">'MARZO A JUNIO'!$A$16:$K$75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6" i="75" l="1"/>
  <c r="D60" i="75"/>
  <c r="D44" i="78"/>
  <c r="C25" i="80"/>
  <c r="C25" i="75"/>
  <c r="C25" i="76"/>
  <c r="C25" i="78"/>
  <c r="C25" i="79"/>
  <c r="C24" i="80"/>
  <c r="B82" i="80" l="1"/>
  <c r="B87" i="80"/>
  <c r="B71" i="80"/>
  <c r="H10" i="80"/>
  <c r="H6" i="80"/>
  <c r="H4" i="80"/>
  <c r="H3" i="80"/>
  <c r="C24" i="78"/>
  <c r="H10" i="79"/>
  <c r="H6" i="79"/>
  <c r="H4" i="79"/>
  <c r="H3" i="79"/>
  <c r="C43" i="78"/>
  <c r="D25" i="78"/>
  <c r="I3" i="78"/>
  <c r="H3" i="78"/>
  <c r="G3" i="78"/>
  <c r="H10" i="78"/>
  <c r="H6" i="78"/>
  <c r="H4" i="78"/>
  <c r="B30" i="76"/>
  <c r="B29" i="76"/>
  <c r="B28" i="76"/>
  <c r="D26" i="76"/>
  <c r="C24" i="76"/>
  <c r="I4" i="76"/>
  <c r="I3" i="76"/>
  <c r="H3" i="76"/>
  <c r="G3" i="76"/>
  <c r="H6" i="76"/>
  <c r="H10" i="76"/>
  <c r="H4" i="76"/>
  <c r="I3" i="75"/>
  <c r="H4" i="75"/>
  <c r="H3" i="75"/>
  <c r="H6" i="75" l="1"/>
  <c r="E13" i="75"/>
  <c r="E12" i="75"/>
  <c r="E11" i="75"/>
  <c r="E10" i="75"/>
  <c r="E9" i="75"/>
  <c r="E8" i="75"/>
  <c r="E7" i="75"/>
  <c r="E6" i="75"/>
  <c r="E5" i="75"/>
  <c r="C24" i="75"/>
  <c r="I4" i="75"/>
  <c r="D25" i="75"/>
  <c r="C23" i="75"/>
  <c r="H10" i="75"/>
  <c r="C43" i="75"/>
  <c r="G3" i="75"/>
  <c r="J3" i="75" l="1"/>
  <c r="D44" i="75"/>
  <c r="D60" i="80" l="1"/>
  <c r="D44" i="80"/>
  <c r="D26" i="80"/>
  <c r="D60" i="79"/>
  <c r="D44" i="79"/>
  <c r="D26" i="79"/>
  <c r="D60" i="78" l="1"/>
  <c r="D26" i="78"/>
  <c r="D60" i="76"/>
  <c r="D44" i="76"/>
  <c r="C59" i="75" l="1"/>
  <c r="B76" i="80"/>
  <c r="E5" i="80"/>
  <c r="G3" i="80"/>
  <c r="B76" i="79"/>
  <c r="E5" i="79"/>
  <c r="I4" i="79"/>
  <c r="G3" i="79"/>
  <c r="B76" i="78"/>
  <c r="E5" i="78"/>
  <c r="J3" i="78"/>
  <c r="E5" i="76"/>
  <c r="C43" i="79" l="1"/>
  <c r="C59" i="79"/>
  <c r="C23" i="79"/>
  <c r="C59" i="78"/>
  <c r="C23" i="78"/>
  <c r="C43" i="76"/>
  <c r="D43" i="76" s="1"/>
  <c r="B46" i="76" s="1"/>
  <c r="C23" i="76"/>
  <c r="D23" i="76" s="1"/>
  <c r="E6" i="79"/>
  <c r="E7" i="79" s="1"/>
  <c r="C59" i="80"/>
  <c r="D59" i="80" s="1"/>
  <c r="B62" i="80" s="1"/>
  <c r="C43" i="80"/>
  <c r="D43" i="80" s="1"/>
  <c r="B46" i="80" s="1"/>
  <c r="B47" i="80" s="1"/>
  <c r="C23" i="80"/>
  <c r="D23" i="80" s="1"/>
  <c r="B63" i="80"/>
  <c r="I3" i="80"/>
  <c r="J3" i="80"/>
  <c r="I4" i="80"/>
  <c r="E6" i="80"/>
  <c r="D23" i="79"/>
  <c r="D43" i="79"/>
  <c r="B46" i="79" s="1"/>
  <c r="B47" i="79" s="1"/>
  <c r="D59" i="79"/>
  <c r="E11" i="79"/>
  <c r="E9" i="79"/>
  <c r="I3" i="79"/>
  <c r="J3" i="79"/>
  <c r="D43" i="78"/>
  <c r="B46" i="78" s="1"/>
  <c r="B47" i="78" s="1"/>
  <c r="B48" i="78" s="1"/>
  <c r="B49" i="78" s="1"/>
  <c r="B50" i="78" s="1"/>
  <c r="D23" i="78"/>
  <c r="D59" i="78"/>
  <c r="B62" i="78" s="1"/>
  <c r="B63" i="78" s="1"/>
  <c r="B64" i="78" s="1"/>
  <c r="B65" i="78" s="1"/>
  <c r="I4" i="78"/>
  <c r="E6" i="78"/>
  <c r="C59" i="76"/>
  <c r="D59" i="76" s="1"/>
  <c r="B62" i="76"/>
  <c r="B63" i="76" s="1"/>
  <c r="B64" i="76" s="1"/>
  <c r="B65" i="76" s="1"/>
  <c r="B66" i="76" s="1"/>
  <c r="C66" i="76" s="1"/>
  <c r="E6" i="76"/>
  <c r="J3" i="76"/>
  <c r="E8" i="79" l="1"/>
  <c r="E10" i="79"/>
  <c r="E12" i="79"/>
  <c r="E13" i="79"/>
  <c r="B62" i="79"/>
  <c r="B64" i="80"/>
  <c r="B65" i="80" s="1"/>
  <c r="B66" i="80" s="1"/>
  <c r="C66" i="80" s="1"/>
  <c r="B48" i="80"/>
  <c r="B49" i="80" s="1"/>
  <c r="B50" i="80" s="1"/>
  <c r="C50" i="80" s="1"/>
  <c r="E10" i="80"/>
  <c r="E9" i="80"/>
  <c r="E8" i="80"/>
  <c r="E7" i="80"/>
  <c r="E13" i="80"/>
  <c r="E11" i="80"/>
  <c r="E12" i="80"/>
  <c r="B48" i="79"/>
  <c r="B49" i="79" s="1"/>
  <c r="B50" i="79" s="1"/>
  <c r="D25" i="79"/>
  <c r="C24" i="79"/>
  <c r="D24" i="79" s="1"/>
  <c r="B28" i="79" s="1"/>
  <c r="E11" i="78"/>
  <c r="E7" i="78"/>
  <c r="E13" i="78"/>
  <c r="E9" i="78"/>
  <c r="E10" i="78"/>
  <c r="E8" i="78"/>
  <c r="E12" i="78"/>
  <c r="B66" i="78"/>
  <c r="E10" i="76"/>
  <c r="E8" i="76"/>
  <c r="E7" i="76"/>
  <c r="E12" i="76"/>
  <c r="E11" i="76"/>
  <c r="E9" i="76"/>
  <c r="E13" i="76"/>
  <c r="B47" i="76"/>
  <c r="D24" i="78" l="1"/>
  <c r="B28" i="78" s="1"/>
  <c r="B63" i="79"/>
  <c r="B64" i="79" s="1"/>
  <c r="B65" i="79" s="1"/>
  <c r="B66" i="79" s="1"/>
  <c r="D25" i="80"/>
  <c r="D24" i="80"/>
  <c r="B28" i="80" s="1"/>
  <c r="B29" i="79"/>
  <c r="B30" i="79" s="1"/>
  <c r="B31" i="79" s="1"/>
  <c r="B32" i="79" s="1"/>
  <c r="B74" i="76"/>
  <c r="B48" i="76"/>
  <c r="B49" i="76" s="1"/>
  <c r="B50" i="76" s="1"/>
  <c r="C50" i="76" s="1"/>
  <c r="D24" i="76"/>
  <c r="D25" i="76"/>
  <c r="B68" i="79" l="1"/>
  <c r="B29" i="80"/>
  <c r="B30" i="80" s="1"/>
  <c r="B31" i="80" s="1"/>
  <c r="B32" i="80" s="1"/>
  <c r="C32" i="80" s="1"/>
  <c r="C68" i="80" s="1"/>
  <c r="B75" i="79"/>
  <c r="B77" i="79" s="1"/>
  <c r="B75" i="80" l="1"/>
  <c r="B77" i="80" s="1"/>
  <c r="B29" i="78"/>
  <c r="B30" i="78" s="1"/>
  <c r="B31" i="78" s="1"/>
  <c r="B32" i="78" s="1"/>
  <c r="B68" i="78" s="1"/>
  <c r="B31" i="76"/>
  <c r="B32" i="76" s="1"/>
  <c r="C32" i="76" s="1"/>
  <c r="B69" i="76" s="1"/>
  <c r="B75" i="78" l="1"/>
  <c r="B77" i="78" s="1"/>
  <c r="B73" i="76"/>
  <c r="B75" i="76" s="1"/>
  <c r="D59" i="75" l="1"/>
  <c r="B62" i="75" s="1"/>
  <c r="D23" i="75"/>
  <c r="D43" i="75"/>
  <c r="B46" i="75" s="1"/>
  <c r="D24" i="75" l="1"/>
  <c r="B63" i="75"/>
  <c r="B28" i="75"/>
  <c r="B47" i="75"/>
  <c r="B29" i="75" l="1"/>
  <c r="B30" i="75" s="1"/>
  <c r="B31" i="75" s="1"/>
  <c r="B32" i="75" s="1"/>
  <c r="B48" i="75"/>
  <c r="B49" i="75" s="1"/>
  <c r="B50" i="75" s="1"/>
  <c r="B64" i="75"/>
  <c r="B65" i="75" s="1"/>
  <c r="B66" i="75" s="1"/>
  <c r="B68" i="75" l="1"/>
</calcChain>
</file>

<file path=xl/sharedStrings.xml><?xml version="1.0" encoding="utf-8"?>
<sst xmlns="http://schemas.openxmlformats.org/spreadsheetml/2006/main" count="429" uniqueCount="66">
  <si>
    <t>CANTIDAD</t>
  </si>
  <si>
    <t>COMPONENTE</t>
  </si>
  <si>
    <t>SUBTOTAL</t>
  </si>
  <si>
    <t>TOTAL</t>
  </si>
  <si>
    <t>Servicio de monitoreo Medios Tecnologicos (*)
de Lunes a viernes, sin festivos
15 horas en dos turnos 6:00 am - 2:00 pm y 2:00pm - 9:00 pm</t>
  </si>
  <si>
    <t>OBSERVACIONES</t>
  </si>
  <si>
    <t>BOGOTÁ - SEDE CLAUSTRO LAS AGUAS 
Carrera 2 # 18A - 58</t>
  </si>
  <si>
    <t xml:space="preserve">IVA 19% </t>
  </si>
  <si>
    <t xml:space="preserve">PRECIO MENSUAL UNITARIO </t>
  </si>
  <si>
    <t>PRECIO MENSUAL * CANTIDAD</t>
  </si>
  <si>
    <t>A.Y.S (Especificar %)</t>
  </si>
  <si>
    <t>BASE CALCULO IVA (Especificar %)</t>
  </si>
  <si>
    <t xml:space="preserve">Servicio de vigilancia sin arma 
domingo a domingo, con festivo,
24 horas
</t>
  </si>
  <si>
    <t>RAQUIRA  - BOYACA - CALLE 6 Nro. 2 - 115</t>
  </si>
  <si>
    <t>SAN JACINTO - BOLIVAR - CARRERA 48 Nro. 36-183</t>
  </si>
  <si>
    <t>SERVICIO DE VIGILANCIA</t>
  </si>
  <si>
    <t>Valor Total Poliza Seguro de Vida</t>
  </si>
  <si>
    <t>variable proporcionalidad supervigilancia</t>
  </si>
  <si>
    <t>No de horas</t>
  </si>
  <si>
    <t>8 horas</t>
  </si>
  <si>
    <t>1 hora</t>
  </si>
  <si>
    <t>12 horas</t>
  </si>
  <si>
    <t>6 Horas</t>
  </si>
  <si>
    <t>salario</t>
  </si>
  <si>
    <t>diurno</t>
  </si>
  <si>
    <t>base</t>
  </si>
  <si>
    <t>nocturno</t>
  </si>
  <si>
    <t>Valor 24 horas</t>
  </si>
  <si>
    <t>HORARIO</t>
  </si>
  <si>
    <t>No Dias</t>
  </si>
  <si>
    <t>LUNES  A VIERNES SIN FESTIVOS</t>
  </si>
  <si>
    <t>LUNES A SABADOS SIN FESIVOS</t>
  </si>
  <si>
    <t>LUNES A VIERNES CON FESTIVOS</t>
  </si>
  <si>
    <t>LUNES A SABADOS CON FESTIVOS</t>
  </si>
  <si>
    <t>SABADOS Y DOMINGOS</t>
  </si>
  <si>
    <t>SABADOS, DOMINGOS Y FESTIVOS</t>
  </si>
  <si>
    <t>SABADOS</t>
  </si>
  <si>
    <t>TECNOLOGIA</t>
  </si>
  <si>
    <t>TOTAL VIGILANCIA</t>
  </si>
  <si>
    <t xml:space="preserve">VALOR DEL SERVICIO DE VIGILANCIA
</t>
  </si>
  <si>
    <t xml:space="preserve">Servicio de recorredor de vigilancia sin arma  de lunes a viernes, sin festivo 12 horas de 7:00am a 7:00pm 
</t>
  </si>
  <si>
    <t>SEGURO DE VIDA COLECTIVO</t>
  </si>
  <si>
    <t xml:space="preserve"> </t>
  </si>
  <si>
    <t>VALOR DEL SERVICIO 
JULIO 01 AL 14</t>
  </si>
  <si>
    <t>VALOR DEL SERVICIO 
JULIO 15 AL 31</t>
  </si>
  <si>
    <t>Valores establecidos en la circular de la Superintendencua de Vigilancia y Seguridad No. 20251300000115CS DE 30-12-2025</t>
  </si>
  <si>
    <t>3 MESES</t>
  </si>
  <si>
    <t>TOTAL SERVICIOS DE VIGILANCIA</t>
  </si>
  <si>
    <t>total personas: 3, Seguro por persona:$1800</t>
  </si>
  <si>
    <t>total personas: 10, Seguro por persona:$1.800</t>
  </si>
  <si>
    <t>total personas: 3, Seguro por persona:$1.800</t>
  </si>
  <si>
    <t>total personas: 3, Seguro por persona:$1,800</t>
  </si>
  <si>
    <t>VALOR DEL SERVICIO 
DEL  26 AL 28 DE FEBRERO</t>
  </si>
  <si>
    <t>VALOR DEL SERVICIO 
 01 DE MARZO  AL 30 DE JUNIO</t>
  </si>
  <si>
    <t>4 MESES</t>
  </si>
  <si>
    <t>VALOR DEL SERVICIO 
 01 DE AGOSTO A 31 DE OCTUBRE</t>
  </si>
  <si>
    <t>PRESUPUESTO</t>
  </si>
  <si>
    <t>BOLSA SERVICIOS DE VIGILANCIA</t>
  </si>
  <si>
    <t>BOLSA SUMINISTRO EQUIPOS</t>
  </si>
  <si>
    <t>11 HORAS NOCTURNAS</t>
  </si>
  <si>
    <t>13 HORAS DIURNAS</t>
  </si>
  <si>
    <t>13 HORAS NOCTURNAS</t>
  </si>
  <si>
    <t>Calculo realizado por 3 dias de servicio (1800/30*dias de servicio *cantidad vigilantes)</t>
  </si>
  <si>
    <t>Calculo realizado por 30 dias de servicio (1800*cantidad vigilantes)</t>
  </si>
  <si>
    <t>Calculo realizado por 14 dias de servicio (1800/30*dias de servicio *cantidad vigilantes)</t>
  </si>
  <si>
    <t>Calculo realizado por 16 dias de servicio (1800/30*dias de servicio *cantidad vigilantes)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</si>
</sst>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[$$-240A]#,##0.00"/>
    <numFmt numFmtId="167" formatCode="_-&quot;$&quot;* #,##0_-;\-&quot;$&quot;* #,##0_-;_-&quot;$&quot;* &quot;-&quot;??_-;_-@_-"/>
    <numFmt numFmtId="168" formatCode="0.000"/>
    <numFmt numFmtId="169" formatCode="_-* #,##0.00_-;\-* #,##0.00_-;_-* &quot;-&quot;_-;_-@_-"/>
    <numFmt numFmtId="170" formatCode="0.00000"/>
    <numFmt numFmtId="171" formatCode="0.000000000"/>
    <numFmt numFmtId="172" formatCode="_-* #,##0_-;\-* #,##0_-;_-* &quot;-&quot;??_-;_-@_-"/>
  </numFmts>
  <fonts count="10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 applyAlignment="1">
      <alignment vertical="center"/>
    </xf>
    <xf numFmtId="166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0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64" fontId="4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7" fontId="4" fillId="0" borderId="1" xfId="1" applyNumberFormat="1" applyFont="1" applyFill="1" applyBorder="1" applyAlignment="1">
      <alignment vertical="center"/>
    </xf>
    <xf numFmtId="167" fontId="4" fillId="0" borderId="0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7" fontId="4" fillId="0" borderId="3" xfId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3" xfId="1" applyFont="1" applyFill="1" applyBorder="1" applyAlignment="1">
      <alignment horizontal="center" vertical="center"/>
    </xf>
    <xf numFmtId="164" fontId="4" fillId="0" borderId="6" xfId="1" applyFont="1" applyFill="1" applyBorder="1" applyAlignment="1">
      <alignment horizontal="center" vertical="center"/>
    </xf>
    <xf numFmtId="167" fontId="4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168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43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167" fontId="4" fillId="0" borderId="0" xfId="0" applyNumberFormat="1" applyFont="1" applyAlignment="1">
      <alignment vertical="center"/>
    </xf>
    <xf numFmtId="44" fontId="4" fillId="0" borderId="0" xfId="0" applyNumberFormat="1" applyFont="1" applyAlignment="1">
      <alignment vertical="center"/>
    </xf>
    <xf numFmtId="43" fontId="4" fillId="0" borderId="0" xfId="4" applyFont="1" applyFill="1" applyAlignment="1">
      <alignment vertical="center"/>
    </xf>
    <xf numFmtId="0" fontId="8" fillId="0" borderId="0" xfId="0" applyFont="1" applyAlignment="1">
      <alignment vertical="center"/>
    </xf>
    <xf numFmtId="41" fontId="0" fillId="0" borderId="0" xfId="5" applyFont="1" applyFill="1" applyAlignment="1">
      <alignment vertical="center" wrapText="1"/>
    </xf>
    <xf numFmtId="43" fontId="0" fillId="0" borderId="1" xfId="6" applyFont="1" applyFill="1" applyBorder="1" applyAlignment="1">
      <alignment vertical="center"/>
    </xf>
    <xf numFmtId="169" fontId="0" fillId="0" borderId="1" xfId="5" applyNumberFormat="1" applyFont="1" applyFill="1" applyBorder="1" applyAlignment="1">
      <alignment vertical="center"/>
    </xf>
    <xf numFmtId="167" fontId="4" fillId="0" borderId="6" xfId="1" applyNumberFormat="1" applyFont="1" applyFill="1" applyBorder="1" applyAlignment="1">
      <alignment horizontal="center" vertical="center"/>
    </xf>
    <xf numFmtId="171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7" fontId="0" fillId="0" borderId="1" xfId="1" applyNumberFormat="1" applyFont="1" applyBorder="1" applyAlignment="1">
      <alignment vertical="center"/>
    </xf>
    <xf numFmtId="167" fontId="4" fillId="0" borderId="0" xfId="1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3" fontId="4" fillId="2" borderId="0" xfId="4" applyFont="1" applyFill="1" applyAlignment="1">
      <alignment vertical="center"/>
    </xf>
    <xf numFmtId="172" fontId="4" fillId="2" borderId="0" xfId="4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167" fontId="4" fillId="2" borderId="0" xfId="0" applyNumberFormat="1" applyFont="1" applyFill="1" applyAlignment="1">
      <alignment vertical="center"/>
    </xf>
    <xf numFmtId="167" fontId="4" fillId="2" borderId="0" xfId="1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67" fontId="6" fillId="0" borderId="0" xfId="1" applyNumberFormat="1" applyFont="1" applyFill="1" applyBorder="1" applyAlignment="1">
      <alignment vertical="center"/>
    </xf>
    <xf numFmtId="43" fontId="6" fillId="0" borderId="0" xfId="4" applyFont="1" applyFill="1" applyAlignment="1">
      <alignment vertical="center"/>
    </xf>
    <xf numFmtId="167" fontId="6" fillId="0" borderId="0" xfId="0" applyNumberFormat="1" applyFont="1" applyAlignment="1">
      <alignment vertical="center"/>
    </xf>
    <xf numFmtId="167" fontId="6" fillId="0" borderId="0" xfId="1" applyNumberFormat="1" applyFont="1" applyAlignment="1">
      <alignment vertical="center"/>
    </xf>
    <xf numFmtId="42" fontId="4" fillId="0" borderId="0" xfId="7" applyFont="1" applyAlignment="1">
      <alignment vertical="center"/>
    </xf>
    <xf numFmtId="42" fontId="6" fillId="0" borderId="0" xfId="7" applyFont="1" applyAlignment="1">
      <alignment vertical="center"/>
    </xf>
    <xf numFmtId="42" fontId="4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</cellXfs>
  <cellStyles count="8">
    <cellStyle name="Millares" xfId="4" builtinId="3"/>
    <cellStyle name="Millares [0] 2" xfId="5" xr:uid="{00000000-0005-0000-0000-000001000000}"/>
    <cellStyle name="Millares 2" xfId="6" xr:uid="{00000000-0005-0000-0000-000002000000}"/>
    <cellStyle name="Moneda" xfId="1" builtinId="4"/>
    <cellStyle name="Moneda [0]" xfId="7" builtinId="7"/>
    <cellStyle name="Moneda 2" xfId="2" xr:uid="{00000000-0005-0000-0000-000005000000}"/>
    <cellStyle name="Normal" xfId="0" builtinId="0"/>
    <cellStyle name="Normal 4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2:K68"/>
  <sheetViews>
    <sheetView showGridLines="0" topLeftCell="A23" zoomScale="110" zoomScaleNormal="110" zoomScaleSheetLayoutView="85" workbookViewId="0">
      <selection activeCell="E26" sqref="E26:F26"/>
    </sheetView>
  </sheetViews>
  <sheetFormatPr baseColWidth="10" defaultColWidth="11" defaultRowHeight="12.75" x14ac:dyDescent="0.2"/>
  <cols>
    <col min="1" max="1" width="28.5" style="1" customWidth="1"/>
    <col min="2" max="2" width="57" style="1" customWidth="1"/>
    <col min="3" max="3" width="15.25" style="1" customWidth="1"/>
    <col min="4" max="4" width="16.625" style="1" customWidth="1"/>
    <col min="5" max="5" width="15.25" style="1" customWidth="1"/>
    <col min="6" max="6" width="17.625" style="1" customWidth="1"/>
    <col min="7" max="7" width="23" style="1" customWidth="1"/>
    <col min="8" max="8" width="11" style="1" customWidth="1"/>
    <col min="9" max="9" width="13" style="1" bestFit="1" customWidth="1"/>
    <col min="10" max="11" width="11" style="1" customWidth="1"/>
    <col min="12" max="16384" width="11" style="1"/>
  </cols>
  <sheetData>
    <row r="2" spans="1:11" ht="14.25" x14ac:dyDescent="0.2">
      <c r="A2" s="35"/>
      <c r="B2" s="35"/>
      <c r="C2" s="22"/>
      <c r="D2" s="81" t="s">
        <v>17</v>
      </c>
      <c r="E2" s="81"/>
      <c r="F2" s="23" t="s">
        <v>18</v>
      </c>
      <c r="G2" s="23" t="s">
        <v>19</v>
      </c>
      <c r="H2" s="23" t="s">
        <v>20</v>
      </c>
      <c r="I2" s="23" t="s">
        <v>21</v>
      </c>
      <c r="J2" s="24" t="s">
        <v>22</v>
      </c>
      <c r="K2" s="23"/>
    </row>
    <row r="3" spans="1:11" ht="14.25" x14ac:dyDescent="0.2">
      <c r="A3" s="35"/>
      <c r="B3" s="35"/>
      <c r="C3" s="22"/>
      <c r="D3" s="23" t="s">
        <v>23</v>
      </c>
      <c r="E3" s="41">
        <v>1750905</v>
      </c>
      <c r="F3" s="23" t="s">
        <v>24</v>
      </c>
      <c r="G3" s="23">
        <f>+H3*8</f>
        <v>29.286153846153848</v>
      </c>
      <c r="H3" s="25">
        <f>47.59/13</f>
        <v>3.660769230769231</v>
      </c>
      <c r="I3" s="23">
        <f>+H3*12</f>
        <v>43.92923076923077</v>
      </c>
      <c r="J3" s="24">
        <f>+H3*6</f>
        <v>21.964615384615385</v>
      </c>
      <c r="K3" s="23"/>
    </row>
    <row r="4" spans="1:11" ht="14.25" x14ac:dyDescent="0.2">
      <c r="A4" s="35"/>
      <c r="B4" s="35"/>
      <c r="C4" s="22"/>
      <c r="D4" s="23" t="s">
        <v>25</v>
      </c>
      <c r="E4" s="23">
        <v>9.77</v>
      </c>
      <c r="F4" s="23" t="s">
        <v>26</v>
      </c>
      <c r="G4" s="23"/>
      <c r="H4" s="25">
        <f>52.41/11</f>
        <v>4.7645454545454546</v>
      </c>
      <c r="I4" s="23">
        <f>+((H3*3)+(H4*9))</f>
        <v>53.863216783216785</v>
      </c>
      <c r="J4" s="24"/>
      <c r="K4" s="27"/>
    </row>
    <row r="5" spans="1:11" ht="14.25" x14ac:dyDescent="0.2">
      <c r="A5" s="35"/>
      <c r="B5" s="35"/>
      <c r="C5" s="22"/>
      <c r="D5" s="26" t="s">
        <v>27</v>
      </c>
      <c r="E5" s="36">
        <f>+E3*E4</f>
        <v>17106341.849999998</v>
      </c>
      <c r="F5" s="27"/>
      <c r="G5" s="27"/>
      <c r="H5" s="27"/>
      <c r="I5" s="27"/>
      <c r="J5" s="27"/>
      <c r="K5" s="27"/>
    </row>
    <row r="6" spans="1:11" ht="15" x14ac:dyDescent="0.2">
      <c r="A6" s="82" t="s">
        <v>28</v>
      </c>
      <c r="B6" s="83"/>
      <c r="C6" s="84"/>
      <c r="D6" s="23" t="s">
        <v>29</v>
      </c>
      <c r="E6" s="36">
        <f>+E5/30</f>
        <v>570211.3949999999</v>
      </c>
      <c r="F6" s="27"/>
      <c r="G6" s="27" t="s">
        <v>59</v>
      </c>
      <c r="H6" s="70">
        <f>+H4*11</f>
        <v>52.410000000000004</v>
      </c>
      <c r="I6" s="27"/>
      <c r="J6" s="27"/>
      <c r="K6" s="27"/>
    </row>
    <row r="7" spans="1:11" ht="14.25" x14ac:dyDescent="0.2">
      <c r="A7" s="86" t="s">
        <v>30</v>
      </c>
      <c r="B7" s="86"/>
      <c r="C7" s="86"/>
      <c r="D7" s="23">
        <v>20</v>
      </c>
      <c r="E7" s="37">
        <f t="shared" ref="E7:E13" si="0">+$E$6*D7</f>
        <v>11404227.899999999</v>
      </c>
      <c r="F7" s="27"/>
      <c r="G7" s="27"/>
      <c r="H7" s="28"/>
      <c r="I7" s="27"/>
      <c r="J7" s="27"/>
      <c r="K7" s="27"/>
    </row>
    <row r="8" spans="1:11" ht="14.25" x14ac:dyDescent="0.2">
      <c r="A8" s="81" t="s">
        <v>31</v>
      </c>
      <c r="B8" s="81"/>
      <c r="C8" s="81"/>
      <c r="D8" s="23">
        <v>24</v>
      </c>
      <c r="E8" s="37">
        <f t="shared" si="0"/>
        <v>13685073.479999997</v>
      </c>
      <c r="F8" s="27"/>
      <c r="G8" s="27"/>
      <c r="H8" s="27"/>
      <c r="I8" s="27"/>
      <c r="J8" s="27"/>
      <c r="K8" s="27"/>
    </row>
    <row r="9" spans="1:11" ht="14.25" x14ac:dyDescent="0.2">
      <c r="A9" s="81" t="s">
        <v>32</v>
      </c>
      <c r="B9" s="81"/>
      <c r="C9" s="81"/>
      <c r="D9" s="23">
        <v>22</v>
      </c>
      <c r="E9" s="37">
        <f t="shared" si="0"/>
        <v>12544650.689999998</v>
      </c>
      <c r="F9" s="27"/>
      <c r="G9" s="27"/>
      <c r="H9" s="29"/>
      <c r="I9" s="27"/>
      <c r="J9" s="27"/>
      <c r="K9" s="27"/>
    </row>
    <row r="10" spans="1:11" ht="15" x14ac:dyDescent="0.2">
      <c r="A10" s="81" t="s">
        <v>33</v>
      </c>
      <c r="B10" s="81"/>
      <c r="C10" s="81"/>
      <c r="D10" s="23">
        <v>26</v>
      </c>
      <c r="E10" s="37">
        <f t="shared" si="0"/>
        <v>14825496.269999998</v>
      </c>
      <c r="F10" s="27"/>
      <c r="G10" s="27" t="s">
        <v>60</v>
      </c>
      <c r="H10" s="70">
        <f>+H3*13</f>
        <v>47.59</v>
      </c>
      <c r="I10" s="27"/>
      <c r="J10" s="27"/>
      <c r="K10" s="27"/>
    </row>
    <row r="11" spans="1:11" ht="14.25" x14ac:dyDescent="0.2">
      <c r="A11" s="81" t="s">
        <v>34</v>
      </c>
      <c r="B11" s="81"/>
      <c r="C11" s="81"/>
      <c r="D11" s="23">
        <v>8</v>
      </c>
      <c r="E11" s="37">
        <f t="shared" si="0"/>
        <v>4561691.1599999992</v>
      </c>
      <c r="F11" s="27"/>
      <c r="G11" s="27"/>
      <c r="H11" s="30"/>
      <c r="I11" s="27"/>
      <c r="J11" s="27"/>
      <c r="K11" s="27"/>
    </row>
    <row r="12" spans="1:11" ht="14.25" x14ac:dyDescent="0.2">
      <c r="A12" s="81" t="s">
        <v>35</v>
      </c>
      <c r="B12" s="81"/>
      <c r="C12" s="81"/>
      <c r="D12" s="23">
        <v>10</v>
      </c>
      <c r="E12" s="37">
        <f t="shared" si="0"/>
        <v>5702113.9499999993</v>
      </c>
      <c r="F12" s="27"/>
      <c r="G12" s="27"/>
      <c r="H12" s="30"/>
      <c r="I12" s="27"/>
      <c r="J12" s="27"/>
      <c r="K12" s="27"/>
    </row>
    <row r="13" spans="1:11" ht="14.25" x14ac:dyDescent="0.2">
      <c r="A13" s="82" t="s">
        <v>36</v>
      </c>
      <c r="B13" s="83"/>
      <c r="C13" s="84"/>
      <c r="D13" s="23">
        <v>4</v>
      </c>
      <c r="E13" s="37">
        <f t="shared" si="0"/>
        <v>2280845.5799999996</v>
      </c>
      <c r="F13" s="27"/>
      <c r="G13" s="27"/>
      <c r="H13" s="27"/>
      <c r="I13" s="27"/>
      <c r="J13" s="27"/>
    </row>
    <row r="14" spans="1:11" ht="14.25" x14ac:dyDescent="0.2">
      <c r="A14" s="82" t="s">
        <v>41</v>
      </c>
      <c r="B14" s="83" t="s">
        <v>41</v>
      </c>
      <c r="C14" s="84"/>
      <c r="D14" s="23">
        <v>1</v>
      </c>
      <c r="E14" s="37">
        <v>1800</v>
      </c>
    </row>
    <row r="15" spans="1:11" x14ac:dyDescent="0.2">
      <c r="H15" s="42"/>
    </row>
    <row r="16" spans="1:11" ht="46.5" customHeight="1" x14ac:dyDescent="0.2">
      <c r="A16" s="85" t="s">
        <v>15</v>
      </c>
      <c r="B16" s="85"/>
      <c r="C16" s="85"/>
      <c r="D16" s="85"/>
      <c r="E16" s="85"/>
      <c r="F16" s="85"/>
    </row>
    <row r="17" spans="1:9" ht="46.5" customHeight="1" x14ac:dyDescent="0.2">
      <c r="A17" s="74" t="s">
        <v>52</v>
      </c>
      <c r="B17" s="74"/>
      <c r="C17" s="74"/>
      <c r="D17" s="74"/>
      <c r="E17" s="74"/>
      <c r="F17" s="74"/>
    </row>
    <row r="18" spans="1:9" x14ac:dyDescent="0.2">
      <c r="A18" s="1" t="s">
        <v>42</v>
      </c>
    </row>
    <row r="19" spans="1:9" x14ac:dyDescent="0.2">
      <c r="A19" s="75" t="s">
        <v>6</v>
      </c>
      <c r="B19" s="76"/>
      <c r="C19" s="76"/>
      <c r="D19" s="76"/>
      <c r="E19" s="76"/>
      <c r="F19" s="76"/>
    </row>
    <row r="20" spans="1:9" ht="26.25" customHeight="1" x14ac:dyDescent="0.2">
      <c r="A20" s="76"/>
      <c r="B20" s="76"/>
      <c r="C20" s="76"/>
      <c r="D20" s="76"/>
      <c r="E20" s="76"/>
      <c r="F20" s="76"/>
    </row>
    <row r="21" spans="1:9" ht="13.5" thickBot="1" x14ac:dyDescent="0.25"/>
    <row r="22" spans="1:9" ht="39" thickBot="1" x14ac:dyDescent="0.25">
      <c r="A22" s="15" t="s">
        <v>0</v>
      </c>
      <c r="B22" s="44" t="s">
        <v>1</v>
      </c>
      <c r="C22" s="16" t="s">
        <v>8</v>
      </c>
      <c r="D22" s="17" t="s">
        <v>9</v>
      </c>
      <c r="E22" s="77" t="s">
        <v>5</v>
      </c>
      <c r="F22" s="78"/>
    </row>
    <row r="23" spans="1:9" ht="54.75" customHeight="1" thickBot="1" x14ac:dyDescent="0.25">
      <c r="A23" s="12">
        <v>2</v>
      </c>
      <c r="B23" s="48" t="s">
        <v>12</v>
      </c>
      <c r="C23" s="19">
        <f>+E5/30*3</f>
        <v>1710634.1849999996</v>
      </c>
      <c r="D23" s="13">
        <f>+C23*A23</f>
        <v>3421268.3699999992</v>
      </c>
      <c r="E23" s="79" t="s">
        <v>45</v>
      </c>
      <c r="F23" s="80"/>
      <c r="G23" s="32"/>
    </row>
    <row r="24" spans="1:9" ht="53.25" customHeight="1" thickBot="1" x14ac:dyDescent="0.25">
      <c r="A24" s="14">
        <v>2</v>
      </c>
      <c r="B24" s="46" t="s">
        <v>40</v>
      </c>
      <c r="C24" s="8">
        <f>+(E7*I3%)/20*2</f>
        <v>500978.95916399994</v>
      </c>
      <c r="D24" s="21">
        <f>+C24*A24</f>
        <v>1001957.9183279999</v>
      </c>
      <c r="E24" s="79" t="s">
        <v>45</v>
      </c>
      <c r="F24" s="80"/>
      <c r="G24" s="40"/>
      <c r="I24" s="40"/>
    </row>
    <row r="25" spans="1:9" ht="51.75" customHeight="1" x14ac:dyDescent="0.2">
      <c r="A25" s="14">
        <v>1</v>
      </c>
      <c r="B25" s="46" t="s">
        <v>4</v>
      </c>
      <c r="C25" s="8">
        <f>+((E7*((H3*13)+(H4*2))%))/20*2</f>
        <v>651399.13016809092</v>
      </c>
      <c r="D25" s="21">
        <f>+C25*A25</f>
        <v>651399.13016809092</v>
      </c>
      <c r="E25" s="79" t="s">
        <v>45</v>
      </c>
      <c r="F25" s="80"/>
      <c r="G25" s="40"/>
    </row>
    <row r="26" spans="1:9" ht="50.25" customHeight="1" thickBot="1" x14ac:dyDescent="0.25">
      <c r="A26" s="18">
        <v>10</v>
      </c>
      <c r="B26" s="47" t="s">
        <v>16</v>
      </c>
      <c r="C26" s="20">
        <v>1800</v>
      </c>
      <c r="D26" s="38">
        <f>+(C26/30*3)*A26</f>
        <v>1800</v>
      </c>
      <c r="E26" s="72" t="s">
        <v>62</v>
      </c>
      <c r="F26" s="73"/>
    </row>
    <row r="27" spans="1:9" x14ac:dyDescent="0.2">
      <c r="A27" s="43"/>
      <c r="B27" s="45"/>
      <c r="C27" s="2"/>
      <c r="D27" s="2"/>
      <c r="E27" s="3"/>
    </row>
    <row r="28" spans="1:9" x14ac:dyDescent="0.2">
      <c r="A28" s="7" t="s">
        <v>2</v>
      </c>
      <c r="B28" s="6">
        <f>SUM(D23:D26)</f>
        <v>5076425.41849609</v>
      </c>
    </row>
    <row r="29" spans="1:9" x14ac:dyDescent="0.2">
      <c r="A29" s="7" t="s">
        <v>10</v>
      </c>
      <c r="B29" s="10">
        <f>+B28*8%</f>
        <v>406114.03347968723</v>
      </c>
      <c r="C29" s="31"/>
      <c r="G29" s="4"/>
    </row>
    <row r="30" spans="1:9" ht="25.5" x14ac:dyDescent="0.2">
      <c r="A30" s="9" t="s">
        <v>11</v>
      </c>
      <c r="B30" s="10">
        <f>+(B28+B29)*10%</f>
        <v>548253.9451975777</v>
      </c>
      <c r="D30" s="71" t="s">
        <v>49</v>
      </c>
      <c r="E30" s="71"/>
      <c r="F30" s="71"/>
      <c r="G30" s="4"/>
    </row>
    <row r="31" spans="1:9" x14ac:dyDescent="0.2">
      <c r="A31" s="7" t="s">
        <v>7</v>
      </c>
      <c r="B31" s="10">
        <f>+B30*19%</f>
        <v>104168.24958753976</v>
      </c>
      <c r="C31" s="57"/>
    </row>
    <row r="32" spans="1:9" x14ac:dyDescent="0.2">
      <c r="A32" s="7" t="s">
        <v>3</v>
      </c>
      <c r="B32" s="10">
        <f>+(B31+B29+B28)</f>
        <v>5586707.7015633173</v>
      </c>
      <c r="C32" s="58"/>
    </row>
    <row r="33" spans="1:10" x14ac:dyDescent="0.2">
      <c r="A33" s="5"/>
      <c r="B33" s="11"/>
      <c r="C33" s="59"/>
    </row>
    <row r="34" spans="1:10" x14ac:dyDescent="0.2">
      <c r="A34" s="5"/>
      <c r="B34" s="11"/>
    </row>
    <row r="35" spans="1:10" x14ac:dyDescent="0.2">
      <c r="A35" s="5"/>
      <c r="B35" s="11"/>
      <c r="E35" s="39"/>
      <c r="F35" s="39"/>
    </row>
    <row r="36" spans="1:10" x14ac:dyDescent="0.2">
      <c r="A36" s="5"/>
      <c r="B36" s="11"/>
      <c r="E36" s="39"/>
      <c r="F36" s="39"/>
    </row>
    <row r="37" spans="1:10" ht="39" customHeight="1" x14ac:dyDescent="0.2">
      <c r="A37" s="74" t="s">
        <v>39</v>
      </c>
      <c r="B37" s="74"/>
      <c r="C37" s="74"/>
      <c r="D37" s="74"/>
      <c r="E37" s="74"/>
      <c r="F37" s="74"/>
    </row>
    <row r="39" spans="1:10" x14ac:dyDescent="0.2">
      <c r="A39" s="75" t="s">
        <v>13</v>
      </c>
      <c r="B39" s="76"/>
      <c r="C39" s="76"/>
      <c r="D39" s="76"/>
      <c r="E39" s="76"/>
      <c r="F39" s="76"/>
    </row>
    <row r="40" spans="1:10" x14ac:dyDescent="0.2">
      <c r="A40" s="76"/>
      <c r="B40" s="76"/>
      <c r="C40" s="76"/>
      <c r="D40" s="76"/>
      <c r="E40" s="76"/>
      <c r="F40" s="76"/>
    </row>
    <row r="41" spans="1:10" ht="13.5" thickBot="1" x14ac:dyDescent="0.25"/>
    <row r="42" spans="1:10" ht="39" thickBot="1" x14ac:dyDescent="0.25">
      <c r="A42" s="15" t="s">
        <v>0</v>
      </c>
      <c r="B42" s="44" t="s">
        <v>1</v>
      </c>
      <c r="C42" s="16" t="s">
        <v>8</v>
      </c>
      <c r="D42" s="17" t="s">
        <v>9</v>
      </c>
      <c r="E42" s="77" t="s">
        <v>5</v>
      </c>
      <c r="F42" s="78"/>
      <c r="I42" s="34"/>
      <c r="J42" s="34"/>
    </row>
    <row r="43" spans="1:10" ht="50.25" customHeight="1" x14ac:dyDescent="0.2">
      <c r="A43" s="12">
        <v>1</v>
      </c>
      <c r="B43" s="48" t="s">
        <v>12</v>
      </c>
      <c r="C43" s="19">
        <f>+E5/30*3</f>
        <v>1710634.1849999996</v>
      </c>
      <c r="D43" s="19">
        <f>+C43*A43</f>
        <v>1710634.1849999996</v>
      </c>
      <c r="E43" s="79" t="s">
        <v>45</v>
      </c>
      <c r="F43" s="80"/>
      <c r="I43" s="34"/>
      <c r="J43" s="34"/>
    </row>
    <row r="44" spans="1:10" ht="34.5" customHeight="1" thickBot="1" x14ac:dyDescent="0.25">
      <c r="A44" s="18">
        <v>3</v>
      </c>
      <c r="B44" s="47" t="s">
        <v>16</v>
      </c>
      <c r="C44" s="20">
        <v>1800</v>
      </c>
      <c r="D44" s="20">
        <f>+(C44/30*3)*A44</f>
        <v>540</v>
      </c>
      <c r="E44" s="72" t="s">
        <v>62</v>
      </c>
      <c r="F44" s="73"/>
      <c r="I44" s="34">
        <v>2000</v>
      </c>
      <c r="J44" s="34"/>
    </row>
    <row r="45" spans="1:10" x14ac:dyDescent="0.2">
      <c r="A45" s="43"/>
      <c r="B45" s="45"/>
      <c r="C45" s="2"/>
      <c r="D45" s="2"/>
      <c r="E45" s="3"/>
      <c r="I45" s="34"/>
      <c r="J45" s="34"/>
    </row>
    <row r="46" spans="1:10" x14ac:dyDescent="0.2">
      <c r="A46" s="7" t="s">
        <v>2</v>
      </c>
      <c r="B46" s="6">
        <f>SUM(D43:D44)</f>
        <v>1711174.1849999996</v>
      </c>
      <c r="I46" s="34"/>
      <c r="J46" s="34"/>
    </row>
    <row r="47" spans="1:10" x14ac:dyDescent="0.2">
      <c r="A47" s="7" t="s">
        <v>10</v>
      </c>
      <c r="B47" s="10">
        <f>+B46*8%</f>
        <v>136893.93479999996</v>
      </c>
      <c r="C47" s="32"/>
      <c r="I47" s="34"/>
      <c r="J47" s="34"/>
    </row>
    <row r="48" spans="1:10" ht="25.5" x14ac:dyDescent="0.2">
      <c r="A48" s="9" t="s">
        <v>11</v>
      </c>
      <c r="B48" s="10">
        <f>+(B46+B47)*10%</f>
        <v>184806.81197999997</v>
      </c>
      <c r="C48" s="59"/>
      <c r="D48" s="71" t="s">
        <v>50</v>
      </c>
      <c r="E48" s="71"/>
      <c r="F48" s="71"/>
      <c r="I48" s="34"/>
      <c r="J48" s="34"/>
    </row>
    <row r="49" spans="1:10" x14ac:dyDescent="0.2">
      <c r="A49" s="7" t="s">
        <v>7</v>
      </c>
      <c r="B49" s="10">
        <f>+B48*19%</f>
        <v>35113.294276199995</v>
      </c>
      <c r="C49" s="57"/>
      <c r="I49" s="34"/>
      <c r="J49" s="34"/>
    </row>
    <row r="50" spans="1:10" x14ac:dyDescent="0.2">
      <c r="A50" s="7" t="s">
        <v>3</v>
      </c>
      <c r="B50" s="10">
        <f>+(B46+B47+B49)</f>
        <v>1883181.4140761995</v>
      </c>
      <c r="C50" s="58"/>
      <c r="I50" s="34"/>
      <c r="J50" s="34"/>
    </row>
    <row r="51" spans="1:10" x14ac:dyDescent="0.2">
      <c r="A51" s="5"/>
      <c r="B51" s="11"/>
      <c r="C51" s="59"/>
      <c r="I51" s="34"/>
      <c r="J51" s="34"/>
    </row>
    <row r="52" spans="1:10" x14ac:dyDescent="0.2">
      <c r="A52" s="5"/>
      <c r="B52" s="11"/>
      <c r="I52" s="34"/>
      <c r="J52" s="34"/>
    </row>
    <row r="53" spans="1:10" ht="33" customHeight="1" x14ac:dyDescent="0.2">
      <c r="A53" s="74" t="s">
        <v>39</v>
      </c>
      <c r="B53" s="74"/>
      <c r="C53" s="74"/>
      <c r="D53" s="74"/>
      <c r="E53" s="74"/>
      <c r="F53" s="74"/>
      <c r="I53" s="34"/>
      <c r="J53" s="34"/>
    </row>
    <row r="54" spans="1:10" x14ac:dyDescent="0.2">
      <c r="I54" s="34"/>
      <c r="J54" s="34"/>
    </row>
    <row r="55" spans="1:10" x14ac:dyDescent="0.2">
      <c r="A55" s="75" t="s">
        <v>14</v>
      </c>
      <c r="B55" s="76"/>
      <c r="C55" s="76"/>
      <c r="D55" s="76"/>
      <c r="E55" s="76"/>
      <c r="F55" s="76"/>
      <c r="I55" s="34"/>
      <c r="J55" s="34"/>
    </row>
    <row r="56" spans="1:10" x14ac:dyDescent="0.2">
      <c r="A56" s="76"/>
      <c r="B56" s="76"/>
      <c r="C56" s="76"/>
      <c r="D56" s="76"/>
      <c r="E56" s="76"/>
      <c r="F56" s="76"/>
      <c r="I56" s="34"/>
      <c r="J56" s="34"/>
    </row>
    <row r="57" spans="1:10" ht="13.5" thickBot="1" x14ac:dyDescent="0.25">
      <c r="I57" s="34"/>
      <c r="J57" s="34"/>
    </row>
    <row r="58" spans="1:10" ht="39" thickBot="1" x14ac:dyDescent="0.25">
      <c r="A58" s="15" t="s">
        <v>0</v>
      </c>
      <c r="B58" s="44" t="s">
        <v>1</v>
      </c>
      <c r="C58" s="16" t="s">
        <v>8</v>
      </c>
      <c r="D58" s="17" t="s">
        <v>9</v>
      </c>
      <c r="E58" s="77" t="s">
        <v>5</v>
      </c>
      <c r="F58" s="78"/>
      <c r="I58" s="34"/>
      <c r="J58" s="34"/>
    </row>
    <row r="59" spans="1:10" ht="66" customHeight="1" x14ac:dyDescent="0.2">
      <c r="A59" s="12">
        <v>1</v>
      </c>
      <c r="B59" s="48" t="s">
        <v>12</v>
      </c>
      <c r="C59" s="19">
        <f>+E5/30*3</f>
        <v>1710634.1849999996</v>
      </c>
      <c r="D59" s="19">
        <f>+C59*A59</f>
        <v>1710634.1849999996</v>
      </c>
      <c r="E59" s="79" t="s">
        <v>45</v>
      </c>
      <c r="F59" s="80"/>
      <c r="I59" s="34">
        <v>2000</v>
      </c>
      <c r="J59" s="34"/>
    </row>
    <row r="60" spans="1:10" ht="35.25" customHeight="1" thickBot="1" x14ac:dyDescent="0.25">
      <c r="A60" s="18">
        <v>3</v>
      </c>
      <c r="B60" s="47" t="s">
        <v>16</v>
      </c>
      <c r="C60" s="20">
        <v>1800</v>
      </c>
      <c r="D60" s="20">
        <f>+(C60/30*3)*A60</f>
        <v>540</v>
      </c>
      <c r="E60" s="72" t="s">
        <v>62</v>
      </c>
      <c r="F60" s="73"/>
    </row>
    <row r="61" spans="1:10" x14ac:dyDescent="0.2">
      <c r="A61" s="43"/>
      <c r="B61" s="45"/>
      <c r="C61" s="2"/>
      <c r="D61" s="2"/>
      <c r="E61" s="3"/>
    </row>
    <row r="62" spans="1:10" x14ac:dyDescent="0.2">
      <c r="A62" s="7" t="s">
        <v>2</v>
      </c>
      <c r="B62" s="6">
        <f>+D59+D60</f>
        <v>1711174.1849999996</v>
      </c>
    </row>
    <row r="63" spans="1:10" x14ac:dyDescent="0.2">
      <c r="A63" s="7" t="s">
        <v>10</v>
      </c>
      <c r="B63" s="10">
        <f>+B62*8%</f>
        <v>136893.93479999996</v>
      </c>
    </row>
    <row r="64" spans="1:10" ht="25.5" x14ac:dyDescent="0.2">
      <c r="A64" s="9" t="s">
        <v>11</v>
      </c>
      <c r="B64" s="10">
        <f>+(B62+B63)*10%</f>
        <v>184806.81197999997</v>
      </c>
      <c r="C64" s="59"/>
      <c r="D64" s="71" t="s">
        <v>50</v>
      </c>
      <c r="E64" s="71"/>
      <c r="F64" s="71"/>
    </row>
    <row r="65" spans="1:3" x14ac:dyDescent="0.2">
      <c r="A65" s="7" t="s">
        <v>7</v>
      </c>
      <c r="B65" s="10">
        <f>+B64*19%</f>
        <v>35113.294276199995</v>
      </c>
      <c r="C65" s="59"/>
    </row>
    <row r="66" spans="1:3" ht="17.25" customHeight="1" x14ac:dyDescent="0.2">
      <c r="A66" s="7" t="s">
        <v>3</v>
      </c>
      <c r="B66" s="10">
        <f>+(B62+B63+B65)</f>
        <v>1883181.4140761995</v>
      </c>
      <c r="C66" s="58"/>
    </row>
    <row r="67" spans="1:3" ht="17.25" customHeight="1" x14ac:dyDescent="0.2">
      <c r="A67" s="5"/>
      <c r="B67" s="11"/>
      <c r="C67" s="57"/>
    </row>
    <row r="68" spans="1:3" x14ac:dyDescent="0.2">
      <c r="A68" s="1" t="s">
        <v>3</v>
      </c>
      <c r="B68" s="65">
        <f>+B66+B50+B32</f>
        <v>9353070.5297157168</v>
      </c>
    </row>
  </sheetData>
  <mergeCells count="31">
    <mergeCell ref="A10:C10"/>
    <mergeCell ref="D2:E2"/>
    <mergeCell ref="A6:C6"/>
    <mergeCell ref="A7:C7"/>
    <mergeCell ref="A8:C8"/>
    <mergeCell ref="A9:C9"/>
    <mergeCell ref="E26:F26"/>
    <mergeCell ref="A11:C11"/>
    <mergeCell ref="A12:C12"/>
    <mergeCell ref="A13:C13"/>
    <mergeCell ref="A14:C14"/>
    <mergeCell ref="A16:F16"/>
    <mergeCell ref="A17:F17"/>
    <mergeCell ref="A19:F20"/>
    <mergeCell ref="E22:F22"/>
    <mergeCell ref="E23:F23"/>
    <mergeCell ref="E24:F24"/>
    <mergeCell ref="E25:F25"/>
    <mergeCell ref="D64:F64"/>
    <mergeCell ref="E60:F60"/>
    <mergeCell ref="D30:F30"/>
    <mergeCell ref="A37:F37"/>
    <mergeCell ref="A39:F40"/>
    <mergeCell ref="E42:F42"/>
    <mergeCell ref="E43:F43"/>
    <mergeCell ref="E44:F44"/>
    <mergeCell ref="D48:F48"/>
    <mergeCell ref="A53:F53"/>
    <mergeCell ref="A55:F56"/>
    <mergeCell ref="E58:F58"/>
    <mergeCell ref="E59:F59"/>
  </mergeCells>
  <pageMargins left="0.70866141732283472" right="0.70866141732283472" top="0.74803149606299213" bottom="0.74803149606299213" header="0.31496062992125984" footer="0.31496062992125984"/>
  <pageSetup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A2:K75"/>
  <sheetViews>
    <sheetView showGridLines="0" topLeftCell="A57" zoomScale="110" zoomScaleNormal="110" zoomScaleSheetLayoutView="85" workbookViewId="0">
      <selection activeCell="E60" sqref="E60:F60"/>
    </sheetView>
  </sheetViews>
  <sheetFormatPr baseColWidth="10" defaultColWidth="11" defaultRowHeight="12.75" x14ac:dyDescent="0.2"/>
  <cols>
    <col min="1" max="1" width="28.5" style="1" customWidth="1"/>
    <col min="2" max="2" width="57" style="1" customWidth="1"/>
    <col min="3" max="3" width="15.25" style="1" customWidth="1"/>
    <col min="4" max="4" width="16.625" style="1" customWidth="1"/>
    <col min="5" max="5" width="15.25" style="1" customWidth="1"/>
    <col min="6" max="6" width="17.625" style="1" customWidth="1"/>
    <col min="7" max="7" width="23" style="1" customWidth="1"/>
    <col min="8" max="8" width="11" style="1" customWidth="1"/>
    <col min="9" max="9" width="13" style="1" bestFit="1" customWidth="1"/>
    <col min="10" max="11" width="11" style="1" customWidth="1"/>
    <col min="12" max="16384" width="11" style="1"/>
  </cols>
  <sheetData>
    <row r="2" spans="1:11" ht="14.25" x14ac:dyDescent="0.2">
      <c r="A2" s="35"/>
      <c r="B2" s="35"/>
      <c r="C2" s="22"/>
      <c r="D2" s="81" t="s">
        <v>17</v>
      </c>
      <c r="E2" s="81"/>
      <c r="F2" s="23" t="s">
        <v>18</v>
      </c>
      <c r="G2" s="23" t="s">
        <v>19</v>
      </c>
      <c r="H2" s="23" t="s">
        <v>20</v>
      </c>
      <c r="I2" s="23" t="s">
        <v>21</v>
      </c>
      <c r="J2" s="24" t="s">
        <v>22</v>
      </c>
      <c r="K2" s="23"/>
    </row>
    <row r="3" spans="1:11" ht="14.25" x14ac:dyDescent="0.2">
      <c r="A3" s="35"/>
      <c r="B3" s="35"/>
      <c r="C3" s="22"/>
      <c r="D3" s="23" t="s">
        <v>23</v>
      </c>
      <c r="E3" s="41">
        <v>1750905</v>
      </c>
      <c r="F3" s="23" t="s">
        <v>24</v>
      </c>
      <c r="G3" s="23">
        <f>+H3*8</f>
        <v>29.286153846153848</v>
      </c>
      <c r="H3" s="25">
        <f>47.59/13</f>
        <v>3.660769230769231</v>
      </c>
      <c r="I3" s="23">
        <f>+H3*12</f>
        <v>43.92923076923077</v>
      </c>
      <c r="J3" s="24">
        <f>+H3*6</f>
        <v>21.964615384615385</v>
      </c>
      <c r="K3" s="23"/>
    </row>
    <row r="4" spans="1:11" ht="14.25" x14ac:dyDescent="0.2">
      <c r="A4" s="35"/>
      <c r="B4" s="35"/>
      <c r="C4" s="22"/>
      <c r="D4" s="23" t="s">
        <v>25</v>
      </c>
      <c r="E4" s="23">
        <v>9.77</v>
      </c>
      <c r="F4" s="23" t="s">
        <v>26</v>
      </c>
      <c r="G4" s="23"/>
      <c r="H4" s="25">
        <f>52.41/11</f>
        <v>4.7645454545454546</v>
      </c>
      <c r="I4" s="23">
        <f>+((H3*3)+(H4*9))</f>
        <v>53.863216783216785</v>
      </c>
      <c r="J4" s="24"/>
      <c r="K4" s="27"/>
    </row>
    <row r="5" spans="1:11" ht="14.25" x14ac:dyDescent="0.2">
      <c r="A5" s="35"/>
      <c r="B5" s="35"/>
      <c r="C5" s="22"/>
      <c r="D5" s="26" t="s">
        <v>27</v>
      </c>
      <c r="E5" s="36">
        <f>+E3*E4</f>
        <v>17106341.849999998</v>
      </c>
      <c r="F5" s="27"/>
      <c r="G5" s="27"/>
      <c r="H5" s="27"/>
      <c r="I5" s="27"/>
      <c r="J5" s="27"/>
      <c r="K5" s="27"/>
    </row>
    <row r="6" spans="1:11" ht="15" x14ac:dyDescent="0.2">
      <c r="A6" s="82" t="s">
        <v>28</v>
      </c>
      <c r="B6" s="83"/>
      <c r="C6" s="84"/>
      <c r="D6" s="23" t="s">
        <v>29</v>
      </c>
      <c r="E6" s="36">
        <f>+E5/30</f>
        <v>570211.3949999999</v>
      </c>
      <c r="F6" s="27"/>
      <c r="G6" s="27" t="s">
        <v>59</v>
      </c>
      <c r="H6" s="70">
        <f>+H4*11</f>
        <v>52.410000000000004</v>
      </c>
      <c r="I6" s="27"/>
      <c r="J6" s="27"/>
      <c r="K6" s="27"/>
    </row>
    <row r="7" spans="1:11" ht="14.25" x14ac:dyDescent="0.2">
      <c r="A7" s="86" t="s">
        <v>30</v>
      </c>
      <c r="B7" s="86"/>
      <c r="C7" s="86"/>
      <c r="D7" s="23">
        <v>20</v>
      </c>
      <c r="E7" s="37">
        <f>+$E$6*D7</f>
        <v>11404227.899999999</v>
      </c>
      <c r="F7" s="27"/>
      <c r="G7" s="27"/>
      <c r="H7" s="28"/>
      <c r="I7" s="27"/>
      <c r="J7" s="27"/>
      <c r="K7" s="27"/>
    </row>
    <row r="8" spans="1:11" ht="14.25" x14ac:dyDescent="0.2">
      <c r="A8" s="81" t="s">
        <v>31</v>
      </c>
      <c r="B8" s="81"/>
      <c r="C8" s="81"/>
      <c r="D8" s="23">
        <v>24</v>
      </c>
      <c r="E8" s="37">
        <f t="shared" ref="E8:E13" si="0">+$E$6*D8</f>
        <v>13685073.479999997</v>
      </c>
      <c r="F8" s="27"/>
      <c r="G8" s="27"/>
      <c r="H8" s="27"/>
      <c r="I8" s="27"/>
      <c r="J8" s="27"/>
      <c r="K8" s="27"/>
    </row>
    <row r="9" spans="1:11" ht="14.25" x14ac:dyDescent="0.2">
      <c r="A9" s="81" t="s">
        <v>32</v>
      </c>
      <c r="B9" s="81"/>
      <c r="C9" s="81"/>
      <c r="D9" s="23">
        <v>22</v>
      </c>
      <c r="E9" s="37">
        <f t="shared" si="0"/>
        <v>12544650.689999998</v>
      </c>
      <c r="F9" s="27"/>
      <c r="G9" s="27"/>
      <c r="H9" s="29"/>
      <c r="I9" s="27"/>
      <c r="J9" s="27"/>
      <c r="K9" s="27"/>
    </row>
    <row r="10" spans="1:11" ht="15" x14ac:dyDescent="0.2">
      <c r="A10" s="81" t="s">
        <v>33</v>
      </c>
      <c r="B10" s="81"/>
      <c r="C10" s="81"/>
      <c r="D10" s="23">
        <v>26</v>
      </c>
      <c r="E10" s="37">
        <f t="shared" si="0"/>
        <v>14825496.269999998</v>
      </c>
      <c r="F10" s="27"/>
      <c r="G10" s="27" t="s">
        <v>60</v>
      </c>
      <c r="H10" s="70">
        <f>+H3*13</f>
        <v>47.59</v>
      </c>
      <c r="I10" s="27"/>
      <c r="J10" s="27"/>
      <c r="K10" s="27"/>
    </row>
    <row r="11" spans="1:11" ht="14.25" x14ac:dyDescent="0.2">
      <c r="A11" s="81" t="s">
        <v>34</v>
      </c>
      <c r="B11" s="81"/>
      <c r="C11" s="81"/>
      <c r="D11" s="23">
        <v>8</v>
      </c>
      <c r="E11" s="37">
        <f t="shared" si="0"/>
        <v>4561691.1599999992</v>
      </c>
      <c r="F11" s="27"/>
      <c r="G11" s="27"/>
      <c r="H11" s="30"/>
      <c r="I11" s="27"/>
      <c r="J11" s="27"/>
      <c r="K11" s="27"/>
    </row>
    <row r="12" spans="1:11" ht="14.25" x14ac:dyDescent="0.2">
      <c r="A12" s="81" t="s">
        <v>35</v>
      </c>
      <c r="B12" s="81"/>
      <c r="C12" s="81"/>
      <c r="D12" s="23">
        <v>10</v>
      </c>
      <c r="E12" s="37">
        <f t="shared" si="0"/>
        <v>5702113.9499999993</v>
      </c>
      <c r="F12" s="27"/>
      <c r="G12" s="27"/>
      <c r="H12" s="30"/>
      <c r="I12" s="27"/>
      <c r="J12" s="27"/>
      <c r="K12" s="27"/>
    </row>
    <row r="13" spans="1:11" ht="14.25" x14ac:dyDescent="0.2">
      <c r="A13" s="82" t="s">
        <v>36</v>
      </c>
      <c r="B13" s="83"/>
      <c r="C13" s="84"/>
      <c r="D13" s="23">
        <v>4</v>
      </c>
      <c r="E13" s="37">
        <f t="shared" si="0"/>
        <v>2280845.5799999996</v>
      </c>
      <c r="F13" s="27"/>
      <c r="G13" s="27"/>
      <c r="H13" s="27"/>
      <c r="I13" s="27"/>
      <c r="J13" s="27"/>
    </row>
    <row r="14" spans="1:11" ht="14.25" x14ac:dyDescent="0.2">
      <c r="A14" s="82" t="s">
        <v>41</v>
      </c>
      <c r="B14" s="83" t="s">
        <v>41</v>
      </c>
      <c r="C14" s="84"/>
      <c r="D14" s="23">
        <v>1</v>
      </c>
      <c r="E14" s="37">
        <v>1800</v>
      </c>
    </row>
    <row r="15" spans="1:11" x14ac:dyDescent="0.2">
      <c r="H15" s="42"/>
    </row>
    <row r="16" spans="1:11" ht="46.5" customHeight="1" x14ac:dyDescent="0.2">
      <c r="A16" s="85" t="s">
        <v>15</v>
      </c>
      <c r="B16" s="85"/>
      <c r="C16" s="85"/>
      <c r="D16" s="85"/>
      <c r="E16" s="85"/>
      <c r="F16" s="85"/>
    </row>
    <row r="17" spans="1:9" ht="46.5" customHeight="1" x14ac:dyDescent="0.2">
      <c r="A17" s="74" t="s">
        <v>53</v>
      </c>
      <c r="B17" s="74"/>
      <c r="C17" s="74"/>
      <c r="D17" s="74"/>
      <c r="E17" s="74"/>
      <c r="F17" s="74"/>
    </row>
    <row r="18" spans="1:9" x14ac:dyDescent="0.2">
      <c r="A18" s="1" t="s">
        <v>42</v>
      </c>
    </row>
    <row r="19" spans="1:9" x14ac:dyDescent="0.2">
      <c r="A19" s="75" t="s">
        <v>6</v>
      </c>
      <c r="B19" s="76"/>
      <c r="C19" s="76"/>
      <c r="D19" s="76"/>
      <c r="E19" s="76"/>
      <c r="F19" s="76"/>
    </row>
    <row r="20" spans="1:9" ht="26.25" customHeight="1" x14ac:dyDescent="0.2">
      <c r="A20" s="76"/>
      <c r="B20" s="76"/>
      <c r="C20" s="76"/>
      <c r="D20" s="76"/>
      <c r="E20" s="76"/>
      <c r="F20" s="76"/>
    </row>
    <row r="21" spans="1:9" ht="13.5" thickBot="1" x14ac:dyDescent="0.25"/>
    <row r="22" spans="1:9" ht="39" thickBot="1" x14ac:dyDescent="0.25">
      <c r="A22" s="15" t="s">
        <v>0</v>
      </c>
      <c r="B22" s="51" t="s">
        <v>1</v>
      </c>
      <c r="C22" s="16" t="s">
        <v>8</v>
      </c>
      <c r="D22" s="17" t="s">
        <v>9</v>
      </c>
      <c r="E22" s="77" t="s">
        <v>5</v>
      </c>
      <c r="F22" s="78"/>
    </row>
    <row r="23" spans="1:9" ht="54.75" customHeight="1" thickBot="1" x14ac:dyDescent="0.25">
      <c r="A23" s="12">
        <v>2</v>
      </c>
      <c r="B23" s="54" t="s">
        <v>12</v>
      </c>
      <c r="C23" s="19">
        <f>+E5/30*30</f>
        <v>17106341.849999998</v>
      </c>
      <c r="D23" s="13">
        <f>+C23*A23</f>
        <v>34212683.699999996</v>
      </c>
      <c r="E23" s="79" t="s">
        <v>45</v>
      </c>
      <c r="F23" s="80"/>
      <c r="G23" s="32"/>
    </row>
    <row r="24" spans="1:9" ht="53.25" customHeight="1" thickBot="1" x14ac:dyDescent="0.25">
      <c r="A24" s="14">
        <v>2</v>
      </c>
      <c r="B24" s="50" t="s">
        <v>40</v>
      </c>
      <c r="C24" s="8">
        <f>+(E7*I3%)/20*20</f>
        <v>5009789.5916399993</v>
      </c>
      <c r="D24" s="21">
        <f>+C24*A24</f>
        <v>10019579.183279999</v>
      </c>
      <c r="E24" s="79" t="s">
        <v>45</v>
      </c>
      <c r="F24" s="80"/>
      <c r="G24" s="40"/>
      <c r="I24" s="40"/>
    </row>
    <row r="25" spans="1:9" ht="51.75" customHeight="1" x14ac:dyDescent="0.2">
      <c r="A25" s="14">
        <v>1</v>
      </c>
      <c r="B25" s="50" t="s">
        <v>4</v>
      </c>
      <c r="C25" s="8">
        <f>+((E7*((H3*13)+(H4*2))%))/20*20</f>
        <v>6513991.3016809095</v>
      </c>
      <c r="D25" s="21">
        <f>+C25*A25</f>
        <v>6513991.3016809095</v>
      </c>
      <c r="E25" s="79" t="s">
        <v>45</v>
      </c>
      <c r="F25" s="80"/>
      <c r="G25" s="40"/>
    </row>
    <row r="26" spans="1:9" ht="60.75" customHeight="1" thickBot="1" x14ac:dyDescent="0.25">
      <c r="A26" s="18">
        <v>10</v>
      </c>
      <c r="B26" s="53" t="s">
        <v>16</v>
      </c>
      <c r="C26" s="20">
        <v>1800</v>
      </c>
      <c r="D26" s="38">
        <f>+C26*A26</f>
        <v>18000</v>
      </c>
      <c r="E26" s="72" t="s">
        <v>63</v>
      </c>
      <c r="F26" s="73"/>
    </row>
    <row r="27" spans="1:9" x14ac:dyDescent="0.2">
      <c r="A27" s="52"/>
      <c r="B27" s="49"/>
      <c r="C27" s="2"/>
      <c r="D27" s="2"/>
      <c r="E27" s="3"/>
    </row>
    <row r="28" spans="1:9" x14ac:dyDescent="0.2">
      <c r="A28" s="7" t="s">
        <v>2</v>
      </c>
      <c r="B28" s="6">
        <f>SUM(D23:D26)</f>
        <v>50764254.184960902</v>
      </c>
    </row>
    <row r="29" spans="1:9" x14ac:dyDescent="0.2">
      <c r="A29" s="7" t="s">
        <v>10</v>
      </c>
      <c r="B29" s="10">
        <f>+B28*8%</f>
        <v>4061140.3347968725</v>
      </c>
      <c r="C29" s="60"/>
      <c r="G29" s="4"/>
    </row>
    <row r="30" spans="1:9" ht="25.5" x14ac:dyDescent="0.2">
      <c r="A30" s="9" t="s">
        <v>11</v>
      </c>
      <c r="B30" s="10">
        <f>+(B28+B29)*10%</f>
        <v>5482539.4519757777</v>
      </c>
      <c r="C30" s="59"/>
      <c r="D30" s="71" t="s">
        <v>49</v>
      </c>
      <c r="E30" s="71"/>
      <c r="F30" s="71"/>
      <c r="G30" s="4"/>
    </row>
    <row r="31" spans="1:9" x14ac:dyDescent="0.2">
      <c r="A31" s="7" t="s">
        <v>7</v>
      </c>
      <c r="B31" s="10">
        <f>+B30*19%</f>
        <v>1041682.4958753978</v>
      </c>
      <c r="C31" s="57" t="s">
        <v>54</v>
      </c>
    </row>
    <row r="32" spans="1:9" x14ac:dyDescent="0.2">
      <c r="A32" s="7" t="s">
        <v>3</v>
      </c>
      <c r="B32" s="10">
        <f>+(B31+B29+B28)</f>
        <v>55867077.015633173</v>
      </c>
      <c r="C32" s="58">
        <f>+B32*4</f>
        <v>223468308.06253269</v>
      </c>
    </row>
    <row r="33" spans="1:10" x14ac:dyDescent="0.2">
      <c r="A33" s="5"/>
      <c r="B33" s="11"/>
      <c r="C33" s="59"/>
    </row>
    <row r="34" spans="1:10" x14ac:dyDescent="0.2">
      <c r="A34" s="5"/>
      <c r="B34" s="11"/>
    </row>
    <row r="35" spans="1:10" x14ac:dyDescent="0.2">
      <c r="A35" s="5"/>
      <c r="B35" s="11"/>
      <c r="E35" s="39"/>
      <c r="F35" s="39"/>
    </row>
    <row r="36" spans="1:10" x14ac:dyDescent="0.2">
      <c r="A36" s="5"/>
      <c r="B36" s="11"/>
      <c r="E36" s="39"/>
      <c r="F36" s="39"/>
    </row>
    <row r="37" spans="1:10" ht="39" customHeight="1" x14ac:dyDescent="0.2">
      <c r="A37" s="74" t="s">
        <v>39</v>
      </c>
      <c r="B37" s="74"/>
      <c r="C37" s="74"/>
      <c r="D37" s="74"/>
      <c r="E37" s="74"/>
      <c r="F37" s="74"/>
    </row>
    <row r="39" spans="1:10" x14ac:dyDescent="0.2">
      <c r="A39" s="75" t="s">
        <v>13</v>
      </c>
      <c r="B39" s="76"/>
      <c r="C39" s="76"/>
      <c r="D39" s="76"/>
      <c r="E39" s="76"/>
      <c r="F39" s="76"/>
    </row>
    <row r="40" spans="1:10" x14ac:dyDescent="0.2">
      <c r="A40" s="76"/>
      <c r="B40" s="76"/>
      <c r="C40" s="76"/>
      <c r="D40" s="76"/>
      <c r="E40" s="76"/>
      <c r="F40" s="76"/>
    </row>
    <row r="41" spans="1:10" ht="13.5" thickBot="1" x14ac:dyDescent="0.25"/>
    <row r="42" spans="1:10" ht="39" thickBot="1" x14ac:dyDescent="0.25">
      <c r="A42" s="15" t="s">
        <v>0</v>
      </c>
      <c r="B42" s="51" t="s">
        <v>1</v>
      </c>
      <c r="C42" s="16" t="s">
        <v>8</v>
      </c>
      <c r="D42" s="17" t="s">
        <v>9</v>
      </c>
      <c r="E42" s="77" t="s">
        <v>5</v>
      </c>
      <c r="F42" s="78"/>
      <c r="I42" s="34"/>
      <c r="J42" s="34"/>
    </row>
    <row r="43" spans="1:10" ht="50.25" customHeight="1" x14ac:dyDescent="0.2">
      <c r="A43" s="12">
        <v>1</v>
      </c>
      <c r="B43" s="54" t="s">
        <v>12</v>
      </c>
      <c r="C43" s="19">
        <f>+E5/30*30</f>
        <v>17106341.849999998</v>
      </c>
      <c r="D43" s="13">
        <f>+C43*A43</f>
        <v>17106341.849999998</v>
      </c>
      <c r="E43" s="79" t="s">
        <v>45</v>
      </c>
      <c r="F43" s="80"/>
      <c r="I43" s="34"/>
      <c r="J43" s="34"/>
    </row>
    <row r="44" spans="1:10" ht="34.5" customHeight="1" thickBot="1" x14ac:dyDescent="0.25">
      <c r="A44" s="18">
        <v>3</v>
      </c>
      <c r="B44" s="53" t="s">
        <v>16</v>
      </c>
      <c r="C44" s="20">
        <v>1800</v>
      </c>
      <c r="D44" s="20">
        <f>+C44*A44</f>
        <v>5400</v>
      </c>
      <c r="E44" s="72" t="s">
        <v>63</v>
      </c>
      <c r="F44" s="73"/>
      <c r="I44" s="34">
        <v>2000</v>
      </c>
      <c r="J44" s="34"/>
    </row>
    <row r="45" spans="1:10" x14ac:dyDescent="0.2">
      <c r="A45" s="52"/>
      <c r="B45" s="49"/>
      <c r="C45" s="2"/>
      <c r="D45" s="2"/>
      <c r="E45" s="3"/>
      <c r="I45" s="34"/>
      <c r="J45" s="34"/>
    </row>
    <row r="46" spans="1:10" x14ac:dyDescent="0.2">
      <c r="A46" s="7" t="s">
        <v>2</v>
      </c>
      <c r="B46" s="6">
        <f>SUM(D43:D44)</f>
        <v>17111741.849999998</v>
      </c>
      <c r="I46" s="34"/>
      <c r="J46" s="34"/>
    </row>
    <row r="47" spans="1:10" x14ac:dyDescent="0.2">
      <c r="A47" s="7" t="s">
        <v>10</v>
      </c>
      <c r="B47" s="10">
        <f>+B46*8%</f>
        <v>1368939.3479999998</v>
      </c>
      <c r="C47" s="32"/>
      <c r="I47" s="34"/>
      <c r="J47" s="34"/>
    </row>
    <row r="48" spans="1:10" ht="25.5" x14ac:dyDescent="0.2">
      <c r="A48" s="9" t="s">
        <v>11</v>
      </c>
      <c r="B48" s="10">
        <f>+(B46+B47)*10%</f>
        <v>1848068.1198</v>
      </c>
      <c r="C48" s="59"/>
      <c r="D48" s="71" t="s">
        <v>50</v>
      </c>
      <c r="E48" s="71"/>
      <c r="F48" s="71"/>
      <c r="I48" s="34"/>
      <c r="J48" s="34"/>
    </row>
    <row r="49" spans="1:10" x14ac:dyDescent="0.2">
      <c r="A49" s="7" t="s">
        <v>7</v>
      </c>
      <c r="B49" s="10">
        <f>+B48*19%</f>
        <v>351132.94276200002</v>
      </c>
      <c r="C49" s="57" t="s">
        <v>54</v>
      </c>
      <c r="I49" s="34"/>
      <c r="J49" s="34"/>
    </row>
    <row r="50" spans="1:10" x14ac:dyDescent="0.2">
      <c r="A50" s="7" t="s">
        <v>3</v>
      </c>
      <c r="B50" s="10">
        <f>+(B46+B47+B49)</f>
        <v>18831814.140761998</v>
      </c>
      <c r="C50" s="58">
        <f>+B50*4</f>
        <v>75327256.56304799</v>
      </c>
      <c r="I50" s="34"/>
      <c r="J50" s="34"/>
    </row>
    <row r="51" spans="1:10" x14ac:dyDescent="0.2">
      <c r="A51" s="5"/>
      <c r="B51" s="11"/>
      <c r="C51" s="59"/>
      <c r="I51" s="34"/>
      <c r="J51" s="34"/>
    </row>
    <row r="52" spans="1:10" x14ac:dyDescent="0.2">
      <c r="A52" s="5"/>
      <c r="B52" s="11"/>
      <c r="I52" s="34"/>
      <c r="J52" s="34"/>
    </row>
    <row r="53" spans="1:10" ht="33" customHeight="1" x14ac:dyDescent="0.2">
      <c r="A53" s="74" t="s">
        <v>39</v>
      </c>
      <c r="B53" s="74"/>
      <c r="C53" s="74"/>
      <c r="D53" s="74"/>
      <c r="E53" s="74"/>
      <c r="F53" s="74"/>
      <c r="I53" s="34"/>
      <c r="J53" s="34"/>
    </row>
    <row r="54" spans="1:10" x14ac:dyDescent="0.2">
      <c r="I54" s="34"/>
      <c r="J54" s="34"/>
    </row>
    <row r="55" spans="1:10" x14ac:dyDescent="0.2">
      <c r="A55" s="75" t="s">
        <v>14</v>
      </c>
      <c r="B55" s="76"/>
      <c r="C55" s="76"/>
      <c r="D55" s="76"/>
      <c r="E55" s="76"/>
      <c r="F55" s="76"/>
      <c r="I55" s="34"/>
      <c r="J55" s="34"/>
    </row>
    <row r="56" spans="1:10" x14ac:dyDescent="0.2">
      <c r="A56" s="76"/>
      <c r="B56" s="76"/>
      <c r="C56" s="76"/>
      <c r="D56" s="76"/>
      <c r="E56" s="76"/>
      <c r="F56" s="76"/>
      <c r="I56" s="34"/>
      <c r="J56" s="34"/>
    </row>
    <row r="57" spans="1:10" ht="13.5" thickBot="1" x14ac:dyDescent="0.25">
      <c r="I57" s="34"/>
      <c r="J57" s="34"/>
    </row>
    <row r="58" spans="1:10" ht="39" thickBot="1" x14ac:dyDescent="0.25">
      <c r="A58" s="15" t="s">
        <v>0</v>
      </c>
      <c r="B58" s="51" t="s">
        <v>1</v>
      </c>
      <c r="C58" s="16" t="s">
        <v>8</v>
      </c>
      <c r="D58" s="17" t="s">
        <v>9</v>
      </c>
      <c r="E58" s="77" t="s">
        <v>5</v>
      </c>
      <c r="F58" s="78"/>
      <c r="I58" s="34"/>
      <c r="J58" s="34"/>
    </row>
    <row r="59" spans="1:10" ht="66" customHeight="1" x14ac:dyDescent="0.2">
      <c r="A59" s="12">
        <v>1</v>
      </c>
      <c r="B59" s="54" t="s">
        <v>12</v>
      </c>
      <c r="C59" s="19">
        <f>+E5/30*30</f>
        <v>17106341.849999998</v>
      </c>
      <c r="D59" s="19">
        <f>+C59*A59</f>
        <v>17106341.849999998</v>
      </c>
      <c r="E59" s="79" t="s">
        <v>45</v>
      </c>
      <c r="F59" s="80"/>
      <c r="I59" s="34">
        <v>2000</v>
      </c>
      <c r="J59" s="34"/>
    </row>
    <row r="60" spans="1:10" ht="35.25" customHeight="1" thickBot="1" x14ac:dyDescent="0.25">
      <c r="A60" s="18">
        <v>3</v>
      </c>
      <c r="B60" s="53" t="s">
        <v>16</v>
      </c>
      <c r="C60" s="20">
        <v>1800</v>
      </c>
      <c r="D60" s="20">
        <f>+C60*A60</f>
        <v>5400</v>
      </c>
      <c r="E60" s="72" t="s">
        <v>63</v>
      </c>
      <c r="F60" s="73"/>
    </row>
    <row r="61" spans="1:10" x14ac:dyDescent="0.2">
      <c r="A61" s="52"/>
      <c r="B61" s="49"/>
      <c r="C61" s="2"/>
      <c r="D61" s="2"/>
      <c r="E61" s="3"/>
    </row>
    <row r="62" spans="1:10" x14ac:dyDescent="0.2">
      <c r="A62" s="7" t="s">
        <v>2</v>
      </c>
      <c r="B62" s="6">
        <f>+D59+D60</f>
        <v>17111741.849999998</v>
      </c>
    </row>
    <row r="63" spans="1:10" x14ac:dyDescent="0.2">
      <c r="A63" s="7" t="s">
        <v>10</v>
      </c>
      <c r="B63" s="10">
        <f>+B62*8%</f>
        <v>1368939.3479999998</v>
      </c>
    </row>
    <row r="64" spans="1:10" ht="25.5" x14ac:dyDescent="0.2">
      <c r="A64" s="9" t="s">
        <v>11</v>
      </c>
      <c r="B64" s="10">
        <f>+(B62+B63)*10%</f>
        <v>1848068.1198</v>
      </c>
      <c r="C64" s="59"/>
      <c r="D64" s="71" t="s">
        <v>51</v>
      </c>
      <c r="E64" s="71"/>
      <c r="F64" s="71"/>
    </row>
    <row r="65" spans="1:10" x14ac:dyDescent="0.2">
      <c r="A65" s="7" t="s">
        <v>7</v>
      </c>
      <c r="B65" s="10">
        <f>+B64*19%</f>
        <v>351132.94276200002</v>
      </c>
      <c r="C65" s="57" t="s">
        <v>54</v>
      </c>
    </row>
    <row r="66" spans="1:10" ht="17.25" customHeight="1" x14ac:dyDescent="0.2">
      <c r="A66" s="7" t="s">
        <v>3</v>
      </c>
      <c r="B66" s="10">
        <f>+(B62+B63+B65)</f>
        <v>18831814.140761998</v>
      </c>
      <c r="C66" s="58">
        <f>+B66*4</f>
        <v>75327256.56304799</v>
      </c>
    </row>
    <row r="67" spans="1:10" ht="17.25" customHeight="1" x14ac:dyDescent="0.2">
      <c r="A67" s="5"/>
      <c r="B67" s="11"/>
      <c r="C67" s="57"/>
    </row>
    <row r="68" spans="1:10" ht="33" customHeight="1" x14ac:dyDescent="0.2">
      <c r="A68" s="74"/>
      <c r="B68" s="74"/>
      <c r="C68" s="74"/>
      <c r="D68" s="74"/>
      <c r="E68" s="74"/>
      <c r="F68" s="74"/>
      <c r="I68" s="34"/>
      <c r="J68" s="34"/>
    </row>
    <row r="69" spans="1:10" x14ac:dyDescent="0.2">
      <c r="A69" s="1" t="s">
        <v>3</v>
      </c>
      <c r="B69" s="65">
        <f>+C66+C50+C32</f>
        <v>374122821.18862867</v>
      </c>
      <c r="I69" s="34"/>
      <c r="J69" s="34"/>
    </row>
    <row r="70" spans="1:10" ht="17.25" customHeight="1" x14ac:dyDescent="0.2">
      <c r="A70" s="5"/>
      <c r="B70" s="11"/>
    </row>
    <row r="71" spans="1:10" hidden="1" x14ac:dyDescent="0.2"/>
    <row r="72" spans="1:10" hidden="1" x14ac:dyDescent="0.2"/>
    <row r="73" spans="1:10" hidden="1" x14ac:dyDescent="0.2">
      <c r="A73" s="1" t="s">
        <v>38</v>
      </c>
      <c r="B73" s="31">
        <f>+B32+B50+B66</f>
        <v>93530705.297157168</v>
      </c>
    </row>
    <row r="74" spans="1:10" hidden="1" x14ac:dyDescent="0.2">
      <c r="A74" s="1" t="s">
        <v>37</v>
      </c>
      <c r="B74" s="31" t="e">
        <f>+#REF!+#REF!+#REF!+#REF!</f>
        <v>#REF!</v>
      </c>
    </row>
    <row r="75" spans="1:10" hidden="1" x14ac:dyDescent="0.2">
      <c r="B75" s="31" t="e">
        <f>+B73+B74</f>
        <v>#REF!</v>
      </c>
    </row>
  </sheetData>
  <mergeCells count="32">
    <mergeCell ref="D64:F64"/>
    <mergeCell ref="A68:F68"/>
    <mergeCell ref="E60:F60"/>
    <mergeCell ref="D30:F30"/>
    <mergeCell ref="A37:F37"/>
    <mergeCell ref="A39:F40"/>
    <mergeCell ref="E42:F42"/>
    <mergeCell ref="E43:F43"/>
    <mergeCell ref="E44:F44"/>
    <mergeCell ref="D48:F48"/>
    <mergeCell ref="A53:F53"/>
    <mergeCell ref="A55:F56"/>
    <mergeCell ref="E58:F58"/>
    <mergeCell ref="E59:F59"/>
    <mergeCell ref="E26:F26"/>
    <mergeCell ref="A11:C11"/>
    <mergeCell ref="A12:C12"/>
    <mergeCell ref="A13:C13"/>
    <mergeCell ref="A14:C14"/>
    <mergeCell ref="A16:F16"/>
    <mergeCell ref="A17:F17"/>
    <mergeCell ref="A19:F20"/>
    <mergeCell ref="E22:F22"/>
    <mergeCell ref="E23:F23"/>
    <mergeCell ref="E24:F24"/>
    <mergeCell ref="E25:F25"/>
    <mergeCell ref="A10:C10"/>
    <mergeCell ref="D2:E2"/>
    <mergeCell ref="A6:C6"/>
    <mergeCell ref="A7:C7"/>
    <mergeCell ref="A8:C8"/>
    <mergeCell ref="A9:C9"/>
  </mergeCells>
  <pageMargins left="0.70866141732283472" right="0.70866141732283472" top="0.74803149606299213" bottom="0.74803149606299213" header="0.31496062992125984" footer="0.31496062992125984"/>
  <pageSetup scale="3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  <pageSetUpPr fitToPage="1"/>
  </sheetPr>
  <dimension ref="A2:K77"/>
  <sheetViews>
    <sheetView showGridLines="0" topLeftCell="A55" zoomScale="110" zoomScaleNormal="110" zoomScaleSheetLayoutView="85" workbookViewId="0">
      <selection activeCell="C71" sqref="C71"/>
    </sheetView>
  </sheetViews>
  <sheetFormatPr baseColWidth="10" defaultColWidth="11" defaultRowHeight="12.75" x14ac:dyDescent="0.2"/>
  <cols>
    <col min="1" max="1" width="28.5" style="1" customWidth="1"/>
    <col min="2" max="2" width="57" style="1" customWidth="1"/>
    <col min="3" max="3" width="15.25" style="1" customWidth="1"/>
    <col min="4" max="4" width="16.625" style="1" customWidth="1"/>
    <col min="5" max="5" width="15.25" style="1" customWidth="1"/>
    <col min="6" max="6" width="17.625" style="1" customWidth="1"/>
    <col min="7" max="7" width="23" style="1" customWidth="1"/>
    <col min="8" max="8" width="11" style="1" customWidth="1"/>
    <col min="9" max="9" width="13" style="1" bestFit="1" customWidth="1"/>
    <col min="10" max="11" width="11" style="1" customWidth="1"/>
    <col min="12" max="16384" width="11" style="1"/>
  </cols>
  <sheetData>
    <row r="2" spans="1:11" ht="14.25" x14ac:dyDescent="0.2">
      <c r="A2" s="35"/>
      <c r="B2" s="35"/>
      <c r="C2" s="22"/>
      <c r="D2" s="81" t="s">
        <v>17</v>
      </c>
      <c r="E2" s="81"/>
      <c r="F2" s="23" t="s">
        <v>18</v>
      </c>
      <c r="G2" s="23" t="s">
        <v>19</v>
      </c>
      <c r="H2" s="23" t="s">
        <v>20</v>
      </c>
      <c r="I2" s="23" t="s">
        <v>21</v>
      </c>
      <c r="J2" s="24" t="s">
        <v>22</v>
      </c>
      <c r="K2" s="23"/>
    </row>
    <row r="3" spans="1:11" ht="14.25" x14ac:dyDescent="0.2">
      <c r="A3" s="35"/>
      <c r="B3" s="35"/>
      <c r="C3" s="22"/>
      <c r="D3" s="23" t="s">
        <v>23</v>
      </c>
      <c r="E3" s="41">
        <v>1750905</v>
      </c>
      <c r="F3" s="23" t="s">
        <v>24</v>
      </c>
      <c r="G3" s="23">
        <f>+H3*8</f>
        <v>29.286153846153848</v>
      </c>
      <c r="H3" s="25">
        <f>47.59/13</f>
        <v>3.660769230769231</v>
      </c>
      <c r="I3" s="23">
        <f>+H3*12</f>
        <v>43.92923076923077</v>
      </c>
      <c r="J3" s="24">
        <f>+H3*6</f>
        <v>21.964615384615385</v>
      </c>
      <c r="K3" s="23"/>
    </row>
    <row r="4" spans="1:11" ht="14.25" x14ac:dyDescent="0.2">
      <c r="A4" s="35"/>
      <c r="B4" s="35"/>
      <c r="C4" s="22"/>
      <c r="D4" s="23" t="s">
        <v>25</v>
      </c>
      <c r="E4" s="23">
        <v>9.85</v>
      </c>
      <c r="F4" s="23" t="s">
        <v>26</v>
      </c>
      <c r="G4" s="23"/>
      <c r="H4" s="25">
        <f>52.41/11</f>
        <v>4.7645454545454546</v>
      </c>
      <c r="I4" s="23">
        <f>+((H3*3)+(H4*9))</f>
        <v>53.863216783216785</v>
      </c>
      <c r="J4" s="24"/>
      <c r="K4" s="27"/>
    </row>
    <row r="5" spans="1:11" ht="14.25" x14ac:dyDescent="0.2">
      <c r="A5" s="35"/>
      <c r="B5" s="35"/>
      <c r="C5" s="22"/>
      <c r="D5" s="26" t="s">
        <v>27</v>
      </c>
      <c r="E5" s="36">
        <f>+E3*E4</f>
        <v>17246414.25</v>
      </c>
      <c r="F5" s="27"/>
      <c r="G5" s="27"/>
      <c r="H5" s="27"/>
      <c r="I5" s="27"/>
      <c r="J5" s="27"/>
      <c r="K5" s="27"/>
    </row>
    <row r="6" spans="1:11" ht="15" x14ac:dyDescent="0.2">
      <c r="A6" s="82" t="s">
        <v>28</v>
      </c>
      <c r="B6" s="83"/>
      <c r="C6" s="84"/>
      <c r="D6" s="23" t="s">
        <v>29</v>
      </c>
      <c r="E6" s="36">
        <f>+E5/30</f>
        <v>574880.47499999998</v>
      </c>
      <c r="F6" s="27"/>
      <c r="G6" s="27" t="s">
        <v>59</v>
      </c>
      <c r="H6" s="70">
        <f>+H4*11</f>
        <v>52.410000000000004</v>
      </c>
      <c r="I6" s="27"/>
      <c r="J6" s="27"/>
      <c r="K6" s="27"/>
    </row>
    <row r="7" spans="1:11" ht="14.25" x14ac:dyDescent="0.2">
      <c r="A7" s="86" t="s">
        <v>30</v>
      </c>
      <c r="B7" s="86"/>
      <c r="C7" s="86"/>
      <c r="D7" s="23">
        <v>20</v>
      </c>
      <c r="E7" s="37">
        <f>+$E$6*D7</f>
        <v>11497609.5</v>
      </c>
      <c r="F7" s="27"/>
      <c r="G7" s="27"/>
      <c r="H7" s="28"/>
      <c r="I7" s="27"/>
      <c r="J7" s="27"/>
      <c r="K7" s="27"/>
    </row>
    <row r="8" spans="1:11" ht="14.25" x14ac:dyDescent="0.2">
      <c r="A8" s="81" t="s">
        <v>31</v>
      </c>
      <c r="B8" s="81"/>
      <c r="C8" s="81"/>
      <c r="D8" s="23">
        <v>24</v>
      </c>
      <c r="E8" s="37">
        <f t="shared" ref="E8:E13" si="0">+$E$6*D8</f>
        <v>13797131.399999999</v>
      </c>
      <c r="F8" s="27"/>
      <c r="G8" s="27"/>
      <c r="H8" s="27"/>
      <c r="I8" s="27"/>
      <c r="J8" s="27"/>
      <c r="K8" s="27"/>
    </row>
    <row r="9" spans="1:11" ht="14.25" x14ac:dyDescent="0.2">
      <c r="A9" s="81" t="s">
        <v>32</v>
      </c>
      <c r="B9" s="81"/>
      <c r="C9" s="81"/>
      <c r="D9" s="23">
        <v>22</v>
      </c>
      <c r="E9" s="37">
        <f t="shared" si="0"/>
        <v>12647370.449999999</v>
      </c>
      <c r="F9" s="27"/>
      <c r="G9" s="27"/>
      <c r="H9" s="29"/>
      <c r="I9" s="27"/>
      <c r="J9" s="27"/>
      <c r="K9" s="27"/>
    </row>
    <row r="10" spans="1:11" ht="15" x14ac:dyDescent="0.2">
      <c r="A10" s="81" t="s">
        <v>33</v>
      </c>
      <c r="B10" s="81"/>
      <c r="C10" s="81"/>
      <c r="D10" s="23">
        <v>26</v>
      </c>
      <c r="E10" s="37">
        <f t="shared" si="0"/>
        <v>14946892.35</v>
      </c>
      <c r="F10" s="27"/>
      <c r="G10" s="27" t="s">
        <v>61</v>
      </c>
      <c r="H10" s="70">
        <f>+H3*13</f>
        <v>47.59</v>
      </c>
      <c r="I10" s="27"/>
      <c r="J10" s="27"/>
      <c r="K10" s="27"/>
    </row>
    <row r="11" spans="1:11" ht="14.25" x14ac:dyDescent="0.2">
      <c r="A11" s="81" t="s">
        <v>34</v>
      </c>
      <c r="B11" s="81"/>
      <c r="C11" s="81"/>
      <c r="D11" s="23">
        <v>8</v>
      </c>
      <c r="E11" s="37">
        <f t="shared" si="0"/>
        <v>4599043.8</v>
      </c>
      <c r="F11" s="27"/>
      <c r="G11" s="27"/>
      <c r="H11" s="30"/>
      <c r="I11" s="27"/>
      <c r="J11" s="27"/>
      <c r="K11" s="27"/>
    </row>
    <row r="12" spans="1:11" ht="14.25" x14ac:dyDescent="0.2">
      <c r="A12" s="81" t="s">
        <v>35</v>
      </c>
      <c r="B12" s="81"/>
      <c r="C12" s="81"/>
      <c r="D12" s="23">
        <v>10</v>
      </c>
      <c r="E12" s="37">
        <f t="shared" si="0"/>
        <v>5748804.75</v>
      </c>
      <c r="F12" s="27"/>
      <c r="G12" s="27"/>
      <c r="H12" s="30"/>
      <c r="I12" s="27"/>
      <c r="J12" s="27"/>
      <c r="K12" s="27"/>
    </row>
    <row r="13" spans="1:11" ht="14.25" x14ac:dyDescent="0.2">
      <c r="A13" s="82" t="s">
        <v>36</v>
      </c>
      <c r="B13" s="83"/>
      <c r="C13" s="84"/>
      <c r="D13" s="23">
        <v>4</v>
      </c>
      <c r="E13" s="37">
        <f t="shared" si="0"/>
        <v>2299521.9</v>
      </c>
      <c r="F13" s="27"/>
      <c r="G13" s="27"/>
      <c r="H13" s="27"/>
      <c r="I13" s="27"/>
      <c r="J13" s="27"/>
    </row>
    <row r="14" spans="1:11" ht="14.25" x14ac:dyDescent="0.2">
      <c r="A14" s="82" t="s">
        <v>41</v>
      </c>
      <c r="B14" s="83" t="s">
        <v>41</v>
      </c>
      <c r="C14" s="84"/>
      <c r="D14" s="23">
        <v>1</v>
      </c>
      <c r="E14" s="37">
        <v>1800</v>
      </c>
    </row>
    <row r="15" spans="1:11" x14ac:dyDescent="0.2">
      <c r="H15" s="42"/>
    </row>
    <row r="16" spans="1:11" ht="46.5" customHeight="1" x14ac:dyDescent="0.2">
      <c r="A16" s="85" t="s">
        <v>15</v>
      </c>
      <c r="B16" s="85"/>
      <c r="C16" s="85"/>
      <c r="D16" s="85"/>
      <c r="E16" s="85"/>
      <c r="F16" s="85"/>
    </row>
    <row r="17" spans="1:9" ht="46.5" customHeight="1" x14ac:dyDescent="0.2">
      <c r="A17" s="74" t="s">
        <v>43</v>
      </c>
      <c r="B17" s="74"/>
      <c r="C17" s="74"/>
      <c r="D17" s="74"/>
      <c r="E17" s="74"/>
      <c r="F17" s="74"/>
    </row>
    <row r="18" spans="1:9" x14ac:dyDescent="0.2">
      <c r="A18" s="1" t="s">
        <v>42</v>
      </c>
    </row>
    <row r="19" spans="1:9" x14ac:dyDescent="0.2">
      <c r="A19" s="75" t="s">
        <v>6</v>
      </c>
      <c r="B19" s="76"/>
      <c r="C19" s="76"/>
      <c r="D19" s="76"/>
      <c r="E19" s="76"/>
      <c r="F19" s="76"/>
    </row>
    <row r="20" spans="1:9" ht="26.25" customHeight="1" x14ac:dyDescent="0.2">
      <c r="A20" s="76"/>
      <c r="B20" s="76"/>
      <c r="C20" s="76"/>
      <c r="D20" s="76"/>
      <c r="E20" s="76"/>
      <c r="F20" s="76"/>
    </row>
    <row r="21" spans="1:9" ht="13.5" thickBot="1" x14ac:dyDescent="0.25"/>
    <row r="22" spans="1:9" ht="39" thickBot="1" x14ac:dyDescent="0.25">
      <c r="A22" s="15" t="s">
        <v>0</v>
      </c>
      <c r="B22" s="56" t="s">
        <v>1</v>
      </c>
      <c r="C22" s="16" t="s">
        <v>8</v>
      </c>
      <c r="D22" s="17" t="s">
        <v>9</v>
      </c>
      <c r="E22" s="77" t="s">
        <v>5</v>
      </c>
      <c r="F22" s="78"/>
    </row>
    <row r="23" spans="1:9" ht="54.75" customHeight="1" thickBot="1" x14ac:dyDescent="0.25">
      <c r="A23" s="12">
        <v>2</v>
      </c>
      <c r="B23" s="54" t="s">
        <v>12</v>
      </c>
      <c r="C23" s="19">
        <f>+E5/30*14</f>
        <v>8048326.6499999994</v>
      </c>
      <c r="D23" s="13">
        <f>+C23*A23</f>
        <v>16096653.299999999</v>
      </c>
      <c r="E23" s="79" t="s">
        <v>45</v>
      </c>
      <c r="F23" s="80"/>
      <c r="G23" s="32"/>
    </row>
    <row r="24" spans="1:9" ht="53.25" customHeight="1" thickBot="1" x14ac:dyDescent="0.25">
      <c r="A24" s="14">
        <v>2</v>
      </c>
      <c r="B24" s="50" t="s">
        <v>40</v>
      </c>
      <c r="C24" s="8">
        <f>+(E7*I3%)/20*10</f>
        <v>2525405.7050999999</v>
      </c>
      <c r="D24" s="21">
        <f>+C24*A24</f>
        <v>5050811.4101999998</v>
      </c>
      <c r="E24" s="79" t="s">
        <v>45</v>
      </c>
      <c r="F24" s="80"/>
      <c r="G24" s="40"/>
      <c r="I24" s="40"/>
    </row>
    <row r="25" spans="1:9" ht="51.75" customHeight="1" x14ac:dyDescent="0.2">
      <c r="A25" s="14">
        <v>1</v>
      </c>
      <c r="B25" s="50" t="s">
        <v>4</v>
      </c>
      <c r="C25" s="8">
        <f>+((E7*((H3*13)+(H4*2))%))/20*10</f>
        <v>3283665.0113386372</v>
      </c>
      <c r="D25" s="21">
        <f>+C25*A25</f>
        <v>3283665.0113386372</v>
      </c>
      <c r="E25" s="79" t="s">
        <v>45</v>
      </c>
      <c r="F25" s="80"/>
      <c r="G25" s="40"/>
    </row>
    <row r="26" spans="1:9" ht="66.75" customHeight="1" thickBot="1" x14ac:dyDescent="0.25">
      <c r="A26" s="18">
        <v>10</v>
      </c>
      <c r="B26" s="53" t="s">
        <v>16</v>
      </c>
      <c r="C26" s="20">
        <v>1800</v>
      </c>
      <c r="D26" s="38">
        <f>+C26/30*14*A26</f>
        <v>8400</v>
      </c>
      <c r="E26" s="72" t="s">
        <v>64</v>
      </c>
      <c r="F26" s="73"/>
    </row>
    <row r="27" spans="1:9" x14ac:dyDescent="0.2">
      <c r="A27" s="55"/>
      <c r="B27" s="49"/>
      <c r="C27" s="2"/>
      <c r="D27" s="2"/>
      <c r="E27" s="3"/>
    </row>
    <row r="28" spans="1:9" x14ac:dyDescent="0.2">
      <c r="A28" s="7" t="s">
        <v>2</v>
      </c>
      <c r="B28" s="6">
        <f>SUM(D23:D26)</f>
        <v>24439529.721538633</v>
      </c>
    </row>
    <row r="29" spans="1:9" x14ac:dyDescent="0.2">
      <c r="A29" s="7" t="s">
        <v>10</v>
      </c>
      <c r="B29" s="10">
        <f>+B28*8%</f>
        <v>1955162.3777230906</v>
      </c>
      <c r="C29" s="31"/>
      <c r="G29" s="4"/>
    </row>
    <row r="30" spans="1:9" ht="25.5" x14ac:dyDescent="0.2">
      <c r="A30" s="9" t="s">
        <v>11</v>
      </c>
      <c r="B30" s="10">
        <f>+(B28+B29)*10%</f>
        <v>2639469.2099261726</v>
      </c>
      <c r="C30" s="59"/>
      <c r="D30" s="71" t="s">
        <v>49</v>
      </c>
      <c r="E30" s="71"/>
      <c r="F30" s="71"/>
      <c r="G30" s="4"/>
    </row>
    <row r="31" spans="1:9" x14ac:dyDescent="0.2">
      <c r="A31" s="7" t="s">
        <v>7</v>
      </c>
      <c r="B31" s="10">
        <f>+B30*19%</f>
        <v>501499.14988597279</v>
      </c>
      <c r="C31" s="57"/>
    </row>
    <row r="32" spans="1:9" x14ac:dyDescent="0.2">
      <c r="A32" s="7" t="s">
        <v>3</v>
      </c>
      <c r="B32" s="10">
        <f>+(B31+B29+B28)</f>
        <v>26896191.249147698</v>
      </c>
      <c r="C32" s="58"/>
    </row>
    <row r="33" spans="1:10" x14ac:dyDescent="0.2">
      <c r="A33" s="5"/>
      <c r="B33" s="11"/>
      <c r="C33" s="59"/>
    </row>
    <row r="34" spans="1:10" x14ac:dyDescent="0.2">
      <c r="A34" s="5"/>
      <c r="B34" s="11"/>
    </row>
    <row r="35" spans="1:10" x14ac:dyDescent="0.2">
      <c r="A35" s="5"/>
      <c r="B35" s="11"/>
      <c r="E35" s="39"/>
      <c r="F35" s="39"/>
    </row>
    <row r="36" spans="1:10" x14ac:dyDescent="0.2">
      <c r="A36" s="5"/>
      <c r="B36" s="11"/>
      <c r="E36" s="39"/>
      <c r="F36" s="39"/>
    </row>
    <row r="37" spans="1:10" ht="39" customHeight="1" x14ac:dyDescent="0.2">
      <c r="A37" s="74" t="s">
        <v>39</v>
      </c>
      <c r="B37" s="74"/>
      <c r="C37" s="74"/>
      <c r="D37" s="74"/>
      <c r="E37" s="74"/>
      <c r="F37" s="74"/>
    </row>
    <row r="39" spans="1:10" x14ac:dyDescent="0.2">
      <c r="A39" s="75" t="s">
        <v>13</v>
      </c>
      <c r="B39" s="76"/>
      <c r="C39" s="76"/>
      <c r="D39" s="76"/>
      <c r="E39" s="76"/>
      <c r="F39" s="76"/>
    </row>
    <row r="40" spans="1:10" x14ac:dyDescent="0.2">
      <c r="A40" s="76"/>
      <c r="B40" s="76"/>
      <c r="C40" s="76"/>
      <c r="D40" s="76"/>
      <c r="E40" s="76"/>
      <c r="F40" s="76"/>
    </row>
    <row r="41" spans="1:10" ht="13.5" thickBot="1" x14ac:dyDescent="0.25"/>
    <row r="42" spans="1:10" ht="39" thickBot="1" x14ac:dyDescent="0.25">
      <c r="A42" s="15" t="s">
        <v>0</v>
      </c>
      <c r="B42" s="56" t="s">
        <v>1</v>
      </c>
      <c r="C42" s="16" t="s">
        <v>8</v>
      </c>
      <c r="D42" s="17" t="s">
        <v>9</v>
      </c>
      <c r="E42" s="77" t="s">
        <v>5</v>
      </c>
      <c r="F42" s="78"/>
      <c r="I42" s="34"/>
      <c r="J42" s="34"/>
    </row>
    <row r="43" spans="1:10" ht="50.25" customHeight="1" x14ac:dyDescent="0.2">
      <c r="A43" s="12">
        <v>1</v>
      </c>
      <c r="B43" s="54" t="s">
        <v>12</v>
      </c>
      <c r="C43" s="19">
        <f>+E5/30*14</f>
        <v>8048326.6499999994</v>
      </c>
      <c r="D43" s="13">
        <f>+C43*A43</f>
        <v>8048326.6499999994</v>
      </c>
      <c r="E43" s="79" t="s">
        <v>45</v>
      </c>
      <c r="F43" s="80"/>
      <c r="I43" s="34"/>
      <c r="J43" s="34"/>
    </row>
    <row r="44" spans="1:10" ht="34.5" customHeight="1" thickBot="1" x14ac:dyDescent="0.25">
      <c r="A44" s="18">
        <v>3</v>
      </c>
      <c r="B44" s="53" t="s">
        <v>16</v>
      </c>
      <c r="C44" s="20">
        <v>1800</v>
      </c>
      <c r="D44" s="20">
        <f>+C44/30*14*A44</f>
        <v>2520</v>
      </c>
      <c r="E44" s="72" t="s">
        <v>64</v>
      </c>
      <c r="F44" s="73"/>
      <c r="I44" s="34">
        <v>2000</v>
      </c>
      <c r="J44" s="34"/>
    </row>
    <row r="45" spans="1:10" x14ac:dyDescent="0.2">
      <c r="A45" s="55"/>
      <c r="B45" s="49"/>
      <c r="C45" s="2"/>
      <c r="D45" s="2"/>
      <c r="E45" s="3"/>
      <c r="I45" s="34"/>
      <c r="J45" s="34"/>
    </row>
    <row r="46" spans="1:10" x14ac:dyDescent="0.2">
      <c r="A46" s="7" t="s">
        <v>2</v>
      </c>
      <c r="B46" s="6">
        <f>SUM(D43:D44)</f>
        <v>8050846.6499999994</v>
      </c>
      <c r="I46" s="34"/>
      <c r="J46" s="34"/>
    </row>
    <row r="47" spans="1:10" x14ac:dyDescent="0.2">
      <c r="A47" s="7" t="s">
        <v>10</v>
      </c>
      <c r="B47" s="10">
        <f>+B46*8%</f>
        <v>644067.73199999996</v>
      </c>
      <c r="C47" s="32"/>
      <c r="I47" s="34"/>
      <c r="J47" s="34"/>
    </row>
    <row r="48" spans="1:10" ht="25.5" x14ac:dyDescent="0.2">
      <c r="A48" s="9" t="s">
        <v>11</v>
      </c>
      <c r="B48" s="10">
        <f>+(B46+B47)*10%</f>
        <v>869491.43819999998</v>
      </c>
      <c r="C48" s="59"/>
      <c r="D48" s="71" t="s">
        <v>50</v>
      </c>
      <c r="E48" s="71"/>
      <c r="F48" s="71"/>
      <c r="I48" s="34"/>
      <c r="J48" s="34"/>
    </row>
    <row r="49" spans="1:10" x14ac:dyDescent="0.2">
      <c r="A49" s="7" t="s">
        <v>7</v>
      </c>
      <c r="B49" s="10">
        <f>+B48*19%</f>
        <v>165203.37325800001</v>
      </c>
      <c r="C49" s="57"/>
      <c r="I49" s="34"/>
      <c r="J49" s="34"/>
    </row>
    <row r="50" spans="1:10" x14ac:dyDescent="0.2">
      <c r="A50" s="7" t="s">
        <v>3</v>
      </c>
      <c r="B50" s="10">
        <f>+(B46+B47+B49)</f>
        <v>8860117.7552579995</v>
      </c>
      <c r="C50" s="58"/>
      <c r="I50" s="34"/>
      <c r="J50" s="34"/>
    </row>
    <row r="51" spans="1:10" x14ac:dyDescent="0.2">
      <c r="A51" s="5"/>
      <c r="B51" s="11"/>
      <c r="C51" s="59"/>
      <c r="I51" s="34"/>
      <c r="J51" s="34"/>
    </row>
    <row r="52" spans="1:10" x14ac:dyDescent="0.2">
      <c r="A52" s="5"/>
      <c r="B52" s="11"/>
      <c r="I52" s="34"/>
      <c r="J52" s="34"/>
    </row>
    <row r="53" spans="1:10" ht="33" customHeight="1" x14ac:dyDescent="0.2">
      <c r="A53" s="74" t="s">
        <v>39</v>
      </c>
      <c r="B53" s="74"/>
      <c r="C53" s="74"/>
      <c r="D53" s="74"/>
      <c r="E53" s="74"/>
      <c r="F53" s="74"/>
      <c r="I53" s="34"/>
      <c r="J53" s="34"/>
    </row>
    <row r="54" spans="1:10" x14ac:dyDescent="0.2">
      <c r="I54" s="34"/>
      <c r="J54" s="34"/>
    </row>
    <row r="55" spans="1:10" x14ac:dyDescent="0.2">
      <c r="A55" s="75" t="s">
        <v>14</v>
      </c>
      <c r="B55" s="76"/>
      <c r="C55" s="76"/>
      <c r="D55" s="76"/>
      <c r="E55" s="76"/>
      <c r="F55" s="76"/>
      <c r="I55" s="34"/>
      <c r="J55" s="34"/>
    </row>
    <row r="56" spans="1:10" x14ac:dyDescent="0.2">
      <c r="A56" s="76"/>
      <c r="B56" s="76"/>
      <c r="C56" s="76"/>
      <c r="D56" s="76"/>
      <c r="E56" s="76"/>
      <c r="F56" s="76"/>
      <c r="I56" s="34"/>
      <c r="J56" s="34"/>
    </row>
    <row r="57" spans="1:10" ht="13.5" thickBot="1" x14ac:dyDescent="0.25">
      <c r="I57" s="34"/>
      <c r="J57" s="34"/>
    </row>
    <row r="58" spans="1:10" ht="39" thickBot="1" x14ac:dyDescent="0.25">
      <c r="A58" s="15" t="s">
        <v>0</v>
      </c>
      <c r="B58" s="56" t="s">
        <v>1</v>
      </c>
      <c r="C58" s="16" t="s">
        <v>8</v>
      </c>
      <c r="D58" s="17" t="s">
        <v>9</v>
      </c>
      <c r="E58" s="77" t="s">
        <v>5</v>
      </c>
      <c r="F58" s="78"/>
      <c r="I58" s="34"/>
      <c r="J58" s="34"/>
    </row>
    <row r="59" spans="1:10" ht="66" customHeight="1" x14ac:dyDescent="0.2">
      <c r="A59" s="12">
        <v>1</v>
      </c>
      <c r="B59" s="54" t="s">
        <v>12</v>
      </c>
      <c r="C59" s="19">
        <f>+E5/30*14</f>
        <v>8048326.6499999994</v>
      </c>
      <c r="D59" s="19">
        <f>+C59*A59</f>
        <v>8048326.6499999994</v>
      </c>
      <c r="E59" s="79" t="s">
        <v>45</v>
      </c>
      <c r="F59" s="80"/>
      <c r="I59" s="34">
        <v>2000</v>
      </c>
      <c r="J59" s="34"/>
    </row>
    <row r="60" spans="1:10" ht="35.25" customHeight="1" thickBot="1" x14ac:dyDescent="0.25">
      <c r="A60" s="18">
        <v>3</v>
      </c>
      <c r="B60" s="53" t="s">
        <v>16</v>
      </c>
      <c r="C60" s="20">
        <v>1800</v>
      </c>
      <c r="D60" s="20">
        <f>+C60/30*14*A60</f>
        <v>2520</v>
      </c>
      <c r="E60" s="72" t="s">
        <v>64</v>
      </c>
      <c r="F60" s="73"/>
    </row>
    <row r="61" spans="1:10" x14ac:dyDescent="0.2">
      <c r="A61" s="55"/>
      <c r="B61" s="49"/>
      <c r="C61" s="2"/>
      <c r="D61" s="2"/>
      <c r="E61" s="3"/>
    </row>
    <row r="62" spans="1:10" x14ac:dyDescent="0.2">
      <c r="A62" s="7" t="s">
        <v>2</v>
      </c>
      <c r="B62" s="6">
        <f>+D59+D60</f>
        <v>8050846.6499999994</v>
      </c>
    </row>
    <row r="63" spans="1:10" x14ac:dyDescent="0.2">
      <c r="A63" s="7" t="s">
        <v>10</v>
      </c>
      <c r="B63" s="10">
        <f>+B62*8%</f>
        <v>644067.73199999996</v>
      </c>
    </row>
    <row r="64" spans="1:10" ht="25.5" x14ac:dyDescent="0.2">
      <c r="A64" s="9" t="s">
        <v>11</v>
      </c>
      <c r="B64" s="10">
        <f>+(B62+B63)*10%</f>
        <v>869491.43819999998</v>
      </c>
      <c r="C64" s="59"/>
      <c r="D64" s="71" t="s">
        <v>50</v>
      </c>
      <c r="E64" s="71"/>
      <c r="F64" s="71"/>
    </row>
    <row r="65" spans="1:10" x14ac:dyDescent="0.2">
      <c r="A65" s="7" t="s">
        <v>7</v>
      </c>
      <c r="B65" s="10">
        <f>+B64*19%</f>
        <v>165203.37325800001</v>
      </c>
      <c r="C65" s="59"/>
    </row>
    <row r="66" spans="1:10" ht="17.25" customHeight="1" x14ac:dyDescent="0.2">
      <c r="A66" s="7" t="s">
        <v>3</v>
      </c>
      <c r="B66" s="10">
        <f>+(B62+B63+B65)</f>
        <v>8860117.7552579995</v>
      </c>
      <c r="C66" s="58"/>
    </row>
    <row r="67" spans="1:10" ht="17.25" customHeight="1" x14ac:dyDescent="0.2">
      <c r="A67" s="62"/>
      <c r="B67" s="11"/>
      <c r="C67" s="58"/>
    </row>
    <row r="68" spans="1:10" ht="17.25" customHeight="1" x14ac:dyDescent="0.2">
      <c r="A68" s="5" t="s">
        <v>3</v>
      </c>
      <c r="B68" s="63">
        <f>+B66+B50+B32</f>
        <v>44616426.759663701</v>
      </c>
      <c r="C68" s="57"/>
    </row>
    <row r="69" spans="1:10" ht="33" customHeight="1" x14ac:dyDescent="0.2">
      <c r="A69" s="74"/>
      <c r="B69" s="74"/>
      <c r="C69" s="74"/>
      <c r="D69" s="74"/>
      <c r="E69" s="74"/>
      <c r="F69" s="74"/>
      <c r="I69" s="34"/>
      <c r="J69" s="34"/>
    </row>
    <row r="70" spans="1:10" x14ac:dyDescent="0.2">
      <c r="I70" s="34"/>
      <c r="J70" s="34"/>
    </row>
    <row r="71" spans="1:10" ht="17.25" customHeight="1" x14ac:dyDescent="0.2">
      <c r="A71" s="5"/>
      <c r="B71" s="61"/>
    </row>
    <row r="73" spans="1:10" hidden="1" x14ac:dyDescent="0.2"/>
    <row r="74" spans="1:10" hidden="1" x14ac:dyDescent="0.2"/>
    <row r="75" spans="1:10" hidden="1" x14ac:dyDescent="0.2">
      <c r="A75" s="1" t="s">
        <v>38</v>
      </c>
      <c r="B75" s="31">
        <f>+B32+B50+B66</f>
        <v>44616426.759663701</v>
      </c>
    </row>
    <row r="76" spans="1:10" hidden="1" x14ac:dyDescent="0.2">
      <c r="A76" s="1" t="s">
        <v>37</v>
      </c>
      <c r="B76" s="31" t="e">
        <f>+#REF!+#REF!+#REF!+#REF!</f>
        <v>#REF!</v>
      </c>
    </row>
    <row r="77" spans="1:10" hidden="1" x14ac:dyDescent="0.2">
      <c r="B77" s="31" t="e">
        <f>+B75+B76</f>
        <v>#REF!</v>
      </c>
    </row>
  </sheetData>
  <mergeCells count="32">
    <mergeCell ref="A17:F17"/>
    <mergeCell ref="D2:E2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6:F16"/>
    <mergeCell ref="E44:F44"/>
    <mergeCell ref="A19:F20"/>
    <mergeCell ref="E22:F22"/>
    <mergeCell ref="E23:F23"/>
    <mergeCell ref="E24:F24"/>
    <mergeCell ref="E25:F25"/>
    <mergeCell ref="E26:F26"/>
    <mergeCell ref="D30:F30"/>
    <mergeCell ref="A37:F37"/>
    <mergeCell ref="A39:F40"/>
    <mergeCell ref="E42:F42"/>
    <mergeCell ref="E43:F43"/>
    <mergeCell ref="D64:F64"/>
    <mergeCell ref="A69:F69"/>
    <mergeCell ref="D48:F48"/>
    <mergeCell ref="A53:F53"/>
    <mergeCell ref="A55:F56"/>
    <mergeCell ref="E58:F58"/>
    <mergeCell ref="E59:F59"/>
    <mergeCell ref="E60:F60"/>
  </mergeCells>
  <pageMargins left="0.70866141732283472" right="0.70866141732283472" top="0.74803149606299213" bottom="0.74803149606299213" header="0.31496062992125984" footer="0.31496062992125984"/>
  <pageSetup scale="3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  <pageSetUpPr fitToPage="1"/>
  </sheetPr>
  <dimension ref="A2:K77"/>
  <sheetViews>
    <sheetView showGridLines="0" topLeftCell="A44" zoomScale="110" zoomScaleNormal="110" zoomScaleSheetLayoutView="85" workbookViewId="0">
      <selection activeCell="I55" sqref="I55"/>
    </sheetView>
  </sheetViews>
  <sheetFormatPr baseColWidth="10" defaultColWidth="11" defaultRowHeight="12.75" x14ac:dyDescent="0.2"/>
  <cols>
    <col min="1" max="1" width="28.5" style="1" customWidth="1"/>
    <col min="2" max="2" width="57" style="1" customWidth="1"/>
    <col min="3" max="3" width="15.25" style="1" customWidth="1"/>
    <col min="4" max="4" width="16.625" style="1" customWidth="1"/>
    <col min="5" max="5" width="15.25" style="1" customWidth="1"/>
    <col min="6" max="6" width="17.625" style="1" customWidth="1"/>
    <col min="7" max="7" width="23" style="1" customWidth="1"/>
    <col min="8" max="8" width="11" style="1" customWidth="1"/>
    <col min="9" max="9" width="13" style="1" bestFit="1" customWidth="1"/>
    <col min="10" max="11" width="11" style="1" customWidth="1"/>
    <col min="12" max="16384" width="11" style="1"/>
  </cols>
  <sheetData>
    <row r="2" spans="1:11" ht="14.25" x14ac:dyDescent="0.2">
      <c r="A2" s="35"/>
      <c r="B2" s="35"/>
      <c r="C2" s="22"/>
      <c r="D2" s="81" t="s">
        <v>17</v>
      </c>
      <c r="E2" s="81"/>
      <c r="F2" s="23" t="s">
        <v>18</v>
      </c>
      <c r="G2" s="23" t="s">
        <v>19</v>
      </c>
      <c r="H2" s="23" t="s">
        <v>20</v>
      </c>
      <c r="I2" s="23" t="s">
        <v>21</v>
      </c>
      <c r="J2" s="24" t="s">
        <v>22</v>
      </c>
      <c r="K2" s="23"/>
    </row>
    <row r="3" spans="1:11" ht="14.25" x14ac:dyDescent="0.2">
      <c r="A3" s="35"/>
      <c r="B3" s="35"/>
      <c r="C3" s="22"/>
      <c r="D3" s="23" t="s">
        <v>23</v>
      </c>
      <c r="E3" s="41">
        <v>1750905</v>
      </c>
      <c r="F3" s="23" t="s">
        <v>24</v>
      </c>
      <c r="G3" s="23">
        <f>+H3*8</f>
        <v>29.286153846153848</v>
      </c>
      <c r="H3" s="25">
        <f>47.59/13</f>
        <v>3.660769230769231</v>
      </c>
      <c r="I3" s="23">
        <f>+H3*12</f>
        <v>43.92923076923077</v>
      </c>
      <c r="J3" s="24">
        <f>+H3*6</f>
        <v>21.964615384615385</v>
      </c>
      <c r="K3" s="23"/>
    </row>
    <row r="4" spans="1:11" ht="14.25" x14ac:dyDescent="0.2">
      <c r="A4" s="35"/>
      <c r="B4" s="35"/>
      <c r="C4" s="22"/>
      <c r="D4" s="23" t="s">
        <v>25</v>
      </c>
      <c r="E4" s="23">
        <v>10.210000000000001</v>
      </c>
      <c r="F4" s="23" t="s">
        <v>26</v>
      </c>
      <c r="G4" s="23"/>
      <c r="H4" s="25">
        <f>52.41/11</f>
        <v>4.7645454545454546</v>
      </c>
      <c r="I4" s="23">
        <f>+((H3*3)+(H4*9))</f>
        <v>53.863216783216785</v>
      </c>
      <c r="J4" s="24"/>
      <c r="K4" s="27"/>
    </row>
    <row r="5" spans="1:11" ht="14.25" x14ac:dyDescent="0.2">
      <c r="A5" s="35"/>
      <c r="B5" s="35"/>
      <c r="C5" s="22"/>
      <c r="D5" s="26" t="s">
        <v>27</v>
      </c>
      <c r="E5" s="36">
        <f>+E3*E4</f>
        <v>17876740.050000001</v>
      </c>
      <c r="F5" s="27"/>
      <c r="G5" s="27"/>
      <c r="H5" s="27"/>
      <c r="I5" s="27"/>
      <c r="J5" s="27"/>
      <c r="K5" s="27"/>
    </row>
    <row r="6" spans="1:11" ht="15" x14ac:dyDescent="0.2">
      <c r="A6" s="82" t="s">
        <v>28</v>
      </c>
      <c r="B6" s="83"/>
      <c r="C6" s="84"/>
      <c r="D6" s="23" t="s">
        <v>29</v>
      </c>
      <c r="E6" s="36">
        <f>+E5/30</f>
        <v>595891.33500000008</v>
      </c>
      <c r="F6" s="27"/>
      <c r="G6" s="27" t="s">
        <v>59</v>
      </c>
      <c r="H6" s="70">
        <f>+H4*11</f>
        <v>52.410000000000004</v>
      </c>
      <c r="I6" s="27"/>
      <c r="J6" s="27"/>
      <c r="K6" s="27"/>
    </row>
    <row r="7" spans="1:11" ht="14.25" x14ac:dyDescent="0.2">
      <c r="A7" s="86" t="s">
        <v>30</v>
      </c>
      <c r="B7" s="86"/>
      <c r="C7" s="86"/>
      <c r="D7" s="23">
        <v>20</v>
      </c>
      <c r="E7" s="37">
        <f>+$E$6*D7</f>
        <v>11917826.700000001</v>
      </c>
      <c r="F7" s="27"/>
      <c r="G7" s="27"/>
      <c r="H7" s="28"/>
      <c r="I7" s="27"/>
      <c r="J7" s="27"/>
      <c r="K7" s="27"/>
    </row>
    <row r="8" spans="1:11" ht="14.25" x14ac:dyDescent="0.2">
      <c r="A8" s="81" t="s">
        <v>31</v>
      </c>
      <c r="B8" s="81"/>
      <c r="C8" s="81"/>
      <c r="D8" s="23">
        <v>24</v>
      </c>
      <c r="E8" s="37">
        <f t="shared" ref="E8:E13" si="0">+$E$6*D8</f>
        <v>14301392.040000003</v>
      </c>
      <c r="F8" s="27"/>
      <c r="G8" s="27"/>
      <c r="H8" s="27"/>
      <c r="I8" s="27"/>
      <c r="J8" s="27"/>
      <c r="K8" s="27"/>
    </row>
    <row r="9" spans="1:11" ht="14.25" x14ac:dyDescent="0.2">
      <c r="A9" s="81" t="s">
        <v>32</v>
      </c>
      <c r="B9" s="81"/>
      <c r="C9" s="81"/>
      <c r="D9" s="23">
        <v>22</v>
      </c>
      <c r="E9" s="37">
        <f t="shared" si="0"/>
        <v>13109609.370000001</v>
      </c>
      <c r="F9" s="27"/>
      <c r="G9" s="27"/>
      <c r="H9" s="29"/>
      <c r="I9" s="27"/>
      <c r="J9" s="27"/>
      <c r="K9" s="27"/>
    </row>
    <row r="10" spans="1:11" ht="15" x14ac:dyDescent="0.2">
      <c r="A10" s="81" t="s">
        <v>33</v>
      </c>
      <c r="B10" s="81"/>
      <c r="C10" s="81"/>
      <c r="D10" s="23">
        <v>26</v>
      </c>
      <c r="E10" s="37">
        <f t="shared" si="0"/>
        <v>15493174.710000003</v>
      </c>
      <c r="F10" s="27"/>
      <c r="G10" s="27" t="s">
        <v>60</v>
      </c>
      <c r="H10" s="70">
        <f>+H3*13</f>
        <v>47.59</v>
      </c>
      <c r="I10" s="27"/>
      <c r="J10" s="27"/>
      <c r="K10" s="27"/>
    </row>
    <row r="11" spans="1:11" ht="14.25" x14ac:dyDescent="0.2">
      <c r="A11" s="81" t="s">
        <v>34</v>
      </c>
      <c r="B11" s="81"/>
      <c r="C11" s="81"/>
      <c r="D11" s="23">
        <v>8</v>
      </c>
      <c r="E11" s="37">
        <f t="shared" si="0"/>
        <v>4767130.6800000006</v>
      </c>
      <c r="F11" s="27"/>
      <c r="G11" s="27"/>
      <c r="H11" s="30"/>
      <c r="I11" s="27"/>
      <c r="J11" s="27"/>
      <c r="K11" s="27"/>
    </row>
    <row r="12" spans="1:11" ht="14.25" x14ac:dyDescent="0.2">
      <c r="A12" s="81" t="s">
        <v>35</v>
      </c>
      <c r="B12" s="81"/>
      <c r="C12" s="81"/>
      <c r="D12" s="23">
        <v>10</v>
      </c>
      <c r="E12" s="37">
        <f t="shared" si="0"/>
        <v>5958913.3500000006</v>
      </c>
      <c r="F12" s="27"/>
      <c r="G12" s="27"/>
      <c r="H12" s="30"/>
      <c r="I12" s="27"/>
      <c r="J12" s="27"/>
      <c r="K12" s="27"/>
    </row>
    <row r="13" spans="1:11" ht="14.25" x14ac:dyDescent="0.2">
      <c r="A13" s="82" t="s">
        <v>36</v>
      </c>
      <c r="B13" s="83"/>
      <c r="C13" s="84"/>
      <c r="D13" s="23">
        <v>4</v>
      </c>
      <c r="E13" s="37">
        <f t="shared" si="0"/>
        <v>2383565.3400000003</v>
      </c>
      <c r="F13" s="27"/>
      <c r="G13" s="27"/>
      <c r="H13" s="27"/>
      <c r="I13" s="27"/>
      <c r="J13" s="27"/>
    </row>
    <row r="14" spans="1:11" ht="14.25" x14ac:dyDescent="0.2">
      <c r="A14" s="82" t="s">
        <v>41</v>
      </c>
      <c r="B14" s="83" t="s">
        <v>41</v>
      </c>
      <c r="C14" s="84"/>
      <c r="D14" s="23">
        <v>1</v>
      </c>
      <c r="E14" s="37">
        <v>1800</v>
      </c>
    </row>
    <row r="15" spans="1:11" x14ac:dyDescent="0.2">
      <c r="H15" s="42"/>
    </row>
    <row r="16" spans="1:11" ht="46.5" customHeight="1" x14ac:dyDescent="0.2">
      <c r="A16" s="85" t="s">
        <v>15</v>
      </c>
      <c r="B16" s="85"/>
      <c r="C16" s="85"/>
      <c r="D16" s="85"/>
      <c r="E16" s="85"/>
      <c r="F16" s="85"/>
    </row>
    <row r="17" spans="1:9" ht="46.5" customHeight="1" x14ac:dyDescent="0.2">
      <c r="A17" s="74" t="s">
        <v>44</v>
      </c>
      <c r="B17" s="74"/>
      <c r="C17" s="74"/>
      <c r="D17" s="74"/>
      <c r="E17" s="74"/>
      <c r="F17" s="74"/>
    </row>
    <row r="18" spans="1:9" x14ac:dyDescent="0.2">
      <c r="A18" s="1" t="s">
        <v>42</v>
      </c>
    </row>
    <row r="19" spans="1:9" x14ac:dyDescent="0.2">
      <c r="A19" s="75" t="s">
        <v>6</v>
      </c>
      <c r="B19" s="76"/>
      <c r="C19" s="76"/>
      <c r="D19" s="76"/>
      <c r="E19" s="76"/>
      <c r="F19" s="76"/>
    </row>
    <row r="20" spans="1:9" ht="26.25" customHeight="1" x14ac:dyDescent="0.2">
      <c r="A20" s="76"/>
      <c r="B20" s="76"/>
      <c r="C20" s="76"/>
      <c r="D20" s="76"/>
      <c r="E20" s="76"/>
      <c r="F20" s="76"/>
    </row>
    <row r="21" spans="1:9" ht="13.5" thickBot="1" x14ac:dyDescent="0.25"/>
    <row r="22" spans="1:9" ht="39" thickBot="1" x14ac:dyDescent="0.25">
      <c r="A22" s="15" t="s">
        <v>0</v>
      </c>
      <c r="B22" s="56" t="s">
        <v>1</v>
      </c>
      <c r="C22" s="16" t="s">
        <v>8</v>
      </c>
      <c r="D22" s="17" t="s">
        <v>9</v>
      </c>
      <c r="E22" s="77" t="s">
        <v>5</v>
      </c>
      <c r="F22" s="78"/>
    </row>
    <row r="23" spans="1:9" ht="54.75" customHeight="1" thickBot="1" x14ac:dyDescent="0.25">
      <c r="A23" s="12">
        <v>2</v>
      </c>
      <c r="B23" s="54" t="s">
        <v>12</v>
      </c>
      <c r="C23" s="19">
        <f>+E5/30*16</f>
        <v>9534261.3600000013</v>
      </c>
      <c r="D23" s="13">
        <f>+C23*A23</f>
        <v>19068522.720000003</v>
      </c>
      <c r="E23" s="79" t="s">
        <v>45</v>
      </c>
      <c r="F23" s="80"/>
      <c r="G23" s="32"/>
    </row>
    <row r="24" spans="1:9" ht="53.25" customHeight="1" thickBot="1" x14ac:dyDescent="0.25">
      <c r="A24" s="14">
        <v>2</v>
      </c>
      <c r="B24" s="50" t="s">
        <v>40</v>
      </c>
      <c r="C24" s="8">
        <f>+(E7*I3%)/20*10</f>
        <v>2617704.7968600001</v>
      </c>
      <c r="D24" s="21">
        <f>+C24*A24</f>
        <v>5235409.5937200002</v>
      </c>
      <c r="E24" s="79" t="s">
        <v>45</v>
      </c>
      <c r="F24" s="80"/>
      <c r="G24" s="40"/>
      <c r="I24" s="40"/>
    </row>
    <row r="25" spans="1:9" ht="51.75" customHeight="1" x14ac:dyDescent="0.2">
      <c r="A25" s="14">
        <v>1</v>
      </c>
      <c r="B25" s="50" t="s">
        <v>4</v>
      </c>
      <c r="C25" s="8">
        <f>+((E7*((H3*13)+(H4*2))%))/20*10</f>
        <v>3403677.1335804556</v>
      </c>
      <c r="D25" s="21">
        <f>+C25*A25</f>
        <v>3403677.1335804556</v>
      </c>
      <c r="E25" s="79" t="s">
        <v>45</v>
      </c>
      <c r="F25" s="80"/>
      <c r="G25" s="40"/>
    </row>
    <row r="26" spans="1:9" ht="46.5" customHeight="1" thickBot="1" x14ac:dyDescent="0.25">
      <c r="A26" s="18">
        <v>10</v>
      </c>
      <c r="B26" s="53" t="s">
        <v>16</v>
      </c>
      <c r="C26" s="20">
        <v>1800</v>
      </c>
      <c r="D26" s="38">
        <f>+C26/30*16*A26</f>
        <v>9600</v>
      </c>
      <c r="E26" s="72" t="s">
        <v>65</v>
      </c>
      <c r="F26" s="73"/>
    </row>
    <row r="27" spans="1:9" x14ac:dyDescent="0.2">
      <c r="A27" s="55"/>
      <c r="B27" s="49"/>
      <c r="C27" s="2"/>
      <c r="D27" s="2"/>
      <c r="E27" s="3"/>
    </row>
    <row r="28" spans="1:9" x14ac:dyDescent="0.2">
      <c r="A28" s="7" t="s">
        <v>2</v>
      </c>
      <c r="B28" s="6">
        <f>SUM(D23:D26)</f>
        <v>27717209.447300456</v>
      </c>
    </row>
    <row r="29" spans="1:9" x14ac:dyDescent="0.2">
      <c r="A29" s="7" t="s">
        <v>10</v>
      </c>
      <c r="B29" s="10">
        <f>+B28*8%</f>
        <v>2217376.7557840366</v>
      </c>
      <c r="C29" s="31"/>
      <c r="G29" s="4"/>
    </row>
    <row r="30" spans="1:9" ht="25.5" x14ac:dyDescent="0.2">
      <c r="A30" s="9" t="s">
        <v>11</v>
      </c>
      <c r="B30" s="10">
        <f>+(B28+B29)*10%</f>
        <v>2993458.6203084495</v>
      </c>
      <c r="C30" s="59"/>
      <c r="D30" s="71" t="s">
        <v>49</v>
      </c>
      <c r="E30" s="71"/>
      <c r="F30" s="71"/>
      <c r="G30" s="4"/>
    </row>
    <row r="31" spans="1:9" x14ac:dyDescent="0.2">
      <c r="A31" s="7" t="s">
        <v>7</v>
      </c>
      <c r="B31" s="10">
        <f>+B30*19%</f>
        <v>568757.13785860536</v>
      </c>
      <c r="C31" s="57"/>
    </row>
    <row r="32" spans="1:9" x14ac:dyDescent="0.2">
      <c r="A32" s="7" t="s">
        <v>3</v>
      </c>
      <c r="B32" s="10">
        <f>+(B31+B29+B28)</f>
        <v>30503343.340943098</v>
      </c>
      <c r="C32" s="58"/>
    </row>
    <row r="33" spans="1:10" x14ac:dyDescent="0.2">
      <c r="A33" s="5"/>
      <c r="B33" s="11"/>
      <c r="C33" s="59"/>
    </row>
    <row r="34" spans="1:10" x14ac:dyDescent="0.2">
      <c r="A34" s="5"/>
      <c r="B34" s="11"/>
      <c r="C34" s="59"/>
    </row>
    <row r="35" spans="1:10" x14ac:dyDescent="0.2">
      <c r="A35" s="5"/>
      <c r="B35" s="11"/>
      <c r="E35" s="39"/>
      <c r="F35" s="39"/>
    </row>
    <row r="36" spans="1:10" x14ac:dyDescent="0.2">
      <c r="A36" s="5"/>
      <c r="B36" s="11"/>
      <c r="E36" s="39"/>
      <c r="F36" s="39"/>
    </row>
    <row r="37" spans="1:10" ht="39" customHeight="1" x14ac:dyDescent="0.2">
      <c r="A37" s="74" t="s">
        <v>39</v>
      </c>
      <c r="B37" s="74"/>
      <c r="C37" s="74"/>
      <c r="D37" s="74"/>
      <c r="E37" s="74"/>
      <c r="F37" s="74"/>
    </row>
    <row r="39" spans="1:10" x14ac:dyDescent="0.2">
      <c r="A39" s="75" t="s">
        <v>13</v>
      </c>
      <c r="B39" s="76"/>
      <c r="C39" s="76"/>
      <c r="D39" s="76"/>
      <c r="E39" s="76"/>
      <c r="F39" s="76"/>
    </row>
    <row r="40" spans="1:10" x14ac:dyDescent="0.2">
      <c r="A40" s="76"/>
      <c r="B40" s="76"/>
      <c r="C40" s="76"/>
      <c r="D40" s="76"/>
      <c r="E40" s="76"/>
      <c r="F40" s="76"/>
    </row>
    <row r="41" spans="1:10" ht="13.5" thickBot="1" x14ac:dyDescent="0.25"/>
    <row r="42" spans="1:10" ht="39" thickBot="1" x14ac:dyDescent="0.25">
      <c r="A42" s="15" t="s">
        <v>0</v>
      </c>
      <c r="B42" s="56" t="s">
        <v>1</v>
      </c>
      <c r="C42" s="16" t="s">
        <v>8</v>
      </c>
      <c r="D42" s="17" t="s">
        <v>9</v>
      </c>
      <c r="E42" s="77" t="s">
        <v>5</v>
      </c>
      <c r="F42" s="78"/>
      <c r="I42" s="34"/>
      <c r="J42" s="34"/>
    </row>
    <row r="43" spans="1:10" ht="50.25" customHeight="1" x14ac:dyDescent="0.2">
      <c r="A43" s="12">
        <v>1</v>
      </c>
      <c r="B43" s="54" t="s">
        <v>12</v>
      </c>
      <c r="C43" s="19">
        <f>+E5/30*16</f>
        <v>9534261.3600000013</v>
      </c>
      <c r="D43" s="13">
        <f>+C43*A43</f>
        <v>9534261.3600000013</v>
      </c>
      <c r="E43" s="79" t="s">
        <v>45</v>
      </c>
      <c r="F43" s="80"/>
      <c r="I43" s="34"/>
      <c r="J43" s="34"/>
    </row>
    <row r="44" spans="1:10" ht="53.25" customHeight="1" thickBot="1" x14ac:dyDescent="0.25">
      <c r="A44" s="18">
        <v>3</v>
      </c>
      <c r="B44" s="53" t="s">
        <v>16</v>
      </c>
      <c r="C44" s="20">
        <v>1800</v>
      </c>
      <c r="D44" s="20">
        <f>+C44/30*16*A44</f>
        <v>2880</v>
      </c>
      <c r="E44" s="72" t="s">
        <v>65</v>
      </c>
      <c r="F44" s="73"/>
      <c r="I44" s="34">
        <v>2000</v>
      </c>
      <c r="J44" s="34"/>
    </row>
    <row r="45" spans="1:10" x14ac:dyDescent="0.2">
      <c r="A45" s="55"/>
      <c r="B45" s="49"/>
      <c r="C45" s="2"/>
      <c r="D45" s="2"/>
      <c r="E45" s="3"/>
      <c r="I45" s="34"/>
      <c r="J45" s="34"/>
    </row>
    <row r="46" spans="1:10" x14ac:dyDescent="0.2">
      <c r="A46" s="7" t="s">
        <v>2</v>
      </c>
      <c r="B46" s="6">
        <f>SUM(D43:D44)</f>
        <v>9537141.3600000013</v>
      </c>
      <c r="I46" s="34"/>
      <c r="J46" s="34"/>
    </row>
    <row r="47" spans="1:10" x14ac:dyDescent="0.2">
      <c r="A47" s="7" t="s">
        <v>10</v>
      </c>
      <c r="B47" s="10">
        <f>+B46*8%</f>
        <v>762971.30880000012</v>
      </c>
      <c r="C47" s="32"/>
      <c r="I47" s="34"/>
      <c r="J47" s="34"/>
    </row>
    <row r="48" spans="1:10" ht="25.5" x14ac:dyDescent="0.2">
      <c r="A48" s="9" t="s">
        <v>11</v>
      </c>
      <c r="B48" s="10">
        <f>+(B46+B47)*10%</f>
        <v>1030011.2668800002</v>
      </c>
      <c r="C48" s="59"/>
      <c r="D48" s="71" t="s">
        <v>50</v>
      </c>
      <c r="E48" s="71"/>
      <c r="F48" s="71"/>
      <c r="I48" s="34"/>
      <c r="J48" s="34"/>
    </row>
    <row r="49" spans="1:10" x14ac:dyDescent="0.2">
      <c r="A49" s="7" t="s">
        <v>7</v>
      </c>
      <c r="B49" s="10">
        <f>+B48*19%</f>
        <v>195702.14070720004</v>
      </c>
      <c r="C49" s="57"/>
      <c r="I49" s="34"/>
      <c r="J49" s="34"/>
    </row>
    <row r="50" spans="1:10" x14ac:dyDescent="0.2">
      <c r="A50" s="7" t="s">
        <v>3</v>
      </c>
      <c r="B50" s="10">
        <f>+(B46+B47+B49)</f>
        <v>10495814.809507202</v>
      </c>
      <c r="C50" s="58"/>
      <c r="I50" s="34"/>
      <c r="J50" s="34"/>
    </row>
    <row r="51" spans="1:10" x14ac:dyDescent="0.2">
      <c r="A51" s="5"/>
      <c r="B51" s="11"/>
      <c r="I51" s="34"/>
      <c r="J51" s="34"/>
    </row>
    <row r="52" spans="1:10" x14ac:dyDescent="0.2">
      <c r="A52" s="5"/>
      <c r="B52" s="11"/>
      <c r="I52" s="34"/>
      <c r="J52" s="34"/>
    </row>
    <row r="53" spans="1:10" ht="33" customHeight="1" x14ac:dyDescent="0.2">
      <c r="A53" s="74" t="s">
        <v>39</v>
      </c>
      <c r="B53" s="74"/>
      <c r="C53" s="74"/>
      <c r="D53" s="74"/>
      <c r="E53" s="74"/>
      <c r="F53" s="74"/>
      <c r="I53" s="34"/>
      <c r="J53" s="34"/>
    </row>
    <row r="54" spans="1:10" x14ac:dyDescent="0.2">
      <c r="I54" s="34"/>
      <c r="J54" s="34"/>
    </row>
    <row r="55" spans="1:10" x14ac:dyDescent="0.2">
      <c r="A55" s="75" t="s">
        <v>14</v>
      </c>
      <c r="B55" s="76"/>
      <c r="C55" s="76"/>
      <c r="D55" s="76"/>
      <c r="E55" s="76"/>
      <c r="F55" s="76"/>
      <c r="I55" s="34"/>
      <c r="J55" s="34"/>
    </row>
    <row r="56" spans="1:10" x14ac:dyDescent="0.2">
      <c r="A56" s="76"/>
      <c r="B56" s="76"/>
      <c r="C56" s="76"/>
      <c r="D56" s="76"/>
      <c r="E56" s="76"/>
      <c r="F56" s="76"/>
      <c r="I56" s="34"/>
      <c r="J56" s="34"/>
    </row>
    <row r="57" spans="1:10" ht="13.5" thickBot="1" x14ac:dyDescent="0.25">
      <c r="I57" s="34"/>
      <c r="J57" s="34"/>
    </row>
    <row r="58" spans="1:10" ht="39" thickBot="1" x14ac:dyDescent="0.25">
      <c r="A58" s="15" t="s">
        <v>0</v>
      </c>
      <c r="B58" s="56" t="s">
        <v>1</v>
      </c>
      <c r="C58" s="16" t="s">
        <v>8</v>
      </c>
      <c r="D58" s="17" t="s">
        <v>9</v>
      </c>
      <c r="E58" s="77" t="s">
        <v>5</v>
      </c>
      <c r="F58" s="78"/>
      <c r="I58" s="34"/>
      <c r="J58" s="34"/>
    </row>
    <row r="59" spans="1:10" ht="66" customHeight="1" x14ac:dyDescent="0.2">
      <c r="A59" s="12">
        <v>1</v>
      </c>
      <c r="B59" s="54" t="s">
        <v>12</v>
      </c>
      <c r="C59" s="19">
        <f>+E5/30*16</f>
        <v>9534261.3600000013</v>
      </c>
      <c r="D59" s="19">
        <f>+C59*A59</f>
        <v>9534261.3600000013</v>
      </c>
      <c r="E59" s="79" t="s">
        <v>45</v>
      </c>
      <c r="F59" s="80"/>
      <c r="I59" s="34">
        <v>2000</v>
      </c>
      <c r="J59" s="34"/>
    </row>
    <row r="60" spans="1:10" ht="45.75" customHeight="1" thickBot="1" x14ac:dyDescent="0.25">
      <c r="A60" s="18">
        <v>3</v>
      </c>
      <c r="B60" s="53" t="s">
        <v>16</v>
      </c>
      <c r="C60" s="20">
        <v>1800</v>
      </c>
      <c r="D60" s="20">
        <f>+C60/30*16*A60</f>
        <v>2880</v>
      </c>
      <c r="E60" s="72" t="s">
        <v>65</v>
      </c>
      <c r="F60" s="73"/>
    </row>
    <row r="61" spans="1:10" x14ac:dyDescent="0.2">
      <c r="A61" s="55"/>
      <c r="B61" s="49"/>
      <c r="C61" s="2"/>
      <c r="D61" s="2"/>
      <c r="E61" s="3"/>
    </row>
    <row r="62" spans="1:10" x14ac:dyDescent="0.2">
      <c r="A62" s="7" t="s">
        <v>2</v>
      </c>
      <c r="B62" s="6">
        <f>+D59+D60</f>
        <v>9537141.3600000013</v>
      </c>
    </row>
    <row r="63" spans="1:10" x14ac:dyDescent="0.2">
      <c r="A63" s="7" t="s">
        <v>10</v>
      </c>
      <c r="B63" s="10">
        <f>+B62*8%</f>
        <v>762971.30880000012</v>
      </c>
    </row>
    <row r="64" spans="1:10" ht="25.5" x14ac:dyDescent="0.2">
      <c r="A64" s="9" t="s">
        <v>11</v>
      </c>
      <c r="B64" s="10">
        <f>+(B62+B63)*10%</f>
        <v>1030011.2668800002</v>
      </c>
      <c r="C64" s="59"/>
      <c r="D64" s="71" t="s">
        <v>50</v>
      </c>
      <c r="E64" s="71"/>
      <c r="F64" s="71"/>
    </row>
    <row r="65" spans="1:10" x14ac:dyDescent="0.2">
      <c r="A65" s="7" t="s">
        <v>7</v>
      </c>
      <c r="B65" s="10">
        <f>+B64*19%</f>
        <v>195702.14070720004</v>
      </c>
      <c r="C65" s="59"/>
    </row>
    <row r="66" spans="1:10" ht="17.25" customHeight="1" x14ac:dyDescent="0.2">
      <c r="A66" s="7" t="s">
        <v>3</v>
      </c>
      <c r="B66" s="10">
        <f>+(B62+B63+B65)</f>
        <v>10495814.809507202</v>
      </c>
      <c r="C66" s="58"/>
    </row>
    <row r="67" spans="1:10" ht="17.25" customHeight="1" x14ac:dyDescent="0.2">
      <c r="A67" s="62"/>
      <c r="B67" s="11"/>
      <c r="C67" s="58"/>
    </row>
    <row r="68" spans="1:10" ht="17.25" customHeight="1" x14ac:dyDescent="0.2">
      <c r="A68" s="5" t="s">
        <v>3</v>
      </c>
      <c r="B68" s="63">
        <f>+B66+B50+B32</f>
        <v>51494972.959957503</v>
      </c>
      <c r="C68" s="33"/>
    </row>
    <row r="69" spans="1:10" ht="33" customHeight="1" x14ac:dyDescent="0.2">
      <c r="A69" s="74"/>
      <c r="B69" s="74"/>
      <c r="C69" s="74"/>
      <c r="D69" s="74"/>
      <c r="E69" s="74"/>
      <c r="F69" s="74"/>
      <c r="I69" s="34"/>
      <c r="J69" s="34"/>
    </row>
    <row r="70" spans="1:10" x14ac:dyDescent="0.2">
      <c r="I70" s="34"/>
      <c r="J70" s="34"/>
    </row>
    <row r="71" spans="1:10" ht="17.25" customHeight="1" x14ac:dyDescent="0.2">
      <c r="A71" s="5"/>
      <c r="B71" s="11"/>
    </row>
    <row r="73" spans="1:10" hidden="1" x14ac:dyDescent="0.2"/>
    <row r="74" spans="1:10" hidden="1" x14ac:dyDescent="0.2"/>
    <row r="75" spans="1:10" hidden="1" x14ac:dyDescent="0.2">
      <c r="A75" s="1" t="s">
        <v>38</v>
      </c>
      <c r="B75" s="31">
        <f>+B32+B50+B66</f>
        <v>51494972.95995751</v>
      </c>
    </row>
    <row r="76" spans="1:10" hidden="1" x14ac:dyDescent="0.2">
      <c r="A76" s="1" t="s">
        <v>37</v>
      </c>
      <c r="B76" s="31" t="e">
        <f>+#REF!+#REF!+#REF!+#REF!</f>
        <v>#REF!</v>
      </c>
    </row>
    <row r="77" spans="1:10" hidden="1" x14ac:dyDescent="0.2">
      <c r="B77" s="31" t="e">
        <f>+B75+B76</f>
        <v>#REF!</v>
      </c>
    </row>
  </sheetData>
  <mergeCells count="32">
    <mergeCell ref="A17:F17"/>
    <mergeCell ref="D2:E2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6:F16"/>
    <mergeCell ref="E44:F44"/>
    <mergeCell ref="A19:F20"/>
    <mergeCell ref="E22:F22"/>
    <mergeCell ref="E23:F23"/>
    <mergeCell ref="E24:F24"/>
    <mergeCell ref="E25:F25"/>
    <mergeCell ref="E26:F26"/>
    <mergeCell ref="D30:F30"/>
    <mergeCell ref="A37:F37"/>
    <mergeCell ref="A39:F40"/>
    <mergeCell ref="E42:F42"/>
    <mergeCell ref="E43:F43"/>
    <mergeCell ref="D64:F64"/>
    <mergeCell ref="A69:F69"/>
    <mergeCell ref="D48:F48"/>
    <mergeCell ref="A53:F53"/>
    <mergeCell ref="A55:F56"/>
    <mergeCell ref="E58:F58"/>
    <mergeCell ref="E59:F59"/>
    <mergeCell ref="E60:F60"/>
  </mergeCells>
  <pageMargins left="0.70866141732283472" right="0.70866141732283472" top="0.74803149606299213" bottom="0.74803149606299213" header="0.31496062992125984" footer="0.31496062992125984"/>
  <pageSetup scale="3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249977111117893"/>
    <pageSetUpPr fitToPage="1"/>
  </sheetPr>
  <dimension ref="A2:K87"/>
  <sheetViews>
    <sheetView showGridLines="0" tabSelected="1" topLeftCell="A62" zoomScale="110" zoomScaleNormal="110" zoomScaleSheetLayoutView="85" workbookViewId="0">
      <selection activeCell="A88" sqref="A88"/>
    </sheetView>
  </sheetViews>
  <sheetFormatPr baseColWidth="10" defaultColWidth="11" defaultRowHeight="12.75" x14ac:dyDescent="0.2"/>
  <cols>
    <col min="1" max="1" width="28.5" style="1" customWidth="1"/>
    <col min="2" max="2" width="57" style="1" customWidth="1"/>
    <col min="3" max="3" width="15.25" style="1" customWidth="1"/>
    <col min="4" max="4" width="16.625" style="1" customWidth="1"/>
    <col min="5" max="5" width="15.25" style="1" customWidth="1"/>
    <col min="6" max="6" width="17.625" style="1" customWidth="1"/>
    <col min="7" max="7" width="23" style="1" customWidth="1"/>
    <col min="8" max="8" width="11" style="1" customWidth="1"/>
    <col min="9" max="9" width="13" style="1" bestFit="1" customWidth="1"/>
    <col min="10" max="11" width="11" style="1" customWidth="1"/>
    <col min="12" max="16384" width="11" style="1"/>
  </cols>
  <sheetData>
    <row r="2" spans="1:11" ht="14.25" x14ac:dyDescent="0.2">
      <c r="A2" s="35"/>
      <c r="B2" s="35"/>
      <c r="C2" s="22"/>
      <c r="D2" s="81" t="s">
        <v>17</v>
      </c>
      <c r="E2" s="81"/>
      <c r="F2" s="23" t="s">
        <v>18</v>
      </c>
      <c r="G2" s="23" t="s">
        <v>19</v>
      </c>
      <c r="H2" s="23" t="s">
        <v>20</v>
      </c>
      <c r="I2" s="23" t="s">
        <v>21</v>
      </c>
      <c r="J2" s="24" t="s">
        <v>22</v>
      </c>
      <c r="K2" s="23"/>
    </row>
    <row r="3" spans="1:11" ht="14.25" x14ac:dyDescent="0.2">
      <c r="A3" s="35"/>
      <c r="B3" s="35"/>
      <c r="C3" s="22"/>
      <c r="D3" s="23" t="s">
        <v>23</v>
      </c>
      <c r="E3" s="41">
        <v>1750905</v>
      </c>
      <c r="F3" s="23" t="s">
        <v>24</v>
      </c>
      <c r="G3" s="23">
        <f>+H3*8</f>
        <v>29.286153846153848</v>
      </c>
      <c r="H3" s="25">
        <f>47.59/13</f>
        <v>3.660769230769231</v>
      </c>
      <c r="I3" s="23">
        <f>+H3*12</f>
        <v>43.92923076923077</v>
      </c>
      <c r="J3" s="24">
        <f>+H3*6</f>
        <v>21.964615384615385</v>
      </c>
      <c r="K3" s="23"/>
    </row>
    <row r="4" spans="1:11" ht="14.25" x14ac:dyDescent="0.2">
      <c r="A4" s="35"/>
      <c r="B4" s="35"/>
      <c r="C4" s="22"/>
      <c r="D4" s="23" t="s">
        <v>25</v>
      </c>
      <c r="E4" s="23">
        <v>10.210000000000001</v>
      </c>
      <c r="F4" s="23" t="s">
        <v>26</v>
      </c>
      <c r="G4" s="23"/>
      <c r="H4" s="25">
        <f>52.41/11</f>
        <v>4.7645454545454546</v>
      </c>
      <c r="I4" s="23">
        <f>+((H3*3)+(H4*9))</f>
        <v>53.863216783216785</v>
      </c>
      <c r="J4" s="24"/>
      <c r="K4" s="27"/>
    </row>
    <row r="5" spans="1:11" ht="14.25" x14ac:dyDescent="0.2">
      <c r="A5" s="35"/>
      <c r="B5" s="35"/>
      <c r="C5" s="22"/>
      <c r="D5" s="26" t="s">
        <v>27</v>
      </c>
      <c r="E5" s="36">
        <f>+E3*E4</f>
        <v>17876740.050000001</v>
      </c>
      <c r="F5" s="27"/>
      <c r="G5" s="27"/>
      <c r="H5" s="27"/>
      <c r="I5" s="27"/>
      <c r="J5" s="27"/>
      <c r="K5" s="27"/>
    </row>
    <row r="6" spans="1:11" ht="15" x14ac:dyDescent="0.2">
      <c r="A6" s="82" t="s">
        <v>28</v>
      </c>
      <c r="B6" s="83"/>
      <c r="C6" s="84"/>
      <c r="D6" s="23" t="s">
        <v>29</v>
      </c>
      <c r="E6" s="36">
        <f>+E5/30</f>
        <v>595891.33500000008</v>
      </c>
      <c r="F6" s="27"/>
      <c r="G6" s="27" t="s">
        <v>59</v>
      </c>
      <c r="H6" s="70">
        <f>+H4*11</f>
        <v>52.410000000000004</v>
      </c>
      <c r="I6" s="27"/>
      <c r="J6" s="27"/>
      <c r="K6" s="27"/>
    </row>
    <row r="7" spans="1:11" ht="14.25" x14ac:dyDescent="0.2">
      <c r="A7" s="86" t="s">
        <v>30</v>
      </c>
      <c r="B7" s="86"/>
      <c r="C7" s="86"/>
      <c r="D7" s="23">
        <v>20</v>
      </c>
      <c r="E7" s="37">
        <f>+$E$6*D7</f>
        <v>11917826.700000001</v>
      </c>
      <c r="F7" s="27"/>
      <c r="G7" s="27"/>
      <c r="H7" s="28"/>
      <c r="I7" s="27"/>
      <c r="J7" s="27"/>
      <c r="K7" s="27"/>
    </row>
    <row r="8" spans="1:11" ht="14.25" x14ac:dyDescent="0.2">
      <c r="A8" s="81" t="s">
        <v>31</v>
      </c>
      <c r="B8" s="81"/>
      <c r="C8" s="81"/>
      <c r="D8" s="23">
        <v>24</v>
      </c>
      <c r="E8" s="37">
        <f t="shared" ref="E8:E13" si="0">+$E$6*D8</f>
        <v>14301392.040000003</v>
      </c>
      <c r="F8" s="27"/>
      <c r="G8" s="27"/>
      <c r="H8" s="27"/>
      <c r="I8" s="27"/>
      <c r="J8" s="27"/>
      <c r="K8" s="27"/>
    </row>
    <row r="9" spans="1:11" ht="14.25" x14ac:dyDescent="0.2">
      <c r="A9" s="81" t="s">
        <v>32</v>
      </c>
      <c r="B9" s="81"/>
      <c r="C9" s="81"/>
      <c r="D9" s="23">
        <v>22</v>
      </c>
      <c r="E9" s="37">
        <f t="shared" si="0"/>
        <v>13109609.370000001</v>
      </c>
      <c r="F9" s="27"/>
      <c r="G9" s="27"/>
      <c r="H9" s="29"/>
      <c r="I9" s="27"/>
      <c r="J9" s="27"/>
      <c r="K9" s="27"/>
    </row>
    <row r="10" spans="1:11" ht="15" x14ac:dyDescent="0.2">
      <c r="A10" s="81" t="s">
        <v>33</v>
      </c>
      <c r="B10" s="81"/>
      <c r="C10" s="81"/>
      <c r="D10" s="23">
        <v>26</v>
      </c>
      <c r="E10" s="37">
        <f t="shared" si="0"/>
        <v>15493174.710000003</v>
      </c>
      <c r="F10" s="27"/>
      <c r="G10" s="27" t="s">
        <v>60</v>
      </c>
      <c r="H10" s="70">
        <f>+H3*13</f>
        <v>47.59</v>
      </c>
      <c r="I10" s="27"/>
      <c r="J10" s="27"/>
      <c r="K10" s="27"/>
    </row>
    <row r="11" spans="1:11" ht="14.25" x14ac:dyDescent="0.2">
      <c r="A11" s="81" t="s">
        <v>34</v>
      </c>
      <c r="B11" s="81"/>
      <c r="C11" s="81"/>
      <c r="D11" s="23">
        <v>8</v>
      </c>
      <c r="E11" s="37">
        <f t="shared" si="0"/>
        <v>4767130.6800000006</v>
      </c>
      <c r="F11" s="27"/>
      <c r="G11" s="27"/>
      <c r="H11" s="30"/>
      <c r="I11" s="27"/>
      <c r="J11" s="27"/>
      <c r="K11" s="27"/>
    </row>
    <row r="12" spans="1:11" ht="14.25" x14ac:dyDescent="0.2">
      <c r="A12" s="81" t="s">
        <v>35</v>
      </c>
      <c r="B12" s="81"/>
      <c r="C12" s="81"/>
      <c r="D12" s="23">
        <v>10</v>
      </c>
      <c r="E12" s="37">
        <f t="shared" si="0"/>
        <v>5958913.3500000006</v>
      </c>
      <c r="F12" s="27"/>
      <c r="G12" s="27"/>
      <c r="H12" s="30"/>
      <c r="I12" s="27"/>
      <c r="J12" s="27"/>
      <c r="K12" s="27"/>
    </row>
    <row r="13" spans="1:11" ht="14.25" x14ac:dyDescent="0.2">
      <c r="A13" s="82" t="s">
        <v>36</v>
      </c>
      <c r="B13" s="83"/>
      <c r="C13" s="84"/>
      <c r="D13" s="23">
        <v>4</v>
      </c>
      <c r="E13" s="37">
        <f t="shared" si="0"/>
        <v>2383565.3400000003</v>
      </c>
      <c r="F13" s="27"/>
      <c r="G13" s="27"/>
      <c r="H13" s="27"/>
      <c r="I13" s="27"/>
      <c r="J13" s="27"/>
    </row>
    <row r="14" spans="1:11" ht="14.25" x14ac:dyDescent="0.2">
      <c r="A14" s="82" t="s">
        <v>41</v>
      </c>
      <c r="B14" s="83" t="s">
        <v>41</v>
      </c>
      <c r="C14" s="84"/>
      <c r="D14" s="23">
        <v>1</v>
      </c>
      <c r="E14" s="37">
        <v>1800</v>
      </c>
    </row>
    <row r="15" spans="1:11" x14ac:dyDescent="0.2">
      <c r="H15" s="42"/>
    </row>
    <row r="16" spans="1:11" ht="46.5" customHeight="1" x14ac:dyDescent="0.2">
      <c r="A16" s="85" t="s">
        <v>15</v>
      </c>
      <c r="B16" s="85"/>
      <c r="C16" s="85"/>
      <c r="D16" s="85"/>
      <c r="E16" s="85"/>
      <c r="F16" s="85"/>
    </row>
    <row r="17" spans="1:9" ht="46.5" customHeight="1" x14ac:dyDescent="0.2">
      <c r="A17" s="87" t="s">
        <v>55</v>
      </c>
      <c r="B17" s="87"/>
      <c r="C17" s="87"/>
      <c r="D17" s="87"/>
      <c r="E17" s="87"/>
      <c r="F17" s="87"/>
    </row>
    <row r="18" spans="1:9" x14ac:dyDescent="0.2">
      <c r="A18" s="1" t="s">
        <v>42</v>
      </c>
    </row>
    <row r="19" spans="1:9" x14ac:dyDescent="0.2">
      <c r="A19" s="75" t="s">
        <v>6</v>
      </c>
      <c r="B19" s="76"/>
      <c r="C19" s="76"/>
      <c r="D19" s="76"/>
      <c r="E19" s="76"/>
      <c r="F19" s="76"/>
    </row>
    <row r="20" spans="1:9" ht="26.25" customHeight="1" x14ac:dyDescent="0.2">
      <c r="A20" s="76"/>
      <c r="B20" s="76"/>
      <c r="C20" s="76"/>
      <c r="D20" s="76"/>
      <c r="E20" s="76"/>
      <c r="F20" s="76"/>
    </row>
    <row r="21" spans="1:9" ht="13.5" thickBot="1" x14ac:dyDescent="0.25"/>
    <row r="22" spans="1:9" ht="39" thickBot="1" x14ac:dyDescent="0.25">
      <c r="A22" s="15" t="s">
        <v>0</v>
      </c>
      <c r="B22" s="56" t="s">
        <v>1</v>
      </c>
      <c r="C22" s="16" t="s">
        <v>8</v>
      </c>
      <c r="D22" s="17" t="s">
        <v>9</v>
      </c>
      <c r="E22" s="77" t="s">
        <v>5</v>
      </c>
      <c r="F22" s="78"/>
    </row>
    <row r="23" spans="1:9" ht="54.75" customHeight="1" thickBot="1" x14ac:dyDescent="0.25">
      <c r="A23" s="12">
        <v>2</v>
      </c>
      <c r="B23" s="54" t="s">
        <v>12</v>
      </c>
      <c r="C23" s="19">
        <f>+E5/30*30</f>
        <v>17876740.050000001</v>
      </c>
      <c r="D23" s="13">
        <f>+C23*A23</f>
        <v>35753480.100000001</v>
      </c>
      <c r="E23" s="79" t="s">
        <v>45</v>
      </c>
      <c r="F23" s="80"/>
      <c r="G23" s="42"/>
      <c r="H23" s="42"/>
    </row>
    <row r="24" spans="1:9" ht="53.25" customHeight="1" thickBot="1" x14ac:dyDescent="0.25">
      <c r="A24" s="14">
        <v>2</v>
      </c>
      <c r="B24" s="50" t="s">
        <v>40</v>
      </c>
      <c r="C24" s="8">
        <f>+(E7*I3%)/20*20</f>
        <v>5235409.5937200002</v>
      </c>
      <c r="D24" s="21">
        <f>+C24*A24</f>
        <v>10470819.18744</v>
      </c>
      <c r="E24" s="79" t="s">
        <v>45</v>
      </c>
      <c r="F24" s="80"/>
      <c r="G24" s="42"/>
      <c r="H24" s="42"/>
      <c r="I24" s="40"/>
    </row>
    <row r="25" spans="1:9" ht="51.75" customHeight="1" x14ac:dyDescent="0.2">
      <c r="A25" s="14">
        <v>1</v>
      </c>
      <c r="B25" s="50" t="s">
        <v>4</v>
      </c>
      <c r="C25" s="8">
        <f>+((E7*((H3*13)+(H4*2))%))/20*20</f>
        <v>6807354.2671609111</v>
      </c>
      <c r="D25" s="21">
        <f>+C25*A25</f>
        <v>6807354.2671609111</v>
      </c>
      <c r="E25" s="79" t="s">
        <v>45</v>
      </c>
      <c r="F25" s="80"/>
      <c r="G25" s="42"/>
      <c r="H25" s="42"/>
    </row>
    <row r="26" spans="1:9" ht="27" customHeight="1" thickBot="1" x14ac:dyDescent="0.25">
      <c r="A26" s="18">
        <v>10</v>
      </c>
      <c r="B26" s="53" t="s">
        <v>16</v>
      </c>
      <c r="C26" s="20">
        <v>1800</v>
      </c>
      <c r="D26" s="38">
        <f>+C26*A26</f>
        <v>18000</v>
      </c>
      <c r="E26" s="72" t="s">
        <v>63</v>
      </c>
      <c r="F26" s="73"/>
    </row>
    <row r="27" spans="1:9" x14ac:dyDescent="0.2">
      <c r="A27" s="55"/>
      <c r="B27" s="49"/>
      <c r="C27" s="2"/>
      <c r="D27" s="2"/>
      <c r="E27" s="3"/>
    </row>
    <row r="28" spans="1:9" x14ac:dyDescent="0.2">
      <c r="A28" s="7" t="s">
        <v>2</v>
      </c>
      <c r="B28" s="6">
        <f>SUM(D23:D26)</f>
        <v>53049653.554600909</v>
      </c>
      <c r="C28" s="32"/>
      <c r="G28" s="42"/>
      <c r="H28" s="42"/>
    </row>
    <row r="29" spans="1:9" x14ac:dyDescent="0.2">
      <c r="A29" s="7" t="s">
        <v>10</v>
      </c>
      <c r="B29" s="10">
        <f>+B28*8%</f>
        <v>4243972.2843680726</v>
      </c>
      <c r="C29" s="31"/>
      <c r="G29" s="42"/>
      <c r="H29" s="42"/>
    </row>
    <row r="30" spans="1:9" ht="25.5" x14ac:dyDescent="0.2">
      <c r="A30" s="9" t="s">
        <v>11</v>
      </c>
      <c r="B30" s="10">
        <f>+(B28+B29)*10%</f>
        <v>5729362.5838968987</v>
      </c>
      <c r="C30" s="10"/>
      <c r="D30" s="71" t="s">
        <v>49</v>
      </c>
      <c r="E30" s="71"/>
      <c r="F30" s="71"/>
      <c r="G30" s="42"/>
      <c r="H30" s="42"/>
    </row>
    <row r="31" spans="1:9" x14ac:dyDescent="0.2">
      <c r="A31" s="7" t="s">
        <v>7</v>
      </c>
      <c r="B31" s="10">
        <f>+B30*19%</f>
        <v>1088578.8909404108</v>
      </c>
      <c r="C31" s="10" t="s">
        <v>46</v>
      </c>
      <c r="G31" s="42"/>
      <c r="H31" s="42"/>
    </row>
    <row r="32" spans="1:9" x14ac:dyDescent="0.2">
      <c r="A32" s="7" t="s">
        <v>3</v>
      </c>
      <c r="B32" s="10">
        <f>+(B31+B29+B28)</f>
        <v>58382204.72990939</v>
      </c>
      <c r="C32" s="10">
        <f>+B32*3</f>
        <v>175146614.18972817</v>
      </c>
      <c r="D32" s="42"/>
      <c r="G32" s="31"/>
      <c r="H32" s="42"/>
    </row>
    <row r="33" spans="1:10" x14ac:dyDescent="0.2">
      <c r="A33" s="5"/>
      <c r="B33" s="11"/>
      <c r="H33" s="42"/>
    </row>
    <row r="34" spans="1:10" x14ac:dyDescent="0.2">
      <c r="A34" s="5"/>
      <c r="B34" s="11"/>
    </row>
    <row r="35" spans="1:10" x14ac:dyDescent="0.2">
      <c r="A35" s="5"/>
      <c r="B35" s="11"/>
      <c r="E35" s="39"/>
      <c r="F35" s="39"/>
    </row>
    <row r="36" spans="1:10" x14ac:dyDescent="0.2">
      <c r="A36" s="5"/>
      <c r="B36" s="11"/>
      <c r="E36" s="39"/>
      <c r="F36" s="39"/>
    </row>
    <row r="37" spans="1:10" ht="39" customHeight="1" x14ac:dyDescent="0.2">
      <c r="A37" s="74" t="s">
        <v>39</v>
      </c>
      <c r="B37" s="74"/>
      <c r="C37" s="74"/>
      <c r="D37" s="74"/>
      <c r="E37" s="74"/>
      <c r="F37" s="74"/>
    </row>
    <row r="39" spans="1:10" x14ac:dyDescent="0.2">
      <c r="A39" s="75" t="s">
        <v>13</v>
      </c>
      <c r="B39" s="76"/>
      <c r="C39" s="76"/>
      <c r="D39" s="76"/>
      <c r="E39" s="76"/>
      <c r="F39" s="76"/>
    </row>
    <row r="40" spans="1:10" x14ac:dyDescent="0.2">
      <c r="A40" s="76"/>
      <c r="B40" s="76"/>
      <c r="C40" s="76"/>
      <c r="D40" s="76"/>
      <c r="E40" s="76"/>
      <c r="F40" s="76"/>
    </row>
    <row r="41" spans="1:10" ht="13.5" thickBot="1" x14ac:dyDescent="0.25"/>
    <row r="42" spans="1:10" ht="39" thickBot="1" x14ac:dyDescent="0.25">
      <c r="A42" s="15" t="s">
        <v>0</v>
      </c>
      <c r="B42" s="56" t="s">
        <v>1</v>
      </c>
      <c r="C42" s="16" t="s">
        <v>8</v>
      </c>
      <c r="D42" s="17" t="s">
        <v>9</v>
      </c>
      <c r="E42" s="77" t="s">
        <v>5</v>
      </c>
      <c r="F42" s="78"/>
      <c r="I42" s="34"/>
      <c r="J42" s="34"/>
    </row>
    <row r="43" spans="1:10" ht="50.25" customHeight="1" x14ac:dyDescent="0.2">
      <c r="A43" s="12">
        <v>1</v>
      </c>
      <c r="B43" s="54" t="s">
        <v>12</v>
      </c>
      <c r="C43" s="19">
        <f>+E5/30*30</f>
        <v>17876740.050000001</v>
      </c>
      <c r="D43" s="13">
        <f>+C43*A43</f>
        <v>17876740.050000001</v>
      </c>
      <c r="E43" s="79" t="s">
        <v>45</v>
      </c>
      <c r="F43" s="80"/>
      <c r="I43" s="34"/>
      <c r="J43" s="34"/>
    </row>
    <row r="44" spans="1:10" ht="34.5" customHeight="1" thickBot="1" x14ac:dyDescent="0.25">
      <c r="A44" s="18">
        <v>3</v>
      </c>
      <c r="B44" s="53" t="s">
        <v>16</v>
      </c>
      <c r="C44" s="20">
        <v>1800</v>
      </c>
      <c r="D44" s="20">
        <f>+C44*A44</f>
        <v>5400</v>
      </c>
      <c r="E44" s="72" t="s">
        <v>63</v>
      </c>
      <c r="F44" s="73"/>
      <c r="I44" s="34">
        <v>2000</v>
      </c>
      <c r="J44" s="34"/>
    </row>
    <row r="45" spans="1:10" x14ac:dyDescent="0.2">
      <c r="A45" s="55"/>
      <c r="B45" s="49"/>
      <c r="C45" s="2"/>
      <c r="D45" s="2"/>
      <c r="E45" s="3"/>
      <c r="I45" s="34"/>
      <c r="J45" s="34"/>
    </row>
    <row r="46" spans="1:10" x14ac:dyDescent="0.2">
      <c r="A46" s="7" t="s">
        <v>2</v>
      </c>
      <c r="B46" s="6">
        <f>SUM(D43:D44)</f>
        <v>17882140.050000001</v>
      </c>
      <c r="I46" s="34"/>
      <c r="J46" s="34"/>
    </row>
    <row r="47" spans="1:10" x14ac:dyDescent="0.2">
      <c r="A47" s="7" t="s">
        <v>10</v>
      </c>
      <c r="B47" s="10">
        <f>+B46*8%</f>
        <v>1430571.2040000001</v>
      </c>
      <c r="C47" s="32"/>
      <c r="I47" s="34"/>
      <c r="J47" s="34"/>
    </row>
    <row r="48" spans="1:10" ht="25.5" x14ac:dyDescent="0.2">
      <c r="A48" s="9" t="s">
        <v>11</v>
      </c>
      <c r="B48" s="10">
        <f>+(B46+B47)*10%</f>
        <v>1931271.1254000003</v>
      </c>
      <c r="D48" s="71" t="s">
        <v>48</v>
      </c>
      <c r="E48" s="71"/>
      <c r="F48" s="71"/>
      <c r="I48" s="34"/>
      <c r="J48" s="34"/>
    </row>
    <row r="49" spans="1:10" x14ac:dyDescent="0.2">
      <c r="A49" s="7" t="s">
        <v>7</v>
      </c>
      <c r="B49" s="10">
        <f>+B48*19%</f>
        <v>366941.51382600004</v>
      </c>
      <c r="C49" s="57" t="s">
        <v>46</v>
      </c>
      <c r="I49" s="34"/>
      <c r="J49" s="34"/>
    </row>
    <row r="50" spans="1:10" x14ac:dyDescent="0.2">
      <c r="A50" s="7" t="s">
        <v>3</v>
      </c>
      <c r="B50" s="10">
        <f>+(B46+B47+B49)</f>
        <v>19679652.767826002</v>
      </c>
      <c r="C50" s="58">
        <f>+B50*3</f>
        <v>59038958.303478003</v>
      </c>
      <c r="D50" s="42"/>
      <c r="I50" s="34"/>
      <c r="J50" s="34"/>
    </row>
    <row r="51" spans="1:10" x14ac:dyDescent="0.2">
      <c r="A51" s="5"/>
      <c r="B51" s="11"/>
      <c r="I51" s="34"/>
      <c r="J51" s="34"/>
    </row>
    <row r="52" spans="1:10" x14ac:dyDescent="0.2">
      <c r="A52" s="5"/>
      <c r="B52" s="11"/>
      <c r="I52" s="34"/>
      <c r="J52" s="34"/>
    </row>
    <row r="53" spans="1:10" ht="33" customHeight="1" x14ac:dyDescent="0.2">
      <c r="A53" s="74" t="s">
        <v>39</v>
      </c>
      <c r="B53" s="74"/>
      <c r="C53" s="74"/>
      <c r="D53" s="74"/>
      <c r="E53" s="74"/>
      <c r="F53" s="74"/>
      <c r="I53" s="34"/>
      <c r="J53" s="34"/>
    </row>
    <row r="54" spans="1:10" x14ac:dyDescent="0.2">
      <c r="I54" s="34"/>
      <c r="J54" s="34"/>
    </row>
    <row r="55" spans="1:10" x14ac:dyDescent="0.2">
      <c r="A55" s="75" t="s">
        <v>14</v>
      </c>
      <c r="B55" s="76"/>
      <c r="C55" s="76"/>
      <c r="D55" s="76"/>
      <c r="E55" s="76"/>
      <c r="F55" s="76"/>
      <c r="I55" s="34"/>
      <c r="J55" s="34"/>
    </row>
    <row r="56" spans="1:10" x14ac:dyDescent="0.2">
      <c r="A56" s="76"/>
      <c r="B56" s="76"/>
      <c r="C56" s="76"/>
      <c r="D56" s="76"/>
      <c r="E56" s="76"/>
      <c r="F56" s="76"/>
      <c r="I56" s="34"/>
      <c r="J56" s="34"/>
    </row>
    <row r="57" spans="1:10" ht="13.5" thickBot="1" x14ac:dyDescent="0.25">
      <c r="I57" s="34"/>
      <c r="J57" s="34"/>
    </row>
    <row r="58" spans="1:10" ht="39" thickBot="1" x14ac:dyDescent="0.25">
      <c r="A58" s="15" t="s">
        <v>0</v>
      </c>
      <c r="B58" s="56" t="s">
        <v>1</v>
      </c>
      <c r="C58" s="16" t="s">
        <v>8</v>
      </c>
      <c r="D58" s="17" t="s">
        <v>9</v>
      </c>
      <c r="E58" s="77" t="s">
        <v>5</v>
      </c>
      <c r="F58" s="78"/>
      <c r="I58" s="34"/>
      <c r="J58" s="34"/>
    </row>
    <row r="59" spans="1:10" ht="66" customHeight="1" x14ac:dyDescent="0.2">
      <c r="A59" s="12">
        <v>1</v>
      </c>
      <c r="B59" s="54" t="s">
        <v>12</v>
      </c>
      <c r="C59" s="19">
        <f>+E5/30*30</f>
        <v>17876740.050000001</v>
      </c>
      <c r="D59" s="19">
        <f>+C59*A59</f>
        <v>17876740.050000001</v>
      </c>
      <c r="E59" s="79" t="s">
        <v>45</v>
      </c>
      <c r="F59" s="80"/>
      <c r="I59" s="34">
        <v>2000</v>
      </c>
      <c r="J59" s="34"/>
    </row>
    <row r="60" spans="1:10" ht="35.25" customHeight="1" thickBot="1" x14ac:dyDescent="0.25">
      <c r="A60" s="18">
        <v>3</v>
      </c>
      <c r="B60" s="53" t="s">
        <v>16</v>
      </c>
      <c r="C60" s="20">
        <v>1800</v>
      </c>
      <c r="D60" s="20">
        <f>+C60*A60</f>
        <v>5400</v>
      </c>
      <c r="E60" s="72" t="s">
        <v>63</v>
      </c>
      <c r="F60" s="73"/>
    </row>
    <row r="61" spans="1:10" x14ac:dyDescent="0.2">
      <c r="A61" s="55"/>
      <c r="B61" s="49"/>
      <c r="C61" s="2"/>
      <c r="D61" s="2"/>
      <c r="E61" s="3"/>
    </row>
    <row r="62" spans="1:10" x14ac:dyDescent="0.2">
      <c r="A62" s="7" t="s">
        <v>2</v>
      </c>
      <c r="B62" s="6">
        <f>+D59+D60</f>
        <v>17882140.050000001</v>
      </c>
    </row>
    <row r="63" spans="1:10" x14ac:dyDescent="0.2">
      <c r="A63" s="7" t="s">
        <v>10</v>
      </c>
      <c r="B63" s="10">
        <f>+B62*8%</f>
        <v>1430571.2040000001</v>
      </c>
    </row>
    <row r="64" spans="1:10" ht="25.5" x14ac:dyDescent="0.2">
      <c r="A64" s="9" t="s">
        <v>11</v>
      </c>
      <c r="B64" s="10">
        <f>+(B62+B63)*10%</f>
        <v>1931271.1254000003</v>
      </c>
      <c r="D64" s="71" t="s">
        <v>48</v>
      </c>
      <c r="E64" s="71"/>
      <c r="F64" s="71"/>
    </row>
    <row r="65" spans="1:10" x14ac:dyDescent="0.2">
      <c r="A65" s="7" t="s">
        <v>7</v>
      </c>
      <c r="B65" s="10">
        <f>+B64*19%</f>
        <v>366941.51382600004</v>
      </c>
      <c r="C65" s="59" t="s">
        <v>46</v>
      </c>
    </row>
    <row r="66" spans="1:10" ht="17.25" customHeight="1" x14ac:dyDescent="0.2">
      <c r="A66" s="7" t="s">
        <v>3</v>
      </c>
      <c r="B66" s="10">
        <f>+(B62+B63+B65)</f>
        <v>19679652.767826002</v>
      </c>
      <c r="C66" s="58">
        <f>+B66*3</f>
        <v>59038958.303478003</v>
      </c>
      <c r="D66" s="42"/>
    </row>
    <row r="67" spans="1:10" ht="17.25" customHeight="1" x14ac:dyDescent="0.2">
      <c r="A67" s="62"/>
      <c r="B67" s="11"/>
      <c r="C67" s="58"/>
      <c r="D67" s="42"/>
    </row>
    <row r="68" spans="1:10" ht="17.25" customHeight="1" x14ac:dyDescent="0.2">
      <c r="A68" s="5"/>
      <c r="B68" s="63" t="s">
        <v>3</v>
      </c>
      <c r="C68" s="64">
        <f>+C66+C50+C32</f>
        <v>293224530.79668415</v>
      </c>
    </row>
    <row r="69" spans="1:10" ht="33" customHeight="1" x14ac:dyDescent="0.2">
      <c r="A69" s="74"/>
      <c r="B69" s="74"/>
      <c r="C69" s="74"/>
      <c r="D69" s="74"/>
      <c r="E69" s="74"/>
      <c r="F69" s="74"/>
      <c r="I69" s="34"/>
      <c r="J69" s="34"/>
    </row>
    <row r="70" spans="1:10" x14ac:dyDescent="0.2">
      <c r="I70" s="34"/>
      <c r="J70" s="34"/>
    </row>
    <row r="71" spans="1:10" ht="17.25" customHeight="1" x14ac:dyDescent="0.2">
      <c r="A71" s="5" t="s">
        <v>47</v>
      </c>
      <c r="B71" s="63">
        <f>+C68+'JULIO 15 AL 31'!B68+'JULIO 01 AL 14'!B68+'MARZO A JUNIO'!B69+'FEBRERO 26 AL 28'!B68</f>
        <v>772811822.23464966</v>
      </c>
      <c r="C71" s="66"/>
    </row>
    <row r="72" spans="1:10" x14ac:dyDescent="0.2">
      <c r="A72" s="5" t="s">
        <v>56</v>
      </c>
      <c r="B72" s="68">
        <v>774000000</v>
      </c>
      <c r="C72" s="42"/>
    </row>
    <row r="73" spans="1:10" hidden="1" x14ac:dyDescent="0.2">
      <c r="C73" s="42"/>
    </row>
    <row r="74" spans="1:10" hidden="1" x14ac:dyDescent="0.2">
      <c r="C74" s="42"/>
    </row>
    <row r="75" spans="1:10" hidden="1" x14ac:dyDescent="0.2">
      <c r="A75" s="1" t="s">
        <v>38</v>
      </c>
      <c r="B75" s="31">
        <f>+B32+B50+B66</f>
        <v>97741510.265561402</v>
      </c>
      <c r="C75" s="42"/>
    </row>
    <row r="76" spans="1:10" hidden="1" x14ac:dyDescent="0.2">
      <c r="A76" s="1" t="s">
        <v>37</v>
      </c>
      <c r="B76" s="31" t="e">
        <f>+#REF!+#REF!+#REF!+#REF!</f>
        <v>#REF!</v>
      </c>
      <c r="C76" s="42"/>
    </row>
    <row r="77" spans="1:10" hidden="1" x14ac:dyDescent="0.2">
      <c r="B77" s="31" t="e">
        <f>+B75+B76</f>
        <v>#REF!</v>
      </c>
      <c r="C77" s="42"/>
    </row>
    <row r="78" spans="1:10" x14ac:dyDescent="0.2">
      <c r="C78" s="66"/>
    </row>
    <row r="79" spans="1:10" x14ac:dyDescent="0.2">
      <c r="A79" s="5" t="s">
        <v>57</v>
      </c>
      <c r="B79" s="68">
        <v>15000000</v>
      </c>
      <c r="C79" s="5"/>
    </row>
    <row r="80" spans="1:10" x14ac:dyDescent="0.2">
      <c r="A80" s="5" t="s">
        <v>58</v>
      </c>
      <c r="B80" s="68">
        <v>25000000</v>
      </c>
      <c r="C80" s="5"/>
    </row>
    <row r="82" spans="1:2" x14ac:dyDescent="0.2">
      <c r="A82" s="1" t="s">
        <v>3</v>
      </c>
      <c r="B82" s="69">
        <f>+B80+B79+B72</f>
        <v>814000000</v>
      </c>
    </row>
    <row r="84" spans="1:2" x14ac:dyDescent="0.2">
      <c r="B84" s="67">
        <v>49000000</v>
      </c>
    </row>
    <row r="85" spans="1:2" x14ac:dyDescent="0.2">
      <c r="B85" s="67">
        <v>163000000</v>
      </c>
    </row>
    <row r="86" spans="1:2" x14ac:dyDescent="0.2">
      <c r="B86" s="67">
        <v>6500000</v>
      </c>
    </row>
    <row r="87" spans="1:2" x14ac:dyDescent="0.2">
      <c r="B87" s="69">
        <f>+B82+B84+B85+B86</f>
        <v>1032500000</v>
      </c>
    </row>
  </sheetData>
  <mergeCells count="32">
    <mergeCell ref="A17:F17"/>
    <mergeCell ref="D2:E2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6:F16"/>
    <mergeCell ref="E44:F44"/>
    <mergeCell ref="A19:F20"/>
    <mergeCell ref="E22:F22"/>
    <mergeCell ref="E23:F23"/>
    <mergeCell ref="E24:F24"/>
    <mergeCell ref="E25:F25"/>
    <mergeCell ref="E26:F26"/>
    <mergeCell ref="D30:F30"/>
    <mergeCell ref="A37:F37"/>
    <mergeCell ref="A39:F40"/>
    <mergeCell ref="E42:F42"/>
    <mergeCell ref="E43:F43"/>
    <mergeCell ref="D64:F64"/>
    <mergeCell ref="A69:F69"/>
    <mergeCell ref="D48:F48"/>
    <mergeCell ref="A53:F53"/>
    <mergeCell ref="A55:F56"/>
    <mergeCell ref="E58:F58"/>
    <mergeCell ref="E59:F59"/>
    <mergeCell ref="E60:F60"/>
  </mergeCells>
  <pageMargins left="0.70866141732283472" right="0.70866141732283472" top="0.74803149606299213" bottom="0.74803149606299213" header="0.31496062992125984" footer="0.31496062992125984"/>
  <pageSetup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FEBRERO 26 AL 28</vt:lpstr>
      <vt:lpstr>MARZO A JUNIO</vt:lpstr>
      <vt:lpstr>JULIO 01 AL 14</vt:lpstr>
      <vt:lpstr>JULIO 15 AL 31</vt:lpstr>
      <vt:lpstr>AGT SEP OCT</vt:lpstr>
      <vt:lpstr>'AGT SEP OCT'!Área_de_impresión</vt:lpstr>
      <vt:lpstr>'FEBRERO 26 AL 28'!Área_de_impresión</vt:lpstr>
      <vt:lpstr>'JULIO 01 AL 14'!Área_de_impresión</vt:lpstr>
      <vt:lpstr>'JULIO 15 AL 31'!Área_de_impresión</vt:lpstr>
      <vt:lpstr>'MARZO A JUNIO'!Área_de_impresión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Leon</dc:creator>
  <cp:lastModifiedBy>Diego Fernando Oviedo Mesa</cp:lastModifiedBy>
  <cp:lastPrinted>2022-12-06T16:54:48Z</cp:lastPrinted>
  <dcterms:created xsi:type="dcterms:W3CDTF">2018-10-01T14:54:41Z</dcterms:created>
  <dcterms:modified xsi:type="dcterms:W3CDTF">2026-02-04T20:32:47Z</dcterms:modified>
</cp:coreProperties>
</file>