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autoCompressPictures="0" defaultThemeVersion="124226"/>
  <mc:AlternateContent xmlns:mc="http://schemas.openxmlformats.org/markup-compatibility/2006">
    <mc:Choice Requires="x15">
      <x15ac:absPath xmlns:x15ac="http://schemas.microsoft.com/office/spreadsheetml/2010/11/ac" url="F:\ALCALDIA QUIBDO 2020\LICITACION PUBLICA\SECRETARIA DE INFRAESTRUCTURA\ADECUACION CENTRO SALUD CARAÑO\"/>
    </mc:Choice>
  </mc:AlternateContent>
  <bookViews>
    <workbookView xWindow="0" yWindow="0" windowWidth="28800" windowHeight="12030" tabRatio="882" activeTab="10"/>
  </bookViews>
  <sheets>
    <sheet name="comparativo ascensor -vrf " sheetId="89" r:id="rId1"/>
    <sheet name="comparativo vrf" sheetId="88" r:id="rId2"/>
    <sheet name="comparativo (2)" sheetId="87" r:id="rId3"/>
    <sheet name="comparativo" sheetId="85" r:id="rId4"/>
    <sheet name="Cálculo AIU" sheetId="86" r:id="rId5"/>
    <sheet name="PRECIOS" sheetId="61" r:id="rId6"/>
    <sheet name="JORNALES" sheetId="62" r:id="rId7"/>
    <sheet name="F.M_INTERVEN" sheetId="83" r:id="rId8"/>
    <sheet name="PRESTACIONES" sheetId="63" r:id="rId9"/>
    <sheet name="LIST_ACTIVIDADES" sheetId="76" r:id="rId10"/>
    <sheet name="PRESUPUESTO DE OBRA" sheetId="13" r:id="rId11"/>
    <sheet name="MEMORIASCANT" sheetId="57" r:id="rId12"/>
    <sheet name="PDT_FLUJODECAJA" sheetId="84" r:id="rId13"/>
    <sheet name="CUADRO_ACERO" sheetId="80" r:id="rId14"/>
    <sheet name="ACERO_ESTRCUBIERTA" sheetId="81" r:id="rId15"/>
    <sheet name="LIST_APUS_AUX" sheetId="78" r:id="rId16"/>
    <sheet name="LIST_APUS_ELEC_2" sheetId="91" r:id="rId17"/>
    <sheet name="LIST_APUS_ELEC" sheetId="79" r:id="rId18"/>
    <sheet name="LIST_RED_INCENDIOS" sheetId="93" r:id="rId19"/>
    <sheet name="LIST_APUS CIVILES" sheetId="72" r:id="rId20"/>
    <sheet name="LIST_APUS_CIVILES_2" sheetId="90" r:id="rId21"/>
    <sheet name="LIST_RED_CIVILES_3" sheetId="94" r:id="rId22"/>
    <sheet name="LIST_APUS_HIDROSAN" sheetId="64" r:id="rId23"/>
    <sheet name="Hoja1" sheetId="92" r:id="rId24"/>
  </sheets>
  <externalReferences>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_1.1" localSheetId="9">LIST_ACTIVIDADES!#REF!</definedName>
    <definedName name="_1.1" localSheetId="15">'PRESUPUESTO DE OBRA'!#REF!</definedName>
    <definedName name="_1.1" localSheetId="17">'[1]Evaluacion Economica DEFINITIVO'!#REF!</definedName>
    <definedName name="_1.1" localSheetId="11">MEMORIASCANT!#REF!</definedName>
    <definedName name="_1.1">'PRESUPUESTO DE OBRA'!#REF!</definedName>
    <definedName name="_1.2" localSheetId="9">LIST_ACTIVIDADES!#REF!</definedName>
    <definedName name="_1.2" localSheetId="15">'PRESUPUESTO DE OBRA'!#REF!</definedName>
    <definedName name="_1.2" localSheetId="17">'[1]Evaluacion Economica DEFINITIVO'!#REF!</definedName>
    <definedName name="_1.2" localSheetId="11">MEMORIASCANT!#REF!</definedName>
    <definedName name="_1.2">'PRESUPUESTO DE OBRA'!#REF!</definedName>
    <definedName name="_1.3" localSheetId="7">'[2]PRESUPUESTO DE OBRA'!#REF!</definedName>
    <definedName name="_1.3" localSheetId="9">LIST_ACTIVIDADES!#REF!</definedName>
    <definedName name="_1.3" localSheetId="15">'PRESUPUESTO DE OBRA'!#REF!</definedName>
    <definedName name="_1.3" localSheetId="17">'[1]Evaluacion Economica DEFINITIVO'!#REF!</definedName>
    <definedName name="_1.3" localSheetId="11">MEMORIASCANT!#REF!</definedName>
    <definedName name="_1.3">'PRESUPUESTO DE OBRA'!#REF!</definedName>
    <definedName name="_NNN206" localSheetId="7">[3]MAT!#REF!</definedName>
    <definedName name="_NNN206" localSheetId="9">[4]MAT!#REF!</definedName>
    <definedName name="_NNN206" localSheetId="15">[4]MAT!#REF!</definedName>
    <definedName name="_NNN206" localSheetId="11">[4]MAT!#REF!</definedName>
    <definedName name="_NNN206">[4]MAT!#REF!</definedName>
    <definedName name="_NNN208" localSheetId="7">[3]MAT!#REF!</definedName>
    <definedName name="_NNN208" localSheetId="9">[4]MAT!#REF!</definedName>
    <definedName name="_NNN208" localSheetId="15">[4]MAT!#REF!</definedName>
    <definedName name="_NNN208" localSheetId="11">[4]MAT!#REF!</definedName>
    <definedName name="_NNN208">[4]MAT!#REF!</definedName>
    <definedName name="ACPM" localSheetId="7">[5]COSTOS!$E$4</definedName>
    <definedName name="ACPM" localSheetId="17">[7]COSTOS!$E$4</definedName>
    <definedName name="ACPM" localSheetId="12">[6]COSTOS!$E$4</definedName>
    <definedName name="ACPM">[8]COSTOS!$E$4</definedName>
    <definedName name="_xlnm.Print_Area" localSheetId="4">'Cálculo AIU'!$A$1:$K$66</definedName>
    <definedName name="_xlnm.Print_Area" localSheetId="2">'comparativo (2)'!$A$1:$M$15</definedName>
    <definedName name="_xlnm.Print_Area" localSheetId="0">'comparativo ascensor -vrf '!$A$1:$M$15</definedName>
    <definedName name="_xlnm.Print_Area" localSheetId="7">F.M_INTERVEN!$A$1:$D$46</definedName>
    <definedName name="_xlnm.Print_Area" localSheetId="9">LIST_ACTIVIDADES!$A$1:$F$151</definedName>
    <definedName name="_xlnm.Print_Area" localSheetId="19">'LIST_APUS CIVILES'!$A$1:$G$4777</definedName>
    <definedName name="_xlnm.Print_Area" localSheetId="15">LIST_APUS_AUX!$A$1:$G$353</definedName>
    <definedName name="_xlnm.Print_Area" localSheetId="17">LIST_APUS_ELEC!$A$1:$H$1428</definedName>
    <definedName name="_xlnm.Print_Area" localSheetId="22">LIST_APUS_HIDROSAN!$A$1:$G$1384</definedName>
    <definedName name="_xlnm.Print_Area" localSheetId="11">MEMORIASCANT!$A$1:$T$649</definedName>
    <definedName name="_xlnm.Print_Area" localSheetId="12">PDT_FLUJODECAJA!$A$1:$AB$47</definedName>
    <definedName name="_xlnm.Print_Area" localSheetId="5">PRECIOS!$A$1:$D$492</definedName>
    <definedName name="_xlnm.Print_Area" localSheetId="10">'PRESUPUESTO DE OBRA'!$A$1:$H$210</definedName>
    <definedName name="_xlnm.Print_Area">#REF!</definedName>
    <definedName name="ARENON" localSheetId="7">#REF!</definedName>
    <definedName name="ARENON" localSheetId="9">#REF!</definedName>
    <definedName name="ARENON" localSheetId="15">#REF!</definedName>
    <definedName name="ARENON" localSheetId="17">#REF!</definedName>
    <definedName name="ARENON" localSheetId="11">#REF!</definedName>
    <definedName name="ARENON" localSheetId="12">#REF!</definedName>
    <definedName name="ARENON">#REF!</definedName>
    <definedName name="BuiltIn_Print_Area" localSheetId="4">#REF!</definedName>
    <definedName name="BuiltIn_Print_Area" localSheetId="7">#REF!</definedName>
    <definedName name="BuiltIn_Print_Area" localSheetId="9">#REF!</definedName>
    <definedName name="BuiltIn_Print_Area" localSheetId="15">#REF!</definedName>
    <definedName name="BuiltIn_Print_Area" localSheetId="17">#REF!</definedName>
    <definedName name="BuiltIn_Print_Area" localSheetId="11">#REF!</definedName>
    <definedName name="BuiltIn_Print_Area" localSheetId="12">#REF!</definedName>
    <definedName name="BuiltIn_Print_Area">#REF!</definedName>
    <definedName name="GRAVA_COMUN" localSheetId="7">#REF!</definedName>
    <definedName name="GRAVA_COMUN" localSheetId="9">#REF!</definedName>
    <definedName name="GRAVA_COMUN" localSheetId="15">#REF!</definedName>
    <definedName name="GRAVA_COMUN" localSheetId="17">#REF!</definedName>
    <definedName name="GRAVA_COMUN" localSheetId="11">#REF!</definedName>
    <definedName name="GRAVA_COMUN" localSheetId="12">#REF!</definedName>
    <definedName name="GRAVA_COMUN">#REF!</definedName>
    <definedName name="GRAVA_FINA" localSheetId="7">#REF!</definedName>
    <definedName name="GRAVA_FINA" localSheetId="9">#REF!</definedName>
    <definedName name="GRAVA_FINA" localSheetId="15">#REF!</definedName>
    <definedName name="GRAVA_FINA" localSheetId="17">#REF!</definedName>
    <definedName name="GRAVA_FINA" localSheetId="11">#REF!</definedName>
    <definedName name="GRAVA_FINA">#REF!</definedName>
    <definedName name="I" localSheetId="9">LIST_ACTIVIDADES!#REF!</definedName>
    <definedName name="I" localSheetId="15">'PRESUPUESTO DE OBRA'!#REF!</definedName>
    <definedName name="I" localSheetId="17">'[1]Evaluacion Economica DEFINITIVO'!#REF!</definedName>
    <definedName name="I" localSheetId="11">MEMORIASCANT!$D$8:$XFD$38</definedName>
    <definedName name="I">'PRESUPUESTO DE OBRA'!#REF!</definedName>
    <definedName name="LLLLLL" localSheetId="7">[9]MAT!$C$231</definedName>
    <definedName name="LLLLLL">[10]MAT!$C$231</definedName>
    <definedName name="material" localSheetId="7">#REF!</definedName>
    <definedName name="material" localSheetId="9">#REF!</definedName>
    <definedName name="material" localSheetId="15">#REF!</definedName>
    <definedName name="material" localSheetId="11">#REF!</definedName>
    <definedName name="material">#REF!</definedName>
    <definedName name="Materiales" localSheetId="7">[11]Recursos!$A$7:$E$260</definedName>
    <definedName name="Materiales">[12]Recursos!$A$7:$E$260</definedName>
    <definedName name="Materiales2" localSheetId="7">#REF!</definedName>
    <definedName name="Materiales2" localSheetId="9">#REF!</definedName>
    <definedName name="Materiales2" localSheetId="15">#REF!</definedName>
    <definedName name="Materiales2" localSheetId="11">#REF!</definedName>
    <definedName name="Materiales2">#REF!</definedName>
    <definedName name="OBRAS_PRELIMINARES" localSheetId="9">LIST_ACTIVIDADES!#REF!</definedName>
    <definedName name="OBRAS_PRELIMINARES" localSheetId="15">'PRESUPUESTO DE OBRA'!#REF!</definedName>
    <definedName name="OBRAS_PRELIMINARES" localSheetId="17">'[1]Evaluacion Economica DEFINITIVO'!#REF!</definedName>
    <definedName name="OBRAS_PRELIMINARES" localSheetId="11">MEMORIASCANT!$D$8:$D$38</definedName>
    <definedName name="OBRAS_PRELIMINARES">'PRESUPUESTO DE OBRA'!#REF!</definedName>
    <definedName name="PRECIOS" localSheetId="9">PRECIOS!#REF!</definedName>
    <definedName name="PRECIOS" localSheetId="15">PRECIOS!#REF!</definedName>
    <definedName name="PRECIOS">PRECIOS!#REF!</definedName>
    <definedName name="PRODUCCION_MES" localSheetId="7">[5]COSTOS!$E$3</definedName>
    <definedName name="PRODUCCION_MES" localSheetId="17">[7]COSTOS!$E$3</definedName>
    <definedName name="PRODUCCION_MES" localSheetId="12">[6]COSTOS!$E$3</definedName>
    <definedName name="PRODUCCION_MES">[8]COSTOS!$E$3</definedName>
    <definedName name="_xlnm.Print_Titles" localSheetId="4">'Cálculo AIU'!$1:$5</definedName>
    <definedName name="_xlnm.Print_Titles" localSheetId="13">CUADRO_ACERO!$1:$9</definedName>
    <definedName name="_xlnm.Print_Titles" localSheetId="9">LIST_ACTIVIDADES!$1:$1</definedName>
    <definedName name="_xlnm.Print_Titles" localSheetId="19">'LIST_APUS CIVILES'!$1:$5</definedName>
    <definedName name="_xlnm.Print_Titles" localSheetId="15">LIST_APUS_AUX!$1:$5</definedName>
    <definedName name="_xlnm.Print_Titles" localSheetId="22">LIST_APUS_HIDROSAN!$1:$5</definedName>
    <definedName name="_xlnm.Print_Titles" localSheetId="5">PRECIOS!$1:$4</definedName>
    <definedName name="_xlnm.Print_Titles" localSheetId="10">'PRESUPUESTO DE OBRA'!$1:$3</definedName>
  </definedNames>
  <calcPr calcId="162913"/>
</workbook>
</file>

<file path=xl/calcChain.xml><?xml version="1.0" encoding="utf-8"?>
<calcChain xmlns="http://schemas.openxmlformats.org/spreadsheetml/2006/main">
  <c r="H146" i="13" l="1"/>
  <c r="H139" i="13"/>
  <c r="H100" i="13"/>
  <c r="J101" i="13" s="1"/>
  <c r="F1090" i="91" l="1"/>
  <c r="K965" i="91"/>
  <c r="K964" i="91"/>
  <c r="K966" i="91" s="1"/>
  <c r="G723" i="91" l="1"/>
  <c r="K537" i="91"/>
  <c r="K536" i="91"/>
  <c r="K450" i="91"/>
  <c r="K449" i="91"/>
  <c r="F432" i="91"/>
  <c r="K451" i="91" l="1"/>
  <c r="K538" i="91"/>
  <c r="D113" i="94" l="1"/>
  <c r="F113" i="94" s="1"/>
  <c r="G116" i="94" s="1"/>
  <c r="G109" i="94"/>
  <c r="F98" i="94"/>
  <c r="G103" i="94" s="1"/>
  <c r="D69" i="94"/>
  <c r="F69" i="94" s="1"/>
  <c r="G72" i="94" s="1"/>
  <c r="G65" i="94"/>
  <c r="F54" i="94"/>
  <c r="G59" i="94" s="1"/>
  <c r="D27" i="94"/>
  <c r="F27" i="94" s="1"/>
  <c r="G30" i="94" s="1"/>
  <c r="G23" i="94"/>
  <c r="F12" i="94"/>
  <c r="G17" i="94" s="1"/>
  <c r="F93" i="94" l="1"/>
  <c r="G96" i="94" s="1"/>
  <c r="G118" i="94" s="1"/>
  <c r="F49" i="94"/>
  <c r="G52" i="94" s="1"/>
  <c r="G74" i="94" s="1"/>
  <c r="F7" i="94"/>
  <c r="G10" i="94" s="1"/>
  <c r="G32" i="94" s="1"/>
  <c r="D201" i="93"/>
  <c r="F201" i="93" s="1"/>
  <c r="G204" i="93" s="1"/>
  <c r="G197" i="93"/>
  <c r="F186" i="93"/>
  <c r="G191" i="93" s="1"/>
  <c r="D158" i="93"/>
  <c r="F158" i="93" s="1"/>
  <c r="G161" i="93" s="1"/>
  <c r="G154" i="93"/>
  <c r="F143" i="93"/>
  <c r="G148" i="93" s="1"/>
  <c r="D113" i="93"/>
  <c r="F113" i="93" s="1"/>
  <c r="G116" i="93" s="1"/>
  <c r="G109" i="93"/>
  <c r="F98" i="93"/>
  <c r="G103" i="93" s="1"/>
  <c r="D68" i="93"/>
  <c r="F68" i="93" s="1"/>
  <c r="G71" i="93" s="1"/>
  <c r="G64" i="93"/>
  <c r="F53" i="93"/>
  <c r="G58" i="93" s="1"/>
  <c r="D28" i="93"/>
  <c r="F28" i="93" s="1"/>
  <c r="G31" i="93" s="1"/>
  <c r="G24" i="93"/>
  <c r="F13" i="93"/>
  <c r="G18" i="93" s="1"/>
  <c r="F181" i="93" l="1"/>
  <c r="G184" i="93" s="1"/>
  <c r="G206" i="93" s="1"/>
  <c r="F138" i="93"/>
  <c r="G141" i="93" s="1"/>
  <c r="G163" i="93" s="1"/>
  <c r="F93" i="93"/>
  <c r="G96" i="93" s="1"/>
  <c r="G118" i="93" s="1"/>
  <c r="F48" i="93"/>
  <c r="G51" i="93" s="1"/>
  <c r="G73" i="93" s="1"/>
  <c r="F8" i="93"/>
  <c r="G11" i="93" s="1"/>
  <c r="G33" i="93" s="1"/>
  <c r="D608" i="90"/>
  <c r="F608" i="90" s="1"/>
  <c r="G611" i="90" s="1"/>
  <c r="G604" i="90"/>
  <c r="F593" i="90"/>
  <c r="G598" i="90" s="1"/>
  <c r="D563" i="90"/>
  <c r="F563" i="90" s="1"/>
  <c r="G566" i="90" s="1"/>
  <c r="G559" i="90"/>
  <c r="F548" i="90"/>
  <c r="G553" i="90" s="1"/>
  <c r="D519" i="90"/>
  <c r="F519" i="90" s="1"/>
  <c r="G522" i="90" s="1"/>
  <c r="G515" i="90"/>
  <c r="F504" i="90"/>
  <c r="G509" i="90" s="1"/>
  <c r="F588" i="90" l="1"/>
  <c r="G591" i="90" s="1"/>
  <c r="G613" i="90" s="1"/>
  <c r="F543" i="90"/>
  <c r="G546" i="90" s="1"/>
  <c r="G568" i="90" s="1"/>
  <c r="F499" i="90"/>
  <c r="G502" i="90" s="1"/>
  <c r="G524" i="90" s="1"/>
  <c r="D475" i="90"/>
  <c r="F475" i="90" s="1"/>
  <c r="G478" i="90" s="1"/>
  <c r="G471" i="90"/>
  <c r="F460" i="90"/>
  <c r="G465" i="90" s="1"/>
  <c r="D430" i="90"/>
  <c r="F430" i="90" s="1"/>
  <c r="G433" i="90" s="1"/>
  <c r="G426" i="90"/>
  <c r="F415" i="90"/>
  <c r="G420" i="90" s="1"/>
  <c r="F455" i="90" l="1"/>
  <c r="G458" i="90" s="1"/>
  <c r="G480" i="90" s="1"/>
  <c r="F410" i="90"/>
  <c r="G413" i="90" s="1"/>
  <c r="G435" i="90" s="1"/>
  <c r="D1395" i="91"/>
  <c r="F1395" i="91" s="1"/>
  <c r="G1391" i="91"/>
  <c r="F1383" i="91"/>
  <c r="G1385" i="91" s="1"/>
  <c r="D1351" i="91"/>
  <c r="F1351" i="91" s="1"/>
  <c r="G1347" i="91"/>
  <c r="F1339" i="91"/>
  <c r="G1341" i="91" s="1"/>
  <c r="D1313" i="91"/>
  <c r="F1313" i="91" s="1"/>
  <c r="G1309" i="91"/>
  <c r="F1301" i="91"/>
  <c r="G1303" i="91" s="1"/>
  <c r="D1276" i="91"/>
  <c r="F1276" i="91" s="1"/>
  <c r="G1272" i="91"/>
  <c r="F1264" i="91"/>
  <c r="G1266" i="91" s="1"/>
  <c r="D1232" i="91"/>
  <c r="F1232" i="91" s="1"/>
  <c r="G1228" i="91"/>
  <c r="F1220" i="91"/>
  <c r="G1222" i="91" s="1"/>
  <c r="D1190" i="91"/>
  <c r="F1190" i="91" s="1"/>
  <c r="G1186" i="91"/>
  <c r="F1178" i="91"/>
  <c r="G1180" i="91" s="1"/>
  <c r="D1145" i="91"/>
  <c r="F1145" i="91" s="1"/>
  <c r="G1141" i="91"/>
  <c r="F1133" i="91"/>
  <c r="G1135" i="91" s="1"/>
  <c r="D1102" i="91"/>
  <c r="F1102" i="91" s="1"/>
  <c r="G1098" i="91"/>
  <c r="G1092" i="91"/>
  <c r="D1052" i="91"/>
  <c r="F1052" i="91" s="1"/>
  <c r="G1048" i="91"/>
  <c r="F1040" i="91"/>
  <c r="G1042" i="91" s="1"/>
  <c r="D1009" i="91"/>
  <c r="F1009" i="91" s="1"/>
  <c r="G1005" i="91"/>
  <c r="F997" i="91"/>
  <c r="G999" i="91" s="1"/>
  <c r="D960" i="91"/>
  <c r="F960" i="91" s="1"/>
  <c r="G963" i="91" s="1"/>
  <c r="G956" i="91"/>
  <c r="F948" i="91"/>
  <c r="G950" i="91" s="1"/>
  <c r="D908" i="91"/>
  <c r="F908" i="91" s="1"/>
  <c r="G904" i="91"/>
  <c r="F896" i="91"/>
  <c r="G898" i="91" s="1"/>
  <c r="D864" i="91"/>
  <c r="F864" i="91" s="1"/>
  <c r="G867" i="91" s="1"/>
  <c r="G860" i="91"/>
  <c r="F852" i="91"/>
  <c r="G854" i="91" s="1"/>
  <c r="F1378" i="91" l="1"/>
  <c r="G1381" i="91" s="1"/>
  <c r="G1398" i="91"/>
  <c r="F1334" i="91"/>
  <c r="G1337" i="91" s="1"/>
  <c r="G1354" i="91"/>
  <c r="F1296" i="91"/>
  <c r="G1299" i="91" s="1"/>
  <c r="G1316" i="91"/>
  <c r="F1258" i="91"/>
  <c r="G1261" i="91" s="1"/>
  <c r="G1279" i="91"/>
  <c r="F1215" i="91"/>
  <c r="G1218" i="91" s="1"/>
  <c r="G1235" i="91"/>
  <c r="F1172" i="91"/>
  <c r="G1175" i="91" s="1"/>
  <c r="G1193" i="91"/>
  <c r="F1127" i="91"/>
  <c r="G1130" i="91" s="1"/>
  <c r="G1148" i="91"/>
  <c r="F1078" i="91"/>
  <c r="G1081" i="91" s="1"/>
  <c r="G1105" i="91"/>
  <c r="F1029" i="91"/>
  <c r="G1032" i="91" s="1"/>
  <c r="G1055" i="91"/>
  <c r="F985" i="91"/>
  <c r="G988" i="91" s="1"/>
  <c r="G1012" i="91"/>
  <c r="F935" i="91"/>
  <c r="G938" i="91" s="1"/>
  <c r="G965" i="91" s="1"/>
  <c r="F885" i="91"/>
  <c r="G888" i="91" s="1"/>
  <c r="G911" i="91"/>
  <c r="F842" i="91"/>
  <c r="G845" i="91" s="1"/>
  <c r="G869" i="91" s="1"/>
  <c r="D823" i="91"/>
  <c r="F823" i="91" s="1"/>
  <c r="G819" i="91"/>
  <c r="F811" i="91"/>
  <c r="G813" i="91" s="1"/>
  <c r="D775" i="91"/>
  <c r="F775" i="91" s="1"/>
  <c r="G771" i="91"/>
  <c r="F763" i="91"/>
  <c r="G765" i="91" s="1"/>
  <c r="D727" i="91"/>
  <c r="F727" i="91" s="1"/>
  <c r="F715" i="91"/>
  <c r="G717" i="91" s="1"/>
  <c r="D678" i="91"/>
  <c r="F678" i="91" s="1"/>
  <c r="G674" i="91"/>
  <c r="F666" i="91"/>
  <c r="G668" i="91" s="1"/>
  <c r="D631" i="91"/>
  <c r="F631" i="91" s="1"/>
  <c r="G627" i="91"/>
  <c r="F619" i="91"/>
  <c r="G621" i="91" s="1"/>
  <c r="D581" i="91"/>
  <c r="F581" i="91" s="1"/>
  <c r="G577" i="91"/>
  <c r="F569" i="91"/>
  <c r="G571" i="91" s="1"/>
  <c r="D533" i="91"/>
  <c r="F533" i="91" s="1"/>
  <c r="G529" i="91"/>
  <c r="F521" i="91"/>
  <c r="G523" i="91" s="1"/>
  <c r="D490" i="91"/>
  <c r="F490" i="91" s="1"/>
  <c r="G486" i="91"/>
  <c r="G480" i="91"/>
  <c r="D444" i="91"/>
  <c r="F444" i="91" s="1"/>
  <c r="G440" i="91"/>
  <c r="G434" i="91"/>
  <c r="D397" i="91"/>
  <c r="F397" i="91" s="1"/>
  <c r="G393" i="91"/>
  <c r="F385" i="91"/>
  <c r="G387" i="91" s="1"/>
  <c r="J967" i="91" l="1"/>
  <c r="K967" i="91" s="1"/>
  <c r="G180" i="13"/>
  <c r="G1400" i="91"/>
  <c r="G1281" i="91"/>
  <c r="G1356" i="91"/>
  <c r="G826" i="91"/>
  <c r="F801" i="91"/>
  <c r="G804" i="91" s="1"/>
  <c r="G1014" i="91"/>
  <c r="G913" i="91"/>
  <c r="G1318" i="91"/>
  <c r="G1237" i="91"/>
  <c r="G1195" i="91"/>
  <c r="G1150" i="91"/>
  <c r="G1107" i="91"/>
  <c r="G1057" i="91"/>
  <c r="F753" i="91"/>
  <c r="G756" i="91" s="1"/>
  <c r="G778" i="91"/>
  <c r="F703" i="91"/>
  <c r="G706" i="91" s="1"/>
  <c r="G730" i="91"/>
  <c r="F656" i="91"/>
  <c r="G659" i="91" s="1"/>
  <c r="G681" i="91"/>
  <c r="F607" i="91"/>
  <c r="G610" i="91" s="1"/>
  <c r="G634" i="91"/>
  <c r="F557" i="91"/>
  <c r="G560" i="91" s="1"/>
  <c r="G584" i="91"/>
  <c r="F509" i="91"/>
  <c r="G512" i="91" s="1"/>
  <c r="G536" i="91"/>
  <c r="F466" i="91"/>
  <c r="G469" i="91" s="1"/>
  <c r="G493" i="91"/>
  <c r="F420" i="91"/>
  <c r="G423" i="91" s="1"/>
  <c r="G447" i="91"/>
  <c r="F373" i="91"/>
  <c r="G376" i="91" s="1"/>
  <c r="G400" i="91"/>
  <c r="D351" i="91"/>
  <c r="F351" i="91" s="1"/>
  <c r="G347" i="91"/>
  <c r="F339" i="91"/>
  <c r="G341" i="91" s="1"/>
  <c r="D302" i="91"/>
  <c r="F302" i="91" s="1"/>
  <c r="G298" i="91"/>
  <c r="F290" i="91"/>
  <c r="G292" i="91" s="1"/>
  <c r="D255" i="91"/>
  <c r="F255" i="91" s="1"/>
  <c r="G251" i="91"/>
  <c r="F243" i="91"/>
  <c r="G245" i="91" s="1"/>
  <c r="D210" i="91"/>
  <c r="F210" i="91" s="1"/>
  <c r="G206" i="91"/>
  <c r="F198" i="91"/>
  <c r="G200" i="91" s="1"/>
  <c r="D167" i="91"/>
  <c r="F167" i="91" s="1"/>
  <c r="G163" i="91"/>
  <c r="F155" i="91"/>
  <c r="G157" i="91" s="1"/>
  <c r="D124" i="91"/>
  <c r="F124" i="91" s="1"/>
  <c r="G127" i="91" s="1"/>
  <c r="G120" i="91"/>
  <c r="F112" i="91"/>
  <c r="G114" i="91" s="1"/>
  <c r="D76" i="91"/>
  <c r="F76" i="91" s="1"/>
  <c r="G79" i="91" s="1"/>
  <c r="G72" i="91"/>
  <c r="F64" i="91"/>
  <c r="G66" i="91" s="1"/>
  <c r="F23" i="91"/>
  <c r="G25" i="91" s="1"/>
  <c r="D35" i="91"/>
  <c r="F35" i="91" s="1"/>
  <c r="G38" i="91" s="1"/>
  <c r="G31" i="91"/>
  <c r="D384" i="90"/>
  <c r="F384" i="90" s="1"/>
  <c r="G387" i="90" s="1"/>
  <c r="G380" i="90"/>
  <c r="F369" i="90"/>
  <c r="G374" i="90" s="1"/>
  <c r="D339" i="90"/>
  <c r="F339" i="90" s="1"/>
  <c r="G342" i="90" s="1"/>
  <c r="G335" i="90"/>
  <c r="F324" i="90"/>
  <c r="G329" i="90" s="1"/>
  <c r="G181" i="13" l="1"/>
  <c r="J968" i="91"/>
  <c r="K968" i="91" s="1"/>
  <c r="K969" i="91" s="1"/>
  <c r="G828" i="91"/>
  <c r="G683" i="91"/>
  <c r="G732" i="91"/>
  <c r="G780" i="91"/>
  <c r="G402" i="91"/>
  <c r="G495" i="91"/>
  <c r="J453" i="91" s="1"/>
  <c r="K453" i="91" s="1"/>
  <c r="G538" i="91"/>
  <c r="G586" i="91"/>
  <c r="G636" i="91"/>
  <c r="G449" i="91"/>
  <c r="F327" i="91"/>
  <c r="G330" i="91" s="1"/>
  <c r="G354" i="91"/>
  <c r="F278" i="91"/>
  <c r="G281" i="91" s="1"/>
  <c r="G305" i="91"/>
  <c r="F59" i="91"/>
  <c r="G62" i="91" s="1"/>
  <c r="G81" i="91" s="1"/>
  <c r="F233" i="91"/>
  <c r="G236" i="91" s="1"/>
  <c r="G258" i="91"/>
  <c r="F7" i="91"/>
  <c r="G10" i="91" s="1"/>
  <c r="G40" i="91" s="1"/>
  <c r="F188" i="91"/>
  <c r="G191" i="91" s="1"/>
  <c r="G213" i="91"/>
  <c r="F145" i="91"/>
  <c r="G148" i="91" s="1"/>
  <c r="G170" i="91"/>
  <c r="F102" i="91"/>
  <c r="G105" i="91" s="1"/>
  <c r="G129" i="91" s="1"/>
  <c r="F364" i="90"/>
  <c r="G367" i="90" s="1"/>
  <c r="G389" i="90" s="1"/>
  <c r="F319" i="90"/>
  <c r="G322" i="90" s="1"/>
  <c r="G344" i="90" s="1"/>
  <c r="D735" i="64"/>
  <c r="D734" i="64"/>
  <c r="F734" i="64" s="1"/>
  <c r="D687" i="64"/>
  <c r="D686" i="64"/>
  <c r="D960" i="64"/>
  <c r="D961" i="64"/>
  <c r="D1005" i="64"/>
  <c r="F1005" i="64" s="1"/>
  <c r="D1004" i="64"/>
  <c r="F1004" i="64" s="1"/>
  <c r="F1008" i="64"/>
  <c r="F1006" i="64"/>
  <c r="F1007" i="64"/>
  <c r="D751" i="64"/>
  <c r="F751" i="64" s="1"/>
  <c r="D750" i="64"/>
  <c r="F750" i="64" s="1"/>
  <c r="F739" i="64"/>
  <c r="F738" i="64"/>
  <c r="F737" i="64"/>
  <c r="F736" i="64"/>
  <c r="F735" i="64"/>
  <c r="D703" i="64"/>
  <c r="F703" i="64" s="1"/>
  <c r="D702" i="64"/>
  <c r="F702" i="64" s="1"/>
  <c r="F691" i="64"/>
  <c r="F690" i="64"/>
  <c r="F689" i="64"/>
  <c r="F688" i="64"/>
  <c r="F687" i="64"/>
  <c r="F686" i="64"/>
  <c r="F637" i="64"/>
  <c r="F640" i="64"/>
  <c r="F641" i="64"/>
  <c r="F642" i="64"/>
  <c r="F643" i="64"/>
  <c r="D654" i="64"/>
  <c r="F654" i="64" s="1"/>
  <c r="D655" i="64"/>
  <c r="F655" i="64" s="1"/>
  <c r="D780" i="64"/>
  <c r="F780" i="64" s="1"/>
  <c r="D785" i="64" s="1"/>
  <c r="F785" i="64" s="1"/>
  <c r="D781" i="64"/>
  <c r="F781" i="64" s="1"/>
  <c r="D782" i="64"/>
  <c r="F782" i="64" s="1"/>
  <c r="D783" i="64"/>
  <c r="F783" i="64" s="1"/>
  <c r="D784" i="64"/>
  <c r="F784" i="64" s="1"/>
  <c r="B797" i="64"/>
  <c r="D797" i="64" s="1"/>
  <c r="F797" i="64" s="1"/>
  <c r="B798" i="64"/>
  <c r="D798" i="64" s="1"/>
  <c r="F798" i="64" s="1"/>
  <c r="G172" i="13" l="1"/>
  <c r="J539" i="91"/>
  <c r="K539" i="91" s="1"/>
  <c r="J540" i="91"/>
  <c r="K540" i="91" s="1"/>
  <c r="G171" i="13"/>
  <c r="G169" i="13"/>
  <c r="J452" i="91"/>
  <c r="K452" i="91" s="1"/>
  <c r="K454" i="91" s="1"/>
  <c r="G170" i="13"/>
  <c r="G307" i="91"/>
  <c r="G356" i="91"/>
  <c r="G260" i="91"/>
  <c r="G172" i="91"/>
  <c r="G215" i="91"/>
  <c r="F1009" i="64"/>
  <c r="G1011" i="64" s="1"/>
  <c r="G741" i="64"/>
  <c r="G755" i="64"/>
  <c r="G693" i="64"/>
  <c r="G707" i="64"/>
  <c r="G659" i="64"/>
  <c r="F631" i="64" s="1"/>
  <c r="G634" i="64" s="1"/>
  <c r="G802" i="64"/>
  <c r="F773" i="64" s="1"/>
  <c r="G776" i="64" s="1"/>
  <c r="G787" i="64"/>
  <c r="F1359" i="64"/>
  <c r="F1358" i="64"/>
  <c r="F1357" i="64"/>
  <c r="F1356" i="64"/>
  <c r="F1355" i="64"/>
  <c r="F1354" i="64"/>
  <c r="F280" i="90"/>
  <c r="F279" i="90"/>
  <c r="D294" i="90"/>
  <c r="F294" i="90" s="1"/>
  <c r="G297" i="90" s="1"/>
  <c r="G290" i="90"/>
  <c r="F273" i="90"/>
  <c r="D249" i="90"/>
  <c r="F249" i="90" s="1"/>
  <c r="G252" i="90" s="1"/>
  <c r="G245" i="90"/>
  <c r="F235" i="90"/>
  <c r="F234" i="90"/>
  <c r="G239" i="90" s="1"/>
  <c r="D204" i="90"/>
  <c r="F204" i="90" s="1"/>
  <c r="G207" i="90" s="1"/>
  <c r="G200" i="90"/>
  <c r="F189" i="90"/>
  <c r="G194" i="90" s="1"/>
  <c r="F183" i="90"/>
  <c r="F147" i="90"/>
  <c r="K541" i="91" l="1"/>
  <c r="G284" i="90"/>
  <c r="F727" i="64"/>
  <c r="G730" i="64" s="1"/>
  <c r="G757" i="64" s="1"/>
  <c r="G108" i="13" s="1"/>
  <c r="F679" i="64"/>
  <c r="G682" i="64" s="1"/>
  <c r="G709" i="64" s="1"/>
  <c r="G107" i="13" s="1"/>
  <c r="G804" i="64"/>
  <c r="G1361" i="64"/>
  <c r="F274" i="90"/>
  <c r="G277" i="90" s="1"/>
  <c r="G299" i="90" s="1"/>
  <c r="F229" i="90"/>
  <c r="G232" i="90" s="1"/>
  <c r="G254" i="90" s="1"/>
  <c r="F184" i="90"/>
  <c r="G187" i="90" s="1"/>
  <c r="G209" i="90" s="1"/>
  <c r="D159" i="90"/>
  <c r="F159" i="90" s="1"/>
  <c r="G162" i="90" s="1"/>
  <c r="G155" i="90"/>
  <c r="F146" i="90"/>
  <c r="F145" i="90"/>
  <c r="F144" i="90"/>
  <c r="F138" i="90"/>
  <c r="F101" i="90"/>
  <c r="F100" i="90"/>
  <c r="F93" i="90"/>
  <c r="F99" i="90"/>
  <c r="F102" i="90" s="1"/>
  <c r="D114" i="90"/>
  <c r="F114" i="90" s="1"/>
  <c r="G117" i="90" s="1"/>
  <c r="F94" i="90" s="1"/>
  <c r="G110" i="90"/>
  <c r="G56" i="90"/>
  <c r="D66" i="90"/>
  <c r="F66" i="90" s="1"/>
  <c r="G69" i="90" s="1"/>
  <c r="G62" i="90"/>
  <c r="G52" i="90"/>
  <c r="D24" i="90"/>
  <c r="F24" i="90" s="1"/>
  <c r="G20" i="90"/>
  <c r="E145" i="13"/>
  <c r="D145" i="13"/>
  <c r="C145" i="13"/>
  <c r="G97" i="90" l="1"/>
  <c r="G104" i="90"/>
  <c r="G119" i="90" s="1"/>
  <c r="F139" i="90"/>
  <c r="G142" i="90" s="1"/>
  <c r="G149" i="90"/>
  <c r="G71" i="90"/>
  <c r="G27" i="90"/>
  <c r="H203" i="13"/>
  <c r="G164" i="90" l="1"/>
  <c r="G10" i="90"/>
  <c r="G29" i="90" s="1"/>
  <c r="I13" i="89"/>
  <c r="G13" i="89"/>
  <c r="G12" i="89"/>
  <c r="K11" i="89"/>
  <c r="G11" i="89"/>
  <c r="K10" i="89"/>
  <c r="G10" i="89"/>
  <c r="G7" i="89"/>
  <c r="G6" i="89"/>
  <c r="G7" i="88"/>
  <c r="G6" i="88"/>
  <c r="I27" i="57"/>
  <c r="G140" i="13"/>
  <c r="G143" i="13"/>
  <c r="G144" i="13"/>
  <c r="I13" i="87"/>
  <c r="G13" i="87"/>
  <c r="G12" i="87"/>
  <c r="K11" i="87"/>
  <c r="G11" i="87"/>
  <c r="K10" i="87"/>
  <c r="G10" i="87"/>
  <c r="G9" i="87"/>
  <c r="G8" i="87"/>
  <c r="G7" i="87"/>
  <c r="G6" i="87"/>
  <c r="H200" i="13"/>
  <c r="H199" i="13" s="1"/>
  <c r="H201" i="13"/>
  <c r="H202" i="13"/>
  <c r="H10" i="86"/>
  <c r="A1" i="86"/>
  <c r="K74" i="86"/>
  <c r="K70" i="86"/>
  <c r="H60" i="86"/>
  <c r="H59" i="86"/>
  <c r="H56" i="86"/>
  <c r="H55" i="86"/>
  <c r="H54" i="86"/>
  <c r="K53" i="86" s="1"/>
  <c r="J53" i="86"/>
  <c r="A53" i="86"/>
  <c r="H51" i="86"/>
  <c r="K50" i="86"/>
  <c r="J50" i="86"/>
  <c r="H48" i="86"/>
  <c r="H47" i="86"/>
  <c r="J46" i="86"/>
  <c r="H44" i="86"/>
  <c r="H43" i="86"/>
  <c r="H42" i="86"/>
  <c r="J40" i="86"/>
  <c r="H38" i="86"/>
  <c r="K37" i="86" s="1"/>
  <c r="J37" i="86"/>
  <c r="H35" i="86"/>
  <c r="H34" i="86"/>
  <c r="H33" i="86"/>
  <c r="H32" i="86"/>
  <c r="H31" i="86"/>
  <c r="K30" i="86" s="1"/>
  <c r="J30" i="86"/>
  <c r="H28" i="86"/>
  <c r="K27" i="86" s="1"/>
  <c r="J27" i="86"/>
  <c r="H25" i="86"/>
  <c r="H24" i="86"/>
  <c r="J23" i="86"/>
  <c r="H21" i="86"/>
  <c r="K20" i="86" s="1"/>
  <c r="H18" i="86"/>
  <c r="H17" i="86"/>
  <c r="F15" i="86"/>
  <c r="H15" i="86"/>
  <c r="H14" i="86"/>
  <c r="H13" i="86"/>
  <c r="H12" i="86"/>
  <c r="H11" i="86"/>
  <c r="H9" i="86"/>
  <c r="H8" i="86"/>
  <c r="K40" i="86"/>
  <c r="K23" i="86"/>
  <c r="K46" i="86"/>
  <c r="K58" i="86"/>
  <c r="K16" i="86"/>
  <c r="G13" i="85"/>
  <c r="E13" i="85"/>
  <c r="E12" i="85"/>
  <c r="I11" i="85"/>
  <c r="E11" i="85"/>
  <c r="I10" i="85"/>
  <c r="E10" i="85"/>
  <c r="E9" i="85"/>
  <c r="C9" i="85"/>
  <c r="E7" i="85"/>
  <c r="E6" i="85"/>
  <c r="F139" i="76"/>
  <c r="F140" i="76"/>
  <c r="F141" i="76"/>
  <c r="F138" i="76"/>
  <c r="F137" i="76"/>
  <c r="J31" i="13"/>
  <c r="B40" i="84"/>
  <c r="B43" i="84"/>
  <c r="D40" i="83"/>
  <c r="D30" i="83"/>
  <c r="D21" i="83"/>
  <c r="D13" i="83"/>
  <c r="D26" i="83" s="1"/>
  <c r="D5" i="83"/>
  <c r="D25" i="83" s="1"/>
  <c r="N20" i="81"/>
  <c r="N21" i="81"/>
  <c r="N19" i="81"/>
  <c r="N17" i="81"/>
  <c r="N16" i="81"/>
  <c r="N15" i="81"/>
  <c r="N14" i="81"/>
  <c r="L13" i="81"/>
  <c r="N13" i="81"/>
  <c r="M12" i="81"/>
  <c r="N12" i="81" s="1"/>
  <c r="M11" i="81"/>
  <c r="N11" i="81"/>
  <c r="M10" i="81"/>
  <c r="N10" i="81" s="1"/>
  <c r="B7" i="81"/>
  <c r="L4" i="81"/>
  <c r="C4" i="81"/>
  <c r="M173" i="80"/>
  <c r="N173" i="80" s="1"/>
  <c r="M172" i="80"/>
  <c r="N172" i="80"/>
  <c r="M171" i="80"/>
  <c r="N171" i="80" s="1"/>
  <c r="M170" i="80"/>
  <c r="N170" i="80"/>
  <c r="M169" i="80"/>
  <c r="N169" i="80" s="1"/>
  <c r="M168" i="80"/>
  <c r="N168" i="80" s="1"/>
  <c r="M167" i="80"/>
  <c r="N167" i="80" s="1"/>
  <c r="M166" i="80"/>
  <c r="N166" i="80"/>
  <c r="M165" i="80"/>
  <c r="N165" i="80" s="1"/>
  <c r="M164" i="80"/>
  <c r="N164" i="80"/>
  <c r="M163" i="80"/>
  <c r="N163" i="80"/>
  <c r="M162" i="80"/>
  <c r="N162" i="80"/>
  <c r="M161" i="80"/>
  <c r="N161" i="80"/>
  <c r="M160" i="80"/>
  <c r="N160" i="80"/>
  <c r="M159" i="80"/>
  <c r="N159" i="80"/>
  <c r="M158" i="80"/>
  <c r="N158" i="80"/>
  <c r="M157" i="80"/>
  <c r="N157" i="80"/>
  <c r="M156" i="80"/>
  <c r="N156" i="80"/>
  <c r="M155" i="80"/>
  <c r="N155" i="80"/>
  <c r="M154" i="80"/>
  <c r="N154" i="80"/>
  <c r="M153" i="80"/>
  <c r="N153" i="80"/>
  <c r="M152" i="80"/>
  <c r="N152" i="80" s="1"/>
  <c r="M151" i="80"/>
  <c r="N151" i="80"/>
  <c r="M150" i="80"/>
  <c r="N150" i="80"/>
  <c r="M149" i="80"/>
  <c r="N149" i="80"/>
  <c r="M148" i="80"/>
  <c r="N148" i="80"/>
  <c r="M147" i="80"/>
  <c r="N147" i="80"/>
  <c r="M146" i="80"/>
  <c r="N146" i="80"/>
  <c r="M145" i="80"/>
  <c r="N145" i="80"/>
  <c r="M144" i="80"/>
  <c r="N144" i="80"/>
  <c r="M143" i="80"/>
  <c r="N143" i="80"/>
  <c r="M142" i="80"/>
  <c r="N142" i="80"/>
  <c r="M141" i="80"/>
  <c r="N141" i="80"/>
  <c r="M140" i="80"/>
  <c r="N140" i="80"/>
  <c r="M139" i="80"/>
  <c r="N139" i="80"/>
  <c r="M138" i="80"/>
  <c r="N138" i="80"/>
  <c r="M137" i="80"/>
  <c r="N137" i="80"/>
  <c r="M136" i="80"/>
  <c r="N136" i="80" s="1"/>
  <c r="M135" i="80"/>
  <c r="N135" i="80"/>
  <c r="M134" i="80"/>
  <c r="N134" i="80"/>
  <c r="L133" i="80"/>
  <c r="N133" i="80"/>
  <c r="L132" i="80"/>
  <c r="N132" i="80"/>
  <c r="L131" i="80"/>
  <c r="N131" i="80"/>
  <c r="L130" i="80"/>
  <c r="N130" i="80"/>
  <c r="L129" i="80"/>
  <c r="N129" i="80"/>
  <c r="L128" i="80"/>
  <c r="N128" i="80"/>
  <c r="M127" i="80"/>
  <c r="L127" i="80"/>
  <c r="M126" i="80"/>
  <c r="L126" i="80"/>
  <c r="M125" i="80"/>
  <c r="L125" i="80"/>
  <c r="M124" i="80"/>
  <c r="L124" i="80"/>
  <c r="N124" i="80" s="1"/>
  <c r="L123" i="80"/>
  <c r="N123" i="80"/>
  <c r="L122" i="80"/>
  <c r="N122" i="80"/>
  <c r="N121" i="80"/>
  <c r="N120" i="80"/>
  <c r="N119" i="80"/>
  <c r="L118" i="80"/>
  <c r="N118" i="80" s="1"/>
  <c r="L117" i="80"/>
  <c r="N117" i="80" s="1"/>
  <c r="L116" i="80"/>
  <c r="N116" i="80" s="1"/>
  <c r="M115" i="80"/>
  <c r="N115" i="80" s="1"/>
  <c r="M114" i="80"/>
  <c r="N114" i="80" s="1"/>
  <c r="M113" i="80"/>
  <c r="N113" i="80" s="1"/>
  <c r="M112" i="80"/>
  <c r="N112" i="80" s="1"/>
  <c r="M111" i="80"/>
  <c r="N111" i="80" s="1"/>
  <c r="N110" i="80"/>
  <c r="M109" i="80"/>
  <c r="N109" i="80"/>
  <c r="N108" i="80"/>
  <c r="N107" i="80"/>
  <c r="N106" i="80"/>
  <c r="N105" i="80"/>
  <c r="N104" i="80"/>
  <c r="N103" i="80"/>
  <c r="L102" i="80"/>
  <c r="N102" i="80"/>
  <c r="L101" i="80"/>
  <c r="N101" i="80"/>
  <c r="L100" i="80"/>
  <c r="N100" i="80"/>
  <c r="L99" i="80"/>
  <c r="N99" i="80"/>
  <c r="L98" i="80"/>
  <c r="N98" i="80"/>
  <c r="L97" i="80"/>
  <c r="N97" i="80" s="1"/>
  <c r="N96" i="80"/>
  <c r="N95" i="80"/>
  <c r="N94" i="80"/>
  <c r="N93" i="80"/>
  <c r="N92" i="80"/>
  <c r="N91" i="80"/>
  <c r="N90" i="80"/>
  <c r="N89" i="80"/>
  <c r="N88" i="80"/>
  <c r="N87" i="80"/>
  <c r="N86" i="80"/>
  <c r="N85" i="80"/>
  <c r="N84" i="80"/>
  <c r="N83" i="80"/>
  <c r="N82" i="80"/>
  <c r="N81" i="80"/>
  <c r="N80" i="80"/>
  <c r="N79" i="80"/>
  <c r="N78" i="80"/>
  <c r="N77" i="80"/>
  <c r="N76" i="80"/>
  <c r="N75" i="80"/>
  <c r="N74" i="80"/>
  <c r="N73" i="80"/>
  <c r="N72" i="80"/>
  <c r="N71" i="80"/>
  <c r="N70" i="80"/>
  <c r="N69" i="80"/>
  <c r="N68" i="80"/>
  <c r="N67" i="80"/>
  <c r="N66" i="80"/>
  <c r="N65" i="80"/>
  <c r="N64" i="80"/>
  <c r="N63" i="80"/>
  <c r="N62" i="80"/>
  <c r="N61" i="80"/>
  <c r="N60" i="80"/>
  <c r="N59" i="80"/>
  <c r="N58" i="80"/>
  <c r="N57" i="80"/>
  <c r="N56" i="80"/>
  <c r="N55" i="80"/>
  <c r="N54" i="80"/>
  <c r="N53" i="80"/>
  <c r="N52" i="80"/>
  <c r="N51" i="80"/>
  <c r="N50" i="80"/>
  <c r="N49" i="80"/>
  <c r="N48" i="80"/>
  <c r="N47" i="80"/>
  <c r="N46" i="80"/>
  <c r="M45" i="80"/>
  <c r="N45" i="80" s="1"/>
  <c r="M44" i="80"/>
  <c r="N44" i="80" s="1"/>
  <c r="M43" i="80"/>
  <c r="N43" i="80" s="1"/>
  <c r="M42" i="80"/>
  <c r="N42" i="80" s="1"/>
  <c r="M41" i="80"/>
  <c r="N41" i="80" s="1"/>
  <c r="M40" i="80"/>
  <c r="N40" i="80" s="1"/>
  <c r="M39" i="80"/>
  <c r="N39" i="80" s="1"/>
  <c r="M38" i="80"/>
  <c r="N38" i="80" s="1"/>
  <c r="M37" i="80"/>
  <c r="N37" i="80" s="1"/>
  <c r="M36" i="80"/>
  <c r="N36" i="80" s="1"/>
  <c r="M35" i="80"/>
  <c r="N35" i="80" s="1"/>
  <c r="M34" i="80"/>
  <c r="N34" i="80" s="1"/>
  <c r="M33" i="80"/>
  <c r="N33" i="80" s="1"/>
  <c r="N32" i="80"/>
  <c r="N31" i="80"/>
  <c r="N30" i="80"/>
  <c r="N29" i="80"/>
  <c r="N28" i="80"/>
  <c r="N27" i="80"/>
  <c r="N26" i="80"/>
  <c r="N25" i="80"/>
  <c r="N24" i="80"/>
  <c r="N23" i="80"/>
  <c r="M22" i="80"/>
  <c r="N22" i="80" s="1"/>
  <c r="M21" i="80"/>
  <c r="N21" i="80" s="1"/>
  <c r="M20" i="80"/>
  <c r="N20" i="80" s="1"/>
  <c r="N19" i="80"/>
  <c r="N18" i="80"/>
  <c r="N17" i="80"/>
  <c r="N16" i="80"/>
  <c r="N15" i="80"/>
  <c r="N14" i="80"/>
  <c r="M13" i="80"/>
  <c r="N13" i="80" s="1"/>
  <c r="M12" i="80"/>
  <c r="N12" i="80" s="1"/>
  <c r="M11" i="80"/>
  <c r="N11" i="80" s="1"/>
  <c r="L10" i="80"/>
  <c r="N10" i="80" s="1"/>
  <c r="B7" i="80"/>
  <c r="L4" i="80"/>
  <c r="N125" i="80"/>
  <c r="N127" i="80"/>
  <c r="N126" i="80"/>
  <c r="F100" i="76"/>
  <c r="H190" i="13"/>
  <c r="H189" i="13"/>
  <c r="H188" i="13"/>
  <c r="H187" i="13"/>
  <c r="H186" i="13"/>
  <c r="H185" i="13"/>
  <c r="H184" i="13"/>
  <c r="H183" i="13"/>
  <c r="H182" i="13"/>
  <c r="H181" i="13"/>
  <c r="H180" i="13"/>
  <c r="H179" i="13"/>
  <c r="H178" i="13"/>
  <c r="H177" i="13"/>
  <c r="H176" i="13"/>
  <c r="H175" i="13"/>
  <c r="H174" i="13"/>
  <c r="H173" i="13"/>
  <c r="H172" i="13"/>
  <c r="H171" i="13"/>
  <c r="H170" i="13"/>
  <c r="H169" i="13"/>
  <c r="H168" i="13"/>
  <c r="H167" i="13"/>
  <c r="H166" i="13"/>
  <c r="H165" i="13"/>
  <c r="H164" i="13"/>
  <c r="H163" i="13"/>
  <c r="H162" i="13"/>
  <c r="H161" i="13"/>
  <c r="H159" i="13"/>
  <c r="H158" i="13"/>
  <c r="H157" i="13"/>
  <c r="H156" i="13"/>
  <c r="H155" i="13"/>
  <c r="H154" i="13"/>
  <c r="H153" i="13"/>
  <c r="F1425" i="79"/>
  <c r="D1424" i="79"/>
  <c r="F1424" i="79"/>
  <c r="H1424" i="79" s="1"/>
  <c r="D1423" i="79"/>
  <c r="F1423" i="79" s="1"/>
  <c r="H1423" i="79" s="1"/>
  <c r="H1426" i="79" s="1"/>
  <c r="D1422" i="79"/>
  <c r="F1422" i="79" s="1"/>
  <c r="H1422" i="79" s="1"/>
  <c r="H1418" i="79"/>
  <c r="G1417" i="79"/>
  <c r="H1417" i="79" s="1"/>
  <c r="H1413" i="79"/>
  <c r="H1414" i="79" s="1"/>
  <c r="H1409" i="79"/>
  <c r="H1408" i="79"/>
  <c r="H1407" i="79"/>
  <c r="H1406" i="79"/>
  <c r="H1405" i="79"/>
  <c r="H1404" i="79"/>
  <c r="F1394" i="79"/>
  <c r="D1393" i="79"/>
  <c r="F1393" i="79" s="1"/>
  <c r="H1393" i="79" s="1"/>
  <c r="D1392" i="79"/>
  <c r="F1392" i="79" s="1"/>
  <c r="H1392" i="79" s="1"/>
  <c r="D1391" i="79"/>
  <c r="F1391" i="79"/>
  <c r="H1391" i="79" s="1"/>
  <c r="H1387" i="79"/>
  <c r="G1386" i="79"/>
  <c r="H1386" i="79"/>
  <c r="H1388" i="79" s="1"/>
  <c r="H1382" i="79"/>
  <c r="H1383" i="79"/>
  <c r="H1378" i="79"/>
  <c r="H1377" i="79"/>
  <c r="H1376" i="79"/>
  <c r="H1375" i="79"/>
  <c r="H1374" i="79"/>
  <c r="H1373" i="79"/>
  <c r="H1372" i="79"/>
  <c r="F1362" i="79"/>
  <c r="D1361" i="79"/>
  <c r="F1361" i="79" s="1"/>
  <c r="H1361" i="79" s="1"/>
  <c r="D1360" i="79"/>
  <c r="F1360" i="79"/>
  <c r="H1360" i="79" s="1"/>
  <c r="D1359" i="79"/>
  <c r="F1359" i="79" s="1"/>
  <c r="H1359" i="79" s="1"/>
  <c r="H1355" i="79"/>
  <c r="G1354" i="79"/>
  <c r="H1354" i="79"/>
  <c r="H1356" i="79"/>
  <c r="H1351" i="79"/>
  <c r="H1350" i="79"/>
  <c r="H1346" i="79"/>
  <c r="H1344" i="79"/>
  <c r="H1343" i="79"/>
  <c r="H1342" i="79"/>
  <c r="H1341" i="79"/>
  <c r="H1340" i="79"/>
  <c r="H1339" i="79"/>
  <c r="H1338" i="79"/>
  <c r="F1328" i="79"/>
  <c r="D1327" i="79"/>
  <c r="F1327" i="79" s="1"/>
  <c r="H1327" i="79" s="1"/>
  <c r="D1326" i="79"/>
  <c r="F1326" i="79" s="1"/>
  <c r="H1326" i="79" s="1"/>
  <c r="D1325" i="79"/>
  <c r="F1325" i="79" s="1"/>
  <c r="H1325" i="79" s="1"/>
  <c r="H1329" i="79" s="1"/>
  <c r="H1331" i="79" s="1"/>
  <c r="H1321" i="79"/>
  <c r="G1320" i="79"/>
  <c r="H1320" i="79"/>
  <c r="H1316" i="79"/>
  <c r="H1317" i="79" s="1"/>
  <c r="H1312" i="79"/>
  <c r="H1311" i="79"/>
  <c r="H1310" i="79"/>
  <c r="H1309" i="79"/>
  <c r="H1308" i="79"/>
  <c r="H1313" i="79"/>
  <c r="F1296" i="79"/>
  <c r="D1295" i="79"/>
  <c r="F1295" i="79" s="1"/>
  <c r="H1295" i="79" s="1"/>
  <c r="H1297" i="79" s="1"/>
  <c r="H1299" i="79" s="1"/>
  <c r="D1294" i="79"/>
  <c r="F1294" i="79" s="1"/>
  <c r="H1294" i="79" s="1"/>
  <c r="D1293" i="79"/>
  <c r="F1293" i="79" s="1"/>
  <c r="H1293" i="79" s="1"/>
  <c r="H1289" i="79"/>
  <c r="G1288" i="79"/>
  <c r="H1288" i="79" s="1"/>
  <c r="H1284" i="79"/>
  <c r="H1285" i="79" s="1"/>
  <c r="H1280" i="79"/>
  <c r="H1279" i="79"/>
  <c r="H1278" i="79"/>
  <c r="H1277" i="79"/>
  <c r="H1276" i="79"/>
  <c r="F1263" i="79"/>
  <c r="H1263" i="79" s="1"/>
  <c r="D1263" i="79"/>
  <c r="D1262" i="79"/>
  <c r="F1262" i="79" s="1"/>
  <c r="H1262" i="79" s="1"/>
  <c r="D1261" i="79"/>
  <c r="F1261" i="79"/>
  <c r="H1261" i="79" s="1"/>
  <c r="H1257" i="79"/>
  <c r="G1256" i="79"/>
  <c r="H1256" i="79" s="1"/>
  <c r="H1258" i="79" s="1"/>
  <c r="H1252" i="79"/>
  <c r="H1253" i="79" s="1"/>
  <c r="A1252" i="79"/>
  <c r="H1248" i="79"/>
  <c r="H1247" i="79"/>
  <c r="H1246" i="79"/>
  <c r="H1245" i="79"/>
  <c r="H1244" i="79"/>
  <c r="H1243" i="79"/>
  <c r="H1242" i="79"/>
  <c r="F1230" i="79"/>
  <c r="H1230" i="79" s="1"/>
  <c r="D1229" i="79"/>
  <c r="F1229" i="79"/>
  <c r="H1229" i="79" s="1"/>
  <c r="D1228" i="79"/>
  <c r="F1228" i="79"/>
  <c r="H1228" i="79"/>
  <c r="F1227" i="79"/>
  <c r="H1227" i="79" s="1"/>
  <c r="D1227" i="79"/>
  <c r="H1223" i="79"/>
  <c r="G1222" i="79"/>
  <c r="H1222" i="79" s="1"/>
  <c r="H1218" i="79"/>
  <c r="H1219" i="79" s="1"/>
  <c r="A1218" i="79"/>
  <c r="H1214" i="79"/>
  <c r="H1213" i="79"/>
  <c r="H1212" i="79"/>
  <c r="H1211" i="79"/>
  <c r="H1210" i="79"/>
  <c r="H1209" i="79"/>
  <c r="H1197" i="79"/>
  <c r="F1197" i="79"/>
  <c r="D1196" i="79"/>
  <c r="F1196" i="79"/>
  <c r="H1196" i="79" s="1"/>
  <c r="D1195" i="79"/>
  <c r="F1195" i="79" s="1"/>
  <c r="H1195" i="79" s="1"/>
  <c r="H1198" i="79" s="1"/>
  <c r="H1200" i="79" s="1"/>
  <c r="D1194" i="79"/>
  <c r="F1194" i="79" s="1"/>
  <c r="H1194" i="79" s="1"/>
  <c r="H1190" i="79"/>
  <c r="G1189" i="79"/>
  <c r="H1189" i="79" s="1"/>
  <c r="H1185" i="79"/>
  <c r="H1186" i="79"/>
  <c r="A1185" i="79"/>
  <c r="H1181" i="79"/>
  <c r="H1180" i="79"/>
  <c r="H1179" i="79"/>
  <c r="H1178" i="79"/>
  <c r="H1177" i="79"/>
  <c r="H1176" i="79"/>
  <c r="F1164" i="79"/>
  <c r="H1164" i="79" s="1"/>
  <c r="D1163" i="79"/>
  <c r="F1163" i="79" s="1"/>
  <c r="H1163" i="79"/>
  <c r="D1162" i="79"/>
  <c r="F1162" i="79" s="1"/>
  <c r="H1162" i="79" s="1"/>
  <c r="D1161" i="79"/>
  <c r="F1161" i="79" s="1"/>
  <c r="H1161" i="79" s="1"/>
  <c r="H1157" i="79"/>
  <c r="G1156" i="79"/>
  <c r="H1156" i="79" s="1"/>
  <c r="H1158" i="79" s="1"/>
  <c r="H1152" i="79"/>
  <c r="H1153" i="79" s="1"/>
  <c r="A1152" i="79"/>
  <c r="H1148" i="79"/>
  <c r="H1147" i="79"/>
  <c r="H1146" i="79"/>
  <c r="H1145" i="79"/>
  <c r="H1144" i="79"/>
  <c r="H1143" i="79"/>
  <c r="F1131" i="79"/>
  <c r="H1131" i="79" s="1"/>
  <c r="D1130" i="79"/>
  <c r="F1130" i="79" s="1"/>
  <c r="H1130" i="79" s="1"/>
  <c r="H1132" i="79" s="1"/>
  <c r="H1134" i="79" s="1"/>
  <c r="F1129" i="79"/>
  <c r="H1129" i="79" s="1"/>
  <c r="D1129" i="79"/>
  <c r="D1128" i="79"/>
  <c r="F1128" i="79" s="1"/>
  <c r="H1128" i="79" s="1"/>
  <c r="H1124" i="79"/>
  <c r="G1123" i="79"/>
  <c r="H1123" i="79" s="1"/>
  <c r="H1119" i="79"/>
  <c r="H1120" i="79" s="1"/>
  <c r="A1119" i="79"/>
  <c r="H1115" i="79"/>
  <c r="H1114" i="79"/>
  <c r="H1113" i="79"/>
  <c r="H1112" i="79"/>
  <c r="H1111" i="79"/>
  <c r="H1110" i="79"/>
  <c r="H1116" i="79" s="1"/>
  <c r="D1097" i="79"/>
  <c r="F1097" i="79" s="1"/>
  <c r="H1097" i="79" s="1"/>
  <c r="D1096" i="79"/>
  <c r="F1096" i="79"/>
  <c r="H1096" i="79" s="1"/>
  <c r="D1095" i="79"/>
  <c r="F1095" i="79" s="1"/>
  <c r="H1095" i="79" s="1"/>
  <c r="H1099" i="79" s="1"/>
  <c r="H1101" i="79" s="1"/>
  <c r="H1091" i="79"/>
  <c r="G1090" i="79"/>
  <c r="H1090" i="79" s="1"/>
  <c r="H1087" i="79"/>
  <c r="H1086" i="79"/>
  <c r="A1086" i="79"/>
  <c r="H1082" i="79"/>
  <c r="H1081" i="79"/>
  <c r="H1080" i="79"/>
  <c r="H1079" i="79"/>
  <c r="H1078" i="79"/>
  <c r="H1077" i="79"/>
  <c r="D1064" i="79"/>
  <c r="F1064" i="79" s="1"/>
  <c r="H1064" i="79" s="1"/>
  <c r="D1063" i="79"/>
  <c r="F1063" i="79" s="1"/>
  <c r="H1063" i="79" s="1"/>
  <c r="D1062" i="79"/>
  <c r="F1062" i="79"/>
  <c r="H1062" i="79" s="1"/>
  <c r="H1058" i="79"/>
  <c r="G1057" i="79"/>
  <c r="H1057" i="79"/>
  <c r="H1053" i="79"/>
  <c r="H1054" i="79" s="1"/>
  <c r="A1053" i="79"/>
  <c r="H1049" i="79"/>
  <c r="H1048" i="79"/>
  <c r="H1047" i="79"/>
  <c r="H1046" i="79"/>
  <c r="H1045" i="79"/>
  <c r="H1044" i="79"/>
  <c r="H1043" i="79"/>
  <c r="H1042" i="79"/>
  <c r="F1029" i="79"/>
  <c r="H1029" i="79" s="1"/>
  <c r="D1029" i="79"/>
  <c r="D1028" i="79"/>
  <c r="F1028" i="79"/>
  <c r="H1028" i="79" s="1"/>
  <c r="D1027" i="79"/>
  <c r="F1027" i="79" s="1"/>
  <c r="H1027" i="79" s="1"/>
  <c r="H1031" i="79" s="1"/>
  <c r="H1033" i="79" s="1"/>
  <c r="H1023" i="79"/>
  <c r="G1022" i="79"/>
  <c r="H1022" i="79" s="1"/>
  <c r="H1018" i="79"/>
  <c r="H1019" i="79" s="1"/>
  <c r="A1018" i="79"/>
  <c r="H1014" i="79"/>
  <c r="H1013" i="79"/>
  <c r="H1012" i="79"/>
  <c r="H1011" i="79"/>
  <c r="H1010" i="79"/>
  <c r="H1009" i="79"/>
  <c r="H1008" i="79"/>
  <c r="H1007" i="79"/>
  <c r="D994" i="79"/>
  <c r="F994" i="79"/>
  <c r="H994" i="79" s="1"/>
  <c r="D993" i="79"/>
  <c r="F993" i="79" s="1"/>
  <c r="H993" i="79" s="1"/>
  <c r="H996" i="79" s="1"/>
  <c r="H998" i="79" s="1"/>
  <c r="D992" i="79"/>
  <c r="F992" i="79" s="1"/>
  <c r="H992" i="79" s="1"/>
  <c r="H988" i="79"/>
  <c r="G987" i="79"/>
  <c r="H987" i="79" s="1"/>
  <c r="H983" i="79"/>
  <c r="H984" i="79"/>
  <c r="A983" i="79"/>
  <c r="H979" i="79"/>
  <c r="H978" i="79"/>
  <c r="H977" i="79"/>
  <c r="H976" i="79"/>
  <c r="H975" i="79"/>
  <c r="H974" i="79"/>
  <c r="F961" i="79"/>
  <c r="H961" i="79" s="1"/>
  <c r="D961" i="79"/>
  <c r="D960" i="79"/>
  <c r="F960" i="79"/>
  <c r="H960" i="79" s="1"/>
  <c r="D959" i="79"/>
  <c r="F959" i="79" s="1"/>
  <c r="H959" i="79" s="1"/>
  <c r="H963" i="79" s="1"/>
  <c r="H965" i="79" s="1"/>
  <c r="H955" i="79"/>
  <c r="G954" i="79"/>
  <c r="H954" i="79" s="1"/>
  <c r="H950" i="79"/>
  <c r="H951" i="79" s="1"/>
  <c r="A950" i="79"/>
  <c r="H946" i="79"/>
  <c r="H945" i="79"/>
  <c r="H944" i="79"/>
  <c r="H943" i="79"/>
  <c r="H942" i="79"/>
  <c r="H941" i="79"/>
  <c r="D928" i="79"/>
  <c r="F928" i="79" s="1"/>
  <c r="H928" i="79" s="1"/>
  <c r="F927" i="79"/>
  <c r="H927" i="79" s="1"/>
  <c r="D927" i="79"/>
  <c r="D926" i="79"/>
  <c r="F926" i="79"/>
  <c r="H926" i="79" s="1"/>
  <c r="H922" i="79"/>
  <c r="G921" i="79"/>
  <c r="H921" i="79"/>
  <c r="H917" i="79"/>
  <c r="H918" i="79" s="1"/>
  <c r="A917" i="79"/>
  <c r="H913" i="79"/>
  <c r="H912" i="79"/>
  <c r="H911" i="79"/>
  <c r="H910" i="79"/>
  <c r="H909" i="79"/>
  <c r="H908" i="79"/>
  <c r="D895" i="79"/>
  <c r="F895" i="79" s="1"/>
  <c r="H895" i="79" s="1"/>
  <c r="H897" i="79" s="1"/>
  <c r="H899" i="79" s="1"/>
  <c r="D894" i="79"/>
  <c r="F894" i="79" s="1"/>
  <c r="H894" i="79" s="1"/>
  <c r="F893" i="79"/>
  <c r="H893" i="79" s="1"/>
  <c r="D893" i="79"/>
  <c r="H889" i="79"/>
  <c r="G888" i="79"/>
  <c r="H888" i="79" s="1"/>
  <c r="H890" i="79" s="1"/>
  <c r="H884" i="79"/>
  <c r="H885" i="79"/>
  <c r="A884" i="79"/>
  <c r="H880" i="79"/>
  <c r="H879" i="79"/>
  <c r="H878" i="79"/>
  <c r="H877" i="79"/>
  <c r="H876" i="79"/>
  <c r="H875" i="79"/>
  <c r="D862" i="79"/>
  <c r="F862" i="79" s="1"/>
  <c r="H862" i="79" s="1"/>
  <c r="D861" i="79"/>
  <c r="F861" i="79"/>
  <c r="H861" i="79" s="1"/>
  <c r="D860" i="79"/>
  <c r="F860" i="79" s="1"/>
  <c r="H860" i="79"/>
  <c r="H856" i="79"/>
  <c r="G855" i="79"/>
  <c r="H855" i="79" s="1"/>
  <c r="H851" i="79"/>
  <c r="H852" i="79" s="1"/>
  <c r="A851" i="79"/>
  <c r="H847" i="79"/>
  <c r="H846" i="79"/>
  <c r="H845" i="79"/>
  <c r="H844" i="79"/>
  <c r="H843" i="79"/>
  <c r="H842" i="79"/>
  <c r="H841" i="79"/>
  <c r="D828" i="79"/>
  <c r="F828" i="79" s="1"/>
  <c r="H828" i="79" s="1"/>
  <c r="H830" i="79" s="1"/>
  <c r="H832" i="79" s="1"/>
  <c r="D827" i="79"/>
  <c r="F827" i="79" s="1"/>
  <c r="H827" i="79" s="1"/>
  <c r="D826" i="79"/>
  <c r="F826" i="79" s="1"/>
  <c r="H826" i="79" s="1"/>
  <c r="H822" i="79"/>
  <c r="G821" i="79"/>
  <c r="H821" i="79" s="1"/>
  <c r="H817" i="79"/>
  <c r="H818" i="79" s="1"/>
  <c r="A817" i="79"/>
  <c r="H813" i="79"/>
  <c r="H812" i="79"/>
  <c r="H811" i="79"/>
  <c r="H810" i="79"/>
  <c r="H809" i="79"/>
  <c r="H808" i="79"/>
  <c r="F796" i="79"/>
  <c r="D795" i="79"/>
  <c r="F795" i="79" s="1"/>
  <c r="H795" i="79" s="1"/>
  <c r="D794" i="79"/>
  <c r="F794" i="79"/>
  <c r="H794" i="79" s="1"/>
  <c r="D793" i="79"/>
  <c r="F793" i="79"/>
  <c r="H793" i="79"/>
  <c r="H789" i="79"/>
  <c r="G788" i="79"/>
  <c r="H788" i="79" s="1"/>
  <c r="H784" i="79"/>
  <c r="H785" i="79" s="1"/>
  <c r="A784" i="79"/>
  <c r="H780" i="79"/>
  <c r="H779" i="79"/>
  <c r="H778" i="79"/>
  <c r="H777" i="79"/>
  <c r="H776" i="79"/>
  <c r="H775" i="79"/>
  <c r="F763" i="79"/>
  <c r="H763" i="79" s="1"/>
  <c r="H762" i="79"/>
  <c r="D762" i="79"/>
  <c r="F762" i="79" s="1"/>
  <c r="D761" i="79"/>
  <c r="F761" i="79" s="1"/>
  <c r="H761" i="79" s="1"/>
  <c r="H764" i="79" s="1"/>
  <c r="F760" i="79"/>
  <c r="H760" i="79" s="1"/>
  <c r="D760" i="79"/>
  <c r="H756" i="79"/>
  <c r="H755" i="79"/>
  <c r="G755" i="79"/>
  <c r="H751" i="79"/>
  <c r="H752" i="79" s="1"/>
  <c r="A751" i="79"/>
  <c r="H747" i="79"/>
  <c r="H746" i="79"/>
  <c r="H745" i="79"/>
  <c r="H744" i="79"/>
  <c r="H743" i="79"/>
  <c r="H742" i="79"/>
  <c r="G730" i="79"/>
  <c r="F730" i="79"/>
  <c r="G729" i="79"/>
  <c r="D729" i="79"/>
  <c r="F729" i="79" s="1"/>
  <c r="G728" i="79"/>
  <c r="D728" i="79"/>
  <c r="F728" i="79"/>
  <c r="H728" i="79" s="1"/>
  <c r="G727" i="79"/>
  <c r="D727" i="79"/>
  <c r="F727" i="79"/>
  <c r="H722" i="79"/>
  <c r="H721" i="79"/>
  <c r="G720" i="79"/>
  <c r="H720" i="79" s="1"/>
  <c r="H697" i="79"/>
  <c r="H717" i="79" s="1"/>
  <c r="A697" i="79"/>
  <c r="H693" i="79"/>
  <c r="H692" i="79"/>
  <c r="H691" i="79"/>
  <c r="H690" i="79"/>
  <c r="H689" i="79"/>
  <c r="H688" i="79"/>
  <c r="H687" i="79"/>
  <c r="H686" i="79"/>
  <c r="H685" i="79"/>
  <c r="H684" i="79"/>
  <c r="H683" i="79"/>
  <c r="H682" i="79"/>
  <c r="H681" i="79"/>
  <c r="H680" i="79"/>
  <c r="H679" i="79"/>
  <c r="H678" i="79"/>
  <c r="H677" i="79"/>
  <c r="H676" i="79"/>
  <c r="H675" i="79"/>
  <c r="H674" i="79"/>
  <c r="G662" i="79"/>
  <c r="F662" i="79"/>
  <c r="G661" i="79"/>
  <c r="D661" i="79"/>
  <c r="F661" i="79"/>
  <c r="G660" i="79"/>
  <c r="D660" i="79"/>
  <c r="F660" i="79" s="1"/>
  <c r="G659" i="79"/>
  <c r="D659" i="79"/>
  <c r="F659" i="79" s="1"/>
  <c r="H654" i="79"/>
  <c r="H653" i="79"/>
  <c r="G652" i="79"/>
  <c r="H652" i="79" s="1"/>
  <c r="H629" i="79"/>
  <c r="H649" i="79"/>
  <c r="A629" i="79"/>
  <c r="H625" i="79"/>
  <c r="H624" i="79"/>
  <c r="H623" i="79"/>
  <c r="H622" i="79"/>
  <c r="H621" i="79"/>
  <c r="H620" i="79"/>
  <c r="H619" i="79"/>
  <c r="H618" i="79"/>
  <c r="H617" i="79"/>
  <c r="H616" i="79"/>
  <c r="H615" i="79"/>
  <c r="H614" i="79"/>
  <c r="H613" i="79"/>
  <c r="H612" i="79"/>
  <c r="H611" i="79"/>
  <c r="H610" i="79"/>
  <c r="H609" i="79"/>
  <c r="H608" i="79"/>
  <c r="H607" i="79"/>
  <c r="H606" i="79"/>
  <c r="G594" i="79"/>
  <c r="F594" i="79"/>
  <c r="H594" i="79"/>
  <c r="G593" i="79"/>
  <c r="D593" i="79"/>
  <c r="F593" i="79"/>
  <c r="G592" i="79"/>
  <c r="D592" i="79"/>
  <c r="F592" i="79" s="1"/>
  <c r="G591" i="79"/>
  <c r="D591" i="79"/>
  <c r="F591" i="79" s="1"/>
  <c r="H586" i="79"/>
  <c r="H585" i="79"/>
  <c r="H584" i="79"/>
  <c r="G584" i="79"/>
  <c r="H561" i="79"/>
  <c r="H581" i="79" s="1"/>
  <c r="A561" i="79"/>
  <c r="H557" i="79"/>
  <c r="H556" i="79"/>
  <c r="H555" i="79"/>
  <c r="H554" i="79"/>
  <c r="H553" i="79"/>
  <c r="H552" i="79"/>
  <c r="H551" i="79"/>
  <c r="H550" i="79"/>
  <c r="H549" i="79"/>
  <c r="H548" i="79"/>
  <c r="H547" i="79"/>
  <c r="H546" i="79"/>
  <c r="H545" i="79"/>
  <c r="H544" i="79"/>
  <c r="H543" i="79"/>
  <c r="H542" i="79"/>
  <c r="H541" i="79"/>
  <c r="H540" i="79"/>
  <c r="H539" i="79"/>
  <c r="H538" i="79"/>
  <c r="H526" i="79"/>
  <c r="F526" i="79"/>
  <c r="D525" i="79"/>
  <c r="F525" i="79"/>
  <c r="H525" i="79" s="1"/>
  <c r="D524" i="79"/>
  <c r="F524" i="79" s="1"/>
  <c r="H524" i="79"/>
  <c r="D523" i="79"/>
  <c r="F523" i="79" s="1"/>
  <c r="H523" i="79" s="1"/>
  <c r="H518" i="79"/>
  <c r="H517" i="79"/>
  <c r="G516" i="79"/>
  <c r="H516" i="79" s="1"/>
  <c r="H493" i="79"/>
  <c r="H513" i="79" s="1"/>
  <c r="H489" i="79"/>
  <c r="H488" i="79"/>
  <c r="H487" i="79"/>
  <c r="H486" i="79"/>
  <c r="H485" i="79"/>
  <c r="H484" i="79"/>
  <c r="H483" i="79"/>
  <c r="H482" i="79"/>
  <c r="H481" i="79"/>
  <c r="H480" i="79"/>
  <c r="H479" i="79"/>
  <c r="H478" i="79"/>
  <c r="H477" i="79"/>
  <c r="H476" i="79"/>
  <c r="H475" i="79"/>
  <c r="H474" i="79"/>
  <c r="H473" i="79"/>
  <c r="H472" i="79"/>
  <c r="H471" i="79"/>
  <c r="H470" i="79"/>
  <c r="H490" i="79" s="1"/>
  <c r="F458" i="79"/>
  <c r="H458" i="79"/>
  <c r="D457" i="79"/>
  <c r="F457" i="79" s="1"/>
  <c r="H457" i="79" s="1"/>
  <c r="D456" i="79"/>
  <c r="F456" i="79" s="1"/>
  <c r="H456" i="79" s="1"/>
  <c r="H459" i="79" s="1"/>
  <c r="H461" i="79" s="1"/>
  <c r="H455" i="79"/>
  <c r="D455" i="79"/>
  <c r="F455" i="79" s="1"/>
  <c r="H450" i="79"/>
  <c r="H449" i="79"/>
  <c r="G448" i="79"/>
  <c r="H448" i="79" s="1"/>
  <c r="H425" i="79"/>
  <c r="H445" i="79" s="1"/>
  <c r="H421" i="79"/>
  <c r="H420" i="79"/>
  <c r="H419" i="79"/>
  <c r="H418" i="79"/>
  <c r="H417" i="79"/>
  <c r="H416" i="79"/>
  <c r="H415" i="79"/>
  <c r="H414" i="79"/>
  <c r="H413" i="79"/>
  <c r="H412" i="79"/>
  <c r="H411" i="79"/>
  <c r="H410" i="79"/>
  <c r="H409" i="79"/>
  <c r="H408" i="79"/>
  <c r="H407" i="79"/>
  <c r="H406" i="79"/>
  <c r="H405" i="79"/>
  <c r="H404" i="79"/>
  <c r="H403" i="79"/>
  <c r="H402" i="79"/>
  <c r="F390" i="79"/>
  <c r="H390" i="79" s="1"/>
  <c r="D389" i="79"/>
  <c r="F389" i="79" s="1"/>
  <c r="H389" i="79" s="1"/>
  <c r="H391" i="79" s="1"/>
  <c r="D388" i="79"/>
  <c r="F388" i="79" s="1"/>
  <c r="H388" i="79" s="1"/>
  <c r="D387" i="79"/>
  <c r="F387" i="79"/>
  <c r="H387" i="79" s="1"/>
  <c r="H382" i="79"/>
  <c r="H381" i="79"/>
  <c r="G380" i="79"/>
  <c r="H380" i="79" s="1"/>
  <c r="H357" i="79"/>
  <c r="H377" i="79"/>
  <c r="H353" i="79"/>
  <c r="H352" i="79"/>
  <c r="H351" i="79"/>
  <c r="H350" i="79"/>
  <c r="H349" i="79"/>
  <c r="H348" i="79"/>
  <c r="H347" i="79"/>
  <c r="H346" i="79"/>
  <c r="H345" i="79"/>
  <c r="H344" i="79"/>
  <c r="H343" i="79"/>
  <c r="H342" i="79"/>
  <c r="H341" i="79"/>
  <c r="H340" i="79"/>
  <c r="H339" i="79"/>
  <c r="H338" i="79"/>
  <c r="H337" i="79"/>
  <c r="H336" i="79"/>
  <c r="H335" i="79"/>
  <c r="H354" i="79" s="1"/>
  <c r="H334" i="79"/>
  <c r="F322" i="79"/>
  <c r="H322" i="79" s="1"/>
  <c r="D321" i="79"/>
  <c r="F321" i="79" s="1"/>
  <c r="H321" i="79" s="1"/>
  <c r="D320" i="79"/>
  <c r="F320" i="79"/>
  <c r="H320" i="79" s="1"/>
  <c r="D319" i="79"/>
  <c r="F319" i="79"/>
  <c r="H319" i="79"/>
  <c r="H323" i="79" s="1"/>
  <c r="H314" i="79"/>
  <c r="H313" i="79"/>
  <c r="G312" i="79"/>
  <c r="H312" i="79"/>
  <c r="H316" i="79" s="1"/>
  <c r="H289" i="79"/>
  <c r="H309" i="79" s="1"/>
  <c r="H285" i="79"/>
  <c r="H284" i="79"/>
  <c r="H283" i="79"/>
  <c r="H282" i="79"/>
  <c r="H281" i="79"/>
  <c r="H280" i="79"/>
  <c r="H279" i="79"/>
  <c r="H278" i="79"/>
  <c r="H277" i="79"/>
  <c r="H276" i="79"/>
  <c r="H275" i="79"/>
  <c r="H274" i="79"/>
  <c r="H273" i="79"/>
  <c r="H272" i="79"/>
  <c r="H271" i="79"/>
  <c r="H270" i="79"/>
  <c r="H269" i="79"/>
  <c r="H268" i="79"/>
  <c r="H267" i="79"/>
  <c r="H266" i="79"/>
  <c r="F254" i="79"/>
  <c r="H254" i="79"/>
  <c r="D253" i="79"/>
  <c r="F253" i="79" s="1"/>
  <c r="H253" i="79" s="1"/>
  <c r="D252" i="79"/>
  <c r="F252" i="79" s="1"/>
  <c r="H252" i="79" s="1"/>
  <c r="D251" i="79"/>
  <c r="F251" i="79"/>
  <c r="H251" i="79" s="1"/>
  <c r="H246" i="79"/>
  <c r="H245" i="79"/>
  <c r="G244" i="79"/>
  <c r="H244" i="79" s="1"/>
  <c r="H248" i="79" s="1"/>
  <c r="H221" i="79"/>
  <c r="H241" i="79" s="1"/>
  <c r="H217" i="79"/>
  <c r="H216" i="79"/>
  <c r="H215" i="79"/>
  <c r="H214" i="79"/>
  <c r="H213" i="79"/>
  <c r="H212" i="79"/>
  <c r="H211" i="79"/>
  <c r="H210" i="79"/>
  <c r="H209" i="79"/>
  <c r="H208" i="79"/>
  <c r="H207" i="79"/>
  <c r="H206" i="79"/>
  <c r="H205" i="79"/>
  <c r="H204" i="79"/>
  <c r="H203" i="79"/>
  <c r="H202" i="79"/>
  <c r="H201" i="79"/>
  <c r="H200" i="79"/>
  <c r="H199" i="79"/>
  <c r="H198" i="79"/>
  <c r="H218" i="79" s="1"/>
  <c r="F186" i="79"/>
  <c r="H186" i="79" s="1"/>
  <c r="F185" i="79"/>
  <c r="H185" i="79" s="1"/>
  <c r="D185" i="79"/>
  <c r="D184" i="79"/>
  <c r="F184" i="79"/>
  <c r="H184" i="79"/>
  <c r="D183" i="79"/>
  <c r="F183" i="79" s="1"/>
  <c r="H183" i="79" s="1"/>
  <c r="H178" i="79"/>
  <c r="H177" i="79"/>
  <c r="G176" i="79"/>
  <c r="H176" i="79"/>
  <c r="H180" i="79"/>
  <c r="H153" i="79"/>
  <c r="H173" i="79" s="1"/>
  <c r="H149" i="79"/>
  <c r="H148" i="79"/>
  <c r="H147" i="79"/>
  <c r="H146" i="79"/>
  <c r="H145" i="79"/>
  <c r="H144" i="79"/>
  <c r="H143" i="79"/>
  <c r="H142" i="79"/>
  <c r="H141" i="79"/>
  <c r="H140" i="79"/>
  <c r="H139" i="79"/>
  <c r="H138" i="79"/>
  <c r="H137" i="79"/>
  <c r="H136" i="79"/>
  <c r="H135" i="79"/>
  <c r="H134" i="79"/>
  <c r="H133" i="79"/>
  <c r="H132" i="79"/>
  <c r="H150" i="79" s="1"/>
  <c r="H131" i="79"/>
  <c r="H130" i="79"/>
  <c r="F118" i="79"/>
  <c r="H118" i="79"/>
  <c r="D117" i="79"/>
  <c r="F117" i="79" s="1"/>
  <c r="H117" i="79" s="1"/>
  <c r="D116" i="79"/>
  <c r="F116" i="79" s="1"/>
  <c r="H116" i="79" s="1"/>
  <c r="D115" i="79"/>
  <c r="F115" i="79"/>
  <c r="H115" i="79" s="1"/>
  <c r="H110" i="79"/>
  <c r="H109" i="79"/>
  <c r="G108" i="79"/>
  <c r="H108" i="79" s="1"/>
  <c r="H112" i="79" s="1"/>
  <c r="H85" i="79"/>
  <c r="H105" i="79"/>
  <c r="H81" i="79"/>
  <c r="H80" i="79"/>
  <c r="H79" i="79"/>
  <c r="H78" i="79"/>
  <c r="H77" i="79"/>
  <c r="H76" i="79"/>
  <c r="H75" i="79"/>
  <c r="H74" i="79"/>
  <c r="H73" i="79"/>
  <c r="H72" i="79"/>
  <c r="H71" i="79"/>
  <c r="H70" i="79"/>
  <c r="H69" i="79"/>
  <c r="H68" i="79"/>
  <c r="H67" i="79"/>
  <c r="H66" i="79"/>
  <c r="H65" i="79"/>
  <c r="H64" i="79"/>
  <c r="H63" i="79"/>
  <c r="H62" i="79"/>
  <c r="F50" i="79"/>
  <c r="H50" i="79" s="1"/>
  <c r="D49" i="79"/>
  <c r="F49" i="79"/>
  <c r="H49" i="79" s="1"/>
  <c r="D48" i="79"/>
  <c r="F48" i="79"/>
  <c r="H48" i="79"/>
  <c r="D47" i="79"/>
  <c r="F47" i="79" s="1"/>
  <c r="H47" i="79" s="1"/>
  <c r="G42" i="79"/>
  <c r="H42" i="79" s="1"/>
  <c r="G41" i="79"/>
  <c r="H41" i="79"/>
  <c r="G40" i="79"/>
  <c r="H40" i="79" s="1"/>
  <c r="H24" i="79"/>
  <c r="H37" i="79"/>
  <c r="A24" i="79"/>
  <c r="H8" i="79"/>
  <c r="H21" i="79" s="1"/>
  <c r="H152" i="13"/>
  <c r="H151" i="13"/>
  <c r="H660" i="79"/>
  <c r="H662" i="79"/>
  <c r="H923" i="79"/>
  <c r="H1024" i="79"/>
  <c r="H1149" i="79"/>
  <c r="H452" i="79"/>
  <c r="H730" i="79"/>
  <c r="H914" i="79"/>
  <c r="H932" i="79" s="1"/>
  <c r="H930" i="79"/>
  <c r="H814" i="79"/>
  <c r="H823" i="79"/>
  <c r="H956" i="79"/>
  <c r="H1092" i="79"/>
  <c r="H1379" i="79"/>
  <c r="H286" i="79"/>
  <c r="H422" i="79"/>
  <c r="H82" i="79"/>
  <c r="H527" i="79"/>
  <c r="H864" i="79"/>
  <c r="H947" i="79"/>
  <c r="H1050" i="79"/>
  <c r="H1066" i="79"/>
  <c r="H1182" i="79"/>
  <c r="H1249" i="79"/>
  <c r="H1290" i="79"/>
  <c r="H1347" i="79"/>
  <c r="H384" i="79"/>
  <c r="H591" i="79"/>
  <c r="H595" i="79" s="1"/>
  <c r="H597" i="79" s="1"/>
  <c r="H593" i="79"/>
  <c r="H694" i="79"/>
  <c r="H724" i="79"/>
  <c r="H781" i="79"/>
  <c r="H1083" i="79"/>
  <c r="H1165" i="79"/>
  <c r="H1167" i="79"/>
  <c r="H848" i="79"/>
  <c r="H857" i="79"/>
  <c r="H980" i="79"/>
  <c r="H1059" i="79"/>
  <c r="H1191" i="79"/>
  <c r="H1410" i="79"/>
  <c r="H150" i="13"/>
  <c r="H797" i="79"/>
  <c r="H799" i="79" s="1"/>
  <c r="H748" i="79"/>
  <c r="H1068" i="79"/>
  <c r="H1231" i="79"/>
  <c r="H520" i="79"/>
  <c r="H529" i="79"/>
  <c r="H558" i="79"/>
  <c r="H588" i="79"/>
  <c r="H659" i="79"/>
  <c r="H661" i="79"/>
  <c r="H663" i="79" s="1"/>
  <c r="H665" i="79" s="1"/>
  <c r="H881" i="79"/>
  <c r="H1281" i="79"/>
  <c r="H592" i="79"/>
  <c r="H626" i="79"/>
  <c r="H656" i="79"/>
  <c r="H727" i="79"/>
  <c r="H729" i="79"/>
  <c r="H790" i="79"/>
  <c r="H989" i="79"/>
  <c r="H1015" i="79"/>
  <c r="H1125" i="79"/>
  <c r="H1215" i="79"/>
  <c r="H1322" i="79"/>
  <c r="H1363" i="79"/>
  <c r="H1365" i="79" s="1"/>
  <c r="H1395" i="79"/>
  <c r="H1397" i="79"/>
  <c r="H866" i="79"/>
  <c r="H731" i="79"/>
  <c r="H733" i="79"/>
  <c r="S579" i="57"/>
  <c r="F147" i="13" s="1"/>
  <c r="C141" i="13"/>
  <c r="C142" i="13"/>
  <c r="C143" i="13"/>
  <c r="C144" i="13"/>
  <c r="S573" i="57"/>
  <c r="F140" i="13" s="1"/>
  <c r="S569" i="57"/>
  <c r="F137" i="13"/>
  <c r="S568" i="57"/>
  <c r="F136" i="13" s="1"/>
  <c r="J564" i="57"/>
  <c r="S564" i="57"/>
  <c r="F132" i="13" s="1"/>
  <c r="I561" i="57"/>
  <c r="J560" i="57"/>
  <c r="S560" i="57"/>
  <c r="F128" i="13" s="1"/>
  <c r="J559" i="57"/>
  <c r="S559" i="57"/>
  <c r="F127" i="13"/>
  <c r="J558" i="57"/>
  <c r="S558" i="57" s="1"/>
  <c r="F126" i="13" s="1"/>
  <c r="I552" i="57"/>
  <c r="I551" i="57"/>
  <c r="I550" i="57"/>
  <c r="J549" i="57"/>
  <c r="S549" i="57"/>
  <c r="F117" i="13" s="1"/>
  <c r="J548" i="57"/>
  <c r="S548" i="57"/>
  <c r="F116" i="13"/>
  <c r="J547" i="57"/>
  <c r="S547" i="57" s="1"/>
  <c r="F115" i="13" s="1"/>
  <c r="S538" i="57"/>
  <c r="F107" i="13" s="1"/>
  <c r="S541" i="57"/>
  <c r="F110" i="13"/>
  <c r="S542" i="57"/>
  <c r="F111" i="13" s="1"/>
  <c r="S543" i="57"/>
  <c r="S544" i="57"/>
  <c r="F112" i="13"/>
  <c r="S545" i="57"/>
  <c r="F113" i="13" s="1"/>
  <c r="I540" i="57"/>
  <c r="S540" i="57"/>
  <c r="F109" i="13" s="1"/>
  <c r="I539" i="57"/>
  <c r="S539" i="57"/>
  <c r="F108" i="13"/>
  <c r="I537" i="57"/>
  <c r="S537" i="57" s="1"/>
  <c r="F106" i="13" s="1"/>
  <c r="I536" i="57"/>
  <c r="S536" i="57" s="1"/>
  <c r="F105" i="13" s="1"/>
  <c r="J535" i="57"/>
  <c r="S535" i="57"/>
  <c r="J534" i="57"/>
  <c r="S534" i="57"/>
  <c r="F103" i="13"/>
  <c r="J533" i="57"/>
  <c r="S533" i="57" s="1"/>
  <c r="F102" i="13" s="1"/>
  <c r="J532" i="57"/>
  <c r="S532" i="57" s="1"/>
  <c r="F101" i="13" s="1"/>
  <c r="K527" i="57"/>
  <c r="S526" i="57" s="1"/>
  <c r="F98" i="13" s="1"/>
  <c r="H98" i="13" s="1"/>
  <c r="K528" i="57"/>
  <c r="G112" i="13"/>
  <c r="G113" i="13"/>
  <c r="C102" i="13"/>
  <c r="C103" i="13"/>
  <c r="C105" i="13"/>
  <c r="C106" i="13"/>
  <c r="C107" i="13"/>
  <c r="C108" i="13"/>
  <c r="C109" i="13"/>
  <c r="C110" i="13"/>
  <c r="C111" i="13"/>
  <c r="C112" i="13"/>
  <c r="C113" i="13"/>
  <c r="E535" i="57"/>
  <c r="D535" i="57"/>
  <c r="E584" i="57"/>
  <c r="E585" i="57"/>
  <c r="E586" i="57"/>
  <c r="E587" i="57"/>
  <c r="E588" i="57"/>
  <c r="E589" i="57"/>
  <c r="E590" i="57"/>
  <c r="E591" i="57"/>
  <c r="E592" i="57"/>
  <c r="E593" i="57"/>
  <c r="E594" i="57"/>
  <c r="E595" i="57"/>
  <c r="E596" i="57"/>
  <c r="E597" i="57"/>
  <c r="E598" i="57"/>
  <c r="E599" i="57"/>
  <c r="E600" i="57"/>
  <c r="E601" i="57"/>
  <c r="E602" i="57"/>
  <c r="E603" i="57"/>
  <c r="E604" i="57"/>
  <c r="E605" i="57"/>
  <c r="E606" i="57"/>
  <c r="E607" i="57"/>
  <c r="D582" i="57"/>
  <c r="D583" i="57"/>
  <c r="D584" i="57"/>
  <c r="K525" i="57"/>
  <c r="S525" i="57" s="1"/>
  <c r="F97" i="13" s="1"/>
  <c r="F523" i="57"/>
  <c r="S523" i="57"/>
  <c r="F95" i="13" s="1"/>
  <c r="H95" i="13" s="1"/>
  <c r="S522" i="57"/>
  <c r="F94" i="13" s="1"/>
  <c r="H94" i="13" s="1"/>
  <c r="S530" i="57"/>
  <c r="S524" i="57"/>
  <c r="F96" i="13"/>
  <c r="S521" i="57"/>
  <c r="F93" i="13" s="1"/>
  <c r="S520" i="57"/>
  <c r="F92" i="13"/>
  <c r="S519" i="57"/>
  <c r="S518" i="57"/>
  <c r="F90" i="13"/>
  <c r="S517" i="57"/>
  <c r="F89" i="13" s="1"/>
  <c r="S516" i="57"/>
  <c r="F88" i="13"/>
  <c r="S515" i="57"/>
  <c r="F87" i="13" s="1"/>
  <c r="S514" i="57"/>
  <c r="F86" i="13"/>
  <c r="S513" i="57"/>
  <c r="F85" i="13" s="1"/>
  <c r="S512" i="57"/>
  <c r="F84" i="13"/>
  <c r="S511" i="57"/>
  <c r="F83" i="13" s="1"/>
  <c r="S510" i="57"/>
  <c r="F82" i="13"/>
  <c r="S509" i="57"/>
  <c r="F81" i="13" s="1"/>
  <c r="S508" i="57"/>
  <c r="F80" i="13"/>
  <c r="S490" i="57"/>
  <c r="F62" i="13" s="1"/>
  <c r="S491" i="57"/>
  <c r="F63" i="13"/>
  <c r="S492" i="57"/>
  <c r="F64" i="13" s="1"/>
  <c r="S493" i="57"/>
  <c r="F65" i="13"/>
  <c r="S494" i="57"/>
  <c r="F66" i="13" s="1"/>
  <c r="S495" i="57"/>
  <c r="F67" i="13"/>
  <c r="S496" i="57"/>
  <c r="F68" i="13" s="1"/>
  <c r="S497" i="57"/>
  <c r="F69" i="13"/>
  <c r="S498" i="57"/>
  <c r="F70" i="13" s="1"/>
  <c r="S499" i="57"/>
  <c r="F71" i="13"/>
  <c r="S500" i="57"/>
  <c r="F72" i="13" s="1"/>
  <c r="S501" i="57"/>
  <c r="F73" i="13"/>
  <c r="S502" i="57"/>
  <c r="F74" i="13" s="1"/>
  <c r="S503" i="57"/>
  <c r="F75" i="13"/>
  <c r="S504" i="57"/>
  <c r="F76" i="13" s="1"/>
  <c r="S505" i="57"/>
  <c r="F77" i="13"/>
  <c r="S506" i="57"/>
  <c r="F78" i="13" s="1"/>
  <c r="S489" i="57"/>
  <c r="F61" i="13"/>
  <c r="S486" i="57"/>
  <c r="F58" i="13" s="1"/>
  <c r="K485" i="57"/>
  <c r="S485" i="57"/>
  <c r="F57" i="13"/>
  <c r="K484" i="57"/>
  <c r="S484" i="57" s="1"/>
  <c r="F56" i="13" s="1"/>
  <c r="K483" i="57"/>
  <c r="S483" i="57" s="1"/>
  <c r="F55" i="13" s="1"/>
  <c r="S480" i="57"/>
  <c r="F52" i="13"/>
  <c r="K476" i="57"/>
  <c r="K477" i="57" s="1"/>
  <c r="S83" i="57"/>
  <c r="F34" i="13" s="1"/>
  <c r="K78" i="57"/>
  <c r="K27" i="57"/>
  <c r="I78" i="57"/>
  <c r="S72" i="57"/>
  <c r="S71" i="57"/>
  <c r="K77" i="57"/>
  <c r="K76" i="57"/>
  <c r="S76" i="57" s="1"/>
  <c r="S64" i="57"/>
  <c r="F24" i="13" s="1"/>
  <c r="F73" i="57"/>
  <c r="F28" i="13"/>
  <c r="D73" i="57"/>
  <c r="F27" i="13"/>
  <c r="F26" i="13"/>
  <c r="K50" i="57"/>
  <c r="F19" i="13" s="1"/>
  <c r="L49" i="57"/>
  <c r="S49" i="57"/>
  <c r="F18" i="13"/>
  <c r="L48" i="57"/>
  <c r="K47" i="57"/>
  <c r="L47" i="57"/>
  <c r="L46" i="57"/>
  <c r="K45" i="57"/>
  <c r="L45" i="57" s="1"/>
  <c r="K44" i="57"/>
  <c r="L44" i="57"/>
  <c r="S40" i="57" s="1"/>
  <c r="F17" i="13" s="1"/>
  <c r="L43" i="57"/>
  <c r="L42" i="57"/>
  <c r="L41" i="57"/>
  <c r="L36" i="57"/>
  <c r="L30" i="57"/>
  <c r="L31" i="57"/>
  <c r="L34" i="57"/>
  <c r="L29" i="57"/>
  <c r="K35" i="57"/>
  <c r="L35" i="57" s="1"/>
  <c r="K33" i="57"/>
  <c r="L33" i="57"/>
  <c r="K32" i="57"/>
  <c r="L32" i="57" s="1"/>
  <c r="F11" i="13"/>
  <c r="F8" i="13"/>
  <c r="K21" i="57"/>
  <c r="K20" i="57"/>
  <c r="K15" i="57"/>
  <c r="K14" i="57"/>
  <c r="K74" i="57" s="1"/>
  <c r="K9" i="57"/>
  <c r="S9" i="57"/>
  <c r="F7" i="13" s="1"/>
  <c r="G122" i="13"/>
  <c r="G123" i="13"/>
  <c r="G147" i="13"/>
  <c r="G148" i="13"/>
  <c r="D571" i="57"/>
  <c r="E571" i="57"/>
  <c r="G42" i="13"/>
  <c r="G52" i="13"/>
  <c r="G94" i="13"/>
  <c r="G95" i="13"/>
  <c r="G98" i="13"/>
  <c r="S73" i="57"/>
  <c r="S77" i="57"/>
  <c r="S16" i="57"/>
  <c r="C148" i="13"/>
  <c r="C147" i="13"/>
  <c r="A146" i="13"/>
  <c r="C140" i="13"/>
  <c r="D139" i="13"/>
  <c r="D572" i="57" s="1"/>
  <c r="B139" i="13"/>
  <c r="C135" i="13"/>
  <c r="C136" i="13"/>
  <c r="C137" i="13"/>
  <c r="C138" i="13"/>
  <c r="C134" i="13"/>
  <c r="B133" i="13"/>
  <c r="C132" i="13"/>
  <c r="B131" i="13"/>
  <c r="C127" i="13"/>
  <c r="C128" i="13"/>
  <c r="C129" i="13"/>
  <c r="C130" i="13"/>
  <c r="C126" i="13"/>
  <c r="B125" i="13"/>
  <c r="C116" i="13"/>
  <c r="C117" i="13"/>
  <c r="C118" i="13"/>
  <c r="C119" i="13"/>
  <c r="C120" i="13"/>
  <c r="C121" i="13"/>
  <c r="C122" i="13"/>
  <c r="C123" i="13"/>
  <c r="C124" i="13"/>
  <c r="C115" i="13"/>
  <c r="B114" i="13"/>
  <c r="C101" i="13"/>
  <c r="B100" i="13"/>
  <c r="A99" i="13"/>
  <c r="C93" i="13"/>
  <c r="C94" i="13"/>
  <c r="C95" i="13"/>
  <c r="C96" i="13"/>
  <c r="C97" i="13"/>
  <c r="C98" i="13"/>
  <c r="C92" i="13"/>
  <c r="D91" i="13"/>
  <c r="D519" i="57" s="1"/>
  <c r="B91" i="13"/>
  <c r="C81" i="13"/>
  <c r="C82" i="13"/>
  <c r="C83" i="13"/>
  <c r="C84" i="13"/>
  <c r="C85" i="13"/>
  <c r="C86" i="13"/>
  <c r="C87" i="13"/>
  <c r="C88" i="13"/>
  <c r="C89" i="13"/>
  <c r="C90" i="13"/>
  <c r="C80" i="13"/>
  <c r="B79" i="13"/>
  <c r="C62" i="13"/>
  <c r="C63" i="13"/>
  <c r="C64" i="13"/>
  <c r="C65" i="13"/>
  <c r="C66" i="13"/>
  <c r="C67" i="13"/>
  <c r="C68" i="13"/>
  <c r="C69" i="13"/>
  <c r="C70" i="13"/>
  <c r="C71" i="13"/>
  <c r="C72" i="13"/>
  <c r="C73" i="13"/>
  <c r="C74" i="13"/>
  <c r="C75" i="13"/>
  <c r="C76" i="13"/>
  <c r="C77" i="13"/>
  <c r="C78" i="13"/>
  <c r="C61" i="13"/>
  <c r="B60" i="13"/>
  <c r="A59" i="13"/>
  <c r="C55" i="13"/>
  <c r="C56" i="13"/>
  <c r="C57" i="13"/>
  <c r="C58" i="13"/>
  <c r="C54" i="13"/>
  <c r="A53" i="13"/>
  <c r="C49" i="13"/>
  <c r="C50" i="13"/>
  <c r="C51" i="13"/>
  <c r="C52" i="13"/>
  <c r="C48" i="13"/>
  <c r="A47" i="13"/>
  <c r="C45" i="13"/>
  <c r="C46" i="13"/>
  <c r="C44" i="13"/>
  <c r="A43" i="13"/>
  <c r="C40" i="13"/>
  <c r="C41" i="13"/>
  <c r="C42" i="13"/>
  <c r="C39" i="13"/>
  <c r="A38" i="13"/>
  <c r="C37" i="13"/>
  <c r="A36" i="13"/>
  <c r="C22" i="13"/>
  <c r="C23" i="13"/>
  <c r="C24" i="13"/>
  <c r="C25" i="13"/>
  <c r="C26" i="13"/>
  <c r="C27" i="13"/>
  <c r="C28" i="13"/>
  <c r="C29" i="13"/>
  <c r="C30" i="13"/>
  <c r="C31" i="13"/>
  <c r="C32" i="13"/>
  <c r="C33" i="13"/>
  <c r="C34" i="13"/>
  <c r="C35" i="13"/>
  <c r="C21" i="13"/>
  <c r="A20" i="13"/>
  <c r="C17" i="13"/>
  <c r="C18" i="13"/>
  <c r="C19" i="13"/>
  <c r="C16" i="13"/>
  <c r="B15" i="13"/>
  <c r="C12" i="13"/>
  <c r="C13" i="13"/>
  <c r="C14" i="13"/>
  <c r="C11" i="13"/>
  <c r="B10" i="13"/>
  <c r="A9" i="13"/>
  <c r="C7" i="13"/>
  <c r="C8" i="13"/>
  <c r="C6" i="13"/>
  <c r="A5" i="13"/>
  <c r="E93" i="13"/>
  <c r="E521" i="57" s="1"/>
  <c r="E94" i="13"/>
  <c r="E522" i="57" s="1"/>
  <c r="E95" i="13"/>
  <c r="E523" i="57" s="1"/>
  <c r="E96" i="13"/>
  <c r="E524" i="57" s="1"/>
  <c r="E97" i="13"/>
  <c r="E525" i="57" s="1"/>
  <c r="E98" i="13"/>
  <c r="E526" i="57" s="1"/>
  <c r="D93" i="13"/>
  <c r="D521" i="57" s="1"/>
  <c r="D94" i="13"/>
  <c r="D522" i="57" s="1"/>
  <c r="D95" i="13"/>
  <c r="D523" i="57" s="1"/>
  <c r="D96" i="13"/>
  <c r="D524" i="57" s="1"/>
  <c r="D97" i="13"/>
  <c r="D525" i="57" s="1"/>
  <c r="D98" i="13"/>
  <c r="D526" i="57" s="1"/>
  <c r="D88" i="13"/>
  <c r="D516" i="57" s="1"/>
  <c r="D89" i="13"/>
  <c r="D517" i="57" s="1"/>
  <c r="D90" i="13"/>
  <c r="D518" i="57" s="1"/>
  <c r="D92" i="13"/>
  <c r="D520" i="57" s="1"/>
  <c r="E88" i="13"/>
  <c r="E516" i="57" s="1"/>
  <c r="E89" i="13"/>
  <c r="E517" i="57" s="1"/>
  <c r="E90" i="13"/>
  <c r="E518" i="57" s="1"/>
  <c r="E92" i="13"/>
  <c r="E520" i="57" s="1"/>
  <c r="E62" i="13"/>
  <c r="E490" i="57" s="1"/>
  <c r="E63" i="13"/>
  <c r="E491" i="57" s="1"/>
  <c r="E64" i="13"/>
  <c r="E492" i="57" s="1"/>
  <c r="E65" i="13"/>
  <c r="E493" i="57" s="1"/>
  <c r="E66" i="13"/>
  <c r="E494" i="57" s="1"/>
  <c r="E67" i="13"/>
  <c r="E495" i="57" s="1"/>
  <c r="E68" i="13"/>
  <c r="E496" i="57" s="1"/>
  <c r="E69" i="13"/>
  <c r="E497" i="57" s="1"/>
  <c r="E70" i="13"/>
  <c r="E498" i="57" s="1"/>
  <c r="E71" i="13"/>
  <c r="E499" i="57" s="1"/>
  <c r="E72" i="13"/>
  <c r="E500" i="57" s="1"/>
  <c r="E73" i="13"/>
  <c r="E501" i="57" s="1"/>
  <c r="E74" i="13"/>
  <c r="E502" i="57" s="1"/>
  <c r="E75" i="13"/>
  <c r="E503" i="57" s="1"/>
  <c r="E76" i="13"/>
  <c r="E504" i="57" s="1"/>
  <c r="E77" i="13"/>
  <c r="E505" i="57" s="1"/>
  <c r="E78" i="13"/>
  <c r="E506" i="57" s="1"/>
  <c r="E80" i="13"/>
  <c r="E508" i="57" s="1"/>
  <c r="E81" i="13"/>
  <c r="E509" i="57" s="1"/>
  <c r="E82" i="13"/>
  <c r="E510" i="57" s="1"/>
  <c r="E83" i="13"/>
  <c r="E511" i="57" s="1"/>
  <c r="E84" i="13"/>
  <c r="E512" i="57" s="1"/>
  <c r="E85" i="13"/>
  <c r="E513" i="57" s="1"/>
  <c r="E86" i="13"/>
  <c r="E514" i="57" s="1"/>
  <c r="E87" i="13"/>
  <c r="E515" i="57" s="1"/>
  <c r="E61" i="13"/>
  <c r="E489" i="57" s="1"/>
  <c r="D66" i="13"/>
  <c r="D494" i="57" s="1"/>
  <c r="D67" i="13"/>
  <c r="D495" i="57" s="1"/>
  <c r="D68" i="13"/>
  <c r="D496" i="57" s="1"/>
  <c r="D69" i="13"/>
  <c r="D497" i="57" s="1"/>
  <c r="D70" i="13"/>
  <c r="D498" i="57" s="1"/>
  <c r="D71" i="13"/>
  <c r="D499" i="57" s="1"/>
  <c r="D72" i="13"/>
  <c r="D500" i="57" s="1"/>
  <c r="D73" i="13"/>
  <c r="D501" i="57" s="1"/>
  <c r="D74" i="13"/>
  <c r="D502" i="57" s="1"/>
  <c r="D75" i="13"/>
  <c r="D503" i="57" s="1"/>
  <c r="D76" i="13"/>
  <c r="D504" i="57" s="1"/>
  <c r="D77" i="13"/>
  <c r="D505" i="57" s="1"/>
  <c r="D78" i="13"/>
  <c r="D506" i="57" s="1"/>
  <c r="D79" i="13"/>
  <c r="D507" i="57" s="1"/>
  <c r="D80" i="13"/>
  <c r="D508" i="57" s="1"/>
  <c r="D81" i="13"/>
  <c r="D509" i="57" s="1"/>
  <c r="D82" i="13"/>
  <c r="D510" i="57" s="1"/>
  <c r="D83" i="13"/>
  <c r="D511" i="57" s="1"/>
  <c r="D84" i="13"/>
  <c r="D512" i="57" s="1"/>
  <c r="D85" i="13"/>
  <c r="D513" i="57" s="1"/>
  <c r="D86" i="13"/>
  <c r="D514" i="57" s="1"/>
  <c r="D87" i="13"/>
  <c r="D515" i="57" s="1"/>
  <c r="D61" i="13"/>
  <c r="D489" i="57" s="1"/>
  <c r="D62" i="13"/>
  <c r="D490" i="57" s="1"/>
  <c r="D63" i="13"/>
  <c r="D491" i="57" s="1"/>
  <c r="D64" i="13"/>
  <c r="D492" i="57" s="1"/>
  <c r="D65" i="13"/>
  <c r="D493" i="57" s="1"/>
  <c r="D60" i="13"/>
  <c r="D488" i="57" s="1"/>
  <c r="G138" i="13"/>
  <c r="G137" i="13"/>
  <c r="H137" i="13" s="1"/>
  <c r="G136" i="13"/>
  <c r="G135" i="13"/>
  <c r="G134" i="13"/>
  <c r="F127" i="76"/>
  <c r="G124" i="13"/>
  <c r="D2685" i="72"/>
  <c r="F2685" i="72" s="1"/>
  <c r="C2685" i="72"/>
  <c r="A2685" i="72"/>
  <c r="C2690" i="72"/>
  <c r="B2690" i="72"/>
  <c r="D2679" i="72"/>
  <c r="F2679" i="72" s="1"/>
  <c r="C2679" i="72"/>
  <c r="A2679" i="72"/>
  <c r="C2689" i="72"/>
  <c r="B2689" i="72"/>
  <c r="C2688" i="72"/>
  <c r="B2688" i="72"/>
  <c r="D2687" i="72"/>
  <c r="F2687" i="72" s="1"/>
  <c r="C2687" i="72"/>
  <c r="A2687" i="72"/>
  <c r="D2686" i="72"/>
  <c r="F2686" i="72" s="1"/>
  <c r="C2686" i="72"/>
  <c r="A2686" i="72"/>
  <c r="D2678" i="72"/>
  <c r="F2678" i="72" s="1"/>
  <c r="C2678" i="72"/>
  <c r="A2678" i="72"/>
  <c r="D2677" i="72"/>
  <c r="F2677" i="72" s="1"/>
  <c r="C2677" i="72"/>
  <c r="A2677" i="72"/>
  <c r="D2676" i="72"/>
  <c r="F2676" i="72" s="1"/>
  <c r="C2676" i="72"/>
  <c r="A2676" i="72"/>
  <c r="D2675" i="72"/>
  <c r="F2675" i="72" s="1"/>
  <c r="C2675" i="72"/>
  <c r="A2675" i="72"/>
  <c r="D2674" i="72"/>
  <c r="F2674" i="72" s="1"/>
  <c r="C2674" i="72"/>
  <c r="A2674" i="72"/>
  <c r="G2671" i="72"/>
  <c r="A2671" i="72"/>
  <c r="G2699" i="72"/>
  <c r="F98" i="76"/>
  <c r="G96" i="13"/>
  <c r="H96" i="13" s="1"/>
  <c r="G2636" i="72"/>
  <c r="A2636" i="72"/>
  <c r="G2655" i="72"/>
  <c r="F2646" i="72"/>
  <c r="G2649" i="72" s="1"/>
  <c r="F2645" i="72"/>
  <c r="F2647" i="72"/>
  <c r="D2639" i="72"/>
  <c r="F2639" i="72" s="1"/>
  <c r="C2639" i="72"/>
  <c r="A2639" i="72"/>
  <c r="F2611" i="72"/>
  <c r="F2610" i="72"/>
  <c r="G2601" i="72"/>
  <c r="A2601" i="72"/>
  <c r="G2620" i="72"/>
  <c r="D2604" i="72"/>
  <c r="F2604" i="72"/>
  <c r="C2604" i="72"/>
  <c r="A2604" i="72"/>
  <c r="G2566" i="72"/>
  <c r="A2566" i="72"/>
  <c r="G2585" i="72"/>
  <c r="D2576" i="72"/>
  <c r="F2576" i="72" s="1"/>
  <c r="C2576" i="72"/>
  <c r="A2576" i="72"/>
  <c r="D2570" i="72"/>
  <c r="F2570" i="72" s="1"/>
  <c r="C2570" i="72"/>
  <c r="A2570" i="72"/>
  <c r="D2569" i="72"/>
  <c r="F2569" i="72" s="1"/>
  <c r="C2569" i="72"/>
  <c r="A2569" i="72"/>
  <c r="G2531" i="72"/>
  <c r="A2531" i="72"/>
  <c r="G2550" i="72"/>
  <c r="D2541" i="72"/>
  <c r="F2541" i="72" s="1"/>
  <c r="C2541" i="72"/>
  <c r="A2541" i="72"/>
  <c r="D2535" i="72"/>
  <c r="F2535" i="72"/>
  <c r="C2535" i="72"/>
  <c r="A2535" i="72"/>
  <c r="D2534" i="72"/>
  <c r="F2534" i="72"/>
  <c r="C2534" i="72"/>
  <c r="A2534" i="72"/>
  <c r="G2496" i="72"/>
  <c r="A2496" i="72"/>
  <c r="G2515" i="72"/>
  <c r="D2506" i="72"/>
  <c r="F2506" i="72" s="1"/>
  <c r="C2506" i="72"/>
  <c r="A2506" i="72"/>
  <c r="D2500" i="72"/>
  <c r="F2500" i="72" s="1"/>
  <c r="C2500" i="72"/>
  <c r="A2500" i="72"/>
  <c r="D2499" i="72"/>
  <c r="F2499" i="72" s="1"/>
  <c r="C2499" i="72"/>
  <c r="A2499" i="72"/>
  <c r="G2461" i="72"/>
  <c r="A2461" i="72"/>
  <c r="G2480" i="72"/>
  <c r="D2471" i="72"/>
  <c r="F2471" i="72" s="1"/>
  <c r="C2471" i="72"/>
  <c r="A2471" i="72"/>
  <c r="D2465" i="72"/>
  <c r="F2465" i="72" s="1"/>
  <c r="C2465" i="72"/>
  <c r="A2465" i="72"/>
  <c r="D2464" i="72"/>
  <c r="F2464" i="72" s="1"/>
  <c r="C2464" i="72"/>
  <c r="A2464" i="72"/>
  <c r="G2426" i="72"/>
  <c r="A2426" i="72"/>
  <c r="G2445" i="72"/>
  <c r="D2436" i="72"/>
  <c r="F2436" i="72"/>
  <c r="C2436" i="72"/>
  <c r="A2436" i="72"/>
  <c r="D2430" i="72"/>
  <c r="F2430" i="72"/>
  <c r="C2430" i="72"/>
  <c r="A2430" i="72"/>
  <c r="D2429" i="72"/>
  <c r="F2429" i="72"/>
  <c r="C2429" i="72"/>
  <c r="A2429" i="72"/>
  <c r="G2391" i="72"/>
  <c r="A2391" i="72"/>
  <c r="G2410" i="72"/>
  <c r="D2401" i="72"/>
  <c r="F2401" i="72"/>
  <c r="C2401" i="72"/>
  <c r="A2401" i="72"/>
  <c r="D2395" i="72"/>
  <c r="F2395" i="72"/>
  <c r="C2395" i="72"/>
  <c r="A2395" i="72"/>
  <c r="D2394" i="72"/>
  <c r="F2394" i="72"/>
  <c r="C2394" i="72"/>
  <c r="A2394" i="72"/>
  <c r="G2356" i="72"/>
  <c r="A2356" i="72"/>
  <c r="G2375" i="72"/>
  <c r="D2366" i="72"/>
  <c r="F2366" i="72" s="1"/>
  <c r="C2366" i="72"/>
  <c r="A2366" i="72"/>
  <c r="D2360" i="72"/>
  <c r="F2360" i="72" s="1"/>
  <c r="C2360" i="72"/>
  <c r="A2360" i="72"/>
  <c r="D2359" i="72"/>
  <c r="F2359" i="72" s="1"/>
  <c r="C2359" i="72"/>
  <c r="A2359" i="72"/>
  <c r="G2321" i="72"/>
  <c r="A2321" i="72"/>
  <c r="G2340" i="72"/>
  <c r="D2331" i="72"/>
  <c r="F2331" i="72" s="1"/>
  <c r="C2331" i="72"/>
  <c r="A2331" i="72"/>
  <c r="D2325" i="72"/>
  <c r="F2325" i="72"/>
  <c r="C2325" i="72"/>
  <c r="A2325" i="72"/>
  <c r="D2324" i="72"/>
  <c r="F2324" i="72"/>
  <c r="C2324" i="72"/>
  <c r="A2324" i="72"/>
  <c r="G2286" i="72"/>
  <c r="A2286" i="72"/>
  <c r="G2305" i="72"/>
  <c r="D2296" i="72"/>
  <c r="F2296" i="72" s="1"/>
  <c r="C2296" i="72"/>
  <c r="A2296" i="72"/>
  <c r="D2290" i="72"/>
  <c r="F2290" i="72"/>
  <c r="C2290" i="72"/>
  <c r="A2290" i="72"/>
  <c r="D2289" i="72"/>
  <c r="F2289" i="72"/>
  <c r="C2289" i="72"/>
  <c r="A2289" i="72"/>
  <c r="G2251" i="72"/>
  <c r="A2251" i="72"/>
  <c r="G2270" i="72"/>
  <c r="D2261" i="72"/>
  <c r="F2261" i="72"/>
  <c r="C2261" i="72"/>
  <c r="A2261" i="72"/>
  <c r="D2255" i="72"/>
  <c r="F2255" i="72"/>
  <c r="C2255" i="72"/>
  <c r="A2255" i="72"/>
  <c r="D2254" i="72"/>
  <c r="F2254" i="72"/>
  <c r="C2254" i="72"/>
  <c r="A2254" i="72"/>
  <c r="G2216" i="72"/>
  <c r="A2216" i="72"/>
  <c r="G2235" i="72"/>
  <c r="D2226" i="72"/>
  <c r="F2226" i="72" s="1"/>
  <c r="C2226" i="72"/>
  <c r="A2226" i="72"/>
  <c r="D2220" i="72"/>
  <c r="F2220" i="72" s="1"/>
  <c r="C2220" i="72"/>
  <c r="A2220" i="72"/>
  <c r="D2219" i="72"/>
  <c r="F2219" i="72" s="1"/>
  <c r="C2219" i="72"/>
  <c r="A2219" i="72"/>
  <c r="G2181" i="72"/>
  <c r="A2181" i="72"/>
  <c r="G2200" i="72"/>
  <c r="D2191" i="72"/>
  <c r="F2191" i="72" s="1"/>
  <c r="F2192" i="72" s="1"/>
  <c r="C2191" i="72"/>
  <c r="A2191" i="72"/>
  <c r="D2185" i="72"/>
  <c r="F2185" i="72" s="1"/>
  <c r="C2185" i="72"/>
  <c r="A2185" i="72"/>
  <c r="D2184" i="72"/>
  <c r="F2184" i="72" s="1"/>
  <c r="C2184" i="72"/>
  <c r="A2184" i="72"/>
  <c r="G2146" i="72"/>
  <c r="A2146" i="72"/>
  <c r="G2165" i="72"/>
  <c r="D2156" i="72"/>
  <c r="F2156" i="72" s="1"/>
  <c r="C2156" i="72"/>
  <c r="A2156" i="72"/>
  <c r="D2150" i="72"/>
  <c r="F2150" i="72" s="1"/>
  <c r="C2150" i="72"/>
  <c r="A2150" i="72"/>
  <c r="D2149" i="72"/>
  <c r="F2149" i="72" s="1"/>
  <c r="C2149" i="72"/>
  <c r="A2149" i="72"/>
  <c r="G2111" i="72"/>
  <c r="A2111" i="72"/>
  <c r="G2130" i="72"/>
  <c r="D2121" i="72"/>
  <c r="F2121" i="72"/>
  <c r="C2121" i="72"/>
  <c r="A2121" i="72"/>
  <c r="D2115" i="72"/>
  <c r="F2115" i="72"/>
  <c r="C2115" i="72"/>
  <c r="A2115" i="72"/>
  <c r="D2114" i="72"/>
  <c r="F2114" i="72"/>
  <c r="C2114" i="72"/>
  <c r="A2114" i="72"/>
  <c r="G2076" i="72"/>
  <c r="A2076" i="72"/>
  <c r="G2095" i="72"/>
  <c r="D2086" i="72"/>
  <c r="F2086" i="72"/>
  <c r="C2086" i="72"/>
  <c r="A2086" i="72"/>
  <c r="D2080" i="72"/>
  <c r="F2080" i="72"/>
  <c r="C2080" i="72"/>
  <c r="A2080" i="72"/>
  <c r="D2079" i="72"/>
  <c r="F2079" i="72"/>
  <c r="C2079" i="72"/>
  <c r="A2079" i="72"/>
  <c r="G2041" i="72"/>
  <c r="A2041" i="72"/>
  <c r="G2060" i="72"/>
  <c r="D2051" i="72"/>
  <c r="F2051" i="72" s="1"/>
  <c r="C2051" i="72"/>
  <c r="A2051" i="72"/>
  <c r="D2045" i="72"/>
  <c r="F2045" i="72" s="1"/>
  <c r="C2045" i="72"/>
  <c r="A2045" i="72"/>
  <c r="D2044" i="72"/>
  <c r="F2044" i="72" s="1"/>
  <c r="C2044" i="72"/>
  <c r="A2044" i="72"/>
  <c r="G2006" i="72"/>
  <c r="A2006" i="72"/>
  <c r="G2025" i="72"/>
  <c r="D2016" i="72"/>
  <c r="F2016" i="72" s="1"/>
  <c r="C2016" i="72"/>
  <c r="A2016" i="72"/>
  <c r="D2010" i="72"/>
  <c r="F2010" i="72" s="1"/>
  <c r="C2010" i="72"/>
  <c r="A2010" i="72"/>
  <c r="D2009" i="72"/>
  <c r="F2009" i="72" s="1"/>
  <c r="C2009" i="72"/>
  <c r="A2009" i="72"/>
  <c r="G1971" i="72"/>
  <c r="A1971" i="72"/>
  <c r="G1990" i="72"/>
  <c r="D1981" i="72"/>
  <c r="F1981" i="72"/>
  <c r="C1981" i="72"/>
  <c r="A1981" i="72"/>
  <c r="D1975" i="72"/>
  <c r="F1975" i="72"/>
  <c r="C1975" i="72"/>
  <c r="A1975" i="72"/>
  <c r="D1974" i="72"/>
  <c r="F1974" i="72"/>
  <c r="C1974" i="72"/>
  <c r="A1974" i="72"/>
  <c r="G1936" i="72"/>
  <c r="A1936" i="72"/>
  <c r="G1955" i="72"/>
  <c r="D1946" i="72"/>
  <c r="F1946" i="72"/>
  <c r="C1946" i="72"/>
  <c r="A1946" i="72"/>
  <c r="D1940" i="72"/>
  <c r="F1940" i="72"/>
  <c r="C1940" i="72"/>
  <c r="A1940" i="72"/>
  <c r="D1939" i="72"/>
  <c r="F1939" i="72"/>
  <c r="C1939" i="72"/>
  <c r="A1939" i="72"/>
  <c r="G1901" i="72"/>
  <c r="A1901" i="72"/>
  <c r="G1920" i="72"/>
  <c r="D1911" i="72"/>
  <c r="F1911" i="72" s="1"/>
  <c r="C1911" i="72"/>
  <c r="A1911" i="72"/>
  <c r="D1905" i="72"/>
  <c r="F1905" i="72" s="1"/>
  <c r="C1905" i="72"/>
  <c r="A1905" i="72"/>
  <c r="D1904" i="72"/>
  <c r="F1904" i="72" s="1"/>
  <c r="C1904" i="72"/>
  <c r="A1904" i="72"/>
  <c r="G1866" i="72"/>
  <c r="A1866" i="72"/>
  <c r="G1885" i="72"/>
  <c r="D1876" i="72"/>
  <c r="F1876" i="72" s="1"/>
  <c r="C1876" i="72"/>
  <c r="A1876" i="72"/>
  <c r="D1870" i="72"/>
  <c r="F1870" i="72" s="1"/>
  <c r="C1870" i="72"/>
  <c r="A1870" i="72"/>
  <c r="D1869" i="72"/>
  <c r="F1869" i="72" s="1"/>
  <c r="C1869" i="72"/>
  <c r="A1869" i="72"/>
  <c r="G1831" i="72"/>
  <c r="A1831" i="72"/>
  <c r="G1850" i="72"/>
  <c r="D1841" i="72"/>
  <c r="F1841" i="72"/>
  <c r="C1841" i="72"/>
  <c r="A1841" i="72"/>
  <c r="D1835" i="72"/>
  <c r="F1835" i="72"/>
  <c r="C1835" i="72"/>
  <c r="A1835" i="72"/>
  <c r="D1834" i="72"/>
  <c r="F1834" i="72"/>
  <c r="C1834" i="72"/>
  <c r="A1834" i="72"/>
  <c r="G1796" i="72"/>
  <c r="A1796" i="72"/>
  <c r="G1815" i="72"/>
  <c r="D1806" i="72"/>
  <c r="F1806" i="72"/>
  <c r="C1806" i="72"/>
  <c r="A1806" i="72"/>
  <c r="D1800" i="72"/>
  <c r="F1800" i="72"/>
  <c r="C1800" i="72"/>
  <c r="A1800" i="72"/>
  <c r="D1799" i="72"/>
  <c r="F1799" i="72"/>
  <c r="C1799" i="72"/>
  <c r="A1799" i="72"/>
  <c r="G1761" i="72"/>
  <c r="A1761" i="72"/>
  <c r="G1780" i="72"/>
  <c r="D1771" i="72"/>
  <c r="F1771" i="72" s="1"/>
  <c r="C1771" i="72"/>
  <c r="A1771" i="72"/>
  <c r="D1765" i="72"/>
  <c r="F1765" i="72" s="1"/>
  <c r="C1765" i="72"/>
  <c r="A1765" i="72"/>
  <c r="D1764" i="72"/>
  <c r="F1764" i="72" s="1"/>
  <c r="C1764" i="72"/>
  <c r="A1764" i="72"/>
  <c r="G1726" i="72"/>
  <c r="A1726" i="72"/>
  <c r="G1745" i="72"/>
  <c r="D1736" i="72"/>
  <c r="F1736" i="72" s="1"/>
  <c r="C1736" i="72"/>
  <c r="A1736" i="72"/>
  <c r="D1730" i="72"/>
  <c r="F1730" i="72" s="1"/>
  <c r="C1730" i="72"/>
  <c r="A1730" i="72"/>
  <c r="D1729" i="72"/>
  <c r="F1729" i="72" s="1"/>
  <c r="C1729" i="72"/>
  <c r="A1729" i="72"/>
  <c r="G1691" i="72"/>
  <c r="A1691" i="72"/>
  <c r="G1710" i="72"/>
  <c r="D1701" i="72"/>
  <c r="F1701" i="72"/>
  <c r="C1701" i="72"/>
  <c r="A1701" i="72"/>
  <c r="D1695" i="72"/>
  <c r="F1695" i="72"/>
  <c r="C1695" i="72"/>
  <c r="A1695" i="72"/>
  <c r="D1694" i="72"/>
  <c r="F1694" i="72" s="1"/>
  <c r="C1694" i="72"/>
  <c r="A1694" i="72"/>
  <c r="G1656" i="72"/>
  <c r="A1656" i="72"/>
  <c r="G1675" i="72"/>
  <c r="D1666" i="72"/>
  <c r="F1666" i="72"/>
  <c r="C1666" i="72"/>
  <c r="A1666" i="72"/>
  <c r="D1660" i="72"/>
  <c r="F1660" i="72"/>
  <c r="C1660" i="72"/>
  <c r="A1660" i="72"/>
  <c r="D1659" i="72"/>
  <c r="F1659" i="72"/>
  <c r="C1659" i="72"/>
  <c r="A1659" i="72"/>
  <c r="G1621" i="72"/>
  <c r="A1621" i="72"/>
  <c r="G1640" i="72"/>
  <c r="D1631" i="72"/>
  <c r="F1631" i="72" s="1"/>
  <c r="C1631" i="72"/>
  <c r="A1631" i="72"/>
  <c r="D1625" i="72"/>
  <c r="F1625" i="72" s="1"/>
  <c r="C1625" i="72"/>
  <c r="A1625" i="72"/>
  <c r="D1624" i="72"/>
  <c r="F1624" i="72" s="1"/>
  <c r="C1624" i="72"/>
  <c r="A1624" i="72"/>
  <c r="D1596" i="72"/>
  <c r="F1596" i="72" s="1"/>
  <c r="C1596" i="72"/>
  <c r="A1596" i="72"/>
  <c r="G1586" i="72"/>
  <c r="A1586" i="72"/>
  <c r="G1605" i="72"/>
  <c r="D1590" i="72"/>
  <c r="F1590" i="72" s="1"/>
  <c r="C1590" i="72"/>
  <c r="A1590" i="72"/>
  <c r="D1589" i="72"/>
  <c r="F1589" i="72" s="1"/>
  <c r="C1589" i="72"/>
  <c r="A1589" i="72"/>
  <c r="D38" i="13"/>
  <c r="B19" i="84" s="1"/>
  <c r="E6" i="13"/>
  <c r="E8" i="57" s="1"/>
  <c r="E7" i="13"/>
  <c r="E9" i="57" s="1"/>
  <c r="E8" i="13"/>
  <c r="E10" i="57" s="1"/>
  <c r="E23" i="57"/>
  <c r="E11" i="13"/>
  <c r="E26" i="57" s="1"/>
  <c r="E12" i="13"/>
  <c r="E13" i="13"/>
  <c r="E14" i="13"/>
  <c r="E28" i="57" s="1"/>
  <c r="E16" i="13"/>
  <c r="E17" i="13"/>
  <c r="E18" i="13"/>
  <c r="E19" i="13"/>
  <c r="E21" i="13"/>
  <c r="E52" i="57" s="1"/>
  <c r="E22" i="13"/>
  <c r="E23" i="13"/>
  <c r="E59" i="57"/>
  <c r="E24" i="13"/>
  <c r="E64" i="57" s="1"/>
  <c r="E25" i="13"/>
  <c r="E67" i="57"/>
  <c r="E26" i="13"/>
  <c r="E71" i="57" s="1"/>
  <c r="E27" i="13"/>
  <c r="E72" i="57" s="1"/>
  <c r="E28" i="13"/>
  <c r="E73" i="57" s="1"/>
  <c r="E29" i="13"/>
  <c r="E74" i="57" s="1"/>
  <c r="E30" i="13"/>
  <c r="E75" i="57" s="1"/>
  <c r="E76" i="57"/>
  <c r="E77" i="57"/>
  <c r="E31" i="13"/>
  <c r="E32" i="13"/>
  <c r="E79" i="57" s="1"/>
  <c r="E33" i="13"/>
  <c r="E34" i="13"/>
  <c r="E83" i="57" s="1"/>
  <c r="E35" i="13"/>
  <c r="E84" i="57" s="1"/>
  <c r="E37" i="13"/>
  <c r="E86" i="57" s="1"/>
  <c r="E39" i="13"/>
  <c r="E465" i="57" s="1"/>
  <c r="E40" i="13"/>
  <c r="E466" i="57" s="1"/>
  <c r="E41" i="13"/>
  <c r="E42" i="13"/>
  <c r="E44" i="13"/>
  <c r="E472" i="57" s="1"/>
  <c r="E45" i="13"/>
  <c r="E46" i="13"/>
  <c r="E48" i="13"/>
  <c r="E476" i="57" s="1"/>
  <c r="E49" i="13"/>
  <c r="E477" i="57" s="1"/>
  <c r="E50" i="13"/>
  <c r="E478" i="57" s="1"/>
  <c r="E51" i="13"/>
  <c r="E479" i="57" s="1"/>
  <c r="E52" i="13"/>
  <c r="E480" i="57" s="1"/>
  <c r="E54" i="13"/>
  <c r="E55" i="13"/>
  <c r="E56" i="13"/>
  <c r="E484" i="57" s="1"/>
  <c r="E57" i="13"/>
  <c r="E58" i="13"/>
  <c r="E486" i="57" s="1"/>
  <c r="E101" i="13"/>
  <c r="E532" i="57" s="1"/>
  <c r="E102" i="13"/>
  <c r="E533" i="57"/>
  <c r="E103" i="13"/>
  <c r="E534" i="57" s="1"/>
  <c r="E105" i="13"/>
  <c r="E536" i="57"/>
  <c r="E106" i="13"/>
  <c r="E537" i="57" s="1"/>
  <c r="E107" i="13"/>
  <c r="E538" i="57"/>
  <c r="E108" i="13"/>
  <c r="E539" i="57" s="1"/>
  <c r="E109" i="13"/>
  <c r="E540" i="57"/>
  <c r="E110" i="13"/>
  <c r="E541" i="57" s="1"/>
  <c r="E111" i="13"/>
  <c r="E542" i="57"/>
  <c r="E543" i="57"/>
  <c r="E112" i="13"/>
  <c r="E544" i="57" s="1"/>
  <c r="E113" i="13"/>
  <c r="E545" i="57" s="1"/>
  <c r="E115" i="13"/>
  <c r="E547" i="57" s="1"/>
  <c r="E116" i="13"/>
  <c r="E548" i="57" s="1"/>
  <c r="E117" i="13"/>
  <c r="E549" i="57" s="1"/>
  <c r="E118" i="13"/>
  <c r="E550" i="57" s="1"/>
  <c r="E119" i="13"/>
  <c r="E551" i="57" s="1"/>
  <c r="E120" i="13"/>
  <c r="E552" i="57" s="1"/>
  <c r="E121" i="13"/>
  <c r="E553" i="57" s="1"/>
  <c r="E122" i="13"/>
  <c r="E554" i="57" s="1"/>
  <c r="E123" i="13"/>
  <c r="E555" i="57" s="1"/>
  <c r="E124" i="13"/>
  <c r="E556" i="57" s="1"/>
  <c r="E126" i="13"/>
  <c r="E558" i="57" s="1"/>
  <c r="E127" i="13"/>
  <c r="E559" i="57" s="1"/>
  <c r="E128" i="13"/>
  <c r="E560" i="57" s="1"/>
  <c r="E129" i="13"/>
  <c r="E561" i="57" s="1"/>
  <c r="E130" i="13"/>
  <c r="E562" i="57" s="1"/>
  <c r="E132" i="13"/>
  <c r="E564" i="57" s="1"/>
  <c r="E134" i="13"/>
  <c r="E566" i="57" s="1"/>
  <c r="E135" i="13"/>
  <c r="E567" i="57" s="1"/>
  <c r="E136" i="13"/>
  <c r="E568" i="57" s="1"/>
  <c r="E137" i="13"/>
  <c r="E569" i="57" s="1"/>
  <c r="E138" i="13"/>
  <c r="E570" i="57" s="1"/>
  <c r="E140" i="13"/>
  <c r="E573" i="57" s="1"/>
  <c r="E141" i="13"/>
  <c r="E574" i="57" s="1"/>
  <c r="E142" i="13"/>
  <c r="E575" i="57" s="1"/>
  <c r="E143" i="13"/>
  <c r="E576" i="57" s="1"/>
  <c r="E144" i="13"/>
  <c r="E577" i="57" s="1"/>
  <c r="E147" i="13"/>
  <c r="E579" i="57" s="1"/>
  <c r="E148" i="13"/>
  <c r="E580" i="57" s="1"/>
  <c r="E581" i="57"/>
  <c r="E582" i="57"/>
  <c r="E583" i="57"/>
  <c r="D6" i="13"/>
  <c r="D8" i="57"/>
  <c r="D7" i="13"/>
  <c r="D9" i="57" s="1"/>
  <c r="D8" i="13"/>
  <c r="D10" i="57"/>
  <c r="D16" i="57"/>
  <c r="D23" i="57"/>
  <c r="D9" i="13"/>
  <c r="B10" i="84"/>
  <c r="D10" i="13"/>
  <c r="D11" i="13"/>
  <c r="D26" i="57" s="1"/>
  <c r="D12" i="13"/>
  <c r="D27" i="57" s="1"/>
  <c r="D13" i="13"/>
  <c r="D28" i="57" s="1"/>
  <c r="D14" i="13"/>
  <c r="D37" i="57" s="1"/>
  <c r="D15" i="13"/>
  <c r="D16" i="13"/>
  <c r="D39" i="57" s="1"/>
  <c r="D17" i="13"/>
  <c r="D40" i="57" s="1"/>
  <c r="D18" i="13"/>
  <c r="D49" i="57" s="1"/>
  <c r="D19" i="13"/>
  <c r="D20" i="13"/>
  <c r="B13" i="84" s="1"/>
  <c r="D21" i="13"/>
  <c r="D52" i="57" s="1"/>
  <c r="D22" i="13"/>
  <c r="D54" i="57" s="1"/>
  <c r="D23" i="13"/>
  <c r="D59" i="57" s="1"/>
  <c r="D24" i="13"/>
  <c r="D64" i="57" s="1"/>
  <c r="D25" i="13"/>
  <c r="D67" i="57" s="1"/>
  <c r="D26" i="13"/>
  <c r="D71" i="57" s="1"/>
  <c r="D27" i="13"/>
  <c r="D72" i="57" s="1"/>
  <c r="D28" i="13"/>
  <c r="D29" i="13"/>
  <c r="D74" i="57" s="1"/>
  <c r="D30" i="13"/>
  <c r="D75" i="57" s="1"/>
  <c r="D76" i="57"/>
  <c r="D77" i="57"/>
  <c r="D31" i="13"/>
  <c r="D78" i="57" s="1"/>
  <c r="D32" i="13"/>
  <c r="D79" i="57" s="1"/>
  <c r="D33" i="13"/>
  <c r="D80" i="57" s="1"/>
  <c r="D34" i="13"/>
  <c r="D83" i="57" s="1"/>
  <c r="D35" i="13"/>
  <c r="D84" i="57" s="1"/>
  <c r="D36" i="13"/>
  <c r="D85" i="57" s="1"/>
  <c r="D37" i="13"/>
  <c r="D86" i="57" s="1"/>
  <c r="D39" i="13"/>
  <c r="D40" i="13"/>
  <c r="D465" i="57" s="1"/>
  <c r="D41" i="13"/>
  <c r="D466" i="57" s="1"/>
  <c r="D42" i="13"/>
  <c r="D467" i="57" s="1"/>
  <c r="D43" i="13"/>
  <c r="B22" i="84" s="1"/>
  <c r="D44" i="13"/>
  <c r="D472" i="57" s="1"/>
  <c r="D45" i="13"/>
  <c r="D473" i="57" s="1"/>
  <c r="D46" i="13"/>
  <c r="D47" i="13"/>
  <c r="D475" i="57" s="1"/>
  <c r="D48" i="13"/>
  <c r="D476" i="57" s="1"/>
  <c r="D49" i="13"/>
  <c r="D477" i="57" s="1"/>
  <c r="D50" i="13"/>
  <c r="D51" i="13"/>
  <c r="D479" i="57" s="1"/>
  <c r="D52" i="13"/>
  <c r="D53" i="13"/>
  <c r="B28" i="84" s="1"/>
  <c r="D54" i="13"/>
  <c r="D482" i="57" s="1"/>
  <c r="D55" i="13"/>
  <c r="D56" i="13"/>
  <c r="D57" i="13"/>
  <c r="D58" i="13"/>
  <c r="D59" i="13"/>
  <c r="B31" i="84" s="1"/>
  <c r="D99" i="13"/>
  <c r="D530" i="57" s="1"/>
  <c r="D100" i="13"/>
  <c r="D531" i="57" s="1"/>
  <c r="D101" i="13"/>
  <c r="D532" i="57"/>
  <c r="D102" i="13"/>
  <c r="D533" i="57" s="1"/>
  <c r="D103" i="13"/>
  <c r="D534" i="57"/>
  <c r="D105" i="13"/>
  <c r="D536" i="57" s="1"/>
  <c r="D106" i="13"/>
  <c r="D537" i="57"/>
  <c r="D107" i="13"/>
  <c r="D538" i="57" s="1"/>
  <c r="D108" i="13"/>
  <c r="D539" i="57"/>
  <c r="D109" i="13"/>
  <c r="D540" i="57" s="1"/>
  <c r="D110" i="13"/>
  <c r="D541" i="57"/>
  <c r="D111" i="13"/>
  <c r="D542" i="57" s="1"/>
  <c r="D543" i="57"/>
  <c r="D112" i="13"/>
  <c r="D544" i="57" s="1"/>
  <c r="D113" i="13"/>
  <c r="D545" i="57" s="1"/>
  <c r="D114" i="13"/>
  <c r="D546" i="57" s="1"/>
  <c r="D115" i="13"/>
  <c r="D547" i="57" s="1"/>
  <c r="D116" i="13"/>
  <c r="D548" i="57" s="1"/>
  <c r="D117" i="13"/>
  <c r="D549" i="57" s="1"/>
  <c r="D118" i="13"/>
  <c r="D550" i="57" s="1"/>
  <c r="D119" i="13"/>
  <c r="D551" i="57" s="1"/>
  <c r="D120" i="13"/>
  <c r="D552" i="57" s="1"/>
  <c r="D121" i="13"/>
  <c r="D553" i="57" s="1"/>
  <c r="D122" i="13"/>
  <c r="D554" i="57" s="1"/>
  <c r="D123" i="13"/>
  <c r="D555" i="57" s="1"/>
  <c r="D124" i="13"/>
  <c r="D556" i="57" s="1"/>
  <c r="D125" i="13"/>
  <c r="D557" i="57" s="1"/>
  <c r="D126" i="13"/>
  <c r="D558" i="57" s="1"/>
  <c r="D127" i="13"/>
  <c r="D559" i="57" s="1"/>
  <c r="D128" i="13"/>
  <c r="D560" i="57" s="1"/>
  <c r="D129" i="13"/>
  <c r="D561" i="57" s="1"/>
  <c r="D130" i="13"/>
  <c r="D562" i="57" s="1"/>
  <c r="D131" i="13"/>
  <c r="D563" i="57" s="1"/>
  <c r="D132" i="13"/>
  <c r="D564" i="57" s="1"/>
  <c r="D133" i="13"/>
  <c r="D565" i="57" s="1"/>
  <c r="D134" i="13"/>
  <c r="D566" i="57" s="1"/>
  <c r="D135" i="13"/>
  <c r="D567" i="57" s="1"/>
  <c r="D136" i="13"/>
  <c r="D568" i="57" s="1"/>
  <c r="D137" i="13"/>
  <c r="D569" i="57" s="1"/>
  <c r="D138" i="13"/>
  <c r="D570" i="57" s="1"/>
  <c r="D140" i="13"/>
  <c r="D573" i="57" s="1"/>
  <c r="D141" i="13"/>
  <c r="D574" i="57" s="1"/>
  <c r="D142" i="13"/>
  <c r="D575" i="57" s="1"/>
  <c r="D143" i="13"/>
  <c r="D576" i="57" s="1"/>
  <c r="D144" i="13"/>
  <c r="D577" i="57" s="1"/>
  <c r="D146" i="13"/>
  <c r="B37" i="84" s="1"/>
  <c r="D147" i="13"/>
  <c r="D579" i="57" s="1"/>
  <c r="D148" i="13"/>
  <c r="D580" i="57" s="1"/>
  <c r="D581" i="57"/>
  <c r="D5" i="13"/>
  <c r="B7" i="84" s="1"/>
  <c r="C1561" i="72"/>
  <c r="A1561" i="72"/>
  <c r="G1551" i="72"/>
  <c r="A1551" i="72"/>
  <c r="G1570" i="72"/>
  <c r="D1555" i="72"/>
  <c r="F1555" i="72" s="1"/>
  <c r="C1555" i="72"/>
  <c r="A1555" i="72"/>
  <c r="D1554" i="72"/>
  <c r="F1554" i="72" s="1"/>
  <c r="C1554" i="72"/>
  <c r="A1554" i="72"/>
  <c r="D36" i="61"/>
  <c r="D1561" i="72" s="1"/>
  <c r="F1561" i="72" s="1"/>
  <c r="D1525" i="72"/>
  <c r="F1525" i="72"/>
  <c r="F1527" i="72" s="1"/>
  <c r="G1529" i="72" s="1"/>
  <c r="C1525" i="72"/>
  <c r="A1525" i="72"/>
  <c r="D1526" i="72"/>
  <c r="F1526" i="72"/>
  <c r="C1526" i="72"/>
  <c r="A1526" i="72"/>
  <c r="D1519" i="72"/>
  <c r="F1519" i="72"/>
  <c r="C1519" i="72"/>
  <c r="A1519" i="72"/>
  <c r="G1514" i="72"/>
  <c r="A1514" i="72"/>
  <c r="G1535" i="72"/>
  <c r="D1518" i="72"/>
  <c r="F1518" i="72" s="1"/>
  <c r="C1518" i="72"/>
  <c r="A1518" i="72"/>
  <c r="D1517" i="72"/>
  <c r="F1517" i="72" s="1"/>
  <c r="C1517" i="72"/>
  <c r="A1517" i="72"/>
  <c r="D1489" i="72"/>
  <c r="F1489" i="72" s="1"/>
  <c r="C1489" i="72"/>
  <c r="A1489" i="72"/>
  <c r="G1478" i="72"/>
  <c r="A1478" i="72"/>
  <c r="G1498" i="72"/>
  <c r="D1483" i="72"/>
  <c r="F1483" i="72" s="1"/>
  <c r="C1483" i="72"/>
  <c r="A1483" i="72"/>
  <c r="D1482" i="72"/>
  <c r="F1482" i="72" s="1"/>
  <c r="C1482" i="72"/>
  <c r="A1482" i="72"/>
  <c r="D1481" i="72"/>
  <c r="F1481" i="72" s="1"/>
  <c r="C1481" i="72"/>
  <c r="A1481" i="72"/>
  <c r="C1453" i="72"/>
  <c r="A1453" i="72"/>
  <c r="D1447" i="72"/>
  <c r="F1447" i="72"/>
  <c r="C1447" i="72"/>
  <c r="A1447" i="72"/>
  <c r="D1446" i="72"/>
  <c r="F1446" i="72"/>
  <c r="C1446" i="72"/>
  <c r="A1446" i="72"/>
  <c r="G1442" i="72"/>
  <c r="A1442" i="72"/>
  <c r="G1462" i="72"/>
  <c r="D1445" i="72"/>
  <c r="F1445" i="72" s="1"/>
  <c r="C1445" i="72"/>
  <c r="A1445" i="72"/>
  <c r="D242" i="78"/>
  <c r="F242" i="78" s="1"/>
  <c r="C242" i="78"/>
  <c r="A242" i="78"/>
  <c r="D241" i="78"/>
  <c r="F241" i="78" s="1"/>
  <c r="C241" i="78"/>
  <c r="A241" i="78"/>
  <c r="G257" i="78"/>
  <c r="F248" i="78"/>
  <c r="F249" i="78"/>
  <c r="G251" i="78" s="1"/>
  <c r="G1408" i="72"/>
  <c r="A1408" i="72"/>
  <c r="G1426" i="72"/>
  <c r="F1417" i="72"/>
  <c r="D1411" i="72"/>
  <c r="F1411" i="72" s="1"/>
  <c r="C1411" i="72"/>
  <c r="A1411" i="72"/>
  <c r="D1383" i="72"/>
  <c r="F1383" i="72" s="1"/>
  <c r="C1383" i="72"/>
  <c r="A1383" i="72"/>
  <c r="D1382" i="72"/>
  <c r="F1382" i="72" s="1"/>
  <c r="C1382" i="72"/>
  <c r="A1382" i="72"/>
  <c r="C1381" i="72"/>
  <c r="B1381" i="72"/>
  <c r="G1372" i="72"/>
  <c r="A1372" i="72"/>
  <c r="G1392" i="72"/>
  <c r="D1375" i="72"/>
  <c r="F1375" i="72" s="1"/>
  <c r="C1375" i="72"/>
  <c r="A1375" i="72"/>
  <c r="C1347" i="72"/>
  <c r="G1338" i="72"/>
  <c r="A1338" i="72"/>
  <c r="G1356" i="72"/>
  <c r="B1347" i="72"/>
  <c r="D1341" i="72"/>
  <c r="F1341" i="72"/>
  <c r="C1341" i="72"/>
  <c r="A1341" i="72"/>
  <c r="B34" i="84"/>
  <c r="B25" i="84"/>
  <c r="L39" i="57"/>
  <c r="S39" i="57"/>
  <c r="F16" i="13"/>
  <c r="K23" i="57"/>
  <c r="L23" i="57" s="1"/>
  <c r="S23" i="57" s="1"/>
  <c r="F2691" i="72"/>
  <c r="F2612" i="72"/>
  <c r="G2614" i="72" s="1"/>
  <c r="F2577" i="72"/>
  <c r="G2579" i="72"/>
  <c r="F2507" i="72"/>
  <c r="G2509" i="72" s="1"/>
  <c r="F2472" i="72"/>
  <c r="G2474" i="72"/>
  <c r="F2437" i="72"/>
  <c r="G2439" i="72" s="1"/>
  <c r="F2402" i="72"/>
  <c r="G2404" i="72"/>
  <c r="F2367" i="72"/>
  <c r="G2369" i="72" s="1"/>
  <c r="F2262" i="72"/>
  <c r="G2264" i="72"/>
  <c r="F2227" i="72"/>
  <c r="G2229" i="72" s="1"/>
  <c r="G2194" i="72"/>
  <c r="F2157" i="72"/>
  <c r="G2159" i="72" s="1"/>
  <c r="F2122" i="72"/>
  <c r="G2124" i="72"/>
  <c r="F2087" i="72"/>
  <c r="G2089" i="72" s="1"/>
  <c r="F2052" i="72"/>
  <c r="G2054" i="72"/>
  <c r="F2017" i="72"/>
  <c r="G2019" i="72" s="1"/>
  <c r="F1982" i="72"/>
  <c r="G1984" i="72"/>
  <c r="F1947" i="72"/>
  <c r="G1949" i="72" s="1"/>
  <c r="F1912" i="72"/>
  <c r="G1914" i="72"/>
  <c r="F1877" i="72"/>
  <c r="G1879" i="72" s="1"/>
  <c r="F1842" i="72"/>
  <c r="G1844" i="72"/>
  <c r="F1807" i="72"/>
  <c r="G1809" i="72" s="1"/>
  <c r="F1772" i="72"/>
  <c r="G1774" i="72"/>
  <c r="F1702" i="72"/>
  <c r="G1704" i="72"/>
  <c r="F1667" i="72"/>
  <c r="G1669" i="72" s="1"/>
  <c r="F1632" i="72"/>
  <c r="G1634" i="72"/>
  <c r="F1597" i="72"/>
  <c r="G1599" i="72" s="1"/>
  <c r="F1418" i="72"/>
  <c r="G1420" i="72"/>
  <c r="C1312" i="72"/>
  <c r="B1312" i="72"/>
  <c r="G1304" i="72"/>
  <c r="A1304" i="72"/>
  <c r="G1322" i="72"/>
  <c r="G1049" i="72"/>
  <c r="A1049" i="72"/>
  <c r="G1068" i="72"/>
  <c r="C1059" i="72"/>
  <c r="B1059" i="72"/>
  <c r="E1058" i="72"/>
  <c r="C1058" i="72"/>
  <c r="B1058" i="72"/>
  <c r="D1052" i="72"/>
  <c r="F1052" i="72"/>
  <c r="C1052" i="72"/>
  <c r="A1052" i="72"/>
  <c r="G893" i="72"/>
  <c r="A893" i="72"/>
  <c r="G919" i="72"/>
  <c r="D910" i="72"/>
  <c r="F910" i="72" s="1"/>
  <c r="C910" i="72"/>
  <c r="A910" i="72"/>
  <c r="D909" i="72"/>
  <c r="F909" i="72" s="1"/>
  <c r="C909" i="72"/>
  <c r="A909" i="72"/>
  <c r="C908" i="72"/>
  <c r="B908" i="72"/>
  <c r="C907" i="72"/>
  <c r="B907" i="72"/>
  <c r="D901" i="72"/>
  <c r="F901" i="72" s="1"/>
  <c r="C901" i="72"/>
  <c r="A901" i="72"/>
  <c r="D900" i="72"/>
  <c r="F900" i="72" s="1"/>
  <c r="C900" i="72"/>
  <c r="A900" i="72"/>
  <c r="D899" i="72"/>
  <c r="F899" i="72" s="1"/>
  <c r="C899" i="72"/>
  <c r="A899" i="72"/>
  <c r="D898" i="72"/>
  <c r="F898" i="72" s="1"/>
  <c r="C898" i="72"/>
  <c r="A898" i="72"/>
  <c r="D897" i="72"/>
  <c r="F897" i="72" s="1"/>
  <c r="C897" i="72"/>
  <c r="A897" i="72"/>
  <c r="D896" i="72"/>
  <c r="F896" i="72" s="1"/>
  <c r="C896" i="72"/>
  <c r="A896" i="72"/>
  <c r="G1268" i="72"/>
  <c r="A1268" i="72"/>
  <c r="G1288" i="72"/>
  <c r="D1279" i="72"/>
  <c r="F1279" i="72" s="1"/>
  <c r="F1280" i="72" s="1"/>
  <c r="C1279" i="72"/>
  <c r="A1279" i="72"/>
  <c r="D1273" i="72"/>
  <c r="F1273" i="72" s="1"/>
  <c r="C1273" i="72"/>
  <c r="A1273" i="72"/>
  <c r="D1272" i="72"/>
  <c r="F1272" i="72" s="1"/>
  <c r="C1272" i="72"/>
  <c r="A1272" i="72"/>
  <c r="D1271" i="72"/>
  <c r="F1271" i="72" s="1"/>
  <c r="C1271" i="72"/>
  <c r="A1271" i="72"/>
  <c r="G1232" i="72"/>
  <c r="A1232" i="72"/>
  <c r="G1252" i="72"/>
  <c r="D1243" i="72"/>
  <c r="F1243" i="72"/>
  <c r="F1244" i="72" s="1"/>
  <c r="C1243" i="72"/>
  <c r="A1243" i="72"/>
  <c r="D1237" i="72"/>
  <c r="F1237" i="72"/>
  <c r="C1237" i="72"/>
  <c r="A1237" i="72"/>
  <c r="D1236" i="72"/>
  <c r="F1236" i="72"/>
  <c r="C1236" i="72"/>
  <c r="A1236" i="72"/>
  <c r="D1235" i="72"/>
  <c r="F1235" i="72"/>
  <c r="C1235" i="72"/>
  <c r="A1235" i="72"/>
  <c r="C1207" i="72"/>
  <c r="A1207" i="72"/>
  <c r="D28" i="61"/>
  <c r="D1207" i="72" s="1"/>
  <c r="F1207" i="72" s="1"/>
  <c r="F1208" i="72" s="1"/>
  <c r="G1196" i="72"/>
  <c r="A1196" i="72"/>
  <c r="G1216" i="72"/>
  <c r="D1201" i="72"/>
  <c r="F1201" i="72"/>
  <c r="C1201" i="72"/>
  <c r="A1201" i="72"/>
  <c r="D1200" i="72"/>
  <c r="F1200" i="72"/>
  <c r="C1200" i="72"/>
  <c r="A1200" i="72"/>
  <c r="D1199" i="72"/>
  <c r="F1199" i="72"/>
  <c r="C1199" i="72"/>
  <c r="A1199" i="72"/>
  <c r="G1159" i="72"/>
  <c r="A1159" i="72"/>
  <c r="G1180" i="72"/>
  <c r="D1171" i="72"/>
  <c r="F1171" i="72"/>
  <c r="C1171" i="72"/>
  <c r="A1171" i="72"/>
  <c r="C1170" i="72"/>
  <c r="B1170" i="72"/>
  <c r="D1164" i="72"/>
  <c r="F1164" i="72" s="1"/>
  <c r="C1164" i="72"/>
  <c r="A1164" i="72"/>
  <c r="D1163" i="72"/>
  <c r="F1163" i="72" s="1"/>
  <c r="C1163" i="72"/>
  <c r="A1163" i="72"/>
  <c r="D1162" i="72"/>
  <c r="F1162" i="72" s="1"/>
  <c r="C1162" i="72"/>
  <c r="A1162" i="72"/>
  <c r="G1122" i="72"/>
  <c r="A1122" i="72"/>
  <c r="G1143" i="72"/>
  <c r="D1134" i="72"/>
  <c r="F1134" i="72"/>
  <c r="C1134" i="72"/>
  <c r="A1134" i="72"/>
  <c r="C1133" i="72"/>
  <c r="B1133" i="72"/>
  <c r="D1127" i="72"/>
  <c r="F1127" i="72"/>
  <c r="C1127" i="72"/>
  <c r="A1127" i="72"/>
  <c r="D1126" i="72"/>
  <c r="F1126" i="72"/>
  <c r="C1126" i="72"/>
  <c r="A1126" i="72"/>
  <c r="D1125" i="72"/>
  <c r="F1125" i="72"/>
  <c r="C1125" i="72"/>
  <c r="A1125" i="72"/>
  <c r="C1096" i="72"/>
  <c r="B1096" i="72"/>
  <c r="D1095" i="72"/>
  <c r="F1095" i="72"/>
  <c r="C1095" i="72"/>
  <c r="A1095" i="72"/>
  <c r="G1084" i="72"/>
  <c r="A1084" i="72"/>
  <c r="G1106" i="72"/>
  <c r="D1097" i="72"/>
  <c r="F1097" i="72"/>
  <c r="C1097" i="72"/>
  <c r="A1097" i="72"/>
  <c r="D1089" i="72"/>
  <c r="F1089" i="72"/>
  <c r="C1089" i="72"/>
  <c r="A1089" i="72"/>
  <c r="D1088" i="72"/>
  <c r="F1088" i="72"/>
  <c r="C1088" i="72"/>
  <c r="A1088" i="72"/>
  <c r="D1087" i="72"/>
  <c r="F1087" i="72"/>
  <c r="C1087" i="72"/>
  <c r="A1087" i="72"/>
  <c r="G1011" i="72"/>
  <c r="A1011" i="72"/>
  <c r="G1033" i="72"/>
  <c r="D1024" i="72"/>
  <c r="F1024" i="72"/>
  <c r="C1024" i="72"/>
  <c r="A1024" i="72"/>
  <c r="C1023" i="72"/>
  <c r="B1023" i="72"/>
  <c r="C1022" i="72"/>
  <c r="B1022" i="72"/>
  <c r="D1016" i="72"/>
  <c r="F1016" i="72"/>
  <c r="C1016" i="72"/>
  <c r="A1016" i="72"/>
  <c r="D1015" i="72"/>
  <c r="F1015" i="72"/>
  <c r="C1015" i="72"/>
  <c r="A1015" i="72"/>
  <c r="D1014" i="72"/>
  <c r="F1014" i="72" s="1"/>
  <c r="C1014" i="72"/>
  <c r="A1014" i="72"/>
  <c r="G973" i="72"/>
  <c r="A973" i="72"/>
  <c r="G995" i="72"/>
  <c r="D986" i="72"/>
  <c r="F986" i="72" s="1"/>
  <c r="C986" i="72"/>
  <c r="A986" i="72"/>
  <c r="C985" i="72"/>
  <c r="B985" i="72"/>
  <c r="C984" i="72"/>
  <c r="B984" i="72"/>
  <c r="D978" i="72"/>
  <c r="F978" i="72" s="1"/>
  <c r="C978" i="72"/>
  <c r="A978" i="72"/>
  <c r="D977" i="72"/>
  <c r="F977" i="72" s="1"/>
  <c r="C977" i="72"/>
  <c r="A977" i="72"/>
  <c r="D976" i="72"/>
  <c r="F976" i="72" s="1"/>
  <c r="C976" i="72"/>
  <c r="A976" i="72"/>
  <c r="C947" i="72"/>
  <c r="B947" i="72"/>
  <c r="D948" i="72"/>
  <c r="F948" i="72"/>
  <c r="C948" i="72"/>
  <c r="A948" i="72"/>
  <c r="C946" i="72"/>
  <c r="D940" i="72"/>
  <c r="F940" i="72"/>
  <c r="C940" i="72"/>
  <c r="A940" i="72"/>
  <c r="G935" i="72"/>
  <c r="A935" i="72"/>
  <c r="G957" i="72"/>
  <c r="B946" i="72"/>
  <c r="D939" i="72"/>
  <c r="F939" i="72"/>
  <c r="C939" i="72"/>
  <c r="A939" i="72"/>
  <c r="D938" i="72"/>
  <c r="F938" i="72"/>
  <c r="C938" i="72"/>
  <c r="A938" i="72"/>
  <c r="G1210" i="72"/>
  <c r="D868" i="72"/>
  <c r="F868" i="72"/>
  <c r="C868" i="72"/>
  <c r="A868" i="72"/>
  <c r="D867" i="72"/>
  <c r="F867" i="72"/>
  <c r="C867" i="72"/>
  <c r="A867" i="72"/>
  <c r="C866" i="72"/>
  <c r="B866" i="72"/>
  <c r="C865" i="72"/>
  <c r="B865" i="72"/>
  <c r="D859" i="72"/>
  <c r="F859" i="72"/>
  <c r="C859" i="72"/>
  <c r="A859" i="72"/>
  <c r="D858" i="72"/>
  <c r="F858" i="72"/>
  <c r="C858" i="72"/>
  <c r="A858" i="72"/>
  <c r="D857" i="72"/>
  <c r="F857" i="72"/>
  <c r="C857" i="72"/>
  <c r="A857" i="72"/>
  <c r="D856" i="72"/>
  <c r="F856" i="72"/>
  <c r="C856" i="72"/>
  <c r="A856" i="72"/>
  <c r="G851" i="72"/>
  <c r="A851" i="72"/>
  <c r="G877" i="72"/>
  <c r="D855" i="72"/>
  <c r="F855" i="72" s="1"/>
  <c r="C855" i="72"/>
  <c r="A855" i="72"/>
  <c r="D854" i="72"/>
  <c r="F854" i="72" s="1"/>
  <c r="C854" i="72"/>
  <c r="A854" i="72"/>
  <c r="G816" i="72"/>
  <c r="A816" i="72"/>
  <c r="G835" i="72"/>
  <c r="C826" i="72"/>
  <c r="B826" i="72"/>
  <c r="C825" i="72"/>
  <c r="B825" i="72"/>
  <c r="D819" i="72"/>
  <c r="F819" i="72"/>
  <c r="C819" i="72"/>
  <c r="A819" i="72"/>
  <c r="C791" i="72"/>
  <c r="B791" i="72"/>
  <c r="G781" i="72"/>
  <c r="A781" i="72"/>
  <c r="G800" i="72"/>
  <c r="C790" i="72"/>
  <c r="B790" i="72"/>
  <c r="D784" i="72"/>
  <c r="F784" i="72"/>
  <c r="C784" i="72"/>
  <c r="A784" i="72"/>
  <c r="E755" i="72"/>
  <c r="G746" i="72"/>
  <c r="A746" i="72"/>
  <c r="G765" i="72"/>
  <c r="C756" i="72"/>
  <c r="B756" i="72"/>
  <c r="C755" i="72"/>
  <c r="B755" i="72"/>
  <c r="D749" i="72"/>
  <c r="F749" i="72"/>
  <c r="C749" i="72"/>
  <c r="A749" i="72"/>
  <c r="G710" i="72"/>
  <c r="A710" i="72"/>
  <c r="G730" i="72"/>
  <c r="C721" i="72"/>
  <c r="B721" i="72"/>
  <c r="E720" i="72"/>
  <c r="C720" i="72"/>
  <c r="B720" i="72"/>
  <c r="D714" i="72"/>
  <c r="F714" i="72"/>
  <c r="C714" i="72"/>
  <c r="A714" i="72"/>
  <c r="D713" i="72"/>
  <c r="F713" i="72"/>
  <c r="C713" i="72"/>
  <c r="A713" i="72"/>
  <c r="E684" i="72"/>
  <c r="C685" i="72"/>
  <c r="B685" i="72"/>
  <c r="G674" i="72"/>
  <c r="A674" i="72"/>
  <c r="G694" i="72"/>
  <c r="C684" i="72"/>
  <c r="B684" i="72"/>
  <c r="D678" i="72"/>
  <c r="F678" i="72"/>
  <c r="C678" i="72"/>
  <c r="A678" i="72"/>
  <c r="D677" i="72"/>
  <c r="F677" i="72"/>
  <c r="C677" i="72"/>
  <c r="A677" i="72"/>
  <c r="C649" i="72"/>
  <c r="B649" i="72"/>
  <c r="C648" i="72"/>
  <c r="A648" i="72"/>
  <c r="D641" i="72"/>
  <c r="F641" i="72"/>
  <c r="C641" i="72"/>
  <c r="A641" i="72"/>
  <c r="C647" i="72"/>
  <c r="C612" i="72"/>
  <c r="C611" i="72"/>
  <c r="G637" i="72"/>
  <c r="A637" i="72"/>
  <c r="G658" i="72"/>
  <c r="B647" i="72"/>
  <c r="D640" i="72"/>
  <c r="F640" i="72"/>
  <c r="C640" i="72"/>
  <c r="A640" i="72"/>
  <c r="G602" i="72"/>
  <c r="A602" i="72"/>
  <c r="G621" i="72"/>
  <c r="B612" i="72"/>
  <c r="B611" i="72"/>
  <c r="D605" i="72"/>
  <c r="F605" i="72"/>
  <c r="C605" i="72"/>
  <c r="A605" i="72"/>
  <c r="C576" i="72"/>
  <c r="B576" i="72"/>
  <c r="G567" i="72"/>
  <c r="A567" i="72"/>
  <c r="G586" i="72"/>
  <c r="B577" i="72"/>
  <c r="D570" i="72"/>
  <c r="F570" i="72" s="1"/>
  <c r="C570" i="72"/>
  <c r="A570" i="72"/>
  <c r="C542" i="72"/>
  <c r="B542" i="72"/>
  <c r="C541" i="72"/>
  <c r="B541" i="72"/>
  <c r="B507" i="72"/>
  <c r="B506" i="72"/>
  <c r="G532" i="72"/>
  <c r="A532" i="72"/>
  <c r="G551" i="72"/>
  <c r="D535" i="72"/>
  <c r="F535" i="72"/>
  <c r="C535" i="72"/>
  <c r="A535" i="72"/>
  <c r="C507" i="72"/>
  <c r="G497" i="72"/>
  <c r="A497" i="72"/>
  <c r="C506" i="72"/>
  <c r="D500" i="72"/>
  <c r="F500" i="72"/>
  <c r="C500" i="72"/>
  <c r="A500" i="72"/>
  <c r="G516" i="72"/>
  <c r="G150" i="78"/>
  <c r="D141" i="78"/>
  <c r="F141" i="78"/>
  <c r="C141" i="78"/>
  <c r="A141" i="78"/>
  <c r="C140" i="78"/>
  <c r="A140" i="78"/>
  <c r="C139" i="78"/>
  <c r="A139" i="78"/>
  <c r="C138" i="78"/>
  <c r="A138" i="78"/>
  <c r="D132" i="78"/>
  <c r="F132" i="78"/>
  <c r="C132" i="78"/>
  <c r="A132" i="78"/>
  <c r="G462" i="72"/>
  <c r="A462" i="72"/>
  <c r="G481" i="72"/>
  <c r="C471" i="72"/>
  <c r="A471" i="72"/>
  <c r="G427" i="72"/>
  <c r="A427" i="72"/>
  <c r="B443" i="72"/>
  <c r="A443" i="72"/>
  <c r="C436" i="72"/>
  <c r="A436" i="72"/>
  <c r="D430" i="72"/>
  <c r="F430" i="72" s="1"/>
  <c r="C430" i="72"/>
  <c r="A430" i="72"/>
  <c r="D42" i="61"/>
  <c r="D41" i="61"/>
  <c r="D401" i="72"/>
  <c r="F401" i="72"/>
  <c r="C401" i="72"/>
  <c r="A401" i="72"/>
  <c r="G391" i="72"/>
  <c r="A391" i="72"/>
  <c r="B408" i="72"/>
  <c r="A408" i="72"/>
  <c r="D395" i="72"/>
  <c r="F395" i="72"/>
  <c r="C395" i="72"/>
  <c r="A395" i="72"/>
  <c r="D394" i="72"/>
  <c r="F394" i="72"/>
  <c r="C394" i="72"/>
  <c r="A394" i="72"/>
  <c r="D359" i="72"/>
  <c r="F359" i="72"/>
  <c r="C359" i="72"/>
  <c r="A359" i="72"/>
  <c r="G355" i="72"/>
  <c r="A355" i="72"/>
  <c r="B372" i="72"/>
  <c r="A372" i="72"/>
  <c r="F367" i="72"/>
  <c r="G369" i="72"/>
  <c r="D358" i="72"/>
  <c r="F358" i="72" s="1"/>
  <c r="C358" i="72"/>
  <c r="A358" i="72"/>
  <c r="A336" i="72"/>
  <c r="B230" i="72"/>
  <c r="B336" i="72"/>
  <c r="G320" i="72"/>
  <c r="A320" i="72"/>
  <c r="F331" i="72"/>
  <c r="G333" i="72"/>
  <c r="D323" i="72"/>
  <c r="F323" i="72"/>
  <c r="C323" i="72"/>
  <c r="A323" i="72"/>
  <c r="F403" i="72"/>
  <c r="G405" i="72"/>
  <c r="B301" i="72"/>
  <c r="D288" i="72"/>
  <c r="F288" i="72"/>
  <c r="C288" i="72"/>
  <c r="A288" i="72"/>
  <c r="D287" i="72"/>
  <c r="F287" i="72"/>
  <c r="C287" i="72"/>
  <c r="A287" i="72"/>
  <c r="G284" i="72"/>
  <c r="A284" i="72"/>
  <c r="F296" i="72"/>
  <c r="G298" i="72" s="1"/>
  <c r="B265" i="72"/>
  <c r="G249" i="72"/>
  <c r="A249" i="72"/>
  <c r="F260" i="72"/>
  <c r="G262" i="72"/>
  <c r="E444" i="61"/>
  <c r="D372" i="72" s="1"/>
  <c r="F372" i="72" s="1"/>
  <c r="G375" i="72" s="1"/>
  <c r="G214" i="72"/>
  <c r="A214" i="72"/>
  <c r="F225" i="72"/>
  <c r="G227" i="72"/>
  <c r="D217" i="72"/>
  <c r="F217" i="72" s="1"/>
  <c r="C217" i="72"/>
  <c r="A217" i="72"/>
  <c r="D336" i="72"/>
  <c r="F336" i="72" s="1"/>
  <c r="G339" i="72" s="1"/>
  <c r="D230" i="72"/>
  <c r="F230" i="72"/>
  <c r="G233" i="72" s="1"/>
  <c r="D443" i="72"/>
  <c r="F443" i="72" s="1"/>
  <c r="G446" i="72" s="1"/>
  <c r="D301" i="72"/>
  <c r="F301" i="72"/>
  <c r="G304" i="72" s="1"/>
  <c r="D182" i="72"/>
  <c r="F182" i="72"/>
  <c r="C182" i="72"/>
  <c r="A182" i="72"/>
  <c r="D5" i="61"/>
  <c r="D140" i="78"/>
  <c r="F140" i="78"/>
  <c r="G178" i="72"/>
  <c r="A178" i="72"/>
  <c r="G198" i="72"/>
  <c r="D181" i="72"/>
  <c r="F181" i="72"/>
  <c r="C181" i="72"/>
  <c r="A181" i="72"/>
  <c r="D146" i="72"/>
  <c r="F146" i="72"/>
  <c r="C146" i="72"/>
  <c r="A146" i="72"/>
  <c r="G143" i="72"/>
  <c r="A143" i="72"/>
  <c r="G162" i="72"/>
  <c r="D153" i="72"/>
  <c r="F153" i="72"/>
  <c r="C153" i="72"/>
  <c r="A153" i="72"/>
  <c r="D152" i="72"/>
  <c r="F152" i="72"/>
  <c r="C152" i="72"/>
  <c r="A152" i="72"/>
  <c r="F73" i="72"/>
  <c r="F72" i="72"/>
  <c r="F71" i="72"/>
  <c r="F70" i="72"/>
  <c r="D69" i="72"/>
  <c r="F69" i="72"/>
  <c r="C69" i="72"/>
  <c r="A69" i="72"/>
  <c r="D68" i="72"/>
  <c r="F68" i="72"/>
  <c r="C68" i="72"/>
  <c r="A68" i="72"/>
  <c r="D67" i="72"/>
  <c r="F67" i="72"/>
  <c r="C67" i="72"/>
  <c r="A67" i="72"/>
  <c r="D66" i="72"/>
  <c r="F66" i="72"/>
  <c r="C66" i="72"/>
  <c r="A66" i="72"/>
  <c r="C110" i="72"/>
  <c r="B110" i="72"/>
  <c r="G98" i="72"/>
  <c r="A98" i="72"/>
  <c r="G119" i="72"/>
  <c r="D109" i="72"/>
  <c r="F109" i="72"/>
  <c r="C109" i="72"/>
  <c r="A109" i="72"/>
  <c r="D108" i="72"/>
  <c r="F108" i="72"/>
  <c r="C108" i="72"/>
  <c r="A108" i="72"/>
  <c r="C107" i="72"/>
  <c r="A107" i="72"/>
  <c r="D101" i="72"/>
  <c r="F101" i="72"/>
  <c r="C101" i="72"/>
  <c r="A101" i="72"/>
  <c r="C65" i="72"/>
  <c r="B65" i="72"/>
  <c r="D64" i="72"/>
  <c r="F64" i="72"/>
  <c r="C64" i="72"/>
  <c r="A64" i="72"/>
  <c r="D63" i="72"/>
  <c r="F63" i="72"/>
  <c r="C63" i="72"/>
  <c r="A63" i="72"/>
  <c r="D62" i="72"/>
  <c r="F62" i="72"/>
  <c r="C62" i="72"/>
  <c r="A62" i="72"/>
  <c r="D33" i="61"/>
  <c r="D107" i="72"/>
  <c r="F107" i="72" s="1"/>
  <c r="D318" i="78"/>
  <c r="F318" i="78"/>
  <c r="C318" i="78"/>
  <c r="A318" i="78"/>
  <c r="G338" i="78"/>
  <c r="D329" i="78"/>
  <c r="F329" i="78"/>
  <c r="C329" i="78"/>
  <c r="A329" i="78"/>
  <c r="D328" i="78"/>
  <c r="F328" i="78"/>
  <c r="C328" i="78"/>
  <c r="A328" i="78"/>
  <c r="D327" i="78"/>
  <c r="F327" i="78"/>
  <c r="C327" i="78"/>
  <c r="A327" i="78"/>
  <c r="D326" i="78"/>
  <c r="F326" i="78"/>
  <c r="C326" i="78"/>
  <c r="A326" i="78"/>
  <c r="D325" i="78"/>
  <c r="F325" i="78"/>
  <c r="C325" i="78"/>
  <c r="A325" i="78"/>
  <c r="D324" i="78"/>
  <c r="F324" i="78"/>
  <c r="F330" i="78" s="1"/>
  <c r="C324" i="78"/>
  <c r="A324" i="78"/>
  <c r="D317" i="78"/>
  <c r="F317" i="78"/>
  <c r="C317" i="78"/>
  <c r="A317" i="78"/>
  <c r="D316" i="78"/>
  <c r="F316" i="78"/>
  <c r="C316" i="78"/>
  <c r="A316" i="78"/>
  <c r="D277" i="78"/>
  <c r="F277" i="78"/>
  <c r="C277" i="78"/>
  <c r="A277" i="78"/>
  <c r="D288" i="78"/>
  <c r="F288" i="78"/>
  <c r="C288" i="78"/>
  <c r="A288" i="78"/>
  <c r="D287" i="78"/>
  <c r="F287" i="78" s="1"/>
  <c r="C287" i="78"/>
  <c r="A287" i="78"/>
  <c r="D286" i="78"/>
  <c r="F286" i="78" s="1"/>
  <c r="C286" i="78"/>
  <c r="A286" i="78"/>
  <c r="D285" i="78"/>
  <c r="F285" i="78" s="1"/>
  <c r="F289" i="78" s="1"/>
  <c r="C285" i="78"/>
  <c r="A285" i="78"/>
  <c r="D284" i="78"/>
  <c r="F284" i="78" s="1"/>
  <c r="C284" i="78"/>
  <c r="A284" i="78"/>
  <c r="G297" i="78"/>
  <c r="D283" i="78"/>
  <c r="F283" i="78" s="1"/>
  <c r="C283" i="78"/>
  <c r="A283" i="78"/>
  <c r="D276" i="78"/>
  <c r="F276" i="78" s="1"/>
  <c r="C276" i="78"/>
  <c r="A276" i="78"/>
  <c r="F190" i="72"/>
  <c r="G192" i="72" s="1"/>
  <c r="F154" i="72"/>
  <c r="G156" i="72" s="1"/>
  <c r="G332" i="78"/>
  <c r="F212" i="78"/>
  <c r="G222" i="78"/>
  <c r="D213" i="78"/>
  <c r="F213" i="78"/>
  <c r="F214" i="78" s="1"/>
  <c r="C213" i="78"/>
  <c r="A213" i="78"/>
  <c r="D206" i="78"/>
  <c r="F206" i="78"/>
  <c r="C206" i="78"/>
  <c r="A206" i="78"/>
  <c r="G186" i="78"/>
  <c r="D177" i="78"/>
  <c r="F177" i="78" s="1"/>
  <c r="C177" i="78"/>
  <c r="A177" i="78"/>
  <c r="D176" i="78"/>
  <c r="F176" i="78" s="1"/>
  <c r="C176" i="78"/>
  <c r="A176" i="78"/>
  <c r="D175" i="78"/>
  <c r="F175" i="78" s="1"/>
  <c r="C175" i="78"/>
  <c r="A175" i="78"/>
  <c r="D169" i="78"/>
  <c r="F169" i="78" s="1"/>
  <c r="C169" i="78"/>
  <c r="A169" i="78"/>
  <c r="D104" i="78"/>
  <c r="F104" i="78" s="1"/>
  <c r="C104" i="78"/>
  <c r="A104" i="78"/>
  <c r="D103" i="78"/>
  <c r="F103" i="78" s="1"/>
  <c r="C103" i="78"/>
  <c r="A103" i="78"/>
  <c r="C102" i="78"/>
  <c r="A102" i="78"/>
  <c r="C101" i="78"/>
  <c r="A101" i="78"/>
  <c r="D95" i="78"/>
  <c r="F95" i="78" s="1"/>
  <c r="C95" i="78"/>
  <c r="A95" i="78"/>
  <c r="G113" i="78"/>
  <c r="D65" i="78"/>
  <c r="F65" i="78" s="1"/>
  <c r="C65" i="78"/>
  <c r="A65" i="78"/>
  <c r="E354" i="61"/>
  <c r="E326" i="61"/>
  <c r="E325" i="61"/>
  <c r="E309" i="61"/>
  <c r="D57" i="78"/>
  <c r="F57" i="78" s="1"/>
  <c r="C57" i="78"/>
  <c r="A57" i="78"/>
  <c r="G75" i="78"/>
  <c r="D66" i="78"/>
  <c r="F66" i="78"/>
  <c r="C66" i="78"/>
  <c r="A66" i="78"/>
  <c r="C64" i="78"/>
  <c r="A64" i="78"/>
  <c r="C63" i="78"/>
  <c r="A63" i="78"/>
  <c r="G35" i="78"/>
  <c r="F27" i="78"/>
  <c r="D22" i="78"/>
  <c r="F22" i="78" s="1"/>
  <c r="C22" i="78"/>
  <c r="A22" i="78"/>
  <c r="D21" i="78"/>
  <c r="F21" i="78" s="1"/>
  <c r="C21" i="78"/>
  <c r="A21" i="78"/>
  <c r="D20" i="78"/>
  <c r="F20" i="78" s="1"/>
  <c r="C20" i="78"/>
  <c r="A20" i="78"/>
  <c r="D14" i="78"/>
  <c r="F14" i="78" s="1"/>
  <c r="C14" i="78"/>
  <c r="A14" i="78"/>
  <c r="D13" i="78"/>
  <c r="F13" i="78" s="1"/>
  <c r="C13" i="78"/>
  <c r="A13" i="78"/>
  <c r="D12" i="78"/>
  <c r="F12" i="78" s="1"/>
  <c r="C12" i="78"/>
  <c r="A12" i="78"/>
  <c r="D11" i="78"/>
  <c r="F11" i="78" s="1"/>
  <c r="C11" i="78"/>
  <c r="A11" i="78"/>
  <c r="D10" i="78"/>
  <c r="F10" i="78" s="1"/>
  <c r="G17" i="78" s="1"/>
  <c r="C10" i="78"/>
  <c r="A10" i="78"/>
  <c r="D9" i="78"/>
  <c r="F9" i="78" s="1"/>
  <c r="C9" i="78"/>
  <c r="A9" i="78"/>
  <c r="G53" i="72"/>
  <c r="A53" i="72"/>
  <c r="G82" i="72"/>
  <c r="D56" i="72"/>
  <c r="F56" i="72" s="1"/>
  <c r="C56" i="72"/>
  <c r="A56" i="72"/>
  <c r="D22" i="72"/>
  <c r="D21" i="72"/>
  <c r="D20" i="72"/>
  <c r="F20" i="72" s="1"/>
  <c r="G29" i="72" s="1"/>
  <c r="C22" i="72"/>
  <c r="C21" i="72"/>
  <c r="C20" i="72"/>
  <c r="A22" i="72"/>
  <c r="A21" i="72"/>
  <c r="A20" i="72"/>
  <c r="A14" i="72"/>
  <c r="A13" i="72"/>
  <c r="A12" i="72"/>
  <c r="A11" i="72"/>
  <c r="A10" i="72"/>
  <c r="A9" i="72"/>
  <c r="C10" i="72"/>
  <c r="D10" i="72"/>
  <c r="F10" i="72" s="1"/>
  <c r="C11" i="72"/>
  <c r="D11" i="72"/>
  <c r="F11" i="72"/>
  <c r="G17" i="72" s="1"/>
  <c r="C12" i="72"/>
  <c r="D12" i="72"/>
  <c r="F12" i="72" s="1"/>
  <c r="C13" i="72"/>
  <c r="D13" i="72"/>
  <c r="F13" i="72"/>
  <c r="C14" i="72"/>
  <c r="D14" i="72"/>
  <c r="F14" i="72" s="1"/>
  <c r="D9" i="72"/>
  <c r="F9" i="72" s="1"/>
  <c r="C9" i="72"/>
  <c r="F27" i="72"/>
  <c r="A28" i="62"/>
  <c r="A27" i="62"/>
  <c r="A26" i="62"/>
  <c r="A25" i="62"/>
  <c r="A24" i="62"/>
  <c r="A23" i="62"/>
  <c r="A22" i="62"/>
  <c r="B1429" i="72" s="1"/>
  <c r="D70" i="62"/>
  <c r="E70" i="62" s="1"/>
  <c r="D69" i="62"/>
  <c r="E69" i="62" s="1"/>
  <c r="A70" i="62"/>
  <c r="A69" i="62"/>
  <c r="D71" i="62"/>
  <c r="E71" i="62" s="1"/>
  <c r="A71" i="62"/>
  <c r="D65" i="62"/>
  <c r="E65" i="62"/>
  <c r="A65" i="62"/>
  <c r="D64" i="62"/>
  <c r="E64" i="62" s="1"/>
  <c r="A64" i="62"/>
  <c r="D63" i="62"/>
  <c r="E63" i="62" s="1"/>
  <c r="E66" i="62" s="1"/>
  <c r="B27" i="62" s="1"/>
  <c r="A63" i="62"/>
  <c r="D59" i="62"/>
  <c r="E59" i="62"/>
  <c r="A59" i="62"/>
  <c r="D58" i="62"/>
  <c r="E58" i="62"/>
  <c r="A58" i="62"/>
  <c r="D57" i="62"/>
  <c r="E57" i="62" s="1"/>
  <c r="A57" i="62"/>
  <c r="D53" i="62"/>
  <c r="E53" i="62"/>
  <c r="A53" i="62"/>
  <c r="D52" i="62"/>
  <c r="E52" i="62"/>
  <c r="A52" i="62"/>
  <c r="D48" i="62"/>
  <c r="E48" i="62"/>
  <c r="A48" i="62"/>
  <c r="D47" i="62"/>
  <c r="E47" i="62" s="1"/>
  <c r="E49" i="62" s="1"/>
  <c r="B24" i="62" s="1"/>
  <c r="B1219" i="72" s="1"/>
  <c r="A47" i="62"/>
  <c r="D46" i="62"/>
  <c r="E46" i="62"/>
  <c r="A46" i="62"/>
  <c r="D35" i="62"/>
  <c r="D34" i="62"/>
  <c r="A35" i="62"/>
  <c r="A34" i="62"/>
  <c r="D36" i="62"/>
  <c r="E36" i="62"/>
  <c r="A36" i="62"/>
  <c r="D42" i="62"/>
  <c r="E42" i="62"/>
  <c r="D41" i="62"/>
  <c r="E41" i="62"/>
  <c r="D40" i="62"/>
  <c r="E40" i="62"/>
  <c r="A42" i="62"/>
  <c r="A41" i="62"/>
  <c r="A40" i="62"/>
  <c r="E35" i="62"/>
  <c r="E34" i="62"/>
  <c r="E37" i="62" s="1"/>
  <c r="E54" i="62"/>
  <c r="B25" i="62" s="1"/>
  <c r="B40" i="78"/>
  <c r="E72" i="62"/>
  <c r="B28" i="62" s="1"/>
  <c r="E60" i="62"/>
  <c r="B26" i="62" s="1"/>
  <c r="B22" i="62"/>
  <c r="B838" i="72"/>
  <c r="B225" i="78"/>
  <c r="B2343" i="72"/>
  <c r="B1255" i="72"/>
  <c r="B1465" i="72"/>
  <c r="B733" i="72"/>
  <c r="F22" i="72"/>
  <c r="F21" i="72"/>
  <c r="A307" i="61"/>
  <c r="A306" i="61"/>
  <c r="D25" i="78"/>
  <c r="F25" i="78" s="1"/>
  <c r="A23" i="78"/>
  <c r="C25" i="78"/>
  <c r="D24" i="78"/>
  <c r="F24" i="78" s="1"/>
  <c r="C26" i="78"/>
  <c r="C23" i="78"/>
  <c r="A26" i="78"/>
  <c r="D24" i="72"/>
  <c r="F24" i="72" s="1"/>
  <c r="A24" i="72"/>
  <c r="A25" i="72"/>
  <c r="C25" i="72"/>
  <c r="C24" i="72"/>
  <c r="A23" i="72"/>
  <c r="G35" i="72"/>
  <c r="D31" i="61"/>
  <c r="D96" i="61"/>
  <c r="D53" i="61"/>
  <c r="D52" i="61"/>
  <c r="D51" i="61"/>
  <c r="D50" i="61"/>
  <c r="Q464" i="57"/>
  <c r="K464" i="57"/>
  <c r="Q463" i="57"/>
  <c r="K463" i="57"/>
  <c r="Q462" i="57"/>
  <c r="K462" i="57"/>
  <c r="S462" i="57" s="1"/>
  <c r="Q461" i="57"/>
  <c r="K461" i="57"/>
  <c r="S461" i="57" s="1"/>
  <c r="Q460" i="57"/>
  <c r="K460" i="57"/>
  <c r="S460" i="57" s="1"/>
  <c r="Q459" i="57"/>
  <c r="K459" i="57"/>
  <c r="S459" i="57" s="1"/>
  <c r="K458" i="57"/>
  <c r="K457" i="57"/>
  <c r="K448" i="57"/>
  <c r="K447" i="57"/>
  <c r="K446" i="57"/>
  <c r="K445" i="57"/>
  <c r="K444" i="57"/>
  <c r="S444" i="57" s="1"/>
  <c r="K443" i="57"/>
  <c r="S443" i="57" s="1"/>
  <c r="K442" i="57"/>
  <c r="K441" i="57"/>
  <c r="K440" i="57"/>
  <c r="K439" i="57"/>
  <c r="S439" i="57" s="1"/>
  <c r="K438" i="57"/>
  <c r="K437" i="57"/>
  <c r="Q438" i="57"/>
  <c r="Q439" i="57"/>
  <c r="Q440" i="57"/>
  <c r="Q441" i="57"/>
  <c r="Q442" i="57"/>
  <c r="Q443" i="57"/>
  <c r="Q444" i="57"/>
  <c r="Q445" i="57"/>
  <c r="Q446" i="57"/>
  <c r="S446" i="57" s="1"/>
  <c r="Q447" i="57"/>
  <c r="Q448" i="57"/>
  <c r="Q449" i="57"/>
  <c r="S449" i="57"/>
  <c r="Q450" i="57"/>
  <c r="S450" i="57" s="1"/>
  <c r="Q451" i="57"/>
  <c r="S451" i="57" s="1"/>
  <c r="Q452" i="57"/>
  <c r="S452" i="57" s="1"/>
  <c r="Q453" i="57"/>
  <c r="S453" i="57"/>
  <c r="Q454" i="57"/>
  <c r="S454" i="57" s="1"/>
  <c r="Q455" i="57"/>
  <c r="S455" i="57"/>
  <c r="Q457" i="57"/>
  <c r="S457" i="57" s="1"/>
  <c r="Q458" i="57"/>
  <c r="Q437" i="57"/>
  <c r="Q425" i="57"/>
  <c r="K427" i="57"/>
  <c r="Q423" i="57"/>
  <c r="Q424" i="57"/>
  <c r="Q427" i="57"/>
  <c r="Q428" i="57"/>
  <c r="S428" i="57" s="1"/>
  <c r="Q429" i="57"/>
  <c r="S429" i="57"/>
  <c r="Q430" i="57"/>
  <c r="S430" i="57" s="1"/>
  <c r="Q431" i="57"/>
  <c r="S431" i="57" s="1"/>
  <c r="Q432" i="57"/>
  <c r="S432" i="57"/>
  <c r="Q433" i="57"/>
  <c r="S433" i="57"/>
  <c r="Q434" i="57"/>
  <c r="S434" i="57"/>
  <c r="Q435" i="57"/>
  <c r="S435" i="57"/>
  <c r="Q422" i="57"/>
  <c r="K422" i="57"/>
  <c r="Q412" i="57"/>
  <c r="K412" i="57"/>
  <c r="S412" i="57" s="1"/>
  <c r="Q411" i="57"/>
  <c r="Q406" i="57"/>
  <c r="S407" i="57" s="1"/>
  <c r="K424" i="57"/>
  <c r="K423" i="57"/>
  <c r="S423" i="57" s="1"/>
  <c r="K421" i="57"/>
  <c r="K420" i="57"/>
  <c r="K419" i="57"/>
  <c r="K418" i="57"/>
  <c r="S418" i="57" s="1"/>
  <c r="K411" i="57"/>
  <c r="S411" i="57"/>
  <c r="K410" i="57"/>
  <c r="K409" i="57"/>
  <c r="S409" i="57" s="1"/>
  <c r="K405" i="57"/>
  <c r="K404" i="57"/>
  <c r="K403" i="57"/>
  <c r="K402" i="57"/>
  <c r="S402" i="57" s="1"/>
  <c r="Q421" i="57"/>
  <c r="Q420" i="57"/>
  <c r="Q419" i="57"/>
  <c r="Q418" i="57"/>
  <c r="Q416" i="57"/>
  <c r="S416" i="57"/>
  <c r="Q415" i="57"/>
  <c r="Q414" i="57"/>
  <c r="S414" i="57" s="1"/>
  <c r="Q413" i="57"/>
  <c r="S413" i="57" s="1"/>
  <c r="Q410" i="57"/>
  <c r="S410" i="57" s="1"/>
  <c r="Q409" i="57"/>
  <c r="Q405" i="57"/>
  <c r="Q404" i="57"/>
  <c r="Q403" i="57"/>
  <c r="Q402" i="57"/>
  <c r="Q392" i="57"/>
  <c r="Q391" i="57"/>
  <c r="E473" i="57"/>
  <c r="D471" i="57"/>
  <c r="Q468" i="57"/>
  <c r="K468" i="57"/>
  <c r="K466" i="57"/>
  <c r="K474" i="57" s="1"/>
  <c r="S474" i="57" s="1"/>
  <c r="S466" i="57"/>
  <c r="F41" i="13" s="1"/>
  <c r="E467" i="57"/>
  <c r="L81" i="57"/>
  <c r="S80" i="57" s="1"/>
  <c r="F33" i="13" s="1"/>
  <c r="L82" i="57"/>
  <c r="F84" i="57"/>
  <c r="S84" i="57" s="1"/>
  <c r="F35" i="13"/>
  <c r="L80" i="57"/>
  <c r="E78" i="57"/>
  <c r="E27" i="57"/>
  <c r="S463" i="57"/>
  <c r="S458" i="57"/>
  <c r="S448" i="57"/>
  <c r="S440" i="57"/>
  <c r="S467" i="57"/>
  <c r="F42" i="13" s="1"/>
  <c r="H42" i="13" s="1"/>
  <c r="S464" i="57"/>
  <c r="S441" i="57"/>
  <c r="S447" i="57"/>
  <c r="S442" i="57"/>
  <c r="S437" i="57"/>
  <c r="S438" i="57"/>
  <c r="S422" i="57"/>
  <c r="S427" i="57"/>
  <c r="S419" i="57"/>
  <c r="S404" i="57"/>
  <c r="S421" i="57"/>
  <c r="F46" i="13"/>
  <c r="S403" i="57"/>
  <c r="S415" i="57"/>
  <c r="S420" i="57"/>
  <c r="L78" i="57"/>
  <c r="S78" i="57"/>
  <c r="F31" i="13" s="1"/>
  <c r="L27" i="57"/>
  <c r="S27" i="57"/>
  <c r="F12" i="13" s="1"/>
  <c r="L79" i="57"/>
  <c r="S79" i="57"/>
  <c r="F32" i="13"/>
  <c r="K75" i="57"/>
  <c r="F30" i="13" s="1"/>
  <c r="K68" i="57"/>
  <c r="S67" i="57"/>
  <c r="F25" i="13"/>
  <c r="L61" i="57"/>
  <c r="L63" i="57"/>
  <c r="H62" i="57"/>
  <c r="L62" i="57"/>
  <c r="S59" i="57" s="1"/>
  <c r="H60" i="57"/>
  <c r="L60" i="57" s="1"/>
  <c r="L53" i="57"/>
  <c r="S52" i="57" s="1"/>
  <c r="F21" i="13" s="1"/>
  <c r="F57" i="57"/>
  <c r="F56" i="57"/>
  <c r="L56" i="57" s="1"/>
  <c r="F55" i="57"/>
  <c r="L55" i="57" s="1"/>
  <c r="S54" i="57" s="1"/>
  <c r="F22" i="13" s="1"/>
  <c r="L54" i="57"/>
  <c r="Q386" i="57"/>
  <c r="Q365" i="57"/>
  <c r="S365" i="57" s="1"/>
  <c r="K365" i="57"/>
  <c r="Q400" i="57"/>
  <c r="K400" i="57"/>
  <c r="S400" i="57" s="1"/>
  <c r="Q399" i="57"/>
  <c r="K399" i="57"/>
  <c r="Q398" i="57"/>
  <c r="K398" i="57"/>
  <c r="S398" i="57" s="1"/>
  <c r="Q396" i="57"/>
  <c r="S396" i="57" s="1"/>
  <c r="K396" i="57"/>
  <c r="Q395" i="57"/>
  <c r="K395" i="57"/>
  <c r="S395" i="57" s="1"/>
  <c r="Q394" i="57"/>
  <c r="K394" i="57"/>
  <c r="Q390" i="57"/>
  <c r="K390" i="57"/>
  <c r="S393" i="57" s="1"/>
  <c r="Q389" i="57"/>
  <c r="S389" i="57" s="1"/>
  <c r="K389" i="57"/>
  <c r="K386" i="57"/>
  <c r="Q385" i="57"/>
  <c r="K385" i="57"/>
  <c r="Q384" i="57"/>
  <c r="K384" i="57"/>
  <c r="Q383" i="57"/>
  <c r="S383" i="57" s="1"/>
  <c r="K383" i="57"/>
  <c r="Q382" i="57"/>
  <c r="K382" i="57"/>
  <c r="Q381" i="57"/>
  <c r="S381" i="57" s="1"/>
  <c r="K381" i="57"/>
  <c r="Q380" i="57"/>
  <c r="K380" i="57"/>
  <c r="Q379" i="57"/>
  <c r="K379" i="57"/>
  <c r="Q378" i="57"/>
  <c r="K378" i="57"/>
  <c r="Q377" i="57"/>
  <c r="K377" i="57"/>
  <c r="Q376" i="57"/>
  <c r="K376" i="57"/>
  <c r="Q375" i="57"/>
  <c r="K375" i="57"/>
  <c r="Q374" i="57"/>
  <c r="K374" i="57"/>
  <c r="Q373" i="57"/>
  <c r="K373" i="57"/>
  <c r="Q372" i="57"/>
  <c r="K372" i="57"/>
  <c r="Q371" i="57"/>
  <c r="S371" i="57" s="1"/>
  <c r="K371" i="57"/>
  <c r="Q370" i="57"/>
  <c r="K370" i="57"/>
  <c r="Q369" i="57"/>
  <c r="S369" i="57" s="1"/>
  <c r="K369" i="57"/>
  <c r="Q368" i="57"/>
  <c r="K368" i="57"/>
  <c r="S368" i="57" s="1"/>
  <c r="Q367" i="57"/>
  <c r="S367" i="57" s="1"/>
  <c r="K367" i="57"/>
  <c r="Q366" i="57"/>
  <c r="K366" i="57"/>
  <c r="E54" i="57"/>
  <c r="E80" i="57"/>
  <c r="S75" i="57"/>
  <c r="F23" i="13"/>
  <c r="L57" i="57"/>
  <c r="S394" i="57"/>
  <c r="S399" i="57"/>
  <c r="S374" i="57"/>
  <c r="S378" i="57"/>
  <c r="S382" i="57"/>
  <c r="S377" i="57"/>
  <c r="S366" i="57"/>
  <c r="S370" i="57"/>
  <c r="S372" i="57"/>
  <c r="S384" i="57"/>
  <c r="S380" i="57"/>
  <c r="S376" i="57"/>
  <c r="E37" i="57"/>
  <c r="E39" i="57"/>
  <c r="E40" i="57"/>
  <c r="E49" i="57"/>
  <c r="E50" i="57"/>
  <c r="D25" i="57"/>
  <c r="D38" i="57"/>
  <c r="D50" i="57"/>
  <c r="D24" i="57"/>
  <c r="K8" i="57"/>
  <c r="S8" i="57"/>
  <c r="F6" i="13" s="1"/>
  <c r="E16" i="57"/>
  <c r="K362" i="57"/>
  <c r="Q362" i="57"/>
  <c r="K363" i="57"/>
  <c r="Q363" i="57"/>
  <c r="S363" i="57" s="1"/>
  <c r="K364" i="57"/>
  <c r="S364" i="57" s="1"/>
  <c r="Q364" i="57"/>
  <c r="Q359" i="57"/>
  <c r="Q358" i="57"/>
  <c r="S358" i="57" s="1"/>
  <c r="Q354" i="57"/>
  <c r="Q352" i="57"/>
  <c r="Q339" i="57"/>
  <c r="Q338" i="57"/>
  <c r="S338" i="57" s="1"/>
  <c r="Q337" i="57"/>
  <c r="S337" i="57" s="1"/>
  <c r="Q329" i="57"/>
  <c r="S329" i="57" s="1"/>
  <c r="Q325" i="57"/>
  <c r="Q320" i="57"/>
  <c r="Q319" i="57"/>
  <c r="Q318" i="57"/>
  <c r="Q313" i="57"/>
  <c r="Q310" i="57"/>
  <c r="S311" i="57" s="1"/>
  <c r="Q309" i="57"/>
  <c r="Q308" i="57"/>
  <c r="Q301" i="57"/>
  <c r="Q300" i="57"/>
  <c r="Q294" i="57"/>
  <c r="S362" i="57"/>
  <c r="Q285" i="57"/>
  <c r="Q283" i="57"/>
  <c r="S283" i="57" s="1"/>
  <c r="Q281" i="57"/>
  <c r="Q279" i="57"/>
  <c r="Q276" i="57"/>
  <c r="S276" i="57" s="1"/>
  <c r="Q275" i="57"/>
  <c r="Q272" i="57"/>
  <c r="Q269" i="57"/>
  <c r="Q268" i="57"/>
  <c r="Q267" i="57"/>
  <c r="S270" i="57" s="1"/>
  <c r="Q265" i="57"/>
  <c r="Q260" i="57"/>
  <c r="Q258" i="57"/>
  <c r="Q257" i="57"/>
  <c r="S259" i="57" s="1"/>
  <c r="Q249" i="57"/>
  <c r="Q248" i="57"/>
  <c r="Q243" i="57"/>
  <c r="Q242" i="57"/>
  <c r="Q240" i="57"/>
  <c r="Q239" i="57"/>
  <c r="Q238" i="57"/>
  <c r="Q236" i="57"/>
  <c r="S237" i="57" s="1"/>
  <c r="Q235" i="57"/>
  <c r="Q223" i="57"/>
  <c r="Q220" i="57"/>
  <c r="Q215" i="57"/>
  <c r="S215" i="57" s="1"/>
  <c r="Q210" i="57"/>
  <c r="Q209" i="57"/>
  <c r="Q208" i="57"/>
  <c r="Q207" i="57"/>
  <c r="Q206" i="57"/>
  <c r="Q205" i="57"/>
  <c r="Q197" i="57"/>
  <c r="Q194" i="57"/>
  <c r="Q191" i="57"/>
  <c r="Q190" i="57"/>
  <c r="Q189" i="57"/>
  <c r="Q186" i="57"/>
  <c r="S186" i="57" s="1"/>
  <c r="Q185" i="57"/>
  <c r="Q182" i="57"/>
  <c r="Q181" i="57"/>
  <c r="Q179" i="57"/>
  <c r="S179" i="57" s="1"/>
  <c r="Q176" i="57"/>
  <c r="Q171" i="57"/>
  <c r="Q168" i="57"/>
  <c r="S168" i="57" s="1"/>
  <c r="Q165" i="57"/>
  <c r="Q161" i="57"/>
  <c r="Q160" i="57"/>
  <c r="Q159" i="57"/>
  <c r="S159" i="57" s="1"/>
  <c r="Q157" i="57"/>
  <c r="S157" i="57" s="1"/>
  <c r="Q155" i="57"/>
  <c r="Q154" i="57"/>
  <c r="Q153" i="57"/>
  <c r="Q152" i="57"/>
  <c r="S152" i="57" s="1"/>
  <c r="Q150" i="57"/>
  <c r="Q148" i="57"/>
  <c r="Q147" i="57"/>
  <c r="Q143" i="57"/>
  <c r="S144" i="57" s="1"/>
  <c r="Q142" i="57"/>
  <c r="Q141" i="57"/>
  <c r="Q137" i="57"/>
  <c r="Q136" i="57"/>
  <c r="S138" i="57" s="1"/>
  <c r="Q132" i="57"/>
  <c r="Q131" i="57"/>
  <c r="S133" i="57" s="1"/>
  <c r="Q129" i="57"/>
  <c r="F127" i="57"/>
  <c r="K127" i="57" s="1"/>
  <c r="S127" i="57" s="1"/>
  <c r="Q127" i="57"/>
  <c r="Q122" i="57"/>
  <c r="Q117" i="57"/>
  <c r="S118" i="57" s="1"/>
  <c r="Q116" i="57"/>
  <c r="Q112" i="57"/>
  <c r="Q109" i="57"/>
  <c r="Q105" i="57"/>
  <c r="Q100" i="57"/>
  <c r="Q99" i="57"/>
  <c r="K91" i="57"/>
  <c r="K92" i="57"/>
  <c r="S92" i="57" s="1"/>
  <c r="K93" i="57"/>
  <c r="K94" i="57"/>
  <c r="K95" i="57"/>
  <c r="K96" i="57"/>
  <c r="K97" i="57"/>
  <c r="K98" i="57"/>
  <c r="K99" i="57"/>
  <c r="K102" i="57"/>
  <c r="S102" i="57" s="1"/>
  <c r="K103" i="57"/>
  <c r="K104" i="57"/>
  <c r="K105" i="57"/>
  <c r="K106" i="57"/>
  <c r="K107" i="57"/>
  <c r="K108" i="57"/>
  <c r="K109" i="57"/>
  <c r="S109" i="57" s="1"/>
  <c r="K110" i="57"/>
  <c r="K111" i="57"/>
  <c r="K112" i="57"/>
  <c r="K113" i="57"/>
  <c r="K114" i="57"/>
  <c r="S114" i="57" s="1"/>
  <c r="K115" i="57"/>
  <c r="K116" i="57"/>
  <c r="K119" i="57"/>
  <c r="S119" i="57" s="1"/>
  <c r="K120" i="57"/>
  <c r="S120" i="57" s="1"/>
  <c r="K121" i="57"/>
  <c r="K122" i="57"/>
  <c r="K123" i="57"/>
  <c r="K124" i="57"/>
  <c r="K125" i="57"/>
  <c r="K126" i="57"/>
  <c r="K128" i="57"/>
  <c r="K129" i="57"/>
  <c r="K130" i="57"/>
  <c r="K131" i="57"/>
  <c r="K134" i="57"/>
  <c r="K135" i="57"/>
  <c r="K136" i="57"/>
  <c r="K139" i="57"/>
  <c r="K140" i="57"/>
  <c r="S140" i="57" s="1"/>
  <c r="K141" i="57"/>
  <c r="S141" i="57" s="1"/>
  <c r="K142" i="57"/>
  <c r="K145" i="57"/>
  <c r="K146" i="57"/>
  <c r="K147" i="57"/>
  <c r="S149" i="57" s="1"/>
  <c r="K150" i="57"/>
  <c r="K151" i="57"/>
  <c r="K152" i="57"/>
  <c r="K153" i="57"/>
  <c r="S156" i="57" s="1"/>
  <c r="K157" i="57"/>
  <c r="K158" i="57"/>
  <c r="K159" i="57"/>
  <c r="K160" i="57"/>
  <c r="K163" i="57"/>
  <c r="K164" i="57"/>
  <c r="K165" i="57"/>
  <c r="S165" i="57" s="1"/>
  <c r="K166" i="57"/>
  <c r="S166" i="57" s="1"/>
  <c r="K167" i="57"/>
  <c r="K168" i="57"/>
  <c r="K169" i="57"/>
  <c r="K170" i="57"/>
  <c r="K171" i="57"/>
  <c r="K172" i="57"/>
  <c r="K173" i="57"/>
  <c r="K174" i="57"/>
  <c r="S174" i="57" s="1"/>
  <c r="K175" i="57"/>
  <c r="K176" i="57"/>
  <c r="K177" i="57"/>
  <c r="S177" i="57" s="1"/>
  <c r="K178" i="57"/>
  <c r="S178" i="57" s="1"/>
  <c r="K179" i="57"/>
  <c r="K180" i="57"/>
  <c r="K181" i="57"/>
  <c r="K182" i="57"/>
  <c r="K183" i="57"/>
  <c r="K184" i="57"/>
  <c r="K185" i="57"/>
  <c r="S185" i="57" s="1"/>
  <c r="K186" i="57"/>
  <c r="K187" i="57"/>
  <c r="K188" i="57"/>
  <c r="K189" i="57"/>
  <c r="K190" i="57"/>
  <c r="S190" i="57" s="1"/>
  <c r="K191" i="57"/>
  <c r="S191" i="57" s="1"/>
  <c r="K192" i="57"/>
  <c r="K193" i="57"/>
  <c r="K196" i="57"/>
  <c r="K199" i="57"/>
  <c r="S199" i="57" s="1"/>
  <c r="K200" i="57"/>
  <c r="K201" i="57"/>
  <c r="K202" i="57"/>
  <c r="K203" i="57"/>
  <c r="S203" i="57" s="1"/>
  <c r="K204" i="57"/>
  <c r="K205" i="57"/>
  <c r="K212" i="57"/>
  <c r="S212" i="57" s="1"/>
  <c r="K213" i="57"/>
  <c r="S213" i="57" s="1"/>
  <c r="K214" i="57"/>
  <c r="K215" i="57"/>
  <c r="K216" i="57"/>
  <c r="K217" i="57"/>
  <c r="S217" i="57" s="1"/>
  <c r="K218" i="57"/>
  <c r="K219" i="57"/>
  <c r="K220" i="57"/>
  <c r="K221" i="57"/>
  <c r="S221" i="57" s="1"/>
  <c r="K222" i="57"/>
  <c r="K223" i="57"/>
  <c r="K224" i="57"/>
  <c r="S224" i="57" s="1"/>
  <c r="K225" i="57"/>
  <c r="S225" i="57" s="1"/>
  <c r="K226" i="57"/>
  <c r="K227" i="57"/>
  <c r="K228" i="57"/>
  <c r="S228" i="57" s="1"/>
  <c r="K229" i="57"/>
  <c r="K230" i="57"/>
  <c r="K231" i="57"/>
  <c r="K232" i="57"/>
  <c r="K233" i="57"/>
  <c r="S233" i="57" s="1"/>
  <c r="K234" i="57"/>
  <c r="K235" i="57"/>
  <c r="K238" i="57"/>
  <c r="S238" i="57" s="1"/>
  <c r="K239" i="57"/>
  <c r="K240" i="57"/>
  <c r="K241" i="57"/>
  <c r="S241" i="57" s="1"/>
  <c r="K242" i="57"/>
  <c r="K245" i="57"/>
  <c r="K246" i="57"/>
  <c r="K247" i="57"/>
  <c r="S247" i="57" s="1"/>
  <c r="K248" i="57"/>
  <c r="K249" i="57"/>
  <c r="K250" i="57"/>
  <c r="K251" i="57"/>
  <c r="S251" i="57" s="1"/>
  <c r="K252" i="57"/>
  <c r="K253" i="57"/>
  <c r="K254" i="57"/>
  <c r="K255" i="57"/>
  <c r="K256" i="57"/>
  <c r="K257" i="57"/>
  <c r="K260" i="57"/>
  <c r="S260" i="57" s="1"/>
  <c r="K261" i="57"/>
  <c r="K262" i="57"/>
  <c r="K263" i="57"/>
  <c r="K264" i="57"/>
  <c r="K265" i="57"/>
  <c r="K266" i="57"/>
  <c r="K267" i="57"/>
  <c r="K271" i="57"/>
  <c r="K272" i="57"/>
  <c r="K273" i="57"/>
  <c r="S273" i="57" s="1"/>
  <c r="K274" i="57"/>
  <c r="S274" i="57" s="1"/>
  <c r="K275" i="57"/>
  <c r="K276" i="57"/>
  <c r="K277" i="57"/>
  <c r="K278" i="57"/>
  <c r="K279" i="57"/>
  <c r="K280" i="57"/>
  <c r="K281" i="57"/>
  <c r="S281" i="57" s="1"/>
  <c r="K282" i="57"/>
  <c r="K283" i="57"/>
  <c r="K284" i="57"/>
  <c r="S284" i="57" s="1"/>
  <c r="K285" i="57"/>
  <c r="S285" i="57" s="1"/>
  <c r="K286" i="57"/>
  <c r="K287" i="57"/>
  <c r="K288" i="57"/>
  <c r="K289" i="57"/>
  <c r="S289" i="57" s="1"/>
  <c r="K290" i="57"/>
  <c r="K291" i="57"/>
  <c r="K292" i="57"/>
  <c r="K293" i="57"/>
  <c r="S293" i="57" s="1"/>
  <c r="K294" i="57"/>
  <c r="K295" i="57"/>
  <c r="K296" i="57"/>
  <c r="K297" i="57"/>
  <c r="S297" i="57" s="1"/>
  <c r="K298" i="57"/>
  <c r="K299" i="57"/>
  <c r="K300" i="57"/>
  <c r="S300" i="57" s="1"/>
  <c r="K301" i="57"/>
  <c r="S301" i="57" s="1"/>
  <c r="K302" i="57"/>
  <c r="K303" i="57"/>
  <c r="K304" i="57"/>
  <c r="K305" i="57"/>
  <c r="S305" i="57" s="1"/>
  <c r="K306" i="57"/>
  <c r="K307" i="57"/>
  <c r="K308" i="57"/>
  <c r="K312" i="57"/>
  <c r="K313" i="57"/>
  <c r="K314" i="57"/>
  <c r="K315" i="57"/>
  <c r="K316" i="57"/>
  <c r="K317" i="57"/>
  <c r="K318" i="57"/>
  <c r="K319" i="57"/>
  <c r="K322" i="57"/>
  <c r="K323" i="57"/>
  <c r="K324" i="57"/>
  <c r="S324" i="57" s="1"/>
  <c r="K325" i="57"/>
  <c r="K326" i="57"/>
  <c r="K327" i="57"/>
  <c r="K328" i="57"/>
  <c r="K329" i="57"/>
  <c r="K330" i="57"/>
  <c r="K331" i="57"/>
  <c r="K332" i="57"/>
  <c r="K333" i="57"/>
  <c r="K334" i="57"/>
  <c r="K335" i="57"/>
  <c r="K336" i="57"/>
  <c r="K337" i="57"/>
  <c r="K338" i="57"/>
  <c r="K339" i="57"/>
  <c r="K340" i="57"/>
  <c r="S340" i="57" s="1"/>
  <c r="K341" i="57"/>
  <c r="K342" i="57"/>
  <c r="K343" i="57"/>
  <c r="K344" i="57"/>
  <c r="K345" i="57"/>
  <c r="K346" i="57"/>
  <c r="K347" i="57"/>
  <c r="K348" i="57"/>
  <c r="K349" i="57"/>
  <c r="K350" i="57"/>
  <c r="K351" i="57"/>
  <c r="S351" i="57" s="1"/>
  <c r="K352" i="57"/>
  <c r="S352" i="57" s="1"/>
  <c r="K353" i="57"/>
  <c r="K354" i="57"/>
  <c r="K355" i="57"/>
  <c r="K356" i="57"/>
  <c r="S356" i="57" s="1"/>
  <c r="K357" i="57"/>
  <c r="K358" i="57"/>
  <c r="K359" i="57"/>
  <c r="K360" i="57"/>
  <c r="K361" i="57"/>
  <c r="K90" i="57"/>
  <c r="Q91" i="57"/>
  <c r="Q92" i="57"/>
  <c r="Q93" i="57"/>
  <c r="Q94" i="57"/>
  <c r="Q95" i="57"/>
  <c r="Q96" i="57"/>
  <c r="Q97" i="57"/>
  <c r="Q98" i="57"/>
  <c r="Q102" i="57"/>
  <c r="Q103" i="57"/>
  <c r="Q104" i="57"/>
  <c r="Q106" i="57"/>
  <c r="Q107" i="57"/>
  <c r="Q108" i="57"/>
  <c r="Q110" i="57"/>
  <c r="Q111" i="57"/>
  <c r="Q113" i="57"/>
  <c r="Q114" i="57"/>
  <c r="Q115" i="57"/>
  <c r="Q119" i="57"/>
  <c r="Q120" i="57"/>
  <c r="Q121" i="57"/>
  <c r="Q123" i="57"/>
  <c r="Q124" i="57"/>
  <c r="Q125" i="57"/>
  <c r="Q126" i="57"/>
  <c r="S126" i="57" s="1"/>
  <c r="Q128" i="57"/>
  <c r="Q130" i="57"/>
  <c r="Q134" i="57"/>
  <c r="Q135" i="57"/>
  <c r="Q139" i="57"/>
  <c r="Q140" i="57"/>
  <c r="Q145" i="57"/>
  <c r="S145" i="57" s="1"/>
  <c r="Q146" i="57"/>
  <c r="Q151" i="57"/>
  <c r="Q158" i="57"/>
  <c r="Q163" i="57"/>
  <c r="Q164" i="57"/>
  <c r="S164" i="57" s="1"/>
  <c r="Q166" i="57"/>
  <c r="Q167" i="57"/>
  <c r="Q169" i="57"/>
  <c r="Q170" i="57"/>
  <c r="Q172" i="57"/>
  <c r="Q173" i="57"/>
  <c r="Q174" i="57"/>
  <c r="Q175" i="57"/>
  <c r="Q177" i="57"/>
  <c r="Q178" i="57"/>
  <c r="Q180" i="57"/>
  <c r="Q183" i="57"/>
  <c r="S183" i="57" s="1"/>
  <c r="Q184" i="57"/>
  <c r="Q187" i="57"/>
  <c r="Q188" i="57"/>
  <c r="Q192" i="57"/>
  <c r="Q193" i="57"/>
  <c r="Q196" i="57"/>
  <c r="Q199" i="57"/>
  <c r="Q200" i="57"/>
  <c r="S200" i="57" s="1"/>
  <c r="Q201" i="57"/>
  <c r="Q202" i="57"/>
  <c r="Q203" i="57"/>
  <c r="Q204" i="57"/>
  <c r="Q212" i="57"/>
  <c r="Q213" i="57"/>
  <c r="Q214" i="57"/>
  <c r="Q216" i="57"/>
  <c r="Q217" i="57"/>
  <c r="Q218" i="57"/>
  <c r="Q219" i="57"/>
  <c r="Q221" i="57"/>
  <c r="Q222" i="57"/>
  <c r="Q224" i="57"/>
  <c r="Q225" i="57"/>
  <c r="Q226" i="57"/>
  <c r="Q227" i="57"/>
  <c r="Q228" i="57"/>
  <c r="Q229" i="57"/>
  <c r="Q230" i="57"/>
  <c r="Q231" i="57"/>
  <c r="Q232" i="57"/>
  <c r="Q233" i="57"/>
  <c r="Q234" i="57"/>
  <c r="Q241" i="57"/>
  <c r="Q245" i="57"/>
  <c r="Q246" i="57"/>
  <c r="Q247" i="57"/>
  <c r="Q250" i="57"/>
  <c r="Q251" i="57"/>
  <c r="Q252" i="57"/>
  <c r="Q253" i="57"/>
  <c r="Q254" i="57"/>
  <c r="Q255" i="57"/>
  <c r="Q256" i="57"/>
  <c r="Q261" i="57"/>
  <c r="Q262" i="57"/>
  <c r="Q263" i="57"/>
  <c r="Q264" i="57"/>
  <c r="Q266" i="57"/>
  <c r="Q271" i="57"/>
  <c r="Q273" i="57"/>
  <c r="Q274" i="57"/>
  <c r="Q277" i="57"/>
  <c r="Q278" i="57"/>
  <c r="Q280" i="57"/>
  <c r="Q282" i="57"/>
  <c r="Q284" i="57"/>
  <c r="Q286" i="57"/>
  <c r="Q287" i="57"/>
  <c r="Q288" i="57"/>
  <c r="Q289" i="57"/>
  <c r="Q290" i="57"/>
  <c r="Q291" i="57"/>
  <c r="Q292" i="57"/>
  <c r="Q293" i="57"/>
  <c r="Q295" i="57"/>
  <c r="Q296" i="57"/>
  <c r="Q297" i="57"/>
  <c r="Q298" i="57"/>
  <c r="Q299" i="57"/>
  <c r="Q302" i="57"/>
  <c r="Q303" i="57"/>
  <c r="Q304" i="57"/>
  <c r="Q305" i="57"/>
  <c r="Q306" i="57"/>
  <c r="Q307" i="57"/>
  <c r="Q312" i="57"/>
  <c r="S312" i="57" s="1"/>
  <c r="Q314" i="57"/>
  <c r="Q315" i="57"/>
  <c r="Q316" i="57"/>
  <c r="S316" i="57" s="1"/>
  <c r="Q317" i="57"/>
  <c r="Q322" i="57"/>
  <c r="Q323" i="57"/>
  <c r="Q324" i="57"/>
  <c r="Q326" i="57"/>
  <c r="S326" i="57" s="1"/>
  <c r="Q327" i="57"/>
  <c r="Q328" i="57"/>
  <c r="Q330" i="57"/>
  <c r="Q331" i="57"/>
  <c r="S331" i="57" s="1"/>
  <c r="Q332" i="57"/>
  <c r="Q333" i="57"/>
  <c r="Q334" i="57"/>
  <c r="Q335" i="57"/>
  <c r="Q336" i="57"/>
  <c r="Q340" i="57"/>
  <c r="Q341" i="57"/>
  <c r="Q342" i="57"/>
  <c r="Q343" i="57"/>
  <c r="Q344" i="57"/>
  <c r="Q345" i="57"/>
  <c r="Q346" i="57"/>
  <c r="S346" i="57" s="1"/>
  <c r="Q347" i="57"/>
  <c r="Q348" i="57"/>
  <c r="Q349" i="57"/>
  <c r="Q350" i="57"/>
  <c r="S350" i="57" s="1"/>
  <c r="Q351" i="57"/>
  <c r="Q353" i="57"/>
  <c r="Q355" i="57"/>
  <c r="Q356" i="57"/>
  <c r="Q357" i="57"/>
  <c r="Q360" i="57"/>
  <c r="Q361" i="57"/>
  <c r="Q90" i="57"/>
  <c r="S90" i="57" s="1"/>
  <c r="S130" i="57"/>
  <c r="S162" i="57"/>
  <c r="S108" i="57"/>
  <c r="S171" i="57"/>
  <c r="S167" i="57"/>
  <c r="S163" i="57"/>
  <c r="S150" i="57"/>
  <c r="S93" i="57"/>
  <c r="S112" i="57"/>
  <c r="S122" i="57"/>
  <c r="S343" i="57"/>
  <c r="S265" i="57"/>
  <c r="S227" i="57"/>
  <c r="S219" i="57"/>
  <c r="S201" i="57"/>
  <c r="S181" i="57"/>
  <c r="S173" i="57"/>
  <c r="S333" i="57"/>
  <c r="S347" i="57"/>
  <c r="S330" i="57"/>
  <c r="S261" i="57"/>
  <c r="S359" i="57"/>
  <c r="S342" i="57"/>
  <c r="S322" i="57"/>
  <c r="S272" i="57"/>
  <c r="S255" i="57"/>
  <c r="S231" i="57"/>
  <c r="S223" i="57"/>
  <c r="S354" i="57"/>
  <c r="S341" i="57"/>
  <c r="S325" i="57"/>
  <c r="S158" i="57"/>
  <c r="S151" i="57"/>
  <c r="S139" i="57"/>
  <c r="S123" i="57"/>
  <c r="S113" i="57"/>
  <c r="S360" i="57"/>
  <c r="S348" i="57"/>
  <c r="S344" i="57"/>
  <c r="S339" i="57"/>
  <c r="S327" i="57"/>
  <c r="S323" i="57"/>
  <c r="S313" i="57"/>
  <c r="S306" i="57"/>
  <c r="S302" i="57"/>
  <c r="S298" i="57"/>
  <c r="S294" i="57"/>
  <c r="S290" i="57"/>
  <c r="S286" i="57"/>
  <c r="S282" i="57"/>
  <c r="S277" i="57"/>
  <c r="S266" i="57"/>
  <c r="S262" i="57"/>
  <c r="S256" i="57"/>
  <c r="S252" i="57"/>
  <c r="S248" i="57"/>
  <c r="S232" i="57"/>
  <c r="S220" i="57"/>
  <c r="S216" i="57"/>
  <c r="S202" i="57"/>
  <c r="S182" i="57"/>
  <c r="S101" i="57"/>
  <c r="S170" i="57"/>
  <c r="S135" i="57"/>
  <c r="S129" i="57"/>
  <c r="S125" i="57"/>
  <c r="S121" i="57"/>
  <c r="S115" i="57"/>
  <c r="S111" i="57"/>
  <c r="S107" i="57"/>
  <c r="S315" i="57"/>
  <c r="S304" i="57"/>
  <c r="S296" i="57"/>
  <c r="S292" i="57"/>
  <c r="S288" i="57"/>
  <c r="S279" i="57"/>
  <c r="S271" i="57"/>
  <c r="S264" i="57"/>
  <c r="S254" i="57"/>
  <c r="S250" i="57"/>
  <c r="S246" i="57"/>
  <c r="S240" i="57"/>
  <c r="S234" i="57"/>
  <c r="S230" i="57"/>
  <c r="S226" i="57"/>
  <c r="S222" i="57"/>
  <c r="S218" i="57"/>
  <c r="S214" i="57"/>
  <c r="S204" i="57"/>
  <c r="S192" i="57"/>
  <c r="S188" i="57"/>
  <c r="S184" i="57"/>
  <c r="S180" i="57"/>
  <c r="S176" i="57"/>
  <c r="S172" i="57"/>
  <c r="S361" i="57"/>
  <c r="S357" i="57"/>
  <c r="S353" i="57"/>
  <c r="S349" i="57"/>
  <c r="S345" i="57"/>
  <c r="S336" i="57"/>
  <c r="S332" i="57"/>
  <c r="S328" i="57"/>
  <c r="S318" i="57"/>
  <c r="S314" i="57"/>
  <c r="S307" i="57"/>
  <c r="S303" i="57"/>
  <c r="S299" i="57"/>
  <c r="S295" i="57"/>
  <c r="S291" i="57"/>
  <c r="S287" i="57"/>
  <c r="S280" i="57"/>
  <c r="S278" i="57"/>
  <c r="S263" i="57"/>
  <c r="S253" i="57"/>
  <c r="S249" i="57"/>
  <c r="S245" i="57"/>
  <c r="S239" i="57"/>
  <c r="S229" i="57"/>
  <c r="S187" i="57"/>
  <c r="S175" i="57"/>
  <c r="S169" i="57"/>
  <c r="S146" i="57"/>
  <c r="S134" i="57"/>
  <c r="S128" i="57"/>
  <c r="S124" i="57"/>
  <c r="S110" i="57"/>
  <c r="S106" i="57"/>
  <c r="S104" i="57"/>
  <c r="S103" i="57"/>
  <c r="S97" i="57"/>
  <c r="S98" i="57"/>
  <c r="S91" i="57"/>
  <c r="D474" i="57"/>
  <c r="D585" i="57"/>
  <c r="S586" i="57"/>
  <c r="D586" i="57"/>
  <c r="S587" i="57"/>
  <c r="D587" i="57"/>
  <c r="S588" i="57"/>
  <c r="D588" i="57"/>
  <c r="S589" i="57"/>
  <c r="D589" i="57"/>
  <c r="S590" i="57"/>
  <c r="D590" i="57"/>
  <c r="S591" i="57"/>
  <c r="S580" i="57"/>
  <c r="F148" i="13"/>
  <c r="H148" i="13" s="1"/>
  <c r="S581" i="57"/>
  <c r="S582" i="57"/>
  <c r="S583" i="57"/>
  <c r="S584" i="57"/>
  <c r="S585" i="57"/>
  <c r="S574" i="57"/>
  <c r="F141" i="13" s="1"/>
  <c r="S575" i="57"/>
  <c r="S576" i="57"/>
  <c r="F143" i="13" s="1"/>
  <c r="S577" i="57"/>
  <c r="F144" i="13" s="1"/>
  <c r="S578" i="57"/>
  <c r="S561" i="57"/>
  <c r="F129" i="13"/>
  <c r="S562" i="57"/>
  <c r="F130" i="13"/>
  <c r="S563" i="57"/>
  <c r="S565" i="57"/>
  <c r="S566" i="57"/>
  <c r="F134" i="13"/>
  <c r="H134" i="13" s="1"/>
  <c r="S567" i="57"/>
  <c r="F135" i="13"/>
  <c r="H135" i="13" s="1"/>
  <c r="S570" i="57"/>
  <c r="F138" i="13"/>
  <c r="H138" i="13" s="1"/>
  <c r="S571" i="57"/>
  <c r="S572" i="57"/>
  <c r="S552" i="57"/>
  <c r="F120" i="13"/>
  <c r="S553" i="57"/>
  <c r="F121" i="13"/>
  <c r="S554" i="57"/>
  <c r="F122" i="13"/>
  <c r="H122" i="13" s="1"/>
  <c r="S555" i="57"/>
  <c r="F123" i="13"/>
  <c r="H123" i="13" s="1"/>
  <c r="S556" i="57"/>
  <c r="F124" i="13" s="1"/>
  <c r="H124" i="13" s="1"/>
  <c r="S557" i="57"/>
  <c r="S546" i="57"/>
  <c r="S550" i="57"/>
  <c r="F118" i="13" s="1"/>
  <c r="S551" i="57"/>
  <c r="F119" i="13"/>
  <c r="D486" i="57"/>
  <c r="S487" i="57"/>
  <c r="D487" i="57"/>
  <c r="S488" i="57"/>
  <c r="E488" i="57"/>
  <c r="D480" i="57"/>
  <c r="S481" i="57"/>
  <c r="D481" i="57"/>
  <c r="S482" i="57"/>
  <c r="D483" i="57"/>
  <c r="E483" i="57"/>
  <c r="D484" i="57"/>
  <c r="D485" i="57"/>
  <c r="E485" i="57"/>
  <c r="D478" i="57"/>
  <c r="E87" i="57"/>
  <c r="S38" i="57"/>
  <c r="A2" i="57"/>
  <c r="K711" i="57"/>
  <c r="S711" i="57"/>
  <c r="S710" i="57"/>
  <c r="S709" i="57"/>
  <c r="F708" i="57"/>
  <c r="F701" i="57"/>
  <c r="F702" i="57"/>
  <c r="F703" i="57"/>
  <c r="K703" i="57" s="1"/>
  <c r="S703" i="57" s="1"/>
  <c r="D710" i="57"/>
  <c r="E710" i="57"/>
  <c r="D708" i="57"/>
  <c r="E708" i="57"/>
  <c r="D709" i="57"/>
  <c r="E709" i="57"/>
  <c r="D680" i="57"/>
  <c r="E680" i="57"/>
  <c r="S681" i="57"/>
  <c r="D681" i="57"/>
  <c r="E681" i="57"/>
  <c r="K682" i="57"/>
  <c r="S682" i="57" s="1"/>
  <c r="F674" i="57"/>
  <c r="F675" i="57"/>
  <c r="K675" i="57" s="1"/>
  <c r="S675" i="57" s="1"/>
  <c r="F676" i="57"/>
  <c r="K676" i="57" s="1"/>
  <c r="F662" i="57"/>
  <c r="F669" i="57"/>
  <c r="L669" i="57" s="1"/>
  <c r="F661" i="57"/>
  <c r="F668" i="57"/>
  <c r="L668" i="57" s="1"/>
  <c r="F660" i="57"/>
  <c r="F667" i="57"/>
  <c r="F677" i="57"/>
  <c r="D20" i="61"/>
  <c r="D16" i="61"/>
  <c r="S700" i="57"/>
  <c r="S601" i="57"/>
  <c r="D64" i="61"/>
  <c r="D63" i="61"/>
  <c r="D62" i="61"/>
  <c r="D61" i="61"/>
  <c r="D59" i="61"/>
  <c r="D60" i="61"/>
  <c r="D65" i="61"/>
  <c r="D66" i="61"/>
  <c r="D43" i="61"/>
  <c r="D40" i="61"/>
  <c r="D39" i="61"/>
  <c r="D101" i="78" s="1"/>
  <c r="F101" i="78" s="1"/>
  <c r="D138" i="78"/>
  <c r="F138" i="78"/>
  <c r="F142" i="78" s="1"/>
  <c r="D63" i="78"/>
  <c r="F63" i="78"/>
  <c r="F67" i="78" s="1"/>
  <c r="D436" i="72"/>
  <c r="F436" i="72"/>
  <c r="F438" i="72"/>
  <c r="G440" i="72" s="1"/>
  <c r="D139" i="78"/>
  <c r="F139" i="78"/>
  <c r="D102" i="78"/>
  <c r="F102" i="78" s="1"/>
  <c r="F105" i="78" s="1"/>
  <c r="D64" i="78"/>
  <c r="F64" i="78"/>
  <c r="K708" i="57"/>
  <c r="S708" i="57" s="1"/>
  <c r="K705" i="57"/>
  <c r="S705" i="57" s="1"/>
  <c r="K704" i="57"/>
  <c r="L699" i="57"/>
  <c r="L698" i="57"/>
  <c r="L697" i="57"/>
  <c r="L696" i="57"/>
  <c r="L695" i="57"/>
  <c r="L694" i="57"/>
  <c r="L693" i="57"/>
  <c r="L692" i="57"/>
  <c r="L689" i="57"/>
  <c r="L688" i="57"/>
  <c r="L687" i="57"/>
  <c r="L686" i="57"/>
  <c r="G144" i="78"/>
  <c r="K702" i="57"/>
  <c r="S702" i="57" s="1"/>
  <c r="K701" i="57"/>
  <c r="S701" i="57" s="1"/>
  <c r="S707" i="57"/>
  <c r="S706" i="57"/>
  <c r="S704" i="57"/>
  <c r="L691" i="57"/>
  <c r="D699" i="57"/>
  <c r="D700" i="57"/>
  <c r="D701" i="57"/>
  <c r="L685" i="57"/>
  <c r="D707" i="57"/>
  <c r="E707" i="57"/>
  <c r="D704" i="57"/>
  <c r="E704" i="57"/>
  <c r="D705" i="57"/>
  <c r="E705" i="57"/>
  <c r="D706" i="57"/>
  <c r="E706" i="57"/>
  <c r="D688" i="57"/>
  <c r="E688" i="57"/>
  <c r="D689" i="57"/>
  <c r="E689" i="57"/>
  <c r="E699" i="57"/>
  <c r="E700" i="57"/>
  <c r="E701" i="57"/>
  <c r="D702" i="57"/>
  <c r="E702" i="57"/>
  <c r="D703" i="57"/>
  <c r="E703" i="57"/>
  <c r="D683" i="57"/>
  <c r="E683" i="57"/>
  <c r="K680" i="57"/>
  <c r="S680" i="57"/>
  <c r="K678" i="57"/>
  <c r="S678" i="57"/>
  <c r="E678" i="57"/>
  <c r="E679" i="57"/>
  <c r="D678" i="57"/>
  <c r="D679" i="57"/>
  <c r="D682" i="57"/>
  <c r="K677" i="57"/>
  <c r="S677" i="57" s="1"/>
  <c r="K674" i="57"/>
  <c r="S674" i="57" s="1"/>
  <c r="S676" i="57"/>
  <c r="L670" i="57"/>
  <c r="L666" i="57"/>
  <c r="L665" i="57"/>
  <c r="L672" i="57"/>
  <c r="L671" i="57"/>
  <c r="L667" i="57"/>
  <c r="L663" i="57"/>
  <c r="L659" i="57"/>
  <c r="L660" i="57"/>
  <c r="L661" i="57"/>
  <c r="L662" i="57"/>
  <c r="K654" i="57"/>
  <c r="L654" i="57"/>
  <c r="S654" i="57"/>
  <c r="L653" i="57"/>
  <c r="S653" i="57" s="1"/>
  <c r="D652" i="57"/>
  <c r="E652" i="57"/>
  <c r="K652" i="57"/>
  <c r="L652" i="57" s="1"/>
  <c r="S652" i="57" s="1"/>
  <c r="E653" i="57"/>
  <c r="E654" i="57"/>
  <c r="E655" i="57"/>
  <c r="E657" i="57"/>
  <c r="E662" i="57"/>
  <c r="E663" i="57"/>
  <c r="E672" i="57"/>
  <c r="E673" i="57"/>
  <c r="E674" i="57"/>
  <c r="E675" i="57"/>
  <c r="E676" i="57"/>
  <c r="E677" i="57"/>
  <c r="E651" i="57"/>
  <c r="D651" i="57"/>
  <c r="D653" i="57"/>
  <c r="D654" i="57"/>
  <c r="D655" i="57"/>
  <c r="D656" i="57"/>
  <c r="D657" i="57"/>
  <c r="D662" i="57"/>
  <c r="D663" i="57"/>
  <c r="D672" i="57"/>
  <c r="D673" i="57"/>
  <c r="D674" i="57"/>
  <c r="D675" i="57"/>
  <c r="D676" i="57"/>
  <c r="D677" i="57"/>
  <c r="K655" i="57"/>
  <c r="S655" i="57" s="1"/>
  <c r="K656" i="57"/>
  <c r="S656" i="57" s="1"/>
  <c r="L658" i="57"/>
  <c r="S734" i="57"/>
  <c r="S740" i="57"/>
  <c r="S741" i="57"/>
  <c r="S735" i="57"/>
  <c r="D733" i="57"/>
  <c r="E733" i="57"/>
  <c r="D734" i="57"/>
  <c r="E734" i="57"/>
  <c r="D732" i="57"/>
  <c r="D739" i="57"/>
  <c r="D740" i="57"/>
  <c r="S739" i="57"/>
  <c r="L738" i="57"/>
  <c r="S738" i="57" s="1"/>
  <c r="L737" i="57"/>
  <c r="S737" i="57" s="1"/>
  <c r="E737" i="57"/>
  <c r="E738" i="57"/>
  <c r="E739" i="57"/>
  <c r="E740" i="57"/>
  <c r="E736" i="57"/>
  <c r="D737" i="57"/>
  <c r="D738" i="57"/>
  <c r="D736" i="57"/>
  <c r="L732" i="57"/>
  <c r="E731" i="57"/>
  <c r="D731" i="57"/>
  <c r="K733" i="57"/>
  <c r="S733" i="57"/>
  <c r="L731" i="57"/>
  <c r="S731" i="57" s="1"/>
  <c r="E732" i="57"/>
  <c r="E730" i="57"/>
  <c r="S732" i="57"/>
  <c r="D649" i="57"/>
  <c r="D650" i="57"/>
  <c r="D729" i="57"/>
  <c r="D730" i="57"/>
  <c r="D735" i="57"/>
  <c r="K649" i="57"/>
  <c r="S649" i="57"/>
  <c r="F596" i="57"/>
  <c r="K596" i="57" s="1"/>
  <c r="K595" i="57"/>
  <c r="F594" i="57"/>
  <c r="K594" i="57"/>
  <c r="K593" i="57"/>
  <c r="K592" i="57"/>
  <c r="K639" i="57"/>
  <c r="S639" i="57"/>
  <c r="K631" i="57"/>
  <c r="K630" i="57"/>
  <c r="K618" i="57"/>
  <c r="K617" i="57"/>
  <c r="K616" i="57" s="1"/>
  <c r="S616" i="57" s="1"/>
  <c r="J604" i="57"/>
  <c r="S604" i="57" s="1"/>
  <c r="D603" i="57"/>
  <c r="S602" i="57"/>
  <c r="K629" i="57"/>
  <c r="S629" i="57" s="1"/>
  <c r="D54" i="61"/>
  <c r="D138" i="61"/>
  <c r="D136" i="61"/>
  <c r="D134" i="61"/>
  <c r="D133" i="61"/>
  <c r="D132" i="61"/>
  <c r="D128" i="61"/>
  <c r="D112" i="61"/>
  <c r="D105" i="61"/>
  <c r="D119" i="61"/>
  <c r="D111" i="61"/>
  <c r="D104" i="61"/>
  <c r="D129" i="61"/>
  <c r="D121" i="61"/>
  <c r="D113" i="61"/>
  <c r="D106" i="61"/>
  <c r="D126" i="61"/>
  <c r="D118" i="61"/>
  <c r="D110" i="61"/>
  <c r="D103" i="61"/>
  <c r="D125" i="61"/>
  <c r="D117" i="61"/>
  <c r="D109" i="61"/>
  <c r="D102" i="61"/>
  <c r="D97" i="61"/>
  <c r="D95" i="61"/>
  <c r="D94" i="61"/>
  <c r="D93" i="61"/>
  <c r="D92" i="61"/>
  <c r="D15" i="61"/>
  <c r="D471" i="72"/>
  <c r="F471" i="72"/>
  <c r="F473" i="72"/>
  <c r="D89" i="61"/>
  <c r="D88" i="61"/>
  <c r="D87" i="61"/>
  <c r="D86" i="61"/>
  <c r="D85" i="61"/>
  <c r="D84" i="61"/>
  <c r="D83" i="61"/>
  <c r="D82" i="61"/>
  <c r="D81" i="61"/>
  <c r="D80" i="61"/>
  <c r="D78" i="61"/>
  <c r="D1453" i="72" s="1"/>
  <c r="F1453" i="72" s="1"/>
  <c r="G1456" i="72" s="1"/>
  <c r="F1454" i="72"/>
  <c r="D77" i="61"/>
  <c r="D76" i="61"/>
  <c r="D75" i="61"/>
  <c r="D648" i="72"/>
  <c r="F648" i="72" s="1"/>
  <c r="D1311" i="64"/>
  <c r="F1311" i="64" s="1"/>
  <c r="D1310" i="64"/>
  <c r="F1310" i="64" s="1"/>
  <c r="D1267" i="64"/>
  <c r="F1267" i="64" s="1"/>
  <c r="D1266" i="64"/>
  <c r="F1266" i="64" s="1"/>
  <c r="D1271" i="64" s="1"/>
  <c r="D1224" i="64"/>
  <c r="F1224" i="64" s="1"/>
  <c r="D1223" i="64"/>
  <c r="F1223" i="64" s="1"/>
  <c r="D1228" i="64" s="1"/>
  <c r="F1228" i="64" s="1"/>
  <c r="D1179" i="64"/>
  <c r="F1179" i="64" s="1"/>
  <c r="D1178" i="64"/>
  <c r="F1178" i="64" s="1"/>
  <c r="D1183" i="64" s="1"/>
  <c r="F1183" i="64" s="1"/>
  <c r="D1135" i="64"/>
  <c r="F1135" i="64" s="1"/>
  <c r="D1134" i="64"/>
  <c r="F1134" i="64" s="1"/>
  <c r="D1139" i="64" s="1"/>
  <c r="F1139" i="64" s="1"/>
  <c r="B1108" i="64"/>
  <c r="B1107" i="64"/>
  <c r="D1107" i="64" s="1"/>
  <c r="F1107" i="64" s="1"/>
  <c r="D1094" i="64"/>
  <c r="D1138" i="64" s="1"/>
  <c r="D1093" i="64"/>
  <c r="F1093" i="64" s="1"/>
  <c r="D1092" i="64"/>
  <c r="F1092" i="64" s="1"/>
  <c r="D1091" i="64"/>
  <c r="F1091" i="64" s="1"/>
  <c r="D1090" i="64"/>
  <c r="F1090" i="64" s="1"/>
  <c r="D1095" i="64" s="1"/>
  <c r="F1095" i="64" s="1"/>
  <c r="B1065" i="64"/>
  <c r="D1065" i="64" s="1"/>
  <c r="F1065" i="64" s="1"/>
  <c r="B1064" i="64"/>
  <c r="D1064" i="64" s="1"/>
  <c r="F1064" i="64" s="1"/>
  <c r="F1053" i="64"/>
  <c r="F1052" i="64"/>
  <c r="F1051" i="64"/>
  <c r="D1050" i="64"/>
  <c r="F1050" i="64" s="1"/>
  <c r="D1049" i="64"/>
  <c r="F1049" i="64" s="1"/>
  <c r="D1048" i="64"/>
  <c r="F1048" i="64" s="1"/>
  <c r="B1021" i="64"/>
  <c r="D1021" i="64" s="1"/>
  <c r="F1021" i="64" s="1"/>
  <c r="B1020" i="64"/>
  <c r="D1020" i="64" s="1"/>
  <c r="F1020" i="64" s="1"/>
  <c r="B977" i="64"/>
  <c r="D977" i="64" s="1"/>
  <c r="F977" i="64" s="1"/>
  <c r="B976" i="64"/>
  <c r="D976" i="64" s="1"/>
  <c r="F976" i="64" s="1"/>
  <c r="F964" i="64"/>
  <c r="F963" i="64"/>
  <c r="F962" i="64"/>
  <c r="F961" i="64"/>
  <c r="F960" i="64"/>
  <c r="F965" i="64" s="1"/>
  <c r="B931" i="64"/>
  <c r="D931" i="64" s="1"/>
  <c r="F931" i="64" s="1"/>
  <c r="B930" i="64"/>
  <c r="D930" i="64" s="1"/>
  <c r="F930" i="64" s="1"/>
  <c r="D919" i="64"/>
  <c r="D918" i="64"/>
  <c r="D917" i="64"/>
  <c r="D916" i="64"/>
  <c r="B886" i="64"/>
  <c r="B607" i="64" s="1"/>
  <c r="D607" i="64" s="1"/>
  <c r="F607" i="64" s="1"/>
  <c r="B885" i="64"/>
  <c r="D885" i="64" s="1"/>
  <c r="F885" i="64" s="1"/>
  <c r="D872" i="64"/>
  <c r="D594" i="64" s="1"/>
  <c r="F594" i="64" s="1"/>
  <c r="D871" i="64"/>
  <c r="F871" i="64" s="1"/>
  <c r="D870" i="64"/>
  <c r="F870" i="64" s="1"/>
  <c r="D869" i="64"/>
  <c r="D591" i="64" s="1"/>
  <c r="D639" i="64" s="1"/>
  <c r="F639" i="64" s="1"/>
  <c r="D868" i="64"/>
  <c r="D590" i="64" s="1"/>
  <c r="D638" i="64" s="1"/>
  <c r="F638" i="64" s="1"/>
  <c r="G645" i="64" s="1"/>
  <c r="G661" i="64" s="1"/>
  <c r="B842" i="64"/>
  <c r="D842" i="64" s="1"/>
  <c r="F842" i="64" s="1"/>
  <c r="B841" i="64"/>
  <c r="D841" i="64" s="1"/>
  <c r="F841" i="64" s="1"/>
  <c r="D828" i="64"/>
  <c r="F828" i="64" s="1"/>
  <c r="D827" i="64"/>
  <c r="F827" i="64" s="1"/>
  <c r="D826" i="64"/>
  <c r="F826" i="64" s="1"/>
  <c r="D825" i="64"/>
  <c r="F825" i="64" s="1"/>
  <c r="F824" i="64"/>
  <c r="D829" i="64" s="1"/>
  <c r="F829" i="64" s="1"/>
  <c r="D824" i="64"/>
  <c r="B560" i="64"/>
  <c r="D560" i="64" s="1"/>
  <c r="F560" i="64" s="1"/>
  <c r="B559" i="64"/>
  <c r="D559" i="64" s="1"/>
  <c r="F559" i="64" s="1"/>
  <c r="D545" i="64"/>
  <c r="F545" i="64" s="1"/>
  <c r="D544" i="64"/>
  <c r="F544" i="64" s="1"/>
  <c r="D543" i="64"/>
  <c r="F543" i="64" s="1"/>
  <c r="D542" i="64"/>
  <c r="F542" i="64" s="1"/>
  <c r="B516" i="64"/>
  <c r="D516" i="64" s="1"/>
  <c r="F516" i="64" s="1"/>
  <c r="B515" i="64"/>
  <c r="D515" i="64" s="1"/>
  <c r="F515" i="64" s="1"/>
  <c r="F501" i="64"/>
  <c r="D500" i="64"/>
  <c r="F500" i="64" s="1"/>
  <c r="F499" i="64"/>
  <c r="F498" i="64"/>
  <c r="B472" i="64"/>
  <c r="D472" i="64" s="1"/>
  <c r="F472" i="64" s="1"/>
  <c r="B471" i="64"/>
  <c r="D471" i="64" s="1"/>
  <c r="F471" i="64" s="1"/>
  <c r="F459" i="64"/>
  <c r="D458" i="64"/>
  <c r="F458" i="64" s="1"/>
  <c r="F457" i="64"/>
  <c r="D456" i="64"/>
  <c r="F456" i="64" s="1"/>
  <c r="D455" i="64"/>
  <c r="F455" i="64" s="1"/>
  <c r="F454" i="64"/>
  <c r="B428" i="64"/>
  <c r="D428" i="64" s="1"/>
  <c r="F428" i="64" s="1"/>
  <c r="B427" i="64"/>
  <c r="D427" i="64" s="1"/>
  <c r="F427" i="64" s="1"/>
  <c r="F415" i="64"/>
  <c r="D414" i="64"/>
  <c r="F414" i="64" s="1"/>
  <c r="F413" i="64"/>
  <c r="D412" i="64"/>
  <c r="F412" i="64" s="1"/>
  <c r="D411" i="64"/>
  <c r="F411" i="64" s="1"/>
  <c r="F410" i="64"/>
  <c r="B383" i="64"/>
  <c r="D383" i="64" s="1"/>
  <c r="F383" i="64" s="1"/>
  <c r="B382" i="64"/>
  <c r="D382" i="64" s="1"/>
  <c r="F382" i="64" s="1"/>
  <c r="F376" i="64"/>
  <c r="G379" i="64" s="1"/>
  <c r="D369" i="64"/>
  <c r="F369" i="64" s="1"/>
  <c r="D368" i="64"/>
  <c r="F368" i="64" s="1"/>
  <c r="D367" i="64"/>
  <c r="F367" i="64" s="1"/>
  <c r="D366" i="64"/>
  <c r="F366" i="64" s="1"/>
  <c r="B339" i="64"/>
  <c r="D339" i="64" s="1"/>
  <c r="F339" i="64" s="1"/>
  <c r="B338" i="64"/>
  <c r="D338" i="64" s="1"/>
  <c r="F338" i="64" s="1"/>
  <c r="D325" i="64"/>
  <c r="F325" i="64" s="1"/>
  <c r="D324" i="64"/>
  <c r="F324" i="64" s="1"/>
  <c r="D323" i="64"/>
  <c r="F323" i="64" s="1"/>
  <c r="D322" i="64"/>
  <c r="F322" i="64" s="1"/>
  <c r="B296" i="64"/>
  <c r="D296" i="64" s="1"/>
  <c r="F296" i="64" s="1"/>
  <c r="B295" i="64"/>
  <c r="D295" i="64" s="1"/>
  <c r="F295" i="64" s="1"/>
  <c r="F284" i="64"/>
  <c r="D283" i="64"/>
  <c r="F283" i="64" s="1"/>
  <c r="D282" i="64"/>
  <c r="F282" i="64" s="1"/>
  <c r="D281" i="64"/>
  <c r="F281" i="64" s="1"/>
  <c r="D280" i="64"/>
  <c r="F280" i="64" s="1"/>
  <c r="D279" i="64"/>
  <c r="F279" i="64" s="1"/>
  <c r="C253" i="64"/>
  <c r="C209" i="64"/>
  <c r="D193" i="64"/>
  <c r="D237" i="64" s="1"/>
  <c r="F237" i="64" s="1"/>
  <c r="D183" i="64"/>
  <c r="F183" i="64" s="1"/>
  <c r="C165" i="64"/>
  <c r="D150" i="64"/>
  <c r="F150" i="64" s="1"/>
  <c r="D149" i="64"/>
  <c r="F149" i="64" s="1"/>
  <c r="D148" i="64"/>
  <c r="F148" i="64" s="1"/>
  <c r="C121" i="64"/>
  <c r="D106" i="64"/>
  <c r="F106" i="64" s="1"/>
  <c r="D105" i="64"/>
  <c r="F105" i="64" s="1"/>
  <c r="D104" i="64"/>
  <c r="F104" i="64" s="1"/>
  <c r="C79" i="64"/>
  <c r="D66" i="64"/>
  <c r="F66" i="64" s="1"/>
  <c r="D65" i="64"/>
  <c r="F65" i="64" s="1"/>
  <c r="D64" i="64"/>
  <c r="F64" i="64" s="1"/>
  <c r="D63" i="64"/>
  <c r="F63" i="64" s="1"/>
  <c r="D62" i="64"/>
  <c r="F62" i="64" s="1"/>
  <c r="C37" i="64"/>
  <c r="B37" i="64"/>
  <c r="B79" i="64" s="1"/>
  <c r="D79" i="64" s="1"/>
  <c r="F79" i="64" s="1"/>
  <c r="B36" i="64"/>
  <c r="B120" i="64" s="1"/>
  <c r="D24" i="64"/>
  <c r="D108" i="64" s="1"/>
  <c r="D23" i="64"/>
  <c r="F23" i="64" s="1"/>
  <c r="D22" i="64"/>
  <c r="F22" i="64" s="1"/>
  <c r="D21" i="64"/>
  <c r="F21" i="64" s="1"/>
  <c r="D20" i="64"/>
  <c r="F20" i="64" s="1"/>
  <c r="G17" i="63"/>
  <c r="C17" i="63" s="1"/>
  <c r="C20" i="63" s="1"/>
  <c r="C260" i="78" s="1"/>
  <c r="D194" i="64"/>
  <c r="F194" i="64" s="1"/>
  <c r="F1094" i="64"/>
  <c r="C1465" i="72"/>
  <c r="C1219" i="72"/>
  <c r="C1183" i="72"/>
  <c r="C733" i="72"/>
  <c r="C449" i="72"/>
  <c r="D192" i="64"/>
  <c r="F192" i="64" s="1"/>
  <c r="L641" i="57"/>
  <c r="S641" i="57" s="1"/>
  <c r="K640" i="57"/>
  <c r="S640" i="57" s="1"/>
  <c r="L638" i="57"/>
  <c r="F637" i="57"/>
  <c r="S637" i="57" s="1"/>
  <c r="L636" i="57"/>
  <c r="S636" i="57"/>
  <c r="E636" i="57"/>
  <c r="E637" i="57"/>
  <c r="E638" i="57"/>
  <c r="E639" i="57"/>
  <c r="E640" i="57"/>
  <c r="E635" i="57"/>
  <c r="D636" i="57"/>
  <c r="D637" i="57"/>
  <c r="D638" i="57"/>
  <c r="D639" i="57"/>
  <c r="D640" i="57"/>
  <c r="D635" i="57"/>
  <c r="A642" i="57"/>
  <c r="A635" i="57"/>
  <c r="A620" i="57"/>
  <c r="A605" i="57"/>
  <c r="A597" i="57"/>
  <c r="S603" i="57"/>
  <c r="D602" i="57"/>
  <c r="D601" i="57"/>
  <c r="D600" i="57"/>
  <c r="L600" i="57"/>
  <c r="J599" i="57"/>
  <c r="S599" i="57"/>
  <c r="L598" i="57"/>
  <c r="S598" i="57" s="1"/>
  <c r="D599" i="57"/>
  <c r="D598" i="57"/>
  <c r="D597" i="57"/>
  <c r="E643" i="57"/>
  <c r="E644" i="57"/>
  <c r="E645" i="57"/>
  <c r="E646" i="57"/>
  <c r="E647" i="57"/>
  <c r="E648" i="57"/>
  <c r="E642" i="57"/>
  <c r="D643" i="57"/>
  <c r="D644" i="57"/>
  <c r="D645" i="57"/>
  <c r="D646" i="57"/>
  <c r="D647" i="57"/>
  <c r="D648" i="57"/>
  <c r="D642" i="57"/>
  <c r="D641" i="57"/>
  <c r="D634" i="57"/>
  <c r="E631" i="57"/>
  <c r="E628" i="57"/>
  <c r="E627" i="57"/>
  <c r="E624" i="57"/>
  <c r="E623" i="57"/>
  <c r="E620" i="57"/>
  <c r="D631" i="57"/>
  <c r="D628" i="57"/>
  <c r="D627" i="57"/>
  <c r="D624" i="57"/>
  <c r="D623" i="57"/>
  <c r="D620" i="57"/>
  <c r="K634" i="57"/>
  <c r="K633" i="57"/>
  <c r="K632" i="57" s="1"/>
  <c r="K628" i="57"/>
  <c r="S628" i="57" s="1"/>
  <c r="L627" i="57"/>
  <c r="S625" i="57" s="1"/>
  <c r="L626" i="57"/>
  <c r="J624" i="57"/>
  <c r="S624" i="57"/>
  <c r="L623" i="57"/>
  <c r="L622" i="57"/>
  <c r="E618" i="57"/>
  <c r="E615" i="57"/>
  <c r="E614" i="57"/>
  <c r="E613" i="57"/>
  <c r="E612" i="57"/>
  <c r="D618" i="57"/>
  <c r="D615" i="57"/>
  <c r="D614" i="57"/>
  <c r="D613" i="57"/>
  <c r="D612" i="57"/>
  <c r="E609" i="57"/>
  <c r="D609" i="57"/>
  <c r="E608" i="57"/>
  <c r="D608" i="57"/>
  <c r="D605" i="57"/>
  <c r="K619" i="57"/>
  <c r="S619" i="57"/>
  <c r="K615" i="57"/>
  <c r="S615" i="57" s="1"/>
  <c r="L614" i="57"/>
  <c r="S614" i="57" s="1"/>
  <c r="L613" i="57"/>
  <c r="S613" i="57"/>
  <c r="L612" i="57"/>
  <c r="S610" i="57" s="1"/>
  <c r="L611" i="57"/>
  <c r="J609" i="57"/>
  <c r="S609" i="57"/>
  <c r="L608" i="57"/>
  <c r="S606" i="57" s="1"/>
  <c r="L607" i="57"/>
  <c r="D596" i="57"/>
  <c r="D7" i="57"/>
  <c r="S621" i="57"/>
  <c r="S600" i="57"/>
  <c r="S638" i="57"/>
  <c r="S632" i="57"/>
  <c r="L610" i="57"/>
  <c r="L643" i="57"/>
  <c r="S643" i="57"/>
  <c r="F646" i="57"/>
  <c r="J646" i="57"/>
  <c r="S646" i="57" s="1"/>
  <c r="K647" i="57"/>
  <c r="S647" i="57"/>
  <c r="K645" i="57"/>
  <c r="S645" i="57" s="1"/>
  <c r="L644" i="57"/>
  <c r="S644" i="57" s="1"/>
  <c r="H160" i="13" l="1"/>
  <c r="H149" i="13" s="1"/>
  <c r="C40" i="84" s="1"/>
  <c r="Q41" i="84" s="1"/>
  <c r="C38" i="72"/>
  <c r="C484" i="72"/>
  <c r="C960" i="72"/>
  <c r="L625" i="57"/>
  <c r="C39" i="72"/>
  <c r="C189" i="78"/>
  <c r="C378" i="72"/>
  <c r="C2413" i="72"/>
  <c r="S658" i="57"/>
  <c r="S663" i="57"/>
  <c r="D1219" i="72"/>
  <c r="F1219" i="72" s="1"/>
  <c r="G1221" i="72" s="1"/>
  <c r="C40" i="78"/>
  <c r="D40" i="78" s="1"/>
  <c r="F40" i="78" s="1"/>
  <c r="C78" i="78"/>
  <c r="C271" i="72"/>
  <c r="C661" i="72"/>
  <c r="L690" i="57"/>
  <c r="S690" i="57" s="1"/>
  <c r="C2273" i="72"/>
  <c r="C2203" i="72"/>
  <c r="C2133" i="72"/>
  <c r="C2063" i="72"/>
  <c r="C1993" i="72"/>
  <c r="C1923" i="72"/>
  <c r="C1853" i="72"/>
  <c r="C1783" i="72"/>
  <c r="C1713" i="72"/>
  <c r="C1643" i="72"/>
  <c r="C2658" i="72"/>
  <c r="C1608" i="72"/>
  <c r="C1501" i="72"/>
  <c r="C1429" i="72"/>
  <c r="D1429" i="72" s="1"/>
  <c r="F1429" i="72" s="1"/>
  <c r="G1431" i="72" s="1"/>
  <c r="C2623" i="72"/>
  <c r="C2588" i="72"/>
  <c r="C2518" i="72"/>
  <c r="C2448" i="72"/>
  <c r="C2378" i="72"/>
  <c r="C2308" i="72"/>
  <c r="C1359" i="72"/>
  <c r="C1325" i="72"/>
  <c r="C1291" i="72"/>
  <c r="C998" i="72"/>
  <c r="C236" i="72"/>
  <c r="C300" i="78"/>
  <c r="C165" i="72"/>
  <c r="C201" i="72"/>
  <c r="C122" i="72"/>
  <c r="C38" i="78"/>
  <c r="C85" i="72"/>
  <c r="C2702" i="72"/>
  <c r="C2028" i="72"/>
  <c r="C1888" i="72"/>
  <c r="C1748" i="72"/>
  <c r="C1573" i="72"/>
  <c r="C1395" i="72"/>
  <c r="C2238" i="72"/>
  <c r="C2168" i="72"/>
  <c r="C2098" i="72"/>
  <c r="C1958" i="72"/>
  <c r="C1818" i="72"/>
  <c r="C1678" i="72"/>
  <c r="C922" i="72"/>
  <c r="C1071" i="72"/>
  <c r="C1146" i="72"/>
  <c r="C1109" i="72"/>
  <c r="C697" i="72"/>
  <c r="C768" i="72"/>
  <c r="C414" i="72"/>
  <c r="C589" i="72"/>
  <c r="C519" i="72"/>
  <c r="C342" i="72"/>
  <c r="C341" i="78"/>
  <c r="C39" i="78"/>
  <c r="C40" i="72"/>
  <c r="C1255" i="72"/>
  <c r="C1036" i="72"/>
  <c r="C880" i="72"/>
  <c r="C554" i="72"/>
  <c r="C153" i="78"/>
  <c r="C307" i="72"/>
  <c r="C116" i="78"/>
  <c r="C225" i="78"/>
  <c r="D225" i="78" s="1"/>
  <c r="F225" i="78" s="1"/>
  <c r="G227" i="78" s="1"/>
  <c r="C1538" i="72"/>
  <c r="C2553" i="72"/>
  <c r="C2483" i="72"/>
  <c r="C2343" i="72"/>
  <c r="C803" i="72"/>
  <c r="C838" i="72"/>
  <c r="D838" i="72" s="1"/>
  <c r="F838" i="72" s="1"/>
  <c r="G840" i="72" s="1"/>
  <c r="C624" i="72"/>
  <c r="B1152" i="64"/>
  <c r="B1196" i="64" s="1"/>
  <c r="D1108" i="64"/>
  <c r="F1108" i="64" s="1"/>
  <c r="L664" i="57"/>
  <c r="S664" i="57" s="1"/>
  <c r="D1255" i="72"/>
  <c r="F1255" i="72" s="1"/>
  <c r="G1257" i="72" s="1"/>
  <c r="L684" i="57"/>
  <c r="G107" i="78"/>
  <c r="S244" i="57"/>
  <c r="B2203" i="72"/>
  <c r="B201" i="72"/>
  <c r="D201" i="72" s="1"/>
  <c r="F201" i="72" s="1"/>
  <c r="G203" i="72" s="1"/>
  <c r="B1993" i="72"/>
  <c r="D1993" i="72" s="1"/>
  <c r="F1993" i="72" s="1"/>
  <c r="G1995" i="72" s="1"/>
  <c r="D733" i="72"/>
  <c r="F733" i="72" s="1"/>
  <c r="G735" i="72" s="1"/>
  <c r="D2343" i="72"/>
  <c r="F2343" i="72" s="1"/>
  <c r="G2345" i="72" s="1"/>
  <c r="G475" i="72"/>
  <c r="G69" i="78"/>
  <c r="D1465" i="72"/>
  <c r="F1465" i="72" s="1"/>
  <c r="G1467" i="72" s="1"/>
  <c r="B38" i="72"/>
  <c r="D38" i="72" s="1"/>
  <c r="F38" i="72" s="1"/>
  <c r="G42" i="72" s="1"/>
  <c r="B38" i="78"/>
  <c r="B39" i="78"/>
  <c r="D39" i="78" s="1"/>
  <c r="F39" i="78" s="1"/>
  <c r="B378" i="72"/>
  <c r="D378" i="72" s="1"/>
  <c r="F378" i="72" s="1"/>
  <c r="G380" i="72" s="1"/>
  <c r="B300" i="78"/>
  <c r="D300" i="78" s="1"/>
  <c r="F300" i="78" s="1"/>
  <c r="G302" i="78" s="1"/>
  <c r="B768" i="72"/>
  <c r="D768" i="72" s="1"/>
  <c r="F768" i="72" s="1"/>
  <c r="G770" i="72" s="1"/>
  <c r="B1501" i="72"/>
  <c r="D1501" i="72" s="1"/>
  <c r="F1501" i="72" s="1"/>
  <c r="G1503" i="72" s="1"/>
  <c r="B2553" i="72"/>
  <c r="B2308" i="72"/>
  <c r="D2308" i="72" s="1"/>
  <c r="F2308" i="72" s="1"/>
  <c r="G2310" i="72" s="1"/>
  <c r="B484" i="72"/>
  <c r="D484" i="72" s="1"/>
  <c r="F484" i="72" s="1"/>
  <c r="G486" i="72" s="1"/>
  <c r="B880" i="72"/>
  <c r="D880" i="72" s="1"/>
  <c r="F880" i="72" s="1"/>
  <c r="G882" i="72" s="1"/>
  <c r="B1608" i="72"/>
  <c r="D1608" i="72" s="1"/>
  <c r="F1608" i="72" s="1"/>
  <c r="G1610" i="72" s="1"/>
  <c r="B1359" i="72"/>
  <c r="D1359" i="72" s="1"/>
  <c r="F1359" i="72" s="1"/>
  <c r="G1361" i="72" s="1"/>
  <c r="B2378" i="72"/>
  <c r="D2378" i="72" s="1"/>
  <c r="F2378" i="72" s="1"/>
  <c r="G2380" i="72" s="1"/>
  <c r="B236" i="72"/>
  <c r="D236" i="72" s="1"/>
  <c r="F236" i="72" s="1"/>
  <c r="G238" i="72" s="1"/>
  <c r="B803" i="72"/>
  <c r="D803" i="72" s="1"/>
  <c r="F803" i="72" s="1"/>
  <c r="G805" i="72" s="1"/>
  <c r="B260" i="78"/>
  <c r="D260" i="78" s="1"/>
  <c r="F260" i="78" s="1"/>
  <c r="G262" i="78" s="1"/>
  <c r="B2413" i="72"/>
  <c r="D2413" i="72" s="1"/>
  <c r="F2413" i="72" s="1"/>
  <c r="G2415" i="72" s="1"/>
  <c r="B2168" i="72"/>
  <c r="D2168" i="72" s="1"/>
  <c r="F2168" i="72" s="1"/>
  <c r="G2170" i="72" s="1"/>
  <c r="B449" i="72"/>
  <c r="D449" i="72" s="1"/>
  <c r="F449" i="72" s="1"/>
  <c r="G451" i="72" s="1"/>
  <c r="B1325" i="72"/>
  <c r="D1325" i="72" s="1"/>
  <c r="F1325" i="72" s="1"/>
  <c r="G1327" i="72" s="1"/>
  <c r="B2483" i="72"/>
  <c r="D2483" i="72" s="1"/>
  <c r="F2483" i="72" s="1"/>
  <c r="G2485" i="72" s="1"/>
  <c r="B2238" i="72"/>
  <c r="B78" i="78"/>
  <c r="D78" i="78" s="1"/>
  <c r="F78" i="78" s="1"/>
  <c r="G80" i="78" s="1"/>
  <c r="B2518" i="72"/>
  <c r="D2518" i="72" s="1"/>
  <c r="F2518" i="72" s="1"/>
  <c r="G2520" i="72" s="1"/>
  <c r="B307" i="72"/>
  <c r="B1291" i="72"/>
  <c r="D1291" i="72" s="1"/>
  <c r="F1291" i="72" s="1"/>
  <c r="G1293" i="72" s="1"/>
  <c r="B2273" i="72"/>
  <c r="D2273" i="72" s="1"/>
  <c r="F2273" i="72" s="1"/>
  <c r="G2275" i="72" s="1"/>
  <c r="B2588" i="72"/>
  <c r="D2588" i="72" s="1"/>
  <c r="F2588" i="72" s="1"/>
  <c r="G2590" i="72" s="1"/>
  <c r="B554" i="72"/>
  <c r="D554" i="72" s="1"/>
  <c r="F554" i="72" s="1"/>
  <c r="G556" i="72" s="1"/>
  <c r="B1071" i="72"/>
  <c r="D1071" i="72" s="1"/>
  <c r="F1071" i="72" s="1"/>
  <c r="G1073" i="72" s="1"/>
  <c r="B1395" i="72"/>
  <c r="D1395" i="72" s="1"/>
  <c r="F1395" i="72" s="1"/>
  <c r="G1397" i="72" s="1"/>
  <c r="B341" i="78"/>
  <c r="D341" i="78" s="1"/>
  <c r="F341" i="78" s="1"/>
  <c r="G343" i="78" s="1"/>
  <c r="B661" i="72"/>
  <c r="D661" i="72" s="1"/>
  <c r="F661" i="72" s="1"/>
  <c r="G663" i="72" s="1"/>
  <c r="B2658" i="72"/>
  <c r="D2658" i="72" s="1"/>
  <c r="F2658" i="72" s="1"/>
  <c r="G2660" i="72" s="1"/>
  <c r="B1573" i="72"/>
  <c r="D1573" i="72" s="1"/>
  <c r="F1573" i="72" s="1"/>
  <c r="G1575" i="72" s="1"/>
  <c r="B589" i="72"/>
  <c r="D589" i="72" s="1"/>
  <c r="F589" i="72" s="1"/>
  <c r="G591" i="72" s="1"/>
  <c r="B1643" i="72"/>
  <c r="B1678" i="72"/>
  <c r="D1678" i="72" s="1"/>
  <c r="F1678" i="72" s="1"/>
  <c r="G1680" i="72" s="1"/>
  <c r="B189" i="78"/>
  <c r="B165" i="72"/>
  <c r="D165" i="72" s="1"/>
  <c r="F165" i="72" s="1"/>
  <c r="G167" i="72" s="1"/>
  <c r="B960" i="72"/>
  <c r="B2702" i="72"/>
  <c r="D2702" i="72" s="1"/>
  <c r="F2702" i="72" s="1"/>
  <c r="G2704" i="72" s="1"/>
  <c r="B122" i="72"/>
  <c r="D122" i="72" s="1"/>
  <c r="F122" i="72" s="1"/>
  <c r="G124" i="72" s="1"/>
  <c r="B1036" i="72"/>
  <c r="D1036" i="72" s="1"/>
  <c r="F1036" i="72" s="1"/>
  <c r="G1038" i="72" s="1"/>
  <c r="F1017" i="72" s="1"/>
  <c r="G1019" i="72" s="1"/>
  <c r="B1818" i="72"/>
  <c r="B519" i="72"/>
  <c r="D519" i="72" s="1"/>
  <c r="F519" i="72" s="1"/>
  <c r="G521" i="72" s="1"/>
  <c r="B1183" i="72"/>
  <c r="D1183" i="72" s="1"/>
  <c r="F1183" i="72" s="1"/>
  <c r="G1185" i="72" s="1"/>
  <c r="B1888" i="72"/>
  <c r="D1888" i="72" s="1"/>
  <c r="F1888" i="72" s="1"/>
  <c r="G1890" i="72" s="1"/>
  <c r="B1146" i="72"/>
  <c r="B1538" i="72"/>
  <c r="D1538" i="72" s="1"/>
  <c r="F1538" i="72" s="1"/>
  <c r="G1540" i="72" s="1"/>
  <c r="B39" i="72"/>
  <c r="D39" i="72" s="1"/>
  <c r="F39" i="72" s="1"/>
  <c r="B116" i="78"/>
  <c r="D116" i="78" s="1"/>
  <c r="F116" i="78" s="1"/>
  <c r="G118" i="78" s="1"/>
  <c r="B153" i="78"/>
  <c r="D153" i="78" s="1"/>
  <c r="F153" i="78" s="1"/>
  <c r="G155" i="78" s="1"/>
  <c r="B85" i="72"/>
  <c r="D85" i="72" s="1"/>
  <c r="F85" i="72" s="1"/>
  <c r="G87" i="72" s="1"/>
  <c r="B922" i="72"/>
  <c r="D922" i="72" s="1"/>
  <c r="F922" i="72" s="1"/>
  <c r="G924" i="72" s="1"/>
  <c r="B1748" i="72"/>
  <c r="D1748" i="72" s="1"/>
  <c r="F1748" i="72" s="1"/>
  <c r="G1750" i="72" s="1"/>
  <c r="B342" i="72"/>
  <c r="D342" i="72" s="1"/>
  <c r="F342" i="72" s="1"/>
  <c r="G344" i="72" s="1"/>
  <c r="B1783" i="72"/>
  <c r="D1783" i="72" s="1"/>
  <c r="F1783" i="72" s="1"/>
  <c r="G1785" i="72" s="1"/>
  <c r="B2098" i="72"/>
  <c r="D2098" i="72" s="1"/>
  <c r="F2098" i="72" s="1"/>
  <c r="G2100" i="72" s="1"/>
  <c r="B414" i="72"/>
  <c r="D414" i="72" s="1"/>
  <c r="F414" i="72" s="1"/>
  <c r="G416" i="72" s="1"/>
  <c r="B1853" i="72"/>
  <c r="D1853" i="72" s="1"/>
  <c r="F1853" i="72" s="1"/>
  <c r="G1855" i="72" s="1"/>
  <c r="B2448" i="72"/>
  <c r="B998" i="72"/>
  <c r="D998" i="72" s="1"/>
  <c r="F998" i="72" s="1"/>
  <c r="G1000" i="72" s="1"/>
  <c r="F979" i="72" s="1"/>
  <c r="G981" i="72" s="1"/>
  <c r="B1958" i="72"/>
  <c r="D1958" i="72" s="1"/>
  <c r="F1958" i="72" s="1"/>
  <c r="G1960" i="72" s="1"/>
  <c r="B40" i="72"/>
  <c r="D40" i="72" s="1"/>
  <c r="F40" i="72" s="1"/>
  <c r="B624" i="72"/>
  <c r="D624" i="72" s="1"/>
  <c r="F624" i="72" s="1"/>
  <c r="G626" i="72" s="1"/>
  <c r="B1713" i="72"/>
  <c r="D1713" i="72" s="1"/>
  <c r="F1713" i="72" s="1"/>
  <c r="G1715" i="72" s="1"/>
  <c r="B2028" i="72"/>
  <c r="D2028" i="72" s="1"/>
  <c r="F2028" i="72" s="1"/>
  <c r="G2030" i="72" s="1"/>
  <c r="B697" i="72"/>
  <c r="D697" i="72" s="1"/>
  <c r="F697" i="72" s="1"/>
  <c r="G699" i="72" s="1"/>
  <c r="B2063" i="72"/>
  <c r="D2063" i="72" s="1"/>
  <c r="F2063" i="72" s="1"/>
  <c r="G2065" i="72" s="1"/>
  <c r="B2623" i="72"/>
  <c r="D2623" i="72" s="1"/>
  <c r="F2623" i="72" s="1"/>
  <c r="G2625" i="72" s="1"/>
  <c r="B1109" i="72"/>
  <c r="D1109" i="72" s="1"/>
  <c r="F1109" i="72" s="1"/>
  <c r="G1111" i="72" s="1"/>
  <c r="B2133" i="72"/>
  <c r="D2133" i="72" s="1"/>
  <c r="F2133" i="72" s="1"/>
  <c r="G2135" i="72" s="1"/>
  <c r="B271" i="72"/>
  <c r="B1923" i="72"/>
  <c r="S321" i="57"/>
  <c r="S211" i="57"/>
  <c r="S205" i="57"/>
  <c r="S195" i="57"/>
  <c r="S189" i="57"/>
  <c r="S105" i="57"/>
  <c r="S87" i="57" s="1"/>
  <c r="D23" i="72"/>
  <c r="F23" i="72" s="1"/>
  <c r="D26" i="72"/>
  <c r="F26" i="72" s="1"/>
  <c r="C24" i="78"/>
  <c r="A24" i="78"/>
  <c r="D23" i="78"/>
  <c r="F23" i="78" s="1"/>
  <c r="C23" i="72"/>
  <c r="C26" i="72"/>
  <c r="D25" i="72"/>
  <c r="F25" i="72" s="1"/>
  <c r="F178" i="78"/>
  <c r="G180" i="78" s="1"/>
  <c r="S355" i="57"/>
  <c r="S335" i="57"/>
  <c r="S317" i="57"/>
  <c r="S373" i="57"/>
  <c r="S375" i="57"/>
  <c r="S379" i="57"/>
  <c r="S385" i="57"/>
  <c r="S426" i="57"/>
  <c r="A26" i="72"/>
  <c r="A25" i="78"/>
  <c r="D26" i="78"/>
  <c r="F26" i="78" s="1"/>
  <c r="G29" i="78"/>
  <c r="G216" i="78"/>
  <c r="F1562" i="72"/>
  <c r="G1564" i="72"/>
  <c r="S198" i="57"/>
  <c r="S334" i="57"/>
  <c r="S275" i="57"/>
  <c r="S386" i="57"/>
  <c r="S445" i="57"/>
  <c r="E43" i="62"/>
  <c r="B23" i="62" s="1"/>
  <c r="G291" i="78"/>
  <c r="G1282" i="72"/>
  <c r="F1490" i="72"/>
  <c r="G1492" i="72" s="1"/>
  <c r="F1737" i="72"/>
  <c r="G1739" i="72"/>
  <c r="B16" i="84"/>
  <c r="G2334" i="72"/>
  <c r="F2332" i="72"/>
  <c r="F2542" i="72"/>
  <c r="G2544" i="72" s="1"/>
  <c r="S28" i="57"/>
  <c r="H325" i="79"/>
  <c r="D265" i="72"/>
  <c r="F265" i="72" s="1"/>
  <c r="G268" i="72" s="1"/>
  <c r="D408" i="72"/>
  <c r="F408" i="72" s="1"/>
  <c r="G411" i="72" s="1"/>
  <c r="G1246" i="72"/>
  <c r="D578" i="57"/>
  <c r="S477" i="57"/>
  <c r="F49" i="13" s="1"/>
  <c r="K478" i="57"/>
  <c r="H255" i="79"/>
  <c r="H257" i="79" s="1"/>
  <c r="H766" i="79"/>
  <c r="F2297" i="72"/>
  <c r="G2299" i="72" s="1"/>
  <c r="S74" i="57"/>
  <c r="F29" i="13"/>
  <c r="H44" i="79"/>
  <c r="H51" i="79"/>
  <c r="H53" i="79" s="1"/>
  <c r="H119" i="79"/>
  <c r="H121" i="79" s="1"/>
  <c r="H187" i="79"/>
  <c r="H189" i="79" s="1"/>
  <c r="H1428" i="79"/>
  <c r="H393" i="79"/>
  <c r="H136" i="13"/>
  <c r="D29" i="83"/>
  <c r="K7" i="86"/>
  <c r="K63" i="86" s="1"/>
  <c r="S476" i="57"/>
  <c r="F48" i="13" s="1"/>
  <c r="H757" i="79"/>
  <c r="H1224" i="79"/>
  <c r="H1233" i="79" s="1"/>
  <c r="N174" i="80"/>
  <c r="S10" i="57"/>
  <c r="H1265" i="79"/>
  <c r="H1267" i="79" s="1"/>
  <c r="N18" i="81"/>
  <c r="N22" i="81"/>
  <c r="H144" i="13"/>
  <c r="H1419" i="79"/>
  <c r="D46" i="83"/>
  <c r="H140" i="13"/>
  <c r="D43" i="83"/>
  <c r="H143" i="13"/>
  <c r="F590" i="64"/>
  <c r="F872" i="64"/>
  <c r="D36" i="64"/>
  <c r="F36" i="64" s="1"/>
  <c r="G475" i="64"/>
  <c r="F448" i="64" s="1"/>
  <c r="G451" i="64" s="1"/>
  <c r="F869" i="64"/>
  <c r="F591" i="64"/>
  <c r="F917" i="64"/>
  <c r="F919" i="64"/>
  <c r="F916" i="64"/>
  <c r="D921" i="64" s="1"/>
  <c r="F918" i="64"/>
  <c r="G550" i="64"/>
  <c r="D236" i="64"/>
  <c r="F236" i="64" s="1"/>
  <c r="D592" i="64"/>
  <c r="F592" i="64" s="1"/>
  <c r="B121" i="64"/>
  <c r="D121" i="64" s="1"/>
  <c r="F121" i="64" s="1"/>
  <c r="B1151" i="64"/>
  <c r="B1195" i="64" s="1"/>
  <c r="D1195" i="64" s="1"/>
  <c r="F1195" i="64" s="1"/>
  <c r="D37" i="64"/>
  <c r="F37" i="64" s="1"/>
  <c r="D886" i="64"/>
  <c r="F886" i="64" s="1"/>
  <c r="G890" i="64" s="1"/>
  <c r="F861" i="64" s="1"/>
  <c r="G864" i="64" s="1"/>
  <c r="D152" i="64"/>
  <c r="F152" i="64" s="1"/>
  <c r="F108" i="64"/>
  <c r="F1271" i="64"/>
  <c r="D1315" i="64"/>
  <c r="F1315" i="64" s="1"/>
  <c r="D120" i="64"/>
  <c r="F120" i="64" s="1"/>
  <c r="B164" i="64"/>
  <c r="D164" i="64" s="1"/>
  <c r="F164" i="64" s="1"/>
  <c r="D1152" i="64"/>
  <c r="F1152" i="64" s="1"/>
  <c r="D1136" i="64"/>
  <c r="D227" i="64"/>
  <c r="F227" i="64" s="1"/>
  <c r="D107" i="64"/>
  <c r="F868" i="64"/>
  <c r="D873" i="64" s="1"/>
  <c r="F873" i="64" s="1"/>
  <c r="F24" i="64"/>
  <c r="G26" i="64" s="1"/>
  <c r="B78" i="64"/>
  <c r="D78" i="64" s="1"/>
  <c r="F78" i="64" s="1"/>
  <c r="G81" i="64" s="1"/>
  <c r="F54" i="64" s="1"/>
  <c r="G59" i="64" s="1"/>
  <c r="B606" i="64"/>
  <c r="D606" i="64" s="1"/>
  <c r="F606" i="64" s="1"/>
  <c r="G611" i="64" s="1"/>
  <c r="F583" i="64" s="1"/>
  <c r="G586" i="64" s="1"/>
  <c r="G68" i="64"/>
  <c r="G300" i="64"/>
  <c r="F271" i="64" s="1"/>
  <c r="G276" i="64" s="1"/>
  <c r="G342" i="64"/>
  <c r="F315" i="64" s="1"/>
  <c r="G318" i="64" s="1"/>
  <c r="G373" i="64"/>
  <c r="G386" i="64"/>
  <c r="F359" i="64" s="1"/>
  <c r="G362" i="64" s="1"/>
  <c r="G846" i="64"/>
  <c r="F817" i="64" s="1"/>
  <c r="G820" i="64" s="1"/>
  <c r="G1025" i="64"/>
  <c r="G1057" i="64"/>
  <c r="G329" i="64"/>
  <c r="G462" i="64"/>
  <c r="G1097" i="64"/>
  <c r="D920" i="64"/>
  <c r="D1137" i="64"/>
  <c r="F193" i="64"/>
  <c r="G198" i="64" s="1"/>
  <c r="G286" i="64"/>
  <c r="G418" i="64"/>
  <c r="G506" i="64"/>
  <c r="G519" i="64"/>
  <c r="F997" i="64"/>
  <c r="G1000" i="64" s="1"/>
  <c r="G981" i="64"/>
  <c r="F953" i="64" s="1"/>
  <c r="G956" i="64" s="1"/>
  <c r="F1138" i="64"/>
  <c r="D1182" i="64"/>
  <c r="G1068" i="64"/>
  <c r="F1041" i="64" s="1"/>
  <c r="G1044" i="64" s="1"/>
  <c r="G1112" i="64"/>
  <c r="F1083" i="64" s="1"/>
  <c r="G1086" i="64" s="1"/>
  <c r="G431" i="64"/>
  <c r="G563" i="64"/>
  <c r="F536" i="64" s="1"/>
  <c r="G539" i="64" s="1"/>
  <c r="G831" i="64"/>
  <c r="D238" i="64"/>
  <c r="F238" i="64" s="1"/>
  <c r="G967" i="64"/>
  <c r="D593" i="64"/>
  <c r="F593" i="64" s="1"/>
  <c r="G935" i="64"/>
  <c r="D87" i="57"/>
  <c r="H147" i="13"/>
  <c r="C37" i="84" s="1"/>
  <c r="Y38" i="84" s="1"/>
  <c r="H52" i="13"/>
  <c r="H112" i="13"/>
  <c r="H133" i="13"/>
  <c r="H113" i="13"/>
  <c r="D51" i="57"/>
  <c r="C43" i="84"/>
  <c r="H204" i="13"/>
  <c r="Y41" i="84" l="1"/>
  <c r="I41" i="84"/>
  <c r="M41" i="84"/>
  <c r="U41" i="84"/>
  <c r="K465" i="57"/>
  <c r="F39" i="13"/>
  <c r="F1412" i="72"/>
  <c r="G1414" i="72" s="1"/>
  <c r="G1433" i="72" s="1"/>
  <c r="F53" i="76" s="1"/>
  <c r="G51" i="13" s="1"/>
  <c r="F1090" i="72"/>
  <c r="G1092" i="72" s="1"/>
  <c r="F1731" i="72"/>
  <c r="G1733" i="72" s="1"/>
  <c r="G1752" i="72" s="1"/>
  <c r="F67" i="76" s="1"/>
  <c r="G65" i="13" s="1"/>
  <c r="H65" i="13" s="1"/>
  <c r="F1871" i="72"/>
  <c r="G1873" i="72" s="1"/>
  <c r="G1892" i="72" s="1"/>
  <c r="F71" i="76" s="1"/>
  <c r="G69" i="13" s="1"/>
  <c r="H69" i="13" s="1"/>
  <c r="F571" i="72"/>
  <c r="G573" i="72" s="1"/>
  <c r="F2501" i="72"/>
  <c r="G2503" i="72" s="1"/>
  <c r="G2522" i="72" s="1"/>
  <c r="F90" i="76" s="1"/>
  <c r="G88" i="13" s="1"/>
  <c r="H88" i="13" s="1"/>
  <c r="F243" i="78"/>
  <c r="G245" i="78" s="1"/>
  <c r="G264" i="78" s="1"/>
  <c r="F56" i="76" s="1"/>
  <c r="G54" i="13" s="1"/>
  <c r="H54" i="13" s="1"/>
  <c r="H53" i="13" s="1"/>
  <c r="C28" i="84" s="1"/>
  <c r="F278" i="78"/>
  <c r="G280" i="78" s="1"/>
  <c r="G304" i="78" s="1"/>
  <c r="B165" i="64"/>
  <c r="B209" i="64" s="1"/>
  <c r="G39" i="64"/>
  <c r="F12" i="64" s="1"/>
  <c r="G17" i="64" s="1"/>
  <c r="F2116" i="72"/>
  <c r="G2118" i="72" s="1"/>
  <c r="G2137" i="72" s="1"/>
  <c r="F78" i="76" s="1"/>
  <c r="G76" i="13" s="1"/>
  <c r="H76" i="13" s="1"/>
  <c r="F679" i="72"/>
  <c r="G681" i="72" s="1"/>
  <c r="G1857" i="72"/>
  <c r="F70" i="76" s="1"/>
  <c r="G68" i="13" s="1"/>
  <c r="H68" i="13" s="1"/>
  <c r="F1836" i="72"/>
  <c r="G1838" i="72" s="1"/>
  <c r="G346" i="72"/>
  <c r="F13" i="76" s="1"/>
  <c r="G13" i="13" s="1"/>
  <c r="F324" i="72"/>
  <c r="G326" i="72" s="1"/>
  <c r="G157" i="78"/>
  <c r="F133" i="78"/>
  <c r="G135" i="78" s="1"/>
  <c r="D1146" i="72"/>
  <c r="F1146" i="72" s="1"/>
  <c r="G1148" i="72" s="1"/>
  <c r="D1818" i="72"/>
  <c r="F1818" i="72" s="1"/>
  <c r="G1820" i="72" s="1"/>
  <c r="D960" i="72"/>
  <c r="F960" i="72" s="1"/>
  <c r="G962" i="72" s="1"/>
  <c r="F941" i="72" s="1"/>
  <c r="G943" i="72" s="1"/>
  <c r="D1643" i="72"/>
  <c r="F1643" i="72" s="1"/>
  <c r="G1645" i="72" s="1"/>
  <c r="F642" i="72"/>
  <c r="G644" i="72" s="1"/>
  <c r="F536" i="72"/>
  <c r="G538" i="72" s="1"/>
  <c r="D307" i="72"/>
  <c r="F307" i="72" s="1"/>
  <c r="G309" i="72" s="1"/>
  <c r="F2466" i="72"/>
  <c r="G2468" i="72" s="1"/>
  <c r="G2487" i="72"/>
  <c r="F89" i="76" s="1"/>
  <c r="G87" i="13" s="1"/>
  <c r="H87" i="13" s="1"/>
  <c r="F2396" i="72"/>
  <c r="G2398" i="72" s="1"/>
  <c r="G2417" i="72"/>
  <c r="F87" i="76" s="1"/>
  <c r="G85" i="13" s="1"/>
  <c r="H85" i="13" s="1"/>
  <c r="F2361" i="72"/>
  <c r="G2363" i="72" s="1"/>
  <c r="G2382" i="72" s="1"/>
  <c r="F86" i="76" s="1"/>
  <c r="G84" i="13" s="1"/>
  <c r="H84" i="13" s="1"/>
  <c r="F466" i="72"/>
  <c r="G468" i="72" s="1"/>
  <c r="G488" i="72" s="1"/>
  <c r="F19" i="76" s="1"/>
  <c r="G19" i="13" s="1"/>
  <c r="H19" i="13" s="1"/>
  <c r="F750" i="72"/>
  <c r="G752" i="72" s="1"/>
  <c r="D38" i="78"/>
  <c r="F38" i="78" s="1"/>
  <c r="G42" i="78" s="1"/>
  <c r="F1976" i="72"/>
  <c r="G1978" i="72" s="1"/>
  <c r="G1997" i="72" s="1"/>
  <c r="F74" i="76" s="1"/>
  <c r="G72" i="13" s="1"/>
  <c r="H72" i="13" s="1"/>
  <c r="F1238" i="72"/>
  <c r="G1240" i="72" s="1"/>
  <c r="G1259" i="72" s="1"/>
  <c r="F47" i="76" s="1"/>
  <c r="G45" i="13" s="1"/>
  <c r="F1202" i="72"/>
  <c r="G1204" i="72" s="1"/>
  <c r="G1223" i="72" s="1"/>
  <c r="F46" i="76" s="1"/>
  <c r="G44" i="13" s="1"/>
  <c r="F1941" i="72"/>
  <c r="G1943" i="72" s="1"/>
  <c r="G1962" i="72"/>
  <c r="F73" i="76" s="1"/>
  <c r="G71" i="13" s="1"/>
  <c r="H71" i="13" s="1"/>
  <c r="F96" i="78"/>
  <c r="G98" i="78" s="1"/>
  <c r="G120" i="78"/>
  <c r="F147" i="72"/>
  <c r="G149" i="72" s="1"/>
  <c r="G169" i="72"/>
  <c r="F6" i="76" s="1"/>
  <c r="G8" i="13" s="1"/>
  <c r="H8" i="13" s="1"/>
  <c r="F2571" i="72"/>
  <c r="G2573" i="72" s="1"/>
  <c r="G2592" i="72"/>
  <c r="F92" i="76" s="1"/>
  <c r="G90" i="13" s="1"/>
  <c r="H90" i="13" s="1"/>
  <c r="F1342" i="72"/>
  <c r="G1344" i="72" s="1"/>
  <c r="F183" i="72"/>
  <c r="G185" i="72" s="1"/>
  <c r="G205" i="72" s="1"/>
  <c r="F7" i="76" s="1"/>
  <c r="N7" i="81"/>
  <c r="F54" i="13"/>
  <c r="N7" i="80"/>
  <c r="F37" i="13"/>
  <c r="D1923" i="72"/>
  <c r="F1923" i="72" s="1"/>
  <c r="G1925" i="72" s="1"/>
  <c r="G2627" i="72"/>
  <c r="F94" i="76" s="1"/>
  <c r="G92" i="13" s="1"/>
  <c r="H92" i="13" s="1"/>
  <c r="F2605" i="72"/>
  <c r="G2607" i="72" s="1"/>
  <c r="F1696" i="72"/>
  <c r="G1698" i="72" s="1"/>
  <c r="G1717" i="72" s="1"/>
  <c r="F66" i="76" s="1"/>
  <c r="G64" i="13" s="1"/>
  <c r="H64" i="13" s="1"/>
  <c r="F2081" i="72"/>
  <c r="G2083" i="72" s="1"/>
  <c r="G2102" i="72" s="1"/>
  <c r="F77" i="76" s="1"/>
  <c r="G75" i="13" s="1"/>
  <c r="H75" i="13" s="1"/>
  <c r="F902" i="72"/>
  <c r="G904" i="72" s="1"/>
  <c r="F1165" i="72"/>
  <c r="G1167" i="72" s="1"/>
  <c r="F102" i="72"/>
  <c r="G104" i="72" s="1"/>
  <c r="D189" i="78"/>
  <c r="F189" i="78" s="1"/>
  <c r="G191" i="78" s="1"/>
  <c r="F1556" i="72"/>
  <c r="G1558" i="72" s="1"/>
  <c r="G1577" i="72"/>
  <c r="F60" i="76" s="1"/>
  <c r="G58" i="13" s="1"/>
  <c r="H58" i="13" s="1"/>
  <c r="F1376" i="72"/>
  <c r="G1378" i="72" s="1"/>
  <c r="F2256" i="72"/>
  <c r="G2258" i="72" s="1"/>
  <c r="G2277" i="72" s="1"/>
  <c r="F83" i="76" s="1"/>
  <c r="G81" i="13" s="1"/>
  <c r="H81" i="13" s="1"/>
  <c r="F58" i="78"/>
  <c r="G60" i="78" s="1"/>
  <c r="G82" i="78"/>
  <c r="F431" i="72"/>
  <c r="G433" i="72" s="1"/>
  <c r="G453" i="72"/>
  <c r="F18" i="76" s="1"/>
  <c r="G18" i="13" s="1"/>
  <c r="H18" i="13" s="1"/>
  <c r="F785" i="72"/>
  <c r="G787" i="72" s="1"/>
  <c r="F1591" i="72"/>
  <c r="G1593" i="72" s="1"/>
  <c r="G1612" i="72"/>
  <c r="F63" i="76" s="1"/>
  <c r="G61" i="13" s="1"/>
  <c r="H61" i="13" s="1"/>
  <c r="D2553" i="72"/>
  <c r="F2553" i="72" s="1"/>
  <c r="G2555" i="72" s="1"/>
  <c r="G382" i="72"/>
  <c r="F16" i="76" s="1"/>
  <c r="G16" i="13" s="1"/>
  <c r="H16" i="13" s="1"/>
  <c r="F360" i="72"/>
  <c r="G362" i="72" s="1"/>
  <c r="G1469" i="72"/>
  <c r="F57" i="76" s="1"/>
  <c r="G55" i="13" s="1"/>
  <c r="H55" i="13" s="1"/>
  <c r="F1448" i="72"/>
  <c r="G1450" i="72" s="1"/>
  <c r="G2347" i="72"/>
  <c r="F85" i="76" s="1"/>
  <c r="G83" i="13" s="1"/>
  <c r="H83" i="13" s="1"/>
  <c r="F2326" i="72"/>
  <c r="G2328" i="72" s="1"/>
  <c r="D2203" i="72"/>
  <c r="F2203" i="72" s="1"/>
  <c r="G2205" i="72" s="1"/>
  <c r="S684" i="57"/>
  <c r="S689" i="57"/>
  <c r="F2011" i="72"/>
  <c r="G2013" i="72" s="1"/>
  <c r="G2032" i="72"/>
  <c r="F75" i="76" s="1"/>
  <c r="G73" i="13" s="1"/>
  <c r="H73" i="13" s="1"/>
  <c r="F396" i="72"/>
  <c r="G398" i="72" s="1"/>
  <c r="G418" i="72" s="1"/>
  <c r="F17" i="76" s="1"/>
  <c r="G17" i="13" s="1"/>
  <c r="H17" i="13" s="1"/>
  <c r="C577" i="72"/>
  <c r="F319" i="78"/>
  <c r="G321" i="78" s="1"/>
  <c r="G345" i="78" s="1"/>
  <c r="F1307" i="72"/>
  <c r="G1309" i="72" s="1"/>
  <c r="F2291" i="72"/>
  <c r="G2293" i="72" s="1"/>
  <c r="G2312" i="72"/>
  <c r="F84" i="76" s="1"/>
  <c r="G82" i="13" s="1"/>
  <c r="H82" i="13" s="1"/>
  <c r="G44" i="72"/>
  <c r="F15" i="72"/>
  <c r="F820" i="72"/>
  <c r="G822" i="72" s="1"/>
  <c r="D1151" i="64"/>
  <c r="F1151" i="64" s="1"/>
  <c r="G565" i="64"/>
  <c r="K479" i="57"/>
  <c r="S479" i="57" s="1"/>
  <c r="F51" i="13" s="1"/>
  <c r="S478" i="57"/>
  <c r="F50" i="13" s="1"/>
  <c r="F13" i="13"/>
  <c r="L37" i="57"/>
  <c r="S37" i="57" s="1"/>
  <c r="F14" i="13" s="1"/>
  <c r="D271" i="72"/>
  <c r="F271" i="72" s="1"/>
  <c r="G273" i="72" s="1"/>
  <c r="G2067" i="72"/>
  <c r="F76" i="76" s="1"/>
  <c r="G74" i="13" s="1"/>
  <c r="H74" i="13" s="1"/>
  <c r="F2046" i="72"/>
  <c r="G2048" i="72" s="1"/>
  <c r="F606" i="72"/>
  <c r="G608" i="72" s="1"/>
  <c r="D2448" i="72"/>
  <c r="F2448" i="72" s="1"/>
  <c r="G2450" i="72" s="1"/>
  <c r="F1766" i="72"/>
  <c r="G1768" i="72" s="1"/>
  <c r="G1787" i="72" s="1"/>
  <c r="F68" i="76" s="1"/>
  <c r="G66" i="13" s="1"/>
  <c r="H66" i="13" s="1"/>
  <c r="F57" i="72"/>
  <c r="G59" i="72" s="1"/>
  <c r="F1520" i="72"/>
  <c r="G1522" i="72" s="1"/>
  <c r="G1542" i="72"/>
  <c r="F59" i="76" s="1"/>
  <c r="G57" i="13" s="1"/>
  <c r="H57" i="13" s="1"/>
  <c r="F501" i="72"/>
  <c r="G503" i="72" s="1"/>
  <c r="F2680" i="72"/>
  <c r="G2682" i="72" s="1"/>
  <c r="F1661" i="72"/>
  <c r="G1663" i="72" s="1"/>
  <c r="G1682" i="72"/>
  <c r="F65" i="76" s="1"/>
  <c r="G63" i="13" s="1"/>
  <c r="H63" i="13" s="1"/>
  <c r="F2640" i="72"/>
  <c r="G2642" i="72" s="1"/>
  <c r="G2662" i="72"/>
  <c r="F95" i="76" s="1"/>
  <c r="G93" i="13" s="1"/>
  <c r="H93" i="13" s="1"/>
  <c r="F1053" i="72"/>
  <c r="G1055" i="72" s="1"/>
  <c r="F1274" i="72"/>
  <c r="G1276" i="72" s="1"/>
  <c r="G1295" i="72" s="1"/>
  <c r="F48" i="76" s="1"/>
  <c r="G46" i="13" s="1"/>
  <c r="H46" i="13" s="1"/>
  <c r="D2238" i="72"/>
  <c r="F2238" i="72" s="1"/>
  <c r="G2240" i="72" s="1"/>
  <c r="G2172" i="72"/>
  <c r="F79" i="76" s="1"/>
  <c r="G77" i="13" s="1"/>
  <c r="H77" i="13" s="1"/>
  <c r="F2151" i="72"/>
  <c r="G2153" i="72" s="1"/>
  <c r="G240" i="72"/>
  <c r="F218" i="72"/>
  <c r="G220" i="72" s="1"/>
  <c r="F860" i="72"/>
  <c r="G862" i="72" s="1"/>
  <c r="F1484" i="72"/>
  <c r="G1486" i="72" s="1"/>
  <c r="G1505" i="72" s="1"/>
  <c r="F58" i="76" s="1"/>
  <c r="G56" i="13" s="1"/>
  <c r="H56" i="13" s="1"/>
  <c r="F715" i="72"/>
  <c r="G717" i="72" s="1"/>
  <c r="D1196" i="64"/>
  <c r="F1196" i="64" s="1"/>
  <c r="G1200" i="64" s="1"/>
  <c r="F1171" i="64" s="1"/>
  <c r="G1174" i="64" s="1"/>
  <c r="B1238" i="64"/>
  <c r="G229" i="78"/>
  <c r="F207" i="78"/>
  <c r="G209" i="78" s="1"/>
  <c r="G41" i="64"/>
  <c r="F135" i="76" s="1"/>
  <c r="G132" i="13" s="1"/>
  <c r="H132" i="13" s="1"/>
  <c r="H131" i="13" s="1"/>
  <c r="G477" i="64"/>
  <c r="F145" i="76" s="1"/>
  <c r="G142" i="13" s="1"/>
  <c r="H142" i="13" s="1"/>
  <c r="D165" i="64"/>
  <c r="F165" i="64" s="1"/>
  <c r="G167" i="64" s="1"/>
  <c r="F140" i="64" s="1"/>
  <c r="G145" i="64" s="1"/>
  <c r="F920" i="64"/>
  <c r="F921" i="64"/>
  <c r="G123" i="64"/>
  <c r="F96" i="64" s="1"/>
  <c r="G101" i="64" s="1"/>
  <c r="G242" i="64"/>
  <c r="G388" i="64"/>
  <c r="F122" i="76" s="1"/>
  <c r="G119" i="13" s="1"/>
  <c r="H119" i="13" s="1"/>
  <c r="G302" i="64"/>
  <c r="B1237" i="64"/>
  <c r="B1282" i="64" s="1"/>
  <c r="G83" i="64"/>
  <c r="B208" i="64"/>
  <c r="D208" i="64" s="1"/>
  <c r="F208" i="64" s="1"/>
  <c r="G1156" i="64"/>
  <c r="F1127" i="64" s="1"/>
  <c r="G1130" i="64" s="1"/>
  <c r="G1070" i="64"/>
  <c r="F114" i="76" s="1"/>
  <c r="G1027" i="64"/>
  <c r="G110" i="13" s="1"/>
  <c r="G344" i="64"/>
  <c r="F123" i="76" s="1"/>
  <c r="G120" i="13" s="1"/>
  <c r="H120" i="13" s="1"/>
  <c r="F492" i="64"/>
  <c r="G495" i="64" s="1"/>
  <c r="G521" i="64" s="1"/>
  <c r="F148" i="76" s="1"/>
  <c r="G145" i="13" s="1"/>
  <c r="H145" i="13" s="1"/>
  <c r="D595" i="64"/>
  <c r="F595" i="64" s="1"/>
  <c r="G597" i="64" s="1"/>
  <c r="G613" i="64" s="1"/>
  <c r="G875" i="64"/>
  <c r="G892" i="64" s="1"/>
  <c r="F107" i="64"/>
  <c r="G110" i="64" s="1"/>
  <c r="D151" i="64"/>
  <c r="F151" i="64" s="1"/>
  <c r="G154" i="64" s="1"/>
  <c r="F1136" i="64"/>
  <c r="D1180" i="64"/>
  <c r="D209" i="64"/>
  <c r="F209" i="64" s="1"/>
  <c r="B253" i="64"/>
  <c r="D253" i="64" s="1"/>
  <c r="F253" i="64" s="1"/>
  <c r="G983" i="64"/>
  <c r="G111" i="13" s="1"/>
  <c r="G848" i="64"/>
  <c r="F1137" i="64"/>
  <c r="D1181" i="64"/>
  <c r="G1114" i="64"/>
  <c r="F404" i="64"/>
  <c r="G407" i="64" s="1"/>
  <c r="G433" i="64" s="1"/>
  <c r="F144" i="76" s="1"/>
  <c r="G141" i="13" s="1"/>
  <c r="H141" i="13" s="1"/>
  <c r="F1182" i="64"/>
  <c r="D1227" i="64"/>
  <c r="F909" i="64"/>
  <c r="G912" i="64" s="1"/>
  <c r="F120" i="76"/>
  <c r="G117" i="13" s="1"/>
  <c r="H117" i="13" s="1"/>
  <c r="H205" i="13"/>
  <c r="H206" i="13" s="1"/>
  <c r="Y44" i="84"/>
  <c r="U44" i="84"/>
  <c r="D1059" i="72" l="1"/>
  <c r="F1059" i="72" s="1"/>
  <c r="D577" i="72"/>
  <c r="F577" i="72" s="1"/>
  <c r="D791" i="72"/>
  <c r="F791" i="72" s="1"/>
  <c r="D507" i="72"/>
  <c r="F507" i="72" s="1"/>
  <c r="D612" i="72"/>
  <c r="F612" i="72" s="1"/>
  <c r="D542" i="72"/>
  <c r="F542" i="72" s="1"/>
  <c r="D826" i="72"/>
  <c r="F826" i="72" s="1"/>
  <c r="D721" i="72"/>
  <c r="F721" i="72" s="1"/>
  <c r="D685" i="72"/>
  <c r="F685" i="72" s="1"/>
  <c r="D756" i="72"/>
  <c r="F756" i="72" s="1"/>
  <c r="D2690" i="72"/>
  <c r="F2690" i="72" s="1"/>
  <c r="Y29" i="84"/>
  <c r="U29" i="84"/>
  <c r="D947" i="72"/>
  <c r="F947" i="72" s="1"/>
  <c r="D1023" i="72"/>
  <c r="F1023" i="72" s="1"/>
  <c r="D985" i="72"/>
  <c r="F985" i="72" s="1"/>
  <c r="F2186" i="72"/>
  <c r="G2188" i="72" s="1"/>
  <c r="G2207" i="72" s="1"/>
  <c r="F80" i="76" s="1"/>
  <c r="G78" i="13" s="1"/>
  <c r="H78" i="13" s="1"/>
  <c r="D825" i="72"/>
  <c r="F825" i="72" s="1"/>
  <c r="D647" i="72"/>
  <c r="F647" i="72" s="1"/>
  <c r="D1058" i="72"/>
  <c r="F1058" i="72" s="1"/>
  <c r="D790" i="72"/>
  <c r="F790" i="72" s="1"/>
  <c r="D755" i="72"/>
  <c r="F755" i="72" s="1"/>
  <c r="D506" i="72"/>
  <c r="F506" i="72" s="1"/>
  <c r="D984" i="72"/>
  <c r="F984" i="72" s="1"/>
  <c r="D65" i="72"/>
  <c r="F65" i="72" s="1"/>
  <c r="D1347" i="72"/>
  <c r="F1347" i="72" s="1"/>
  <c r="F33" i="76"/>
  <c r="G31" i="13" s="1"/>
  <c r="H31" i="13" s="1"/>
  <c r="D946" i="72"/>
  <c r="F946" i="72" s="1"/>
  <c r="F949" i="72" s="1"/>
  <c r="G951" i="72" s="1"/>
  <c r="G964" i="72" s="1"/>
  <c r="F34" i="76" s="1"/>
  <c r="G32" i="13" s="1"/>
  <c r="H32" i="13" s="1"/>
  <c r="D720" i="72"/>
  <c r="F720" i="72" s="1"/>
  <c r="D611" i="72"/>
  <c r="F611" i="72" s="1"/>
  <c r="D1022" i="72"/>
  <c r="F1022" i="72" s="1"/>
  <c r="F1025" i="72" s="1"/>
  <c r="G1027" i="72" s="1"/>
  <c r="G1040" i="72" s="1"/>
  <c r="F36" i="76" s="1"/>
  <c r="G34" i="13" s="1"/>
  <c r="H34" i="13" s="1"/>
  <c r="D110" i="72"/>
  <c r="F110" i="72" s="1"/>
  <c r="D684" i="72"/>
  <c r="F684" i="72" s="1"/>
  <c r="D541" i="72"/>
  <c r="F541" i="72" s="1"/>
  <c r="D2688" i="72"/>
  <c r="F2688" i="72" s="1"/>
  <c r="G2693" i="72" s="1"/>
  <c r="G2706" i="72" s="1"/>
  <c r="F99" i="76" s="1"/>
  <c r="G97" i="13" s="1"/>
  <c r="H97" i="13" s="1"/>
  <c r="H91" i="13" s="1"/>
  <c r="D2689" i="72"/>
  <c r="F2689" i="72" s="1"/>
  <c r="F39" i="76"/>
  <c r="G37" i="13" s="1"/>
  <c r="H37" i="13" s="1"/>
  <c r="H36" i="13" s="1"/>
  <c r="C16" i="84" s="1"/>
  <c r="D866" i="72"/>
  <c r="F866" i="72" s="1"/>
  <c r="D649" i="72"/>
  <c r="F649" i="72" s="1"/>
  <c r="D908" i="72"/>
  <c r="F908" i="72" s="1"/>
  <c r="F2431" i="72"/>
  <c r="G2433" i="72" s="1"/>
  <c r="G2452" i="72" s="1"/>
  <c r="F88" i="76" s="1"/>
  <c r="G86" i="13" s="1"/>
  <c r="H86" i="13" s="1"/>
  <c r="F131" i="76"/>
  <c r="G128" i="13" s="1"/>
  <c r="H128" i="13" s="1"/>
  <c r="D1238" i="64"/>
  <c r="F1238" i="64" s="1"/>
  <c r="B1283" i="64"/>
  <c r="F2221" i="72"/>
  <c r="G2223" i="72" s="1"/>
  <c r="G2242" i="72"/>
  <c r="F82" i="76" s="1"/>
  <c r="G80" i="13" s="1"/>
  <c r="H80" i="13" s="1"/>
  <c r="F253" i="72"/>
  <c r="G255" i="72" s="1"/>
  <c r="G275" i="72"/>
  <c r="F11" i="76" s="1"/>
  <c r="G11" i="13" s="1"/>
  <c r="H11" i="13" s="1"/>
  <c r="H51" i="13"/>
  <c r="F1801" i="72"/>
  <c r="G1803" i="72" s="1"/>
  <c r="G1822" i="72" s="1"/>
  <c r="F69" i="76" s="1"/>
  <c r="G67" i="13" s="1"/>
  <c r="H67" i="13" s="1"/>
  <c r="F14" i="76"/>
  <c r="G14" i="13" s="1"/>
  <c r="F8" i="76"/>
  <c r="H14" i="13"/>
  <c r="H15" i="13"/>
  <c r="D865" i="72"/>
  <c r="F865" i="72" s="1"/>
  <c r="D576" i="72"/>
  <c r="F576" i="72" s="1"/>
  <c r="D907" i="72"/>
  <c r="F907" i="72" s="1"/>
  <c r="F170" i="78"/>
  <c r="G172" i="78" s="1"/>
  <c r="G193" i="78"/>
  <c r="F289" i="72"/>
  <c r="G291" i="72" s="1"/>
  <c r="G311" i="72" s="1"/>
  <c r="F12" i="76" s="1"/>
  <c r="G12" i="13" s="1"/>
  <c r="H12" i="13" s="1"/>
  <c r="H10" i="13" s="1"/>
  <c r="F1128" i="72"/>
  <c r="G1130" i="72" s="1"/>
  <c r="H13" i="13"/>
  <c r="F2536" i="72"/>
  <c r="G2538" i="72" s="1"/>
  <c r="G2557" i="72" s="1"/>
  <c r="F91" i="76" s="1"/>
  <c r="G89" i="13" s="1"/>
  <c r="H89" i="13" s="1"/>
  <c r="F1906" i="72"/>
  <c r="G1908" i="72" s="1"/>
  <c r="G1927" i="72"/>
  <c r="F72" i="76" s="1"/>
  <c r="G70" i="13" s="1"/>
  <c r="H70" i="13" s="1"/>
  <c r="F15" i="78"/>
  <c r="G44" i="78"/>
  <c r="F1626" i="72"/>
  <c r="G1628" i="72" s="1"/>
  <c r="G1647" i="72"/>
  <c r="F64" i="76" s="1"/>
  <c r="G62" i="13" s="1"/>
  <c r="H62" i="13" s="1"/>
  <c r="H60" i="13" s="1"/>
  <c r="K472" i="57"/>
  <c r="S472" i="57" s="1"/>
  <c r="F44" i="13" s="1"/>
  <c r="H44" i="13" s="1"/>
  <c r="K473" i="57"/>
  <c r="S473" i="57" s="1"/>
  <c r="F45" i="13" s="1"/>
  <c r="H45" i="13" s="1"/>
  <c r="S465" i="57"/>
  <c r="F40" i="13" s="1"/>
  <c r="D1237" i="64"/>
  <c r="F1237" i="64" s="1"/>
  <c r="G1242" i="64" s="1"/>
  <c r="F1216" i="64" s="1"/>
  <c r="G1219" i="64" s="1"/>
  <c r="F132" i="76"/>
  <c r="G129" i="13" s="1"/>
  <c r="H129" i="13" s="1"/>
  <c r="G125" i="64"/>
  <c r="F130" i="76" s="1"/>
  <c r="G127" i="13" s="1"/>
  <c r="H127" i="13" s="1"/>
  <c r="F121" i="76"/>
  <c r="G118" i="13" s="1"/>
  <c r="H118" i="13" s="1"/>
  <c r="G923" i="64"/>
  <c r="G937" i="64" s="1"/>
  <c r="G109" i="13" s="1"/>
  <c r="G211" i="64"/>
  <c r="F184" i="64" s="1"/>
  <c r="G189" i="64" s="1"/>
  <c r="B252" i="64"/>
  <c r="D252" i="64" s="1"/>
  <c r="F252" i="64" s="1"/>
  <c r="G255" i="64" s="1"/>
  <c r="G169" i="64"/>
  <c r="F129" i="76" s="1"/>
  <c r="G126" i="13" s="1"/>
  <c r="H126" i="13" s="1"/>
  <c r="G1141" i="64"/>
  <c r="G1158" i="64" s="1"/>
  <c r="F109" i="76"/>
  <c r="H107" i="13" s="1"/>
  <c r="F108" i="76"/>
  <c r="H106" i="13" s="1"/>
  <c r="F107" i="76"/>
  <c r="G105" i="13" s="1"/>
  <c r="H105" i="13" s="1"/>
  <c r="F110" i="76"/>
  <c r="H108" i="13" s="1"/>
  <c r="F1180" i="64"/>
  <c r="D1225" i="64"/>
  <c r="F1181" i="64"/>
  <c r="G1185" i="64" s="1"/>
  <c r="G1202" i="64" s="1"/>
  <c r="D1226" i="64"/>
  <c r="D1282" i="64"/>
  <c r="F1282" i="64" s="1"/>
  <c r="B1326" i="64"/>
  <c r="G213" i="64"/>
  <c r="F1227" i="64"/>
  <c r="D1270" i="64"/>
  <c r="F228" i="64"/>
  <c r="G233" i="64" s="1"/>
  <c r="G257" i="64" s="1"/>
  <c r="F118" i="76"/>
  <c r="G115" i="13" s="1"/>
  <c r="H115" i="13" s="1"/>
  <c r="H43" i="13" l="1"/>
  <c r="C22" i="84" s="1"/>
  <c r="H59" i="13"/>
  <c r="C31" i="84" s="1"/>
  <c r="F911" i="72"/>
  <c r="G913" i="72" s="1"/>
  <c r="G926" i="72" s="1"/>
  <c r="F32" i="76" s="1"/>
  <c r="H79" i="13"/>
  <c r="F508" i="72"/>
  <c r="G510" i="72" s="1"/>
  <c r="G523" i="72" s="1"/>
  <c r="F21" i="76" s="1"/>
  <c r="G21" i="13" s="1"/>
  <c r="H21" i="13" s="1"/>
  <c r="G652" i="72"/>
  <c r="G665" i="72" s="1"/>
  <c r="F25" i="76" s="1"/>
  <c r="G25" i="13" s="1"/>
  <c r="H25" i="13" s="1"/>
  <c r="F650" i="72"/>
  <c r="F578" i="72"/>
  <c r="G580" i="72" s="1"/>
  <c r="G593" i="72" s="1"/>
  <c r="F23" i="76" s="1"/>
  <c r="G23" i="13" s="1"/>
  <c r="H23" i="13" s="1"/>
  <c r="G545" i="72"/>
  <c r="G558" i="72" s="1"/>
  <c r="F22" i="76" s="1"/>
  <c r="G22" i="13" s="1"/>
  <c r="H22" i="13" s="1"/>
  <c r="F543" i="72"/>
  <c r="F613" i="72"/>
  <c r="G615" i="72" s="1"/>
  <c r="G628" i="72" s="1"/>
  <c r="F24" i="76" s="1"/>
  <c r="G24" i="13" s="1"/>
  <c r="H24" i="13" s="1"/>
  <c r="G1350" i="72"/>
  <c r="G1363" i="72" s="1"/>
  <c r="F51" i="76" s="1"/>
  <c r="G49" i="13" s="1"/>
  <c r="H49" i="13" s="1"/>
  <c r="F1348" i="72"/>
  <c r="G759" i="72"/>
  <c r="G772" i="72" s="1"/>
  <c r="F28" i="76" s="1"/>
  <c r="G28" i="13" s="1"/>
  <c r="H28" i="13" s="1"/>
  <c r="F757" i="72"/>
  <c r="F827" i="72"/>
  <c r="G829" i="72" s="1"/>
  <c r="G842" i="72" s="1"/>
  <c r="F30" i="76" s="1"/>
  <c r="G30" i="13" s="1"/>
  <c r="H30" i="13" s="1"/>
  <c r="D1096" i="72"/>
  <c r="F1096" i="72" s="1"/>
  <c r="D1312" i="72"/>
  <c r="F1312" i="72" s="1"/>
  <c r="D1381" i="72"/>
  <c r="F1381" i="72" s="1"/>
  <c r="D1133" i="72"/>
  <c r="F1133" i="72" s="1"/>
  <c r="D1170" i="72"/>
  <c r="F1170" i="72" s="1"/>
  <c r="F869" i="72"/>
  <c r="G871" i="72" s="1"/>
  <c r="G884" i="72" s="1"/>
  <c r="F31" i="76" s="1"/>
  <c r="B1327" i="64"/>
  <c r="D1283" i="64"/>
  <c r="F1283" i="64" s="1"/>
  <c r="G1287" i="64" s="1"/>
  <c r="F1259" i="64" s="1"/>
  <c r="G1262" i="64" s="1"/>
  <c r="M17" i="84"/>
  <c r="Y17" i="84"/>
  <c r="U17" i="84"/>
  <c r="Q17" i="84"/>
  <c r="F686" i="72"/>
  <c r="G688" i="72" s="1"/>
  <c r="G701" i="72" s="1"/>
  <c r="F26" i="76" s="1"/>
  <c r="G26" i="13" s="1"/>
  <c r="H26" i="13" s="1"/>
  <c r="F722" i="72"/>
  <c r="G724" i="72"/>
  <c r="G737" i="72" s="1"/>
  <c r="F27" i="76" s="1"/>
  <c r="G27" i="13" s="1"/>
  <c r="H27" i="13" s="1"/>
  <c r="F74" i="72"/>
  <c r="G76" i="72" s="1"/>
  <c r="G89" i="72" s="1"/>
  <c r="F4" i="76" s="1"/>
  <c r="G6" i="13" s="1"/>
  <c r="H6" i="13" s="1"/>
  <c r="H5" i="13" s="1"/>
  <c r="C7" i="84" s="1"/>
  <c r="F792" i="72"/>
  <c r="G794" i="72"/>
  <c r="G807" i="72" s="1"/>
  <c r="F29" i="76" s="1"/>
  <c r="G29" i="13" s="1"/>
  <c r="H29" i="13" s="1"/>
  <c r="F119" i="76"/>
  <c r="G116" i="13" s="1"/>
  <c r="H116" i="13" s="1"/>
  <c r="H9" i="13"/>
  <c r="C10" i="84" s="1"/>
  <c r="F111" i="72"/>
  <c r="G113" i="72"/>
  <c r="G126" i="72" s="1"/>
  <c r="F5" i="76" s="1"/>
  <c r="G7" i="13" s="1"/>
  <c r="H7" i="13" s="1"/>
  <c r="F987" i="72"/>
  <c r="G989" i="72" s="1"/>
  <c r="G1002" i="72" s="1"/>
  <c r="F35" i="76" s="1"/>
  <c r="G33" i="13" s="1"/>
  <c r="H33" i="13" s="1"/>
  <c r="F1060" i="72"/>
  <c r="G1062" i="72"/>
  <c r="G1075" i="72" s="1"/>
  <c r="F37" i="76" s="1"/>
  <c r="G35" i="13" s="1"/>
  <c r="H35" i="13" s="1"/>
  <c r="F113" i="76"/>
  <c r="H111" i="13" s="1"/>
  <c r="F112" i="76"/>
  <c r="H110" i="13" s="1"/>
  <c r="F111" i="76"/>
  <c r="H109" i="13" s="1"/>
  <c r="D1268" i="64"/>
  <c r="F1225" i="64"/>
  <c r="F1226" i="64"/>
  <c r="D1269" i="64"/>
  <c r="D1326" i="64"/>
  <c r="F1326" i="64" s="1"/>
  <c r="B1370" i="64"/>
  <c r="D1370" i="64" s="1"/>
  <c r="F1370" i="64" s="1"/>
  <c r="D1314" i="64"/>
  <c r="F1314" i="64" s="1"/>
  <c r="F1270" i="64"/>
  <c r="F133" i="76"/>
  <c r="G130" i="13" s="1"/>
  <c r="H130" i="13" s="1"/>
  <c r="H125" i="13" s="1"/>
  <c r="F124" i="76"/>
  <c r="G121" i="13" s="1"/>
  <c r="H121" i="13" s="1"/>
  <c r="H114" i="13" s="1"/>
  <c r="I8" i="84" l="1"/>
  <c r="E8" i="84"/>
  <c r="E46" i="84" s="1"/>
  <c r="E47" i="84" s="1"/>
  <c r="H20" i="13"/>
  <c r="C13" i="84" s="1"/>
  <c r="G1174" i="72"/>
  <c r="G1187" i="72" s="1"/>
  <c r="F43" i="76" s="1"/>
  <c r="G41" i="13" s="1"/>
  <c r="H41" i="13" s="1"/>
  <c r="F1172" i="72"/>
  <c r="F1098" i="72"/>
  <c r="G1100" i="72" s="1"/>
  <c r="G1113" i="72" s="1"/>
  <c r="F41" i="76" s="1"/>
  <c r="G39" i="13" s="1"/>
  <c r="H39" i="13" s="1"/>
  <c r="H38" i="13" s="1"/>
  <c r="C19" i="84" s="1"/>
  <c r="D1327" i="64"/>
  <c r="F1327" i="64" s="1"/>
  <c r="B1371" i="64"/>
  <c r="D1371" i="64" s="1"/>
  <c r="F1371" i="64" s="1"/>
  <c r="F1135" i="72"/>
  <c r="G1137" i="72"/>
  <c r="G1150" i="72" s="1"/>
  <c r="F42" i="76" s="1"/>
  <c r="G40" i="13" s="1"/>
  <c r="H40" i="13" s="1"/>
  <c r="G1331" i="64"/>
  <c r="F1303" i="64" s="1"/>
  <c r="G1306" i="64" s="1"/>
  <c r="E11" i="84"/>
  <c r="I11" i="84"/>
  <c r="F1384" i="72"/>
  <c r="G1386" i="72" s="1"/>
  <c r="G1399" i="72" s="1"/>
  <c r="F52" i="76" s="1"/>
  <c r="G50" i="13" s="1"/>
  <c r="H50" i="13" s="1"/>
  <c r="H47" i="13" s="1"/>
  <c r="C25" i="84" s="1"/>
  <c r="Y32" i="84"/>
  <c r="Q32" i="84"/>
  <c r="U32" i="84"/>
  <c r="G1375" i="64"/>
  <c r="F1347" i="64" s="1"/>
  <c r="G1350" i="64" s="1"/>
  <c r="G1377" i="64" s="1"/>
  <c r="F1314" i="72"/>
  <c r="G1316" i="72"/>
  <c r="G1329" i="72" s="1"/>
  <c r="F50" i="76" s="1"/>
  <c r="G48" i="13" s="1"/>
  <c r="H48" i="13" s="1"/>
  <c r="Y23" i="84"/>
  <c r="U23" i="84"/>
  <c r="G1230" i="64"/>
  <c r="G1244" i="64" s="1"/>
  <c r="F106" i="76" s="1"/>
  <c r="F1268" i="64"/>
  <c r="D1312" i="64"/>
  <c r="F1312" i="64" s="1"/>
  <c r="F1269" i="64"/>
  <c r="G1273" i="64" s="1"/>
  <c r="G1289" i="64" s="1"/>
  <c r="F105" i="76" s="1"/>
  <c r="G103" i="13" s="1"/>
  <c r="H103" i="13" s="1"/>
  <c r="D1313" i="64"/>
  <c r="F1313" i="64" s="1"/>
  <c r="U26" i="84" l="1"/>
  <c r="Q26" i="84"/>
  <c r="M20" i="84"/>
  <c r="Q20" i="84"/>
  <c r="I14" i="84"/>
  <c r="I46" i="84" s="1"/>
  <c r="I47" i="84" s="1"/>
  <c r="M14" i="84"/>
  <c r="M46" i="84" s="1"/>
  <c r="G1317" i="64"/>
  <c r="G1333" i="64" s="1"/>
  <c r="F104" i="76" s="1"/>
  <c r="G102" i="13" s="1"/>
  <c r="H102" i="13" s="1"/>
  <c r="M47" i="84" l="1"/>
  <c r="F103" i="76"/>
  <c r="G101" i="13" s="1"/>
  <c r="H101" i="13" s="1"/>
  <c r="H99" i="13" s="1"/>
  <c r="C34" i="84" l="1"/>
  <c r="H192" i="13"/>
  <c r="H193" i="13" l="1"/>
  <c r="H194" i="13"/>
  <c r="K3" i="86"/>
  <c r="H195" i="13"/>
  <c r="Y35" i="84"/>
  <c r="Y46" i="84" s="1"/>
  <c r="U35" i="84"/>
  <c r="U46" i="84" s="1"/>
  <c r="Q35" i="84"/>
  <c r="Q46" i="84" s="1"/>
  <c r="Q47" i="84" s="1"/>
  <c r="U47" i="84" l="1"/>
  <c r="Y47" i="84" s="1"/>
  <c r="I20" i="86"/>
  <c r="I16" i="86"/>
  <c r="I50" i="86"/>
  <c r="I58" i="86"/>
  <c r="I53" i="86"/>
  <c r="I40" i="86"/>
  <c r="I7" i="86"/>
  <c r="I37" i="86"/>
  <c r="K65" i="86"/>
  <c r="I46" i="86"/>
  <c r="I23" i="86"/>
  <c r="I30" i="86"/>
  <c r="K64" i="86"/>
  <c r="I27" i="86"/>
  <c r="K68" i="86"/>
  <c r="H196" i="13"/>
  <c r="H197" i="13" s="1"/>
  <c r="H208" i="13" s="1"/>
  <c r="H210" i="13" s="1"/>
  <c r="K66" i="86" l="1"/>
  <c r="K69" i="86" s="1"/>
  <c r="K71" i="86" s="1"/>
  <c r="I63" i="86"/>
  <c r="I66" i="86" s="1"/>
</calcChain>
</file>

<file path=xl/sharedStrings.xml><?xml version="1.0" encoding="utf-8"?>
<sst xmlns="http://schemas.openxmlformats.org/spreadsheetml/2006/main" count="15479" uniqueCount="2485">
  <si>
    <t>SECRETARIA DE INFRAESTRUCTURA</t>
  </si>
  <si>
    <t xml:space="preserve">ALCALDIA DE QUIBDÓ </t>
  </si>
  <si>
    <t xml:space="preserve">DESCRIPCIÓN </t>
  </si>
  <si>
    <t>UND.</t>
  </si>
  <si>
    <t>V/UNITARIO</t>
  </si>
  <si>
    <t>V/TOTAL</t>
  </si>
  <si>
    <t>CANT.</t>
  </si>
  <si>
    <t>1.1</t>
  </si>
  <si>
    <t>1.2</t>
  </si>
  <si>
    <t>2.1</t>
  </si>
  <si>
    <t>2.2</t>
  </si>
  <si>
    <t>m³</t>
  </si>
  <si>
    <t>m²</t>
  </si>
  <si>
    <t>und</t>
  </si>
  <si>
    <t>Kg</t>
  </si>
  <si>
    <t>ml</t>
  </si>
  <si>
    <t>COSTOS INDIRECTOS</t>
  </si>
  <si>
    <t>ADMINISTRACION</t>
  </si>
  <si>
    <t>IMPREVISTOS</t>
  </si>
  <si>
    <t>UTILIDAD</t>
  </si>
  <si>
    <t>Area (m2)</t>
  </si>
  <si>
    <t>Vol. (m3)</t>
  </si>
  <si>
    <t>Alto (m)</t>
  </si>
  <si>
    <t>ANALISIS DE PRECIOS UNITARIO</t>
  </si>
  <si>
    <t>Unidad</t>
  </si>
  <si>
    <t xml:space="preserve"> </t>
  </si>
  <si>
    <t>Tipo</t>
  </si>
  <si>
    <t>Tarifa/Hora</t>
  </si>
  <si>
    <t>Rendimiento</t>
  </si>
  <si>
    <t>Vr. Unitario T/R</t>
  </si>
  <si>
    <t>Herramienta menor  5 % Mano de Obra</t>
  </si>
  <si>
    <t>SUBTOTAL</t>
  </si>
  <si>
    <t>Unid.</t>
  </si>
  <si>
    <t>Precio Unit.</t>
  </si>
  <si>
    <t>Cantidad</t>
  </si>
  <si>
    <t>Vr. Unitario</t>
  </si>
  <si>
    <t>Und.</t>
  </si>
  <si>
    <t>Gl.</t>
  </si>
  <si>
    <t>Distancia Km.</t>
  </si>
  <si>
    <t>Vol o Peso</t>
  </si>
  <si>
    <t>Tarifa</t>
  </si>
  <si>
    <t>IV MANO DE OBRA</t>
  </si>
  <si>
    <t>Jornal</t>
  </si>
  <si>
    <t>Prest.</t>
  </si>
  <si>
    <t>Total</t>
  </si>
  <si>
    <t>TOTAL COSTO DIRECTO UNITARIO</t>
  </si>
  <si>
    <t>M2</t>
  </si>
  <si>
    <t>Clavos</t>
  </si>
  <si>
    <t>M3</t>
  </si>
  <si>
    <t>Gl</t>
  </si>
  <si>
    <t>Ml</t>
  </si>
  <si>
    <t>%</t>
  </si>
  <si>
    <t>Concreto de 3000 PSI</t>
  </si>
  <si>
    <t>Und</t>
  </si>
  <si>
    <t>Bolsa</t>
  </si>
  <si>
    <t>Ml.</t>
  </si>
  <si>
    <t>Estopa</t>
  </si>
  <si>
    <t>Limpiador</t>
  </si>
  <si>
    <t>Ayudante</t>
  </si>
  <si>
    <t>Soldadura liquida</t>
  </si>
  <si>
    <t>Formaleta en madera - caja y tapa</t>
  </si>
  <si>
    <t>Gravilla</t>
  </si>
  <si>
    <t>Cemento blanco para sembrada tasa</t>
  </si>
  <si>
    <t>Cinta teflón</t>
  </si>
  <si>
    <t>Kg.</t>
  </si>
  <si>
    <t>Arena</t>
  </si>
  <si>
    <t>Agua</t>
  </si>
  <si>
    <t>Tacos</t>
  </si>
  <si>
    <t>Lb</t>
  </si>
  <si>
    <t>m2</t>
  </si>
  <si>
    <t>COSTOS DIRECTOS</t>
  </si>
  <si>
    <t>1.0</t>
  </si>
  <si>
    <t>2.0</t>
  </si>
  <si>
    <t>3.0</t>
  </si>
  <si>
    <t>3.1</t>
  </si>
  <si>
    <t>3.2</t>
  </si>
  <si>
    <t>4.0</t>
  </si>
  <si>
    <t>ML</t>
  </si>
  <si>
    <t>ANALISIS DE PRECIOS UNITARIOS</t>
  </si>
  <si>
    <t>Tubo PVC 4"</t>
  </si>
  <si>
    <t>Grua</t>
  </si>
  <si>
    <t>m3</t>
  </si>
  <si>
    <t>Ancho (m)</t>
  </si>
  <si>
    <t>CAP.</t>
  </si>
  <si>
    <t>INSTALACIONES ELECTRICAS</t>
  </si>
  <si>
    <t>UN</t>
  </si>
  <si>
    <t>Vacaciones</t>
  </si>
  <si>
    <t>UNIDAD</t>
  </si>
  <si>
    <t>MEMORIAS DE CALCULO</t>
  </si>
  <si>
    <t>Log. (m)</t>
  </si>
  <si>
    <t>Cant</t>
  </si>
  <si>
    <t>ITEMs</t>
  </si>
  <si>
    <t>Log. Total (m)</t>
  </si>
  <si>
    <t>PISTA SALTO CON GAROCHA</t>
  </si>
  <si>
    <t>PISTA DE SALTO LONGITUDINAL Y SALTO TRIPLE</t>
  </si>
  <si>
    <t>Foso de caida</t>
  </si>
  <si>
    <t>Zona de batida y seguridad</t>
  </si>
  <si>
    <t>Zona de caida</t>
  </si>
  <si>
    <t>SUB. CAP</t>
  </si>
  <si>
    <t>Bulto x 50 Kg.</t>
  </si>
  <si>
    <t xml:space="preserve">Cemento Blanco </t>
  </si>
  <si>
    <t>Bulto x 40 Kg.</t>
  </si>
  <si>
    <t>Marmolina</t>
  </si>
  <si>
    <t>Sika</t>
  </si>
  <si>
    <t>Bloque en Concreto de 0,20</t>
  </si>
  <si>
    <t>Bloque en Concreto de 0,15</t>
  </si>
  <si>
    <t>Calado de 0,15</t>
  </si>
  <si>
    <t>Cinta Elastomerica SIKA para tanque</t>
  </si>
  <si>
    <t>Bloque en Concreto de 0,10</t>
  </si>
  <si>
    <t>Bloque Vibrado de 0,20</t>
  </si>
  <si>
    <t>Arenón</t>
  </si>
  <si>
    <t>Mat. Relleno seleccionado</t>
  </si>
  <si>
    <t>Litro</t>
  </si>
  <si>
    <t>Acero 1/4'' mm.</t>
  </si>
  <si>
    <t>Varilla x 6 mts.</t>
  </si>
  <si>
    <t>3/8'' mm.</t>
  </si>
  <si>
    <t>1/2'' mm.</t>
  </si>
  <si>
    <t>Alambre Quemado</t>
  </si>
  <si>
    <t>Zinc Acesco ondulado</t>
  </si>
  <si>
    <t>Lámina</t>
  </si>
  <si>
    <t>Tornillos de fijación</t>
  </si>
  <si>
    <t>Tubo x 6,00 mts.</t>
  </si>
  <si>
    <t>Codo 90 Ø 2"</t>
  </si>
  <si>
    <t>Codo 45 Ø 2"</t>
  </si>
  <si>
    <t>Union Ø 2"</t>
  </si>
  <si>
    <t>Tapon Ø 2"</t>
  </si>
  <si>
    <t>Tapon Prueba Ø 2"</t>
  </si>
  <si>
    <t>Tapon Ø 3"</t>
  </si>
  <si>
    <t>Tapon Prueba Ø 3"</t>
  </si>
  <si>
    <t>Reduccion de 3'' a 2''</t>
  </si>
  <si>
    <t>Yee Ø 4"</t>
  </si>
  <si>
    <t>Tapon Ø 4"</t>
  </si>
  <si>
    <t>Tapon Prueba Ø 4"</t>
  </si>
  <si>
    <t>Reduccion de 4'' a 3''</t>
  </si>
  <si>
    <t>Reduccion de 6'' a 4''</t>
  </si>
  <si>
    <t>Tubo x 6 mts.</t>
  </si>
  <si>
    <t>Ø 3/4"</t>
  </si>
  <si>
    <t>Ø 1"</t>
  </si>
  <si>
    <t>Ø 1-1/2"·</t>
  </si>
  <si>
    <t>Ø 2"</t>
  </si>
  <si>
    <t>Ø 2 1/2"</t>
  </si>
  <si>
    <t>Ø 3"</t>
  </si>
  <si>
    <t>Ø 1/2"</t>
  </si>
  <si>
    <t>Codo 90 Ø 1/2"</t>
  </si>
  <si>
    <t>Codo 45 Ø 1/2"</t>
  </si>
  <si>
    <t xml:space="preserve">Tee Ø 1/2" </t>
  </si>
  <si>
    <t>Union Ø 1/2"</t>
  </si>
  <si>
    <t>Tapón Ø 1/2"</t>
  </si>
  <si>
    <t>Adaptador macho Ø 1/2"</t>
  </si>
  <si>
    <t>Adaptador henbra Ø 1/2"</t>
  </si>
  <si>
    <t>Codo 90 Ø 3/4"</t>
  </si>
  <si>
    <t>Codo 45 Ø 3/4"</t>
  </si>
  <si>
    <t xml:space="preserve">Tee Ø 3/4" </t>
  </si>
  <si>
    <t>Union Ø 3/4"</t>
  </si>
  <si>
    <t>Tapón Ø 3/4"</t>
  </si>
  <si>
    <t>Adaptador macho Ø 3/4"</t>
  </si>
  <si>
    <t>Adaptador henbra Ø 3/4"</t>
  </si>
  <si>
    <t>Codo 90 Ø 1"</t>
  </si>
  <si>
    <t>Codo 45 Ø 1"</t>
  </si>
  <si>
    <t xml:space="preserve">Tee Ø 1" </t>
  </si>
  <si>
    <t>Union Ø 1"</t>
  </si>
  <si>
    <t>Tapón Ø 1"</t>
  </si>
  <si>
    <t>Adaptador macho Ø 1"</t>
  </si>
  <si>
    <t>Adaptador henbra Ø 1"</t>
  </si>
  <si>
    <t>Codo 90 Ø 1-1/2"</t>
  </si>
  <si>
    <t>Codo 45 Ø 1-1/2"</t>
  </si>
  <si>
    <t>Tee Ø 1-1/2"</t>
  </si>
  <si>
    <t>Union Ø 1-1/2"</t>
  </si>
  <si>
    <t>Tapón Ø 1-1/2"</t>
  </si>
  <si>
    <t>Adaptador macho Ø 1-1/2"</t>
  </si>
  <si>
    <t>Adaptador henbra Ø 1-1/2"</t>
  </si>
  <si>
    <t>Tee Ø 2"</t>
  </si>
  <si>
    <t>Tapón Ø 2"</t>
  </si>
  <si>
    <t>Adaptador macho Ø 2"</t>
  </si>
  <si>
    <t>Adaptador henbra Ø 2"</t>
  </si>
  <si>
    <t>Limpiador pvc.</t>
  </si>
  <si>
    <t>Soldadura Liquida</t>
  </si>
  <si>
    <t>Estopa bolsa</t>
  </si>
  <si>
    <t>bolsa</t>
  </si>
  <si>
    <t>Tanque Plastico de 1000 Litros</t>
  </si>
  <si>
    <t>Ø 1- 1/2"</t>
  </si>
  <si>
    <t>Ø 2- 1/2"</t>
  </si>
  <si>
    <t>Adaptador Macho de 21/2"</t>
  </si>
  <si>
    <t>Rollo</t>
  </si>
  <si>
    <t>Enchape blanco</t>
  </si>
  <si>
    <t>Enchape color</t>
  </si>
  <si>
    <t xml:space="preserve"> M2</t>
  </si>
  <si>
    <t>Piso ceramica 20 x 20</t>
  </si>
  <si>
    <t>Basldosa granito ,30 x ,30</t>
  </si>
  <si>
    <t>Zocalo  granito</t>
  </si>
  <si>
    <t xml:space="preserve">Pegacor </t>
  </si>
  <si>
    <t>Carnaza</t>
  </si>
  <si>
    <t>Orinal Institucional</t>
  </si>
  <si>
    <t>Sanitario Antibandalico</t>
  </si>
  <si>
    <t>Lavamanos blanco</t>
  </si>
  <si>
    <t>lavaplatos acero, escurridero, completo</t>
  </si>
  <si>
    <t>Acople con llave</t>
  </si>
  <si>
    <t>Ducha cromo</t>
  </si>
  <si>
    <t>Registro poma ducha</t>
  </si>
  <si>
    <t>Bomba de 2HP</t>
  </si>
  <si>
    <t>Bomba  Pedrollo de 4 HP CP 230 C</t>
  </si>
  <si>
    <t>Bomba  Pedrollo de 3 HP CP 220 C</t>
  </si>
  <si>
    <t>Granito # 2</t>
  </si>
  <si>
    <t>Saco</t>
  </si>
  <si>
    <t>Granito # 3</t>
  </si>
  <si>
    <t>Tanque Hidroneumatico de 50 litros</t>
  </si>
  <si>
    <t>Tanque Hidroneumatico de 25 litros</t>
  </si>
  <si>
    <t>Viniltex</t>
  </si>
  <si>
    <t>Galón</t>
  </si>
  <si>
    <t>Koraza</t>
  </si>
  <si>
    <t>Tabla 1'' x 8'' Cepillada 1 cara</t>
  </si>
  <si>
    <t>Docena</t>
  </si>
  <si>
    <t>Tabla 1'' x 8'' sin cepillar</t>
  </si>
  <si>
    <t>Tabla 1'' x 6''</t>
  </si>
  <si>
    <t>Vareta 1'' x 2''</t>
  </si>
  <si>
    <t>Liston 2'' x 2''</t>
  </si>
  <si>
    <t>Liston 2'' x 3''</t>
  </si>
  <si>
    <t>Liston 2'' x 4''</t>
  </si>
  <si>
    <t>Guayacan</t>
  </si>
  <si>
    <t>Vareta 1'' x 4''</t>
  </si>
  <si>
    <t>Lb.</t>
  </si>
  <si>
    <t>Cable 2/0</t>
  </si>
  <si>
    <t>Cable # 4</t>
  </si>
  <si>
    <t>Alambre rigido # 8</t>
  </si>
  <si>
    <t>Alambre rigido # 10</t>
  </si>
  <si>
    <t>Alambre rigido # 12</t>
  </si>
  <si>
    <t>Tablero para medidor y protección general</t>
  </si>
  <si>
    <t>Tablero de control de 24 circuitos</t>
  </si>
  <si>
    <t>Tablero de control de 10 circuitos</t>
  </si>
  <si>
    <t>Tablero de control de 4 circuitos</t>
  </si>
  <si>
    <t>Tablero para tomas reguladores de 16 cts.</t>
  </si>
  <si>
    <t>Totalizador general de 3 x 100 AMP. Trifasico</t>
  </si>
  <si>
    <t>Rack</t>
  </si>
  <si>
    <t>Varilla cooperwel 1,80 mts.</t>
  </si>
  <si>
    <t>Reflector metal halide de 250 w</t>
  </si>
  <si>
    <t>Breakers 15 amp</t>
  </si>
  <si>
    <t>Breakers 40 amp</t>
  </si>
  <si>
    <t xml:space="preserve">Ducton canaleta pvc. </t>
  </si>
  <si>
    <t>U</t>
  </si>
  <si>
    <t>Cable UTP</t>
  </si>
  <si>
    <t xml:space="preserve">Face </t>
  </si>
  <si>
    <t>Toma</t>
  </si>
  <si>
    <t>Lampara fluorescente 25*48 w</t>
  </si>
  <si>
    <t>Contador 4f - trifasico 120/208 VM. Directa</t>
  </si>
  <si>
    <t>Totalizador General 300 AMP</t>
  </si>
  <si>
    <t>Varilla cooperwel 1,5 mts.</t>
  </si>
  <si>
    <t>Reflector metal halide 250 w.</t>
  </si>
  <si>
    <t>Bombillo metal halide 250 w alumbrado público</t>
  </si>
  <si>
    <t>Tubo Conduit Ø 1/2"</t>
  </si>
  <si>
    <t>Tubo Conduit Ø 3/4"</t>
  </si>
  <si>
    <t>Tubo Conduit Ø 1"</t>
  </si>
  <si>
    <t>Tubo Conduit Ø 1-1/2"</t>
  </si>
  <si>
    <t>Tubo Conduit Ø 2"</t>
  </si>
  <si>
    <t>Tubo Conduit Ø 3"</t>
  </si>
  <si>
    <t>Curva Conduit 1/2"·</t>
  </si>
  <si>
    <t>Curva Conduit 3/4"·</t>
  </si>
  <si>
    <t>Curva Conduit 1"·</t>
  </si>
  <si>
    <t>Curva Conduit 1-1/2"·</t>
  </si>
  <si>
    <t>Curva Conduit 2"·</t>
  </si>
  <si>
    <t>Curva Conduit 3"·</t>
  </si>
  <si>
    <t>Terminal 1/2"</t>
  </si>
  <si>
    <t>Terminal 3/4"</t>
  </si>
  <si>
    <t>Terminal 1"</t>
  </si>
  <si>
    <t>Caja exagonal 4*4</t>
  </si>
  <si>
    <t>Caja cuadrada 4*4</t>
  </si>
  <si>
    <t xml:space="preserve">Caja rectangular 2*4 </t>
  </si>
  <si>
    <t>Plafón porcelana</t>
  </si>
  <si>
    <t>Bombillo 100 w</t>
  </si>
  <si>
    <t>Cinta aislante - fina</t>
  </si>
  <si>
    <t>rollo</t>
  </si>
  <si>
    <t>Interruptor sencillo</t>
  </si>
  <si>
    <t>Interruptor doble</t>
  </si>
  <si>
    <t>Toma doble</t>
  </si>
  <si>
    <t>Toma especial para estufa</t>
  </si>
  <si>
    <t>Lampara fluorescente 2 * 48 w</t>
  </si>
  <si>
    <t>Hora</t>
  </si>
  <si>
    <t>Vibrador Electrico</t>
  </si>
  <si>
    <t>VR/UNITARIO</t>
  </si>
  <si>
    <t>CIUDAD: QUIBDO - CHOCO</t>
  </si>
  <si>
    <t>TOTAL</t>
  </si>
  <si>
    <t>JORNALES EMPLEADOS OPERATIVOS</t>
  </si>
  <si>
    <t>CALCULO DE PRESTACIONES SOCIALES OBREROS</t>
  </si>
  <si>
    <t>PRESTACION</t>
  </si>
  <si>
    <t>Cuota patronal ISS. Por enfermedad</t>
  </si>
  <si>
    <t>Cuota patronal ISS. I.V.M.</t>
  </si>
  <si>
    <t>SENA,ICBF, CAJA COMP.</t>
  </si>
  <si>
    <t>Cesantias</t>
  </si>
  <si>
    <t>Intereses sobre las Cesantias</t>
  </si>
  <si>
    <t>Prima de Servicios</t>
  </si>
  <si>
    <t>Auxilio de transporte</t>
  </si>
  <si>
    <t>Seguro de vida colectivo</t>
  </si>
  <si>
    <t>Examenes Medicos de Ingreso y Retiro</t>
  </si>
  <si>
    <t>Equipos de Seguridad y Uniformes</t>
  </si>
  <si>
    <t>RECARGO AL JORNAL</t>
  </si>
  <si>
    <t>Descanso Dominical Remunerado</t>
  </si>
  <si>
    <t>Descanso Dias Festivos Remunerado</t>
  </si>
  <si>
    <t>Sabados 1/2 dia Remunerado</t>
  </si>
  <si>
    <t>Perdida tiempo por condiciones climáticas</t>
  </si>
  <si>
    <t>Permisos remunerados</t>
  </si>
  <si>
    <t>TOTAL PORCENTAJE DE PRESTACIONES</t>
  </si>
  <si>
    <t>CODIGO</t>
  </si>
  <si>
    <t>DEPARTAMENTO DEL CHOCO</t>
  </si>
  <si>
    <t>VERSION</t>
  </si>
  <si>
    <t xml:space="preserve">Hoja N° : </t>
  </si>
  <si>
    <t>Fecha:</t>
  </si>
  <si>
    <t xml:space="preserve">III TRANSPORTE </t>
  </si>
  <si>
    <t>Rendi-miento/Dia</t>
  </si>
  <si>
    <t>ValorTotal</t>
  </si>
  <si>
    <t>IMPREVISTO</t>
  </si>
  <si>
    <t>IVA SOBRE UTILIDAD</t>
  </si>
  <si>
    <t xml:space="preserve">PRECIO TOTAL UNITARIO </t>
  </si>
  <si>
    <t>:       Ml</t>
  </si>
  <si>
    <t>Tuberia pvc. Pavco Ø 6"</t>
  </si>
  <si>
    <t>Accesorio - unión pvc. Ø 6"</t>
  </si>
  <si>
    <t>Oficial fontanería</t>
  </si>
  <si>
    <t>1 Ayudante</t>
  </si>
  <si>
    <t>Tuberia pvc. Pavco Ø 3"</t>
  </si>
  <si>
    <t>Accesorio - unión pvc. Ø 3"</t>
  </si>
  <si>
    <t>Tuberia pvc. Pavco Ø 4"</t>
  </si>
  <si>
    <t>Accesorio - unión pvc. Ø 4"</t>
  </si>
  <si>
    <t>Tuberia pvc. Pavco Ø 2"</t>
  </si>
  <si>
    <t>Accesorio - unión pvc. Ø 2"</t>
  </si>
  <si>
    <t>:       Und.</t>
  </si>
  <si>
    <t>Vibrador eléctrico</t>
  </si>
  <si>
    <t>Acero A-60 tapa</t>
  </si>
  <si>
    <t xml:space="preserve">Oficial  </t>
  </si>
  <si>
    <t>Tuberia pvc. A. LL.Pavco Ø 4"</t>
  </si>
  <si>
    <t>Soldadura líquida</t>
  </si>
  <si>
    <t>Abrazaderas  y tornillos de fijación c. 1,2 mts</t>
  </si>
  <si>
    <t xml:space="preserve">III TRANSPORTE  </t>
  </si>
  <si>
    <t xml:space="preserve">Accesorio  pvc. Pavco  Ø 4"  </t>
  </si>
  <si>
    <t>Limpiador Pavco</t>
  </si>
  <si>
    <t>Soldadura liquida Pavco</t>
  </si>
  <si>
    <t xml:space="preserve">Estopa </t>
  </si>
  <si>
    <t xml:space="preserve">1 Oficial fontaneria </t>
  </si>
  <si>
    <t>Movilizaciòn de accesorios al sitio de la obra</t>
  </si>
  <si>
    <t xml:space="preserve">1 Oficial  </t>
  </si>
  <si>
    <t>Accesorios pvc. + limpiador + soldadura</t>
  </si>
  <si>
    <t>Acople + registro</t>
  </si>
  <si>
    <t>Lavaplatos</t>
  </si>
  <si>
    <t>Orinal institucional</t>
  </si>
  <si>
    <t>Registro ducha</t>
  </si>
  <si>
    <t>Accesorios pvc.</t>
  </si>
  <si>
    <t>Cinta teflon</t>
  </si>
  <si>
    <t>un</t>
  </si>
  <si>
    <t>Tuberiìa  hidraulica Ø 2" Pavco</t>
  </si>
  <si>
    <t>Accesorios pvc. Ø 2 " Pavco</t>
  </si>
  <si>
    <t>Limpiador  pavco</t>
  </si>
  <si>
    <t>Soldadura lìquida pavco</t>
  </si>
  <si>
    <t>Desperdicio  tubería por corte</t>
  </si>
  <si>
    <t>Llave de Paso de 3"</t>
  </si>
  <si>
    <t>Accesorios pvc. Ø 3 " Pavco</t>
  </si>
  <si>
    <t>Llave de Paso Ø 2 1/2" Pavco</t>
  </si>
  <si>
    <t>Adaptador Macho de 2 1/2"</t>
  </si>
  <si>
    <t>Llave de paso  hidraulica Ø 2" Pavco</t>
  </si>
  <si>
    <t>u</t>
  </si>
  <si>
    <t>Accesorios pvc. Ø 1 1/2" Pavco</t>
  </si>
  <si>
    <t>Llave de Paso PVC Ø 1" Pavco</t>
  </si>
  <si>
    <t>Accesorios pvc. Ø 1" Pavco</t>
  </si>
  <si>
    <t>Llave de Paso PVC Ø 3/4" Pavco</t>
  </si>
  <si>
    <t>Accesorios pvc. Ø 3/4" Pavco</t>
  </si>
  <si>
    <t>:      Und.</t>
  </si>
  <si>
    <t>Bomba Pedrollo CP 220 C</t>
  </si>
  <si>
    <t>Accesorios pvc. Ø 2" Pavco</t>
  </si>
  <si>
    <t>Tanque Hidroneumatico de 50 Litros</t>
  </si>
  <si>
    <t>manometros de Presion</t>
  </si>
  <si>
    <t>1 Oficial  Electricidad</t>
  </si>
  <si>
    <t>Tuberiìa  hidraulica Ø 3" Pavco</t>
  </si>
  <si>
    <t>Tuberiìa  hidraulica Ø 2 1/2" Pavco</t>
  </si>
  <si>
    <t>Accesorios pvc. Ø 2 1/2" Pavco</t>
  </si>
  <si>
    <t>Tuberiìa  hdraulica Ø 1 1/2" Pavco</t>
  </si>
  <si>
    <t>Tuberiìa  hdraulica Ø 1" Pavco</t>
  </si>
  <si>
    <t>Tuberiìa  hdraulica Ø 3/4" Pavco</t>
  </si>
  <si>
    <t>UND</t>
  </si>
  <si>
    <t>KG</t>
  </si>
  <si>
    <t>Sello asfaltico</t>
  </si>
  <si>
    <t>Acelerante de fraguado sika cl</t>
  </si>
  <si>
    <t>Meson en acero inoxidable</t>
  </si>
  <si>
    <t>Cemento Gris Argos</t>
  </si>
  <si>
    <t>Teja arquitectonica gal. Cal 30 esp. 0,3 721x3050 - acesco</t>
  </si>
  <si>
    <t>Teja arquitectonica gal. Cal 30 esp. 0,3 721x3660 - acesco</t>
  </si>
  <si>
    <t>Teja arquitectonica gal. Cal 30 esp. 0,3 721x5000 - acesco</t>
  </si>
  <si>
    <t>Teja arquitectonica gal. Cal 30 esp. 0,3 721x6000 - acesco</t>
  </si>
  <si>
    <t>Varilla 1/4x6x60 (# 2) Corrugada Legitima - Diaco/Nal</t>
  </si>
  <si>
    <t>Varilla 3/8x6x60 (# 3) Corrugada Legitima - Diaco/Nal</t>
  </si>
  <si>
    <t>Varilla 1/2x6x60 (# 4) Corrugada Legitima - Ternium/Nal</t>
  </si>
  <si>
    <t>Varilla 5/8x6x60 (# 5) Corrugada Legitima - Ternium/Nal</t>
  </si>
  <si>
    <t>Varilla 3/4x6x60 (# 6) Corrugada Legitima - Ternium/Nal</t>
  </si>
  <si>
    <t>Varilla 7/8x6x60 (# 7) Corrugada Legitima - Ternium/Nal</t>
  </si>
  <si>
    <t>Perfil PAG galv. Esp. 1,5 cal. 16 100x50x15x6000 - acesco</t>
  </si>
  <si>
    <t>Perfil PAG galv. Esp. 2,0 cal. 14 100x50x15x6000 - acesco</t>
  </si>
  <si>
    <t>Perfil PAG galv. Esp. 1,5 cal. 16 120x60x15x6000 - acesco</t>
  </si>
  <si>
    <t>Metaldeck 2" Galv. Cal 22 0,75 de 940x3100 - Acesco</t>
  </si>
  <si>
    <t>Metaldeck 2" Galv. Cal 22 0,75 de 940x4100 - Acesco</t>
  </si>
  <si>
    <t>Metaldeck 2" Galv. Cal 22 0,75 de 940x4600 - Acesco</t>
  </si>
  <si>
    <t>Metaldeck 2" Galv. Cal 22 0,75 de 940x5100 - Acesco</t>
  </si>
  <si>
    <t>Metaldeck 2" Galv. Cal 22 0,75 de 940x5600 - Acesco</t>
  </si>
  <si>
    <t>Metaldeck 2" Galv. Cal 22 0,75 de 940x6100 - Acesco</t>
  </si>
  <si>
    <t>Malla Electrosoldada D-084 - 4,0mm 15x15 6mx2,37m - STD-Diaco/PDR</t>
  </si>
  <si>
    <t>Malla Electrosoldada D-131 - 5,0mm 15x15 6mx2,35m - STD-Diaco/PDR</t>
  </si>
  <si>
    <t>Geotextil No Tejido PP/2500S (El rollo trae 3,5mx120m = 420m2-PAVCO</t>
  </si>
  <si>
    <t>Geotextil No Tejido PP/1600S (El rollo trae 3,5mx160m = 560m2-PAVCO</t>
  </si>
  <si>
    <t>Tuberia Sanitaria 1 1/2"x6m - Pavco</t>
  </si>
  <si>
    <t>Tuberia Sanitaria 2"x6m - Pavco</t>
  </si>
  <si>
    <t>Tuberia Sanitaria 3"x6m - Pavco</t>
  </si>
  <si>
    <t>Tuberia Sanitaria 4"x6m - Pavco</t>
  </si>
  <si>
    <t>Tuberia Sanitaria 6"x6m - Pavco</t>
  </si>
  <si>
    <t>Tuberia Sanitaria 8"x6m - Pavco</t>
  </si>
  <si>
    <t>Codo Sanitario CxC 90 Ø 2" PAVCO</t>
  </si>
  <si>
    <t>Codo Sanitario CxC 90 Ø 3" PAVCO</t>
  </si>
  <si>
    <t>Codo Sanitario CxC 90 Ø 4" PAVCO</t>
  </si>
  <si>
    <t>Codo Sanitario CxC 90 Ø 6" PAVCO</t>
  </si>
  <si>
    <t>Codo Sanitario CxC 45 Ø 2" PAVCO</t>
  </si>
  <si>
    <t>Codo Sanitario CxC 45 Ø 3" PAVCO</t>
  </si>
  <si>
    <t>Codo Sanitario CxC 45 Ø 4" PAVCO</t>
  </si>
  <si>
    <t>Codo Sanitario CxC 45 Ø 6" PAVCO</t>
  </si>
  <si>
    <t>Union Sanitario 2" PAVCO</t>
  </si>
  <si>
    <t>Union Sanitario 3" PAVCO</t>
  </si>
  <si>
    <t>Union Sanitario 4" PAVCO</t>
  </si>
  <si>
    <t>Union Sanitario 6" PAVCO</t>
  </si>
  <si>
    <t>Tee Sanitario 2" PAVCO</t>
  </si>
  <si>
    <t>Tee Sanitario 3" PAVCO</t>
  </si>
  <si>
    <t>Tee Sanitario 4" PAVCO</t>
  </si>
  <si>
    <t>Tee Sanitario 6" PAVCO</t>
  </si>
  <si>
    <t>Yee Sanitario 2" PAVCO</t>
  </si>
  <si>
    <t>Yee Sanitario 3" PAVCO</t>
  </si>
  <si>
    <t>Yee Sanitario 6" PAVCO</t>
  </si>
  <si>
    <t>Tuberia liso Presion 1/2"x6m - RDE9-500psi - Pavco</t>
  </si>
  <si>
    <t>Tuberia liso Presion 3/4"x6m - RDE11-400psi - Pavco</t>
  </si>
  <si>
    <t>Tuberia liso Presion 1"x6m - RDE13,5-315psi - Pavco</t>
  </si>
  <si>
    <t>Tuberia liso Presion 2"x6m - RDE21-200psi - Pavco</t>
  </si>
  <si>
    <t>Tuberia liso Presion 3"x6m - RDE32,5-125psi - Pavco</t>
  </si>
  <si>
    <t>Vibrador a gasolina</t>
  </si>
  <si>
    <t>Rana 80kg a Gasolina</t>
  </si>
  <si>
    <t>Rana 120kg a Gasolina</t>
  </si>
  <si>
    <t>Rana 120kg Diesel</t>
  </si>
  <si>
    <t>Concretadora 2 bultos</t>
  </si>
  <si>
    <t>Pluma grua</t>
  </si>
  <si>
    <t>Taladro demoledor electrico de pavimento</t>
  </si>
  <si>
    <t>Taladro electrico Mediano</t>
  </si>
  <si>
    <t>Bomba Sumergible electrica 110vol</t>
  </si>
  <si>
    <t>Taladro rotomartillo</t>
  </si>
  <si>
    <t>Bomba Sumergible electrica 220vol</t>
  </si>
  <si>
    <t>Escalera 8mts</t>
  </si>
  <si>
    <t>Escalera 3mts</t>
  </si>
  <si>
    <t>Escalera 2,5mts</t>
  </si>
  <si>
    <t>Escalera 1,2mts</t>
  </si>
  <si>
    <t>Andamios dos piezas y dos tijeras</t>
  </si>
  <si>
    <t>Arnes</t>
  </si>
  <si>
    <t>Arnes + linea de vida</t>
  </si>
  <si>
    <t>Tablon en madera</t>
  </si>
  <si>
    <t>Ruedas para andamios</t>
  </si>
  <si>
    <t>Vactor</t>
  </si>
  <si>
    <t>Andamio colgante</t>
  </si>
  <si>
    <t>Tacos metalicos 5mts extendido</t>
  </si>
  <si>
    <t>Cechas metalicas 3mts</t>
  </si>
  <si>
    <t xml:space="preserve">Linea de vida </t>
  </si>
  <si>
    <t>Arena para concreto</t>
  </si>
  <si>
    <t>Gravilla Triturado 3/4"</t>
  </si>
  <si>
    <t>Crudo del Rio</t>
  </si>
  <si>
    <t>Concreto Premezclado de 2500psi</t>
  </si>
  <si>
    <t>Bomba de Concreto</t>
  </si>
  <si>
    <t>Concreto Premezclado de 3000psi</t>
  </si>
  <si>
    <t>Concreto Premezclado de 3500psi</t>
  </si>
  <si>
    <t>Concreto Premezclado de 4000psi</t>
  </si>
  <si>
    <t>Material de lleno (Subbase)</t>
  </si>
  <si>
    <t>Material clasificado (Base)</t>
  </si>
  <si>
    <t>Viaje de 5m3</t>
  </si>
  <si>
    <t>kg</t>
  </si>
  <si>
    <r>
      <t>I EQUIPOS</t>
    </r>
    <r>
      <rPr>
        <sz val="9"/>
        <color theme="1"/>
        <rFont val="Calibri"/>
        <family val="2"/>
        <scheme val="minor"/>
      </rPr>
      <t xml:space="preserve"> - Descripciòn</t>
    </r>
  </si>
  <si>
    <r>
      <t xml:space="preserve">II MATERIALES </t>
    </r>
    <r>
      <rPr>
        <sz val="9"/>
        <color theme="1"/>
        <rFont val="Calibri"/>
        <family val="2"/>
        <scheme val="minor"/>
      </rPr>
      <t xml:space="preserve"> - Descripciòn</t>
    </r>
  </si>
  <si>
    <t xml:space="preserve">Cortadora de Hierro </t>
  </si>
  <si>
    <t>MUNICIPIO DE QUIBDÓ</t>
  </si>
  <si>
    <t xml:space="preserve">AEROPARQUE EL CARAÑO </t>
  </si>
  <si>
    <t>REPUBLICA DE COLOMBIA</t>
  </si>
  <si>
    <r>
      <t xml:space="preserve">II MATERIALES </t>
    </r>
    <r>
      <rPr>
        <sz val="9"/>
        <color theme="1"/>
        <rFont val="Calibri"/>
        <family val="2"/>
        <scheme val="minor"/>
      </rPr>
      <t>- Descripciòn</t>
    </r>
  </si>
  <si>
    <r>
      <t xml:space="preserve">V-COSTOS INDIRECTOS </t>
    </r>
    <r>
      <rPr>
        <sz val="9"/>
        <color indexed="8"/>
        <rFont val="Arial"/>
        <family val="2"/>
      </rPr>
      <t>(A.I.U)</t>
    </r>
  </si>
  <si>
    <t xml:space="preserve">Carrotanque de agua(1000 Galones) </t>
  </si>
  <si>
    <t>Carrotanque Irrigador de asfalto, 1000 GALONES DE CAPACIDAD</t>
  </si>
  <si>
    <t>Compactador de Rodillo POTENCIA: 99HP, PESO: 8 ton</t>
  </si>
  <si>
    <t>Compactador manual (SALTARIN) Peso de operación (Kg.) 52, Fuerza de impacto por golpe (KN) 12.</t>
  </si>
  <si>
    <t>Compactador manual de rodillo</t>
  </si>
  <si>
    <t>COMPACTADOR MANUAL VIBRATORIO (RANA) con motor de 6 HP</t>
  </si>
  <si>
    <t>Compactador neumático de Potencia 70 HP, peso de 13 ton</t>
  </si>
  <si>
    <t>Compactador neumático peso 3,5 ton</t>
  </si>
  <si>
    <t>Compactador tipo  POTENCIA: 105 HP, PESO: 6 ton</t>
  </si>
  <si>
    <t>Compactador manual vibratorio (CANGURO) (Apisonadores)</t>
  </si>
  <si>
    <t>Andamiaje para Aplicar la Carga (Equipos Sustituto de la Tara)</t>
  </si>
  <si>
    <t xml:space="preserve">Barredora mecánica de cepillo de 3658 mm ; 6 m3 </t>
  </si>
  <si>
    <t>Bomba de inyección de lechada</t>
  </si>
  <si>
    <t>Bomba eléctrica para accionar la celda</t>
  </si>
  <si>
    <t>Bomba para gato de tensionamiento</t>
  </si>
  <si>
    <t xml:space="preserve">Buldozer Potencia al volante de 305 HP, motor de 2100 RPM, longitud de hoja 6,39m. </t>
  </si>
  <si>
    <t xml:space="preserve">Buldozer, Potencia al volante de 140 HP, motor de 2200 RPM, longitud de hoja 4,80m. </t>
  </si>
  <si>
    <t xml:space="preserve">Buldozer, Potencia al volante de 80 HP, motor de 2400 RPM, longitud de hoja 3,99m, </t>
  </si>
  <si>
    <t>Caldera para pintura termoplástica</t>
  </si>
  <si>
    <t>Calentador a gas</t>
  </si>
  <si>
    <t>Camabaja</t>
  </si>
  <si>
    <t>Camión 350</t>
  </si>
  <si>
    <t>Camión de Slurry</t>
  </si>
  <si>
    <t>Camioneta D-300</t>
  </si>
  <si>
    <t>Camisa</t>
  </si>
  <si>
    <t>Camisa para Pilote D=1.20m</t>
  </si>
  <si>
    <t>Cargador : Potencia en el volante 110 hp, Clasificación de RPM del motor 2300.</t>
  </si>
  <si>
    <t>Cargador : Potencia en el volante 125 hp, Clasificación de RPM del motor 2300.</t>
  </si>
  <si>
    <t>Cizalla manual de 90 cm.</t>
  </si>
  <si>
    <t>Compactador vibratorio tipo DD-20</t>
  </si>
  <si>
    <t>Compresor 120 HP, con martillo.</t>
  </si>
  <si>
    <t>Cortadora de pavimento</t>
  </si>
  <si>
    <t>Cortadora de pavimento, Máxima profundidad de corte: 160 mm. Capacidad de disco: desde 12´´ hasta 18´´ de diámetro. Peso operacional: 135 kg, 13.5 hp de potencia</t>
  </si>
  <si>
    <t>Derretidora de asfalto (crafco o similar)</t>
  </si>
  <si>
    <t>Diferencial</t>
  </si>
  <si>
    <t>Diferencial de 2 ton.</t>
  </si>
  <si>
    <t>Diferencial de 3 ton</t>
  </si>
  <si>
    <t>Equipo autopropulsado para pintura termoplástica</t>
  </si>
  <si>
    <t>Equipo de acarreo interno</t>
  </si>
  <si>
    <t>Equipo de Medición (Deformimetros Eléctricos, Mecánicos, Celdas de Carga,  Etc.)</t>
  </si>
  <si>
    <t xml:space="preserve">Equipo de oxicorte, Capacidad de corte: hasta 6´´ (152mm) </t>
  </si>
  <si>
    <t>Equipo de oxigeno y soldadura</t>
  </si>
  <si>
    <t>Equipo de perforación (TRACKDRILL), potencia 40 HP, 2100 golpes / minuto</t>
  </si>
  <si>
    <t>Equipo de Sand Blastin y Pintura COMPRESOR 250cfm a 100 psi. PULMON de 70 gal (250 lt.) para 160 psi</t>
  </si>
  <si>
    <t>Equipo de Soldadura</t>
  </si>
  <si>
    <t>Equipo de soldadura 400</t>
  </si>
  <si>
    <t>Equipo de soldadura 600</t>
  </si>
  <si>
    <t>Equipo de soldadura y de acetileno (incluye soldadura)</t>
  </si>
  <si>
    <t>Equipo de topografía</t>
  </si>
  <si>
    <t xml:space="preserve">Equipo de topografía Teodolito electrónico con abertura de anteojo de 42 mm. Aumento del anteojo: 30x.Distancia mínima de enfoque: 1.0 m. Precisión: 5´´. Compensador con rango de trabajo ±3´. </t>
  </si>
  <si>
    <t>Equipo de transporte (Camiones, Grúas, Volquetas, etc.)</t>
  </si>
  <si>
    <t>Esparcidor de gravilla, Ancho de esparcimiento 3100mm, Velocidad de trabajo 10—20km2/h</t>
  </si>
  <si>
    <t>Estación Total con precisión angular de 6´´. Precisión lineal 2 mm ± 2 ppm</t>
  </si>
  <si>
    <t xml:space="preserve">Formaleta Metálica </t>
  </si>
  <si>
    <t>Fresadora de pavimento, potencia 255 HP, peso 19 Ton, PROFUNDIDAD DE CORTE 305 mm</t>
  </si>
  <si>
    <t>Fresadora y recicladora de pavimento, potencia 430 HP, peso 20 Ton</t>
  </si>
  <si>
    <t>Gato para tensionamiento, fuerza Max 200 ton, área de tensión 314 cm2.</t>
  </si>
  <si>
    <t>Grúa (capacidad 15 ton)</t>
  </si>
  <si>
    <t>Grúa (Transporte en Obra)</t>
  </si>
  <si>
    <t>Grúa 10 ton</t>
  </si>
  <si>
    <t>Grúa con barreno o máquina piloteadora</t>
  </si>
  <si>
    <t>Grúa con torre</t>
  </si>
  <si>
    <t>Grúa Con Torre (2)</t>
  </si>
  <si>
    <t>Grúa con torre capacidad 1 ton en la punta.</t>
  </si>
  <si>
    <t>Grúa telescópica de 50 Ton.</t>
  </si>
  <si>
    <t>Guadañadora, Cilindraje 41.5 cm3, Longitud del mango 1450 mm, Peso 7.4 kg</t>
  </si>
  <si>
    <t>Manómetro cable de acero para bajar la celda</t>
  </si>
  <si>
    <t>Máquina hidrosembradora</t>
  </si>
  <si>
    <t>Maquina térmica pegatachas</t>
  </si>
  <si>
    <t>Mezcladora de concreto 1 bulto</t>
  </si>
  <si>
    <t>Montacargas</t>
  </si>
  <si>
    <t>Motobomba de concreto</t>
  </si>
  <si>
    <t>Motoniveladora  potencia 215 HP, ancho de cuchilla 4,27 m, peso 18 ton.</t>
  </si>
  <si>
    <t>Motoniveladora, potencia 140 HP, ancho de cuchilla 3,66 m, peso 11 ton.</t>
  </si>
  <si>
    <t>Motosierra, 93.6 cm3 - 7.1 HP, 45-90 cm - 7.9 kg</t>
  </si>
  <si>
    <t>Motosoldador, 300 amperios</t>
  </si>
  <si>
    <t>Pala auxiliar de piloteadora</t>
  </si>
  <si>
    <t>Piloteadora</t>
  </si>
  <si>
    <t>Piloteadora potencia 250KW, RPM 1800, fuerza elevadora 200KN</t>
  </si>
  <si>
    <t>Planta de asfalto en caliente</t>
  </si>
  <si>
    <t>Planta de asfalto en frio</t>
  </si>
  <si>
    <t xml:space="preserve">Planta eléctrica </t>
  </si>
  <si>
    <t>Planta trituradora</t>
  </si>
  <si>
    <t>Pluma capacidad 100 kg</t>
  </si>
  <si>
    <t>Puente grúa</t>
  </si>
  <si>
    <t>Pulidora (8500 REV)</t>
  </si>
  <si>
    <t>Pulvimixer</t>
  </si>
  <si>
    <t xml:space="preserve">Recicladora, potencia 430HP </t>
  </si>
  <si>
    <t>Regla vibratoria, de longitud de 3 a 5 m, motor de 3600 rpm, potencia 6 HP</t>
  </si>
  <si>
    <t xml:space="preserve">Retrocargador CAT 510 </t>
  </si>
  <si>
    <t>Retrocargador, pala de 1,1 m3 de capacidad, profundidad de excavación de 4.400 mm y una altura de 5.680 mm</t>
  </si>
  <si>
    <t>Retroexcavadora 428 doble trasmisión</t>
  </si>
  <si>
    <t>Retroexcavadora A25C</t>
  </si>
  <si>
    <t>Retroexcavadora sobre llantas, motor 62HP, Profundidad de excavación de 5.41 metros.</t>
  </si>
  <si>
    <t>Retroexcavadora sobre oruga, potencia 138 HP, balde de 1,5 m3.</t>
  </si>
  <si>
    <t>Retroexcavadora Tipo E-200 o  Equivalente</t>
  </si>
  <si>
    <t>Retroexcavadora, Potencia en el Volante 78 HP 2200 RPM</t>
  </si>
  <si>
    <t xml:space="preserve">Ruteadora </t>
  </si>
  <si>
    <t>Sensor de Impacto para prueba de integridad tipo</t>
  </si>
  <si>
    <t>Taladro de 1/2´´, pulidora, lijadora y circular para corte extremo superior</t>
  </si>
  <si>
    <t>Taladro industrial</t>
  </si>
  <si>
    <t>Tara (Recebo, Agua, Etc.)</t>
  </si>
  <si>
    <t>Tarifa de transporte</t>
  </si>
  <si>
    <t>Tarifa de transporte (agregados pétreos)</t>
  </si>
  <si>
    <t xml:space="preserve">Tarifa de transporte de concreto hidráulico en mixer </t>
  </si>
  <si>
    <t>Tarifa de Transporte de Postes</t>
  </si>
  <si>
    <t>Tarifa de Trasporte de especies vegetales</t>
  </si>
  <si>
    <t>Terminadora de asfalto (Finisher), potencia 130 HP, peso 15 ton.</t>
  </si>
  <si>
    <t>Vehículo delineador</t>
  </si>
  <si>
    <t>Vehículo delineador R=1500 M/H</t>
  </si>
  <si>
    <t>Vibrador de concreto, Motor de 3 hp a 18.000 rpm Mangueras de 4 mt</t>
  </si>
  <si>
    <t>Vibrocompactador, tipo benitìn, de peso 700 kg a 1.5 toneladas</t>
  </si>
  <si>
    <t xml:space="preserve">Vibrocompatador, potencia 153 HP, peso 10 Ton. </t>
  </si>
  <si>
    <t>Volqueta 6 m3</t>
  </si>
  <si>
    <t>Aspersor manual</t>
  </si>
  <si>
    <t>Bomba de concreto, Producción: 30 m3/h, POTENCIA: 67 HP, MAX PRESION DE CONCRETO: 1150 PSI</t>
  </si>
  <si>
    <t>Compresor (barrido y soplado)</t>
  </si>
  <si>
    <t>Compresor para penetrar roca</t>
  </si>
  <si>
    <t>Compresor 80 HP, con martillo.</t>
  </si>
  <si>
    <t>Equipo de control (bandas sonoras reduce velocidad) (Termohigometros, Termómetros, Galgas, etc.)</t>
  </si>
  <si>
    <t>Equipo de pintura (Compresor), Presión máxima de trabajo 3300 psi.</t>
  </si>
  <si>
    <t>Equipo de rayos X y/o ultrasonido</t>
  </si>
  <si>
    <t>Equipo de soldadura 250 AMP</t>
  </si>
  <si>
    <t>Equipo manual aplicador (bandas sonoras reduce velocidad)</t>
  </si>
  <si>
    <t>Formaleta metálica (concreto hidráulico)</t>
  </si>
  <si>
    <t>Formaleta metálica (tubería de concreto reforzado)</t>
  </si>
  <si>
    <t>Formaleta metálica para tubo de 900</t>
  </si>
  <si>
    <t>Formaleta para camisa de pilote</t>
  </si>
  <si>
    <t>Motobomba 3 PULGADAS (incluye operario)</t>
  </si>
  <si>
    <t>Motobomba 4 pulgadas</t>
  </si>
  <si>
    <t>Motobomba 6´´ diámetro de bombeo de 2 m3/seg</t>
  </si>
  <si>
    <t>Pala grúa con martillos</t>
  </si>
  <si>
    <t>Retroexcavadora E-200 con martillo neumático</t>
  </si>
  <si>
    <t>Retroexcavadora E-200 sobre orugas trabajo en rio</t>
  </si>
  <si>
    <t>Retroexcavadora E-200 sobre orugas</t>
  </si>
  <si>
    <t xml:space="preserve">Retroexcavadora sobre llantas </t>
  </si>
  <si>
    <t>Retroexcavadora sobre llantas JD 410</t>
  </si>
  <si>
    <t>Taco metálico o puntal (escamas en concreto)</t>
  </si>
  <si>
    <t>Taladro de 1/2´´, pulidora, lijadora y circular</t>
  </si>
  <si>
    <t>Tarifa de transporte de estructuras metálicas</t>
  </si>
  <si>
    <t>Tarifa de transporte de estructuras metálicas en obra</t>
  </si>
  <si>
    <t xml:space="preserve">Tarifa de transporte de mezclas para bacheo </t>
  </si>
  <si>
    <t>Tarifa de transporte de mezclas</t>
  </si>
  <si>
    <t>Terminadora de asfalto (Finisher), potencia en el volante 174 HP, R=20M3/H, velocidad de desplazamiento 114 m/min</t>
  </si>
  <si>
    <t>Vibrador de concreto (incluye operario)</t>
  </si>
  <si>
    <t>Vibrocompatador Dynapac (10 ton)</t>
  </si>
  <si>
    <t>Vibrocompatador Dynapac C15</t>
  </si>
  <si>
    <t>m3k</t>
  </si>
  <si>
    <t>kgk</t>
  </si>
  <si>
    <t>Bordillo Prefabricado En Concreto Ref.A85 Ntc-4109, 0,20 X 0,35 X 0.80 M</t>
  </si>
  <si>
    <t>1.3</t>
  </si>
  <si>
    <t>Pintura Anticorrosiva</t>
  </si>
  <si>
    <t>Semilla vegetal zonas verdes y jardines, incluye abono</t>
  </si>
  <si>
    <t>Tuberia galvanizada de 2" cal 16 x 6</t>
  </si>
  <si>
    <t>Tuberia galvanizada de 1 1/2" cal 16 x 6</t>
  </si>
  <si>
    <t>Rollo de malla eslabonada de 2mtsx10mts ojo 5x5 cal 12,5</t>
  </si>
  <si>
    <t>Soldadura wesarc 6011</t>
  </si>
  <si>
    <t>Disco de corte de metal 7" -  dywall</t>
  </si>
  <si>
    <t>Disco de corte de metal 4 1/2"  -  dywall</t>
  </si>
  <si>
    <t>Caja de bateo</t>
  </si>
  <si>
    <t>Malla de 6mts altura</t>
  </si>
  <si>
    <t>malla de 2mts altura</t>
  </si>
  <si>
    <t>Pintura Esmalte + anticorrosivo</t>
  </si>
  <si>
    <t>malla nylon #3 ojo 10x10 resistente a la imterperie y rayos UV</t>
  </si>
  <si>
    <t>Excavacion zapatas</t>
  </si>
  <si>
    <t>Excavacion Vigas PP</t>
  </si>
  <si>
    <t>Excavacion Riostras</t>
  </si>
  <si>
    <t>Excavacion Viguetas</t>
  </si>
  <si>
    <t>Concreto Pedestal</t>
  </si>
  <si>
    <t>Concreto zapata</t>
  </si>
  <si>
    <t>Concreto Vigas PP</t>
  </si>
  <si>
    <t>Concreto Riostras</t>
  </si>
  <si>
    <t>Concreto Viguetas</t>
  </si>
  <si>
    <t>Concreto Columnas</t>
  </si>
  <si>
    <t>Concreto Vigas cubierta</t>
  </si>
  <si>
    <t>Concreto Piso</t>
  </si>
  <si>
    <t>Concreto cubierta</t>
  </si>
  <si>
    <t>Concreto Zapata</t>
  </si>
  <si>
    <t>4.1</t>
  </si>
  <si>
    <t>5.0</t>
  </si>
  <si>
    <t>5.1</t>
  </si>
  <si>
    <t>5.2</t>
  </si>
  <si>
    <t>IVA</t>
  </si>
  <si>
    <t>Tubo PVC 2"</t>
  </si>
  <si>
    <t>PROGRAMA  DE TRABAJO Y  FLUJO DE INVERSION</t>
  </si>
  <si>
    <t>CAP</t>
  </si>
  <si>
    <t>PLAN  INTERNACIONAL</t>
  </si>
  <si>
    <t>ANEXO Nº</t>
  </si>
  <si>
    <t>PROGRAMA DE TRABAJO Y FLUJO DE INVERCION</t>
  </si>
  <si>
    <t>DESCRIPCION DE CAPITULO</t>
  </si>
  <si>
    <t>VALOR CAPITULO</t>
  </si>
  <si>
    <t>MES 1</t>
  </si>
  <si>
    <t>SEMANAS</t>
  </si>
  <si>
    <t>% DE EJECUCION</t>
  </si>
  <si>
    <t>VALOR</t>
  </si>
  <si>
    <t>BARRA TRABAJO</t>
  </si>
  <si>
    <t>INVERSION  MENSUAL</t>
  </si>
  <si>
    <t>ACUMULADO COSTO DIRECTO</t>
  </si>
  <si>
    <t>Excavacion Vigas PP cimentacion</t>
  </si>
  <si>
    <t>Curvas PVC 3/4"</t>
  </si>
  <si>
    <t>Terminal PVC 3/4"</t>
  </si>
  <si>
    <t>Tubo PVC 3/4"</t>
  </si>
  <si>
    <t>Caja PVC 2x4</t>
  </si>
  <si>
    <t>TERMINACION UNIDAD INTERMEDIA DE SALUD EL CARAÑO</t>
  </si>
  <si>
    <t>Elaboro:</t>
  </si>
  <si>
    <t>Reviso:</t>
  </si>
  <si>
    <t>Aprobo:</t>
  </si>
  <si>
    <t>TERMINACION DE LA CONSTRUCCION  UNIDAD INTERMEDIA "EL CARAÑO", MUNICIPIO DE QUIBDÓ, DEPARTAMENTO DEL CHOCÓ</t>
  </si>
  <si>
    <t>Suministro e Instalación de concreto de 4000 psi para columnas sin refuerzo</t>
  </si>
  <si>
    <t>MAMPOSTERIA, PAÑETE Y PLOMADO</t>
  </si>
  <si>
    <t>Revestimiento en lámina de plomo para muros, losa y puerta para rayos X</t>
  </si>
  <si>
    <t>ESTUCO Y PINTURA</t>
  </si>
  <si>
    <t>CUBIERTA Y CIELO RASO</t>
  </si>
  <si>
    <t>CARPINTERIA METALICA</t>
  </si>
  <si>
    <t>Destronque, pulida y brillada de piso</t>
  </si>
  <si>
    <t>5.3</t>
  </si>
  <si>
    <t>Mediacaña en granito pulido y brillado</t>
  </si>
  <si>
    <t>6.0</t>
  </si>
  <si>
    <t>8.4</t>
  </si>
  <si>
    <t>8.3</t>
  </si>
  <si>
    <t>6.1</t>
  </si>
  <si>
    <t>6.3</t>
  </si>
  <si>
    <t>7.0</t>
  </si>
  <si>
    <t>7.1</t>
  </si>
  <si>
    <t>7.2</t>
  </si>
  <si>
    <t>7.3</t>
  </si>
  <si>
    <t>7.4</t>
  </si>
  <si>
    <t>7.5</t>
  </si>
  <si>
    <t>m</t>
  </si>
  <si>
    <t>8.0</t>
  </si>
  <si>
    <t>8.1</t>
  </si>
  <si>
    <t>8.2</t>
  </si>
  <si>
    <t>8.5</t>
  </si>
  <si>
    <t>Acometida Principal</t>
  </si>
  <si>
    <t>10.1.1</t>
  </si>
  <si>
    <t>10.1.2</t>
  </si>
  <si>
    <t xml:space="preserve">Suministro transporte é Instalación de Vestida en media tensión Norma RA2-017 </t>
  </si>
  <si>
    <t>10.1.3</t>
  </si>
  <si>
    <t>Cable de cu desnudo #2 AWG</t>
  </si>
  <si>
    <t>10.1.4</t>
  </si>
  <si>
    <t>Suministro transporte é Instalación de Viento Convencional MT RA6-001</t>
  </si>
  <si>
    <t>10.1.5</t>
  </si>
  <si>
    <t>Suministro transporte é Instalación de linea MT en cable ecologico para conformar tendido compacto 3x3N° 1/0 XLEP+ cable aluminio para soportar circuito compacto</t>
  </si>
  <si>
    <t>10.1.6</t>
  </si>
  <si>
    <t>Elementos menores necesarios</t>
  </si>
  <si>
    <t>10.1.8</t>
  </si>
  <si>
    <t>Suministro transporte é Instalación deAcometida en  cable Aluminio  3x4/0+4/0 XLPE 90° Serie 8,000</t>
  </si>
  <si>
    <t>10.1.9</t>
  </si>
  <si>
    <t>Suministro transporte é Instalación de tubo Bajante para Acometida de Baja tensiòn</t>
  </si>
  <si>
    <t>10.1.10</t>
  </si>
  <si>
    <t>Suministro transporte é Intalación de Norma RA6-001 de BT(elementos de P.T)</t>
  </si>
  <si>
    <t>10.1.11</t>
  </si>
  <si>
    <t>Poste en concreto 12m x 750 Kgf</t>
  </si>
  <si>
    <t>Instalaciones Internas</t>
  </si>
  <si>
    <t>10.2.1</t>
  </si>
  <si>
    <t>Suministro e instalacion de gabinete principal (según Diseño)</t>
  </si>
  <si>
    <t>10.2.2</t>
  </si>
  <si>
    <t>Sumnistro e instalacion de Tablero de 12 Circuitos con espacio para totalizador</t>
  </si>
  <si>
    <t>10.2.3</t>
  </si>
  <si>
    <t xml:space="preserve">Sumnistro e instalacion deTablero de 8 Circuitos </t>
  </si>
  <si>
    <t>10.2.4</t>
  </si>
  <si>
    <t>10.2.5</t>
  </si>
  <si>
    <t>10.2.6</t>
  </si>
  <si>
    <t>10.2.7</t>
  </si>
  <si>
    <t>10.2.8</t>
  </si>
  <si>
    <t>10.2.9</t>
  </si>
  <si>
    <t>10.2.10</t>
  </si>
  <si>
    <t>Suministro e instalacion de salida para aires</t>
  </si>
  <si>
    <t>Acometida a Tablero de distribucion de 12 ctos</t>
  </si>
  <si>
    <t>Acometida a Tablero de Distribucion de 8 Ctos</t>
  </si>
  <si>
    <t>SUMINISTRO EQUIPOS INDUSTRIALES</t>
  </si>
  <si>
    <t>12.1</t>
  </si>
  <si>
    <t>12.2</t>
  </si>
  <si>
    <t>Suministro de transformador trifasico de 75 KW en aceite</t>
  </si>
  <si>
    <t>Suministro hidroflo de 4 - 5,5 HP</t>
  </si>
  <si>
    <t>FECHA: ABRIL DE 2020</t>
  </si>
  <si>
    <t>FECHA: ABRIL 2020</t>
  </si>
  <si>
    <t>MOVIMIENTOS DE TIERRA</t>
  </si>
  <si>
    <t>Localización, trazado y replanteo</t>
  </si>
  <si>
    <t>Excavaciones</t>
  </si>
  <si>
    <t>1.4</t>
  </si>
  <si>
    <t>Suministro e Instalación de concreto de 3000 psi para vigas aereas y de remate sin refuerzo</t>
  </si>
  <si>
    <t>Suministro e Instalación de concreto de 3000 psi para zapatas sin refuerzo</t>
  </si>
  <si>
    <t>Suministro e Instalación de concreto de 3000 psi para vigas de cimentacion sin refuerzo</t>
  </si>
  <si>
    <t>Muro de contencion</t>
  </si>
  <si>
    <t xml:space="preserve">Estuco interior </t>
  </si>
  <si>
    <t>Pintura interior en vinilo tipo 1 a 2 manos</t>
  </si>
  <si>
    <t>Estructura metalica para cubierta, según diseño</t>
  </si>
  <si>
    <t>Esterilizacion</t>
  </si>
  <si>
    <t>M113</t>
  </si>
  <si>
    <t>M114</t>
  </si>
  <si>
    <t>M115</t>
  </si>
  <si>
    <t>M116</t>
  </si>
  <si>
    <t>M117</t>
  </si>
  <si>
    <t>M118</t>
  </si>
  <si>
    <t>M119</t>
  </si>
  <si>
    <t>M120</t>
  </si>
  <si>
    <t>M121</t>
  </si>
  <si>
    <t>M107</t>
  </si>
  <si>
    <t>M108</t>
  </si>
  <si>
    <t>M109</t>
  </si>
  <si>
    <t>M110</t>
  </si>
  <si>
    <t>M111</t>
  </si>
  <si>
    <t>M112</t>
  </si>
  <si>
    <t>Rayos X</t>
  </si>
  <si>
    <t>M001</t>
  </si>
  <si>
    <t>M002</t>
  </si>
  <si>
    <t>M003</t>
  </si>
  <si>
    <t>M004</t>
  </si>
  <si>
    <t>M005</t>
  </si>
  <si>
    <t>M006</t>
  </si>
  <si>
    <t>M007</t>
  </si>
  <si>
    <t>M008</t>
  </si>
  <si>
    <t>M009</t>
  </si>
  <si>
    <t>M010</t>
  </si>
  <si>
    <t>M011</t>
  </si>
  <si>
    <t>M012</t>
  </si>
  <si>
    <t>M013</t>
  </si>
  <si>
    <t>M014</t>
  </si>
  <si>
    <t>M015</t>
  </si>
  <si>
    <t>M016</t>
  </si>
  <si>
    <t>M017</t>
  </si>
  <si>
    <t>M018</t>
  </si>
  <si>
    <t>Lavanderia</t>
  </si>
  <si>
    <t>M019</t>
  </si>
  <si>
    <t>M020</t>
  </si>
  <si>
    <t>M021</t>
  </si>
  <si>
    <t>M022</t>
  </si>
  <si>
    <t>M023</t>
  </si>
  <si>
    <t>Consultorios</t>
  </si>
  <si>
    <t>M024</t>
  </si>
  <si>
    <t>M025</t>
  </si>
  <si>
    <t>M026</t>
  </si>
  <si>
    <t>M027</t>
  </si>
  <si>
    <t>M028</t>
  </si>
  <si>
    <t>M029</t>
  </si>
  <si>
    <t>M030</t>
  </si>
  <si>
    <t>M031</t>
  </si>
  <si>
    <t>M032</t>
  </si>
  <si>
    <t>M033</t>
  </si>
  <si>
    <t>M034</t>
  </si>
  <si>
    <t>M035</t>
  </si>
  <si>
    <t>M036</t>
  </si>
  <si>
    <t>M037</t>
  </si>
  <si>
    <t>M038</t>
  </si>
  <si>
    <t>M039</t>
  </si>
  <si>
    <t>M040</t>
  </si>
  <si>
    <t>M041</t>
  </si>
  <si>
    <t>M042</t>
  </si>
  <si>
    <t>Sala de Espera</t>
  </si>
  <si>
    <t>M043</t>
  </si>
  <si>
    <t>M044</t>
  </si>
  <si>
    <t>M045</t>
  </si>
  <si>
    <t>M046</t>
  </si>
  <si>
    <t>M047</t>
  </si>
  <si>
    <t>M048</t>
  </si>
  <si>
    <t>M049</t>
  </si>
  <si>
    <t>M050</t>
  </si>
  <si>
    <t>M051</t>
  </si>
  <si>
    <t>M052</t>
  </si>
  <si>
    <t>M053</t>
  </si>
  <si>
    <t>M054</t>
  </si>
  <si>
    <t>M055</t>
  </si>
  <si>
    <t>M056</t>
  </si>
  <si>
    <t>M057</t>
  </si>
  <si>
    <t>M058</t>
  </si>
  <si>
    <t>M059</t>
  </si>
  <si>
    <t>Observacion</t>
  </si>
  <si>
    <t>M063</t>
  </si>
  <si>
    <t>M064</t>
  </si>
  <si>
    <t>M065</t>
  </si>
  <si>
    <t>M066</t>
  </si>
  <si>
    <t>M067</t>
  </si>
  <si>
    <t>M068</t>
  </si>
  <si>
    <t>M069</t>
  </si>
  <si>
    <t>M070</t>
  </si>
  <si>
    <t>M071</t>
  </si>
  <si>
    <t>M072</t>
  </si>
  <si>
    <t>M073</t>
  </si>
  <si>
    <t>M074</t>
  </si>
  <si>
    <t>M075</t>
  </si>
  <si>
    <t>M076</t>
  </si>
  <si>
    <t>M077</t>
  </si>
  <si>
    <t>M078</t>
  </si>
  <si>
    <t>M079</t>
  </si>
  <si>
    <t>M080</t>
  </si>
  <si>
    <t>M081</t>
  </si>
  <si>
    <t>M082</t>
  </si>
  <si>
    <t>M083</t>
  </si>
  <si>
    <t>M084</t>
  </si>
  <si>
    <t>M085</t>
  </si>
  <si>
    <t>M086</t>
  </si>
  <si>
    <t>M087</t>
  </si>
  <si>
    <t>M088</t>
  </si>
  <si>
    <t>M089</t>
  </si>
  <si>
    <t>M090</t>
  </si>
  <si>
    <t>M091</t>
  </si>
  <si>
    <t>M092</t>
  </si>
  <si>
    <t>M093</t>
  </si>
  <si>
    <t>M094</t>
  </si>
  <si>
    <t>M095</t>
  </si>
  <si>
    <t>M096</t>
  </si>
  <si>
    <t>M097</t>
  </si>
  <si>
    <t>M098</t>
  </si>
  <si>
    <t>M099</t>
  </si>
  <si>
    <t>M100</t>
  </si>
  <si>
    <t>M101</t>
  </si>
  <si>
    <t>M102</t>
  </si>
  <si>
    <t>M103</t>
  </si>
  <si>
    <t>M104</t>
  </si>
  <si>
    <t>M105</t>
  </si>
  <si>
    <t>M106</t>
  </si>
  <si>
    <t>M060</t>
  </si>
  <si>
    <t>M122</t>
  </si>
  <si>
    <t>M123</t>
  </si>
  <si>
    <t>M125</t>
  </si>
  <si>
    <t>M126</t>
  </si>
  <si>
    <t>M127</t>
  </si>
  <si>
    <t>M128</t>
  </si>
  <si>
    <t>M129</t>
  </si>
  <si>
    <t>M130</t>
  </si>
  <si>
    <t>M131</t>
  </si>
  <si>
    <t>M133</t>
  </si>
  <si>
    <t>M134</t>
  </si>
  <si>
    <t>M135</t>
  </si>
  <si>
    <t>M136</t>
  </si>
  <si>
    <t>M137</t>
  </si>
  <si>
    <t>M138</t>
  </si>
  <si>
    <t>M139</t>
  </si>
  <si>
    <t>M140</t>
  </si>
  <si>
    <t>Urgencia</t>
  </si>
  <si>
    <t>M141</t>
  </si>
  <si>
    <t>M142</t>
  </si>
  <si>
    <t>M143</t>
  </si>
  <si>
    <t>M144</t>
  </si>
  <si>
    <t>M145</t>
  </si>
  <si>
    <t>M146</t>
  </si>
  <si>
    <t>M147</t>
  </si>
  <si>
    <t>M150</t>
  </si>
  <si>
    <t>M152</t>
  </si>
  <si>
    <t>M153</t>
  </si>
  <si>
    <t>M154</t>
  </si>
  <si>
    <t>M155</t>
  </si>
  <si>
    <t>M156</t>
  </si>
  <si>
    <t>M157</t>
  </si>
  <si>
    <t>M158</t>
  </si>
  <si>
    <t>M159</t>
  </si>
  <si>
    <t>Facturacion</t>
  </si>
  <si>
    <t>Star Medico</t>
  </si>
  <si>
    <t>Baños comunes</t>
  </si>
  <si>
    <t>M160</t>
  </si>
  <si>
    <t>M161</t>
  </si>
  <si>
    <t>M162</t>
  </si>
  <si>
    <t>M163</t>
  </si>
  <si>
    <t>M164</t>
  </si>
  <si>
    <t>M165</t>
  </si>
  <si>
    <t>M166</t>
  </si>
  <si>
    <t>M167</t>
  </si>
  <si>
    <t>M168</t>
  </si>
  <si>
    <t>M169</t>
  </si>
  <si>
    <t>M170</t>
  </si>
  <si>
    <t>M171</t>
  </si>
  <si>
    <t>M172</t>
  </si>
  <si>
    <t>M173</t>
  </si>
  <si>
    <t>M174</t>
  </si>
  <si>
    <t>M175</t>
  </si>
  <si>
    <t>M176</t>
  </si>
  <si>
    <t>M177</t>
  </si>
  <si>
    <t>M178</t>
  </si>
  <si>
    <t>M179</t>
  </si>
  <si>
    <t>M180</t>
  </si>
  <si>
    <t>M181</t>
  </si>
  <si>
    <t>M182</t>
  </si>
  <si>
    <t>M183</t>
  </si>
  <si>
    <t>PRIMERA PLANTA</t>
  </si>
  <si>
    <t>SEGUNDA PLANTA</t>
  </si>
  <si>
    <t>Baños</t>
  </si>
  <si>
    <t>M184</t>
  </si>
  <si>
    <t>M185</t>
  </si>
  <si>
    <t>M186</t>
  </si>
  <si>
    <t>M187</t>
  </si>
  <si>
    <t>M188</t>
  </si>
  <si>
    <t>M189</t>
  </si>
  <si>
    <t>M190</t>
  </si>
  <si>
    <t>M191</t>
  </si>
  <si>
    <t>M192</t>
  </si>
  <si>
    <t>M193</t>
  </si>
  <si>
    <t>M194</t>
  </si>
  <si>
    <t>M195</t>
  </si>
  <si>
    <t>M196</t>
  </si>
  <si>
    <t>Coordinacion</t>
  </si>
  <si>
    <t>Sala de Reuniones</t>
  </si>
  <si>
    <t>M197</t>
  </si>
  <si>
    <t>M198</t>
  </si>
  <si>
    <t>M199</t>
  </si>
  <si>
    <t>M200</t>
  </si>
  <si>
    <t>M201</t>
  </si>
  <si>
    <t>M204</t>
  </si>
  <si>
    <t>M207</t>
  </si>
  <si>
    <t>M208</t>
  </si>
  <si>
    <t>M209</t>
  </si>
  <si>
    <t>M210</t>
  </si>
  <si>
    <t>M211</t>
  </si>
  <si>
    <t>M212</t>
  </si>
  <si>
    <t>M213</t>
  </si>
  <si>
    <t>Acceso segunda planta</t>
  </si>
  <si>
    <t>M214</t>
  </si>
  <si>
    <t>M215</t>
  </si>
  <si>
    <t>M216</t>
  </si>
  <si>
    <t>M217</t>
  </si>
  <si>
    <t>M218</t>
  </si>
  <si>
    <t>M219</t>
  </si>
  <si>
    <t>M220</t>
  </si>
  <si>
    <t>M221</t>
  </si>
  <si>
    <t>M222</t>
  </si>
  <si>
    <t>Vacunacion</t>
  </si>
  <si>
    <t>Descuentos</t>
  </si>
  <si>
    <t>Puerta (P6)</t>
  </si>
  <si>
    <t>Puerta (P5)</t>
  </si>
  <si>
    <t>Puerta (P7)</t>
  </si>
  <si>
    <t>Ventana (V10)</t>
  </si>
  <si>
    <t>Long. (m)</t>
  </si>
  <si>
    <t>Puerta (P8)</t>
  </si>
  <si>
    <t>Puerta (P4)</t>
  </si>
  <si>
    <t>Puerta (P10)</t>
  </si>
  <si>
    <t>Ventana (V4)</t>
  </si>
  <si>
    <t>Ventanal</t>
  </si>
  <si>
    <t>Ventana (V8)</t>
  </si>
  <si>
    <t>Puerta (P9)</t>
  </si>
  <si>
    <t>Puerta (P2)</t>
  </si>
  <si>
    <t>Ventana (V1)</t>
  </si>
  <si>
    <t>Ventana (V2)</t>
  </si>
  <si>
    <t>Puerta (P14)</t>
  </si>
  <si>
    <t>Puerta (P3)</t>
  </si>
  <si>
    <t>Ventana (V9)</t>
  </si>
  <si>
    <t>Ventana (V7)</t>
  </si>
  <si>
    <t>Ventana (V3)</t>
  </si>
  <si>
    <t>Puerta (P15)</t>
  </si>
  <si>
    <t>Puerta (P1)</t>
  </si>
  <si>
    <t>Ventana (V5)</t>
  </si>
  <si>
    <t>Puerta (P11)</t>
  </si>
  <si>
    <t>Vano</t>
  </si>
  <si>
    <t>Punto Sanitario con Diametro de 2"</t>
  </si>
  <si>
    <t>Punto Sanitario con Diametro de 4"</t>
  </si>
  <si>
    <t>Punto PVC - Sifon de piso con Diametro de 2"</t>
  </si>
  <si>
    <t>Red e Instalaciones Hidraulicas</t>
  </si>
  <si>
    <t>Red e Instalaciones Sanitarias</t>
  </si>
  <si>
    <t>Tuberia PVC - Sanitaria, con un Diametro de 2", para aguas residuales enterrada, empotradas por losas y/o colgadas. Incluye Accesorios</t>
  </si>
  <si>
    <t>Tuberia PVC - Sanitaria, con un Diametro de 4", para aguas residuales enterrada, empotradas por losas y/o colgadas. Incluye Accesorios</t>
  </si>
  <si>
    <t>Tuberia PVC - Sanitaria, con un Diametro de 6",para aguas residuales enterrada, empotradas por losas y/o colgadas Incluye Accesorios</t>
  </si>
  <si>
    <t>Construcción de Caja de inspección Sanitaria en concreto de 3000 psi con sección libre (80x80 cm) h/variable.</t>
  </si>
  <si>
    <t>Sistema de Trampa de Grasas</t>
  </si>
  <si>
    <t>Tuberia PVC - Patogena, con un Diametro de 2", para aguas residuales enterrada, empotradas por losas y/o colgadas. Incluye Accesorios</t>
  </si>
  <si>
    <t>Tuberia PVC - Patogena, con un Diametro de 4", para aguas residuales enterrada, empotradas por losas y/o colgadas. Incluye Accesorios</t>
  </si>
  <si>
    <t>Tuberia PVC - Patogena, con un Diametro de 6", para aguas residuales enterrada, empotradas por losas y/o colgadas. Incluye Accesorios</t>
  </si>
  <si>
    <t>Punto Patogeno con Diametro de 2"</t>
  </si>
  <si>
    <t>Construcción de Caja de inspección Patogena en concreto de 3000 psi con sección libre (80x80 cm) h/variable.</t>
  </si>
  <si>
    <t>Red e Instalaciones Patogenas</t>
  </si>
  <si>
    <t>INSTALACIONES HIDROSANITARIAS, PATOGENAS, AGUAS LLUVIAS, CONTRAINCENDIO, ENCHAPES Y APARATOS SANITARIOS</t>
  </si>
  <si>
    <t>Red e Instalaciones Aguas lluvias</t>
  </si>
  <si>
    <t>Red e Instalaciones ContraIncendio</t>
  </si>
  <si>
    <t>Enchapes y Aparatos Sanitarios</t>
  </si>
  <si>
    <t>Tuberia PVC - Presion, con un Diametro de 1/2", empotradas por losas y/o colgadas. Incluye Accesorios</t>
  </si>
  <si>
    <t>Tuberia PVC - Presion, con un Diametro de 3/4", empotradas por losas y/o colgadas. Incluye Accesorios</t>
  </si>
  <si>
    <t>Tuberia PVC - Presion, con un Diametro de 1", empotradas por losas y/o colgadas. Incluye Accesorios</t>
  </si>
  <si>
    <t>Punto Hidraulico Diametro de 1/2"</t>
  </si>
  <si>
    <t>Punto Hidraulico Diametro de 1/2" incluye llave terminal</t>
  </si>
  <si>
    <t>Punto Hidraulico Diametro de 3/4"</t>
  </si>
  <si>
    <t>Punto Hidraulico Diametro de 1"</t>
  </si>
  <si>
    <t>Llave de paso Diametro de 1/2"</t>
  </si>
  <si>
    <t>Llave de paso Diametro de 3/4"</t>
  </si>
  <si>
    <t>Llave de paso Diametro de 1"</t>
  </si>
  <si>
    <t>Sistema de Planta de Tratamiento de Aguas Residules (PTAR), incluye emisario final y accesorios para su correcto funcionamiento</t>
  </si>
  <si>
    <t>Sistema de Planta de Tratamiento de Agua Potable (PTAP), incluye accesorios para su correcto funcionamiento</t>
  </si>
  <si>
    <t>PRELIMINARES</t>
  </si>
  <si>
    <t>1.5</t>
  </si>
  <si>
    <t>Campamento, incluye instalaciones provisionales para su correcto funcionamiento.</t>
  </si>
  <si>
    <t>Desmonte, descapote y limpieza a Maquina</t>
  </si>
  <si>
    <t>Cerramiento provisional en tela verde H=2.1 m, incluye estructura en madera</t>
  </si>
  <si>
    <t>Retiro de material sobrante, cargue mecanico</t>
  </si>
  <si>
    <t>Llenos</t>
  </si>
  <si>
    <t>2.1.1</t>
  </si>
  <si>
    <t>2.1.2</t>
  </si>
  <si>
    <t>2.1.3</t>
  </si>
  <si>
    <t>2.1.4</t>
  </si>
  <si>
    <t>2.2.1</t>
  </si>
  <si>
    <t>2.2.2</t>
  </si>
  <si>
    <t>2.2.3</t>
  </si>
  <si>
    <t>2.2.4</t>
  </si>
  <si>
    <t>Lleno compactado con material del sitio, Incluye transporte interno</t>
  </si>
  <si>
    <t>Lleno compactado con material granular, Incluye transporte interno</t>
  </si>
  <si>
    <t>Lleno con material filtrante</t>
  </si>
  <si>
    <t xml:space="preserve">ELEMENTOS EN CONCRETO </t>
  </si>
  <si>
    <t>Placa Steeldeck y/o Metaldeck en concreto de 3000psi, sin refuerzo, según diseño</t>
  </si>
  <si>
    <t>Alfajía en concreto de 3000ps para remate de muro y ventana, incluye
refuerzo</t>
  </si>
  <si>
    <t>Anden en concreto de 20,7 Mpa (3.000 psi) e = 0,10 m</t>
  </si>
  <si>
    <t>Losa de Pavimento segun diseño con e= 0,20mts Mr 4mpa, pasadores de transferencia  ø=1" f 37000psi de 0,35m cada 30 cm, atraque ø=1/2" 60000psi de 1m cada 1,20m,incluye formaleta, acelerante de concreto al  0,5%, y sello asfaltico y curado.</t>
  </si>
  <si>
    <t>Muro de contención en concreto 20,7 Mpa (3000 psi), no incluye refuerzo</t>
  </si>
  <si>
    <t>Sardinel en concreto de 3000psi, incluye refuerzo</t>
  </si>
  <si>
    <t>Rampa en concreto de 20,7 Mpa (3.000 psi) e = 0,10 m</t>
  </si>
  <si>
    <t xml:space="preserve">Suministro e instalacion de tubos en concreto para alcantarilla D = 36" </t>
  </si>
  <si>
    <t xml:space="preserve">Box coulvert en concreto </t>
  </si>
  <si>
    <t>M223</t>
  </si>
  <si>
    <t>M224</t>
  </si>
  <si>
    <t>M225</t>
  </si>
  <si>
    <t>Cuarto de maquinas</t>
  </si>
  <si>
    <t>Taludes (tomado del plano Arquitectonico)</t>
  </si>
  <si>
    <t xml:space="preserve">Box coulvert </t>
  </si>
  <si>
    <t>Corte mecanico en material Heterogeneo</t>
  </si>
  <si>
    <t>Muro en bloque de cemento (paredes) 0.12m</t>
  </si>
  <si>
    <t>Chuchillas primer nivel</t>
  </si>
  <si>
    <t>M226</t>
  </si>
  <si>
    <t>M227</t>
  </si>
  <si>
    <t>M228</t>
  </si>
  <si>
    <t>M229</t>
  </si>
  <si>
    <t>M230</t>
  </si>
  <si>
    <t>M231</t>
  </si>
  <si>
    <t>M232</t>
  </si>
  <si>
    <t>M233</t>
  </si>
  <si>
    <t>M234</t>
  </si>
  <si>
    <t>M235</t>
  </si>
  <si>
    <t>M236</t>
  </si>
  <si>
    <t>M237</t>
  </si>
  <si>
    <t>M238</t>
  </si>
  <si>
    <t>M239</t>
  </si>
  <si>
    <t>M240</t>
  </si>
  <si>
    <t>M241</t>
  </si>
  <si>
    <t>M242</t>
  </si>
  <si>
    <t>M243</t>
  </si>
  <si>
    <t>M244</t>
  </si>
  <si>
    <t>M245</t>
  </si>
  <si>
    <t>M247</t>
  </si>
  <si>
    <t>M248</t>
  </si>
  <si>
    <t>M249</t>
  </si>
  <si>
    <t>M250</t>
  </si>
  <si>
    <t>M251</t>
  </si>
  <si>
    <t>M252</t>
  </si>
  <si>
    <t>M253</t>
  </si>
  <si>
    <t>M254</t>
  </si>
  <si>
    <t>Vacunacion (M246)</t>
  </si>
  <si>
    <t>3.3</t>
  </si>
  <si>
    <t>3.4</t>
  </si>
  <si>
    <t>Revoque muro incluye dilataciones y filos</t>
  </si>
  <si>
    <t>Revoque muro impermeabilizado, incluye dilataciones y filos</t>
  </si>
  <si>
    <t>Pintura exteriores (koraza o similar)</t>
  </si>
  <si>
    <t>5.4</t>
  </si>
  <si>
    <t>PISO</t>
  </si>
  <si>
    <t xml:space="preserve">Via de acceso </t>
  </si>
  <si>
    <t xml:space="preserve">Andenes </t>
  </si>
  <si>
    <t xml:space="preserve">Cuarto de maquinas </t>
  </si>
  <si>
    <t>Foso del Acensor</t>
  </si>
  <si>
    <t>Cerramiento perimetral</t>
  </si>
  <si>
    <t>Edificio</t>
  </si>
  <si>
    <t>Acensor</t>
  </si>
  <si>
    <t>Viga canal</t>
  </si>
  <si>
    <t>Losa segundo nivel</t>
  </si>
  <si>
    <t>Tanques elevados</t>
  </si>
  <si>
    <r>
      <t xml:space="preserve">Dintel en concreto de 3000psi de </t>
    </r>
    <r>
      <rPr>
        <sz val="11"/>
        <color theme="1"/>
        <rFont val="Arial"/>
        <family val="2"/>
      </rPr>
      <t>0,12 x 0,20 m</t>
    </r>
    <r>
      <rPr>
        <sz val="11"/>
        <rFont val="Arial"/>
        <family val="2"/>
      </rPr>
      <t>, incluye refuerzo</t>
    </r>
  </si>
  <si>
    <r>
      <t>Columnetas en concreto de 3000psi de</t>
    </r>
    <r>
      <rPr>
        <sz val="11"/>
        <color theme="1"/>
        <rFont val="Arial"/>
        <family val="2"/>
      </rPr>
      <t xml:space="preserve"> 0,12 x 0,20 m</t>
    </r>
    <r>
      <rPr>
        <sz val="11"/>
        <rFont val="Arial"/>
        <family val="2"/>
      </rPr>
      <t>, incluye refuerzo</t>
    </r>
  </si>
  <si>
    <t>Metro cubico x metro</t>
  </si>
  <si>
    <t>Concreto de 3000psi para pilas de cimentacion, no incluye acero de refuerzo</t>
  </si>
  <si>
    <t>Tanque subterraneo</t>
  </si>
  <si>
    <t>Muros</t>
  </si>
  <si>
    <t>Piso</t>
  </si>
  <si>
    <t>Techo</t>
  </si>
  <si>
    <t>M255</t>
  </si>
  <si>
    <t>M256</t>
  </si>
  <si>
    <t>M257</t>
  </si>
  <si>
    <t>M258</t>
  </si>
  <si>
    <t>M259</t>
  </si>
  <si>
    <t>M260</t>
  </si>
  <si>
    <t>M261</t>
  </si>
  <si>
    <t>M262</t>
  </si>
  <si>
    <t>M264</t>
  </si>
  <si>
    <t>M265</t>
  </si>
  <si>
    <t>M266</t>
  </si>
  <si>
    <t>M267</t>
  </si>
  <si>
    <t>M268</t>
  </si>
  <si>
    <t>M269</t>
  </si>
  <si>
    <t>M270</t>
  </si>
  <si>
    <t>Cafeteria</t>
  </si>
  <si>
    <t>Deposito de Basura</t>
  </si>
  <si>
    <t>Local Comercial</t>
  </si>
  <si>
    <t>Puesto de Control</t>
  </si>
  <si>
    <t>(Cuchillas del local comercial)M263</t>
  </si>
  <si>
    <t>ZONA EXTERIOR</t>
  </si>
  <si>
    <t>M271</t>
  </si>
  <si>
    <t>M272</t>
  </si>
  <si>
    <t>M273</t>
  </si>
  <si>
    <t>M274</t>
  </si>
  <si>
    <t>M275</t>
  </si>
  <si>
    <t>M276</t>
  </si>
  <si>
    <t>M277</t>
  </si>
  <si>
    <t>M278</t>
  </si>
  <si>
    <t>M279</t>
  </si>
  <si>
    <t>M280</t>
  </si>
  <si>
    <t>M281</t>
  </si>
  <si>
    <t>M282</t>
  </si>
  <si>
    <t>M283</t>
  </si>
  <si>
    <t>M284</t>
  </si>
  <si>
    <t>M285</t>
  </si>
  <si>
    <t>M286</t>
  </si>
  <si>
    <t>M287</t>
  </si>
  <si>
    <t>Cuchillas de segundo nivel</t>
  </si>
  <si>
    <t>M288</t>
  </si>
  <si>
    <t>M289</t>
  </si>
  <si>
    <t>M290</t>
  </si>
  <si>
    <t>M291</t>
  </si>
  <si>
    <t>M292</t>
  </si>
  <si>
    <t>M293</t>
  </si>
  <si>
    <t>M294</t>
  </si>
  <si>
    <t>M295</t>
  </si>
  <si>
    <t>M296</t>
  </si>
  <si>
    <t>M297</t>
  </si>
  <si>
    <t>M298</t>
  </si>
  <si>
    <t>M299</t>
  </si>
  <si>
    <t>M300</t>
  </si>
  <si>
    <t>M301</t>
  </si>
  <si>
    <t>M302</t>
  </si>
  <si>
    <t>M303</t>
  </si>
  <si>
    <t>Cuchillas cafeteria</t>
  </si>
  <si>
    <t>M304</t>
  </si>
  <si>
    <t>M305</t>
  </si>
  <si>
    <t>M306</t>
  </si>
  <si>
    <t>M307</t>
  </si>
  <si>
    <t>M308</t>
  </si>
  <si>
    <t>M309</t>
  </si>
  <si>
    <t>DESCRIPCION</t>
  </si>
  <si>
    <t>VARIOS01</t>
  </si>
  <si>
    <t>VARIOS02</t>
  </si>
  <si>
    <t>VARIOS03</t>
  </si>
  <si>
    <t>VARIOS04</t>
  </si>
  <si>
    <t>VARIOS05</t>
  </si>
  <si>
    <t>VARIOS06</t>
  </si>
  <si>
    <t>VARIOS07</t>
  </si>
  <si>
    <t>VARIOS08</t>
  </si>
  <si>
    <t>VARIOS09</t>
  </si>
  <si>
    <t>VARIOS10</t>
  </si>
  <si>
    <t>VARIOS11</t>
  </si>
  <si>
    <t>VARIOS12</t>
  </si>
  <si>
    <t>VARIOS13</t>
  </si>
  <si>
    <t>VARIOS14</t>
  </si>
  <si>
    <t>VARIOS15</t>
  </si>
  <si>
    <t>VARIOS16</t>
  </si>
  <si>
    <t>MATPLAYA01</t>
  </si>
  <si>
    <t>MATPLAYA02</t>
  </si>
  <si>
    <t>MATPLAYA03</t>
  </si>
  <si>
    <t>MATPLAYA04</t>
  </si>
  <si>
    <t>MATPLAYA05</t>
  </si>
  <si>
    <t>MATPLAYA06</t>
  </si>
  <si>
    <t>MATPLAYA07</t>
  </si>
  <si>
    <t>MATPLAYA08</t>
  </si>
  <si>
    <t>MATPLAYA09</t>
  </si>
  <si>
    <t>MATPLAYA10</t>
  </si>
  <si>
    <t>CONPREM01</t>
  </si>
  <si>
    <t>CONPREM02</t>
  </si>
  <si>
    <t>CONPREM03</t>
  </si>
  <si>
    <t>CONPREM04</t>
  </si>
  <si>
    <t>CONPREM05</t>
  </si>
  <si>
    <t>ACEROA4001</t>
  </si>
  <si>
    <t>ACEROA4002</t>
  </si>
  <si>
    <t>ACEROA4003</t>
  </si>
  <si>
    <t>ACEROA6001</t>
  </si>
  <si>
    <t>ACEROA6003</t>
  </si>
  <si>
    <t>ACEROA6002</t>
  </si>
  <si>
    <t>ACEROA6004</t>
  </si>
  <si>
    <t>ACEROA6005</t>
  </si>
  <si>
    <t>ACEROA6006</t>
  </si>
  <si>
    <t>ACEROVAR01</t>
  </si>
  <si>
    <t>ACEROVAR02</t>
  </si>
  <si>
    <t>ACEROVAR03</t>
  </si>
  <si>
    <t>ACEROVAR04</t>
  </si>
  <si>
    <t>ACEROVAR05</t>
  </si>
  <si>
    <t>ACEROVAR06</t>
  </si>
  <si>
    <t>ACEROVAR07</t>
  </si>
  <si>
    <t>ACEROVAR08</t>
  </si>
  <si>
    <t>ACEROVAR09</t>
  </si>
  <si>
    <t>CUBIERT01</t>
  </si>
  <si>
    <t>CUBIERT02</t>
  </si>
  <si>
    <t>CUBIERT03</t>
  </si>
  <si>
    <t>CUBIERT04</t>
  </si>
  <si>
    <t>CUBIERT05</t>
  </si>
  <si>
    <t>CUBIERT06</t>
  </si>
  <si>
    <t>CUBIERT07</t>
  </si>
  <si>
    <t>CUBIERT08</t>
  </si>
  <si>
    <t>CUBIERT09</t>
  </si>
  <si>
    <t>CUBIERT10</t>
  </si>
  <si>
    <t>CUBIERT11</t>
  </si>
  <si>
    <t>CUBIERT12</t>
  </si>
  <si>
    <t>CUBIERT13</t>
  </si>
  <si>
    <t>CUBIERT14</t>
  </si>
  <si>
    <t>CUBIERT15</t>
  </si>
  <si>
    <t>LISTA DE PRECIOS MATERIALES</t>
  </si>
  <si>
    <t>TUBSAN01</t>
  </si>
  <si>
    <t>TUBSAN02</t>
  </si>
  <si>
    <t>TUBSAN03</t>
  </si>
  <si>
    <t>TUBSAN04</t>
  </si>
  <si>
    <t>TUBSAN06</t>
  </si>
  <si>
    <t>TUBSAN05</t>
  </si>
  <si>
    <t>TUBLLU01</t>
  </si>
  <si>
    <t>TUBLLU02</t>
  </si>
  <si>
    <t>TUBLLU03</t>
  </si>
  <si>
    <t>TUBLLU04</t>
  </si>
  <si>
    <t>Tuberia lluvias Ø 1/2''</t>
  </si>
  <si>
    <t>Tuberia lluvias Ø 2''</t>
  </si>
  <si>
    <t>Tuberia lluvias Ø 3''</t>
  </si>
  <si>
    <t>Tuberia lluvias Ø 4''</t>
  </si>
  <si>
    <t>ACCESOSANØ2''01</t>
  </si>
  <si>
    <t>ACCESOSANØ2''02</t>
  </si>
  <si>
    <t>ACCESOSANØ2''03</t>
  </si>
  <si>
    <t>ACCESOSANØ2''04</t>
  </si>
  <si>
    <t>ACCESOSANØ2''05</t>
  </si>
  <si>
    <t>ACCESOSANØ2''06</t>
  </si>
  <si>
    <t>ACCESOSANØ2''07</t>
  </si>
  <si>
    <t>ACCESOSANØ3''01</t>
  </si>
  <si>
    <t>ACCESOSANØ3''02</t>
  </si>
  <si>
    <t>ACCESOSANØ3''03</t>
  </si>
  <si>
    <t>ACCESOSANØ3''04</t>
  </si>
  <si>
    <t>ACCESOSANØ3''05</t>
  </si>
  <si>
    <t>ACCESOSANØ3''06</t>
  </si>
  <si>
    <t>ACCESOSANØ3''07</t>
  </si>
  <si>
    <t>ACCESOSANØ3''08</t>
  </si>
  <si>
    <t>ACCESOSANØ4''08</t>
  </si>
  <si>
    <t>ACCESOSANØ4''01</t>
  </si>
  <si>
    <t>ACCESOSANØ4''02</t>
  </si>
  <si>
    <t>ACCESOSANØ4''03</t>
  </si>
  <si>
    <t>ACCESOSANØ4''04</t>
  </si>
  <si>
    <t>ACCESOSANØ4''05</t>
  </si>
  <si>
    <t>ACCESOSANØ4''06</t>
  </si>
  <si>
    <t>ACCESOSANØ4''07</t>
  </si>
  <si>
    <t>ACCESOSANØ6''01</t>
  </si>
  <si>
    <t>ACCESOSANØ6''02</t>
  </si>
  <si>
    <t>ACCESOSANØ6''03</t>
  </si>
  <si>
    <t>ACCESOSANØ6''04</t>
  </si>
  <si>
    <t>ACCESOSANØ6''05</t>
  </si>
  <si>
    <t>ACCESOSANØ6''06</t>
  </si>
  <si>
    <t>TUBPRES01</t>
  </si>
  <si>
    <t>TUBPRES02</t>
  </si>
  <si>
    <t>TUBPRES03</t>
  </si>
  <si>
    <t>TUBPRES04</t>
  </si>
  <si>
    <t>TUBPRES05</t>
  </si>
  <si>
    <t>TUBPRES06</t>
  </si>
  <si>
    <t>TUBPRES07</t>
  </si>
  <si>
    <t>ACCESOHIDRØ 1/2"01</t>
  </si>
  <si>
    <t>ACCESOHIDRØ 1/2"02</t>
  </si>
  <si>
    <t>ACCESOHIDRØ 1/2"03</t>
  </si>
  <si>
    <t>ACCESOHIDRØ 1/2"04</t>
  </si>
  <si>
    <t>ACCESOHIDRØ 1/2"05</t>
  </si>
  <si>
    <t>ACCESOHIDRØ 1/2"06</t>
  </si>
  <si>
    <t>ACCESOHIDRØ 1/2"07</t>
  </si>
  <si>
    <t>ACCESOHIDRØ 3/4"01</t>
  </si>
  <si>
    <t>ACCESOHIDRØ 1"01</t>
  </si>
  <si>
    <t>ACCESOHIDRØ 3/4"02</t>
  </si>
  <si>
    <t>ACCESOHIDRØ 3/4"03</t>
  </si>
  <si>
    <t>ACCESOHIDRØ 3/4"04</t>
  </si>
  <si>
    <t>ACCESOHIDRØ 3/4"05</t>
  </si>
  <si>
    <t>ACCESOHIDRØ 3/4"06</t>
  </si>
  <si>
    <t>ACCESOHIDRØ 3/4"07</t>
  </si>
  <si>
    <t>ACCESOHIDRØ 1"07</t>
  </si>
  <si>
    <t>ACCESOHIDRØ 1"02</t>
  </si>
  <si>
    <t>ACCESOHIDRØ 1"03</t>
  </si>
  <si>
    <t>ACCESOHIDRØ 1"04</t>
  </si>
  <si>
    <t>ACCESOHIDRØ 1"05</t>
  </si>
  <si>
    <t>ACCESOHIDRØ 1"06</t>
  </si>
  <si>
    <t>ACCESOHIDRØ 1 1/2"01</t>
  </si>
  <si>
    <t>ACCESOHIDRØ 1 1/2"02</t>
  </si>
  <si>
    <t>ACCESOHIDRØ 1 1/2"03</t>
  </si>
  <si>
    <t>ACCESOHIDRØ 1 1/2"04</t>
  </si>
  <si>
    <t>ACCESOHIDRØ 1 1/2"05</t>
  </si>
  <si>
    <t>ACCESOHIDRØ 1 1/2"06</t>
  </si>
  <si>
    <t>ACCESOHIDRØ 1 1/2"07</t>
  </si>
  <si>
    <t>ACCESOHIDRØ 2"01</t>
  </si>
  <si>
    <t>ACCESOHIDRØ 2"02</t>
  </si>
  <si>
    <t>ACCESOHIDRØ 2"03</t>
  </si>
  <si>
    <t>ACCESOHIDRØ 2"04</t>
  </si>
  <si>
    <t>ACCESOHIDRØ 2"05</t>
  </si>
  <si>
    <t>ACCESOHIDRØ 2"06</t>
  </si>
  <si>
    <t>ACCESOHIDRØ 2"07</t>
  </si>
  <si>
    <t>VARIOSHIDRO01</t>
  </si>
  <si>
    <t>VARIOSHIDRO02</t>
  </si>
  <si>
    <t>VARIOSHIDRO03</t>
  </si>
  <si>
    <t>VARIOSHIDRO04</t>
  </si>
  <si>
    <t>LLAVESPAS01</t>
  </si>
  <si>
    <t>LLAVESPAS02</t>
  </si>
  <si>
    <t>LLAVESPAS03</t>
  </si>
  <si>
    <t>LLAVESPAS04</t>
  </si>
  <si>
    <t>LLAVESPAS05</t>
  </si>
  <si>
    <t>LLAVESPAS06</t>
  </si>
  <si>
    <t>LLAVESPAS07</t>
  </si>
  <si>
    <t>LLAVESPAS08</t>
  </si>
  <si>
    <t>VARIOSHIDRO05</t>
  </si>
  <si>
    <t>APARATYENCHA01</t>
  </si>
  <si>
    <t>APARATYENCHA02</t>
  </si>
  <si>
    <t>APARATYENCHA03</t>
  </si>
  <si>
    <t>APARATYENCHA04</t>
  </si>
  <si>
    <t>APARATYENCHA05</t>
  </si>
  <si>
    <t>APARATYENCHA06</t>
  </si>
  <si>
    <t>APARATYENCHA07</t>
  </si>
  <si>
    <t>APARATYENCHA08</t>
  </si>
  <si>
    <t>APARATYENCHA09</t>
  </si>
  <si>
    <t>APARATYENCHA10</t>
  </si>
  <si>
    <t>APARATYENCHA11</t>
  </si>
  <si>
    <t>APARATYENCHA12</t>
  </si>
  <si>
    <t>APARATYENCHA13</t>
  </si>
  <si>
    <t>APARATYENCHA14</t>
  </si>
  <si>
    <t>APARATYENCHA15</t>
  </si>
  <si>
    <t>MADERFINA01</t>
  </si>
  <si>
    <t>MADERFINA02</t>
  </si>
  <si>
    <t>MADERFINA03</t>
  </si>
  <si>
    <t>MADERFINA04</t>
  </si>
  <si>
    <t>MADERFINA05</t>
  </si>
  <si>
    <t>MADERFINA06</t>
  </si>
  <si>
    <t>MADERFINA07</t>
  </si>
  <si>
    <t>MADERFINA08</t>
  </si>
  <si>
    <t>MADECOMUN</t>
  </si>
  <si>
    <t>ELECTVARIOS01</t>
  </si>
  <si>
    <t>ELECTVARIOS02</t>
  </si>
  <si>
    <t>ELECTVARIOS03</t>
  </si>
  <si>
    <t>ELECTVARIOS04</t>
  </si>
  <si>
    <t>ELECTVARIOS05</t>
  </si>
  <si>
    <t>ELECTVARIOS06</t>
  </si>
  <si>
    <t>ELECTVARIOS07</t>
  </si>
  <si>
    <t>ELECTVARIOS08</t>
  </si>
  <si>
    <t>ELECTVARIOS09</t>
  </si>
  <si>
    <t>ELECTVARIOS10</t>
  </si>
  <si>
    <t>ELECTVARIOS11</t>
  </si>
  <si>
    <t>ELECTVARIOS12</t>
  </si>
  <si>
    <t>ELECTVARIOS13</t>
  </si>
  <si>
    <t>ELECTVARIOS14</t>
  </si>
  <si>
    <t>ELECTVARIOS15</t>
  </si>
  <si>
    <t>ELECTVARIOS16</t>
  </si>
  <si>
    <t>ELECTVARIOS17</t>
  </si>
  <si>
    <t>ELECTVARIOS18</t>
  </si>
  <si>
    <t>ELECTVARIOS19</t>
  </si>
  <si>
    <t>ELECTVARIOS20</t>
  </si>
  <si>
    <t>ELECTVARIOS21</t>
  </si>
  <si>
    <t>ELECTVARIOS22</t>
  </si>
  <si>
    <t>ELECTVARIOS23</t>
  </si>
  <si>
    <t>ELECTVARIOS24</t>
  </si>
  <si>
    <t>ELECTVARIOS25</t>
  </si>
  <si>
    <t>ELECTVARIOS26</t>
  </si>
  <si>
    <t>TUBELEC01</t>
  </si>
  <si>
    <t>TUBELEC02</t>
  </si>
  <si>
    <t>TUBELEC03</t>
  </si>
  <si>
    <t>TUBELEC04</t>
  </si>
  <si>
    <t>TUBELEC05</t>
  </si>
  <si>
    <t>TUBELEC06</t>
  </si>
  <si>
    <t>ACCESOELEC01</t>
  </si>
  <si>
    <t>ACCESOELEC02</t>
  </si>
  <si>
    <t>ACCESOELEC03</t>
  </si>
  <si>
    <t>ACCESOELEC04</t>
  </si>
  <si>
    <t>ACCESOELEC05</t>
  </si>
  <si>
    <t>ACCESOELEC06</t>
  </si>
  <si>
    <t>ACCESOELEC07</t>
  </si>
  <si>
    <t>ACCESOELEC08</t>
  </si>
  <si>
    <t>ACCESOELEC09</t>
  </si>
  <si>
    <t>ACCESOELEC10</t>
  </si>
  <si>
    <t>ACCESOELEC11</t>
  </si>
  <si>
    <t>ACCESOELEC12</t>
  </si>
  <si>
    <t>ACCESOELEC13</t>
  </si>
  <si>
    <t>ACCESOELEC14</t>
  </si>
  <si>
    <t>ACCESOELEC15</t>
  </si>
  <si>
    <t>ACCESOELEC16</t>
  </si>
  <si>
    <t>ACCESOELEC17</t>
  </si>
  <si>
    <t>ACCESOELEC18</t>
  </si>
  <si>
    <t>ACCESOELEC19</t>
  </si>
  <si>
    <t>ACCESOELEC20</t>
  </si>
  <si>
    <t>VARIOS17</t>
  </si>
  <si>
    <t>VARIOS18</t>
  </si>
  <si>
    <t>VARIOS19</t>
  </si>
  <si>
    <t>VARIOS20</t>
  </si>
  <si>
    <t>VARIOS21</t>
  </si>
  <si>
    <t>VARIOS22</t>
  </si>
  <si>
    <t>VARIOS23</t>
  </si>
  <si>
    <t>VARIOS24</t>
  </si>
  <si>
    <t>VARIOS25</t>
  </si>
  <si>
    <t>VARIOS26</t>
  </si>
  <si>
    <t>VARIOS27</t>
  </si>
  <si>
    <t>VARIOS28</t>
  </si>
  <si>
    <t>LISTA DE PRECIOS EQUIPOS</t>
  </si>
  <si>
    <t>TIPO</t>
  </si>
  <si>
    <t>TARIFA</t>
  </si>
  <si>
    <t>EQUIPO01</t>
  </si>
  <si>
    <t>EQUIPO02</t>
  </si>
  <si>
    <t>EQUIPO03</t>
  </si>
  <si>
    <t>EQUIPO04</t>
  </si>
  <si>
    <t>EQUIPO05</t>
  </si>
  <si>
    <t>EQUIPO06</t>
  </si>
  <si>
    <t>EQUIPO07</t>
  </si>
  <si>
    <t>EQUIPO08</t>
  </si>
  <si>
    <t>EQUIPO09</t>
  </si>
  <si>
    <t>EQUIPO10</t>
  </si>
  <si>
    <t>EQUIPO11</t>
  </si>
  <si>
    <t>EQUIPO12</t>
  </si>
  <si>
    <t>EQUIPO13</t>
  </si>
  <si>
    <t>EQUIPO14</t>
  </si>
  <si>
    <t>EQUIPO15</t>
  </si>
  <si>
    <t>EQUIPO16</t>
  </si>
  <si>
    <t>EQUIPO17</t>
  </si>
  <si>
    <t>EQUIPO18</t>
  </si>
  <si>
    <t>EQUIPO19</t>
  </si>
  <si>
    <t>EQUIPO20</t>
  </si>
  <si>
    <t>EQUIPO21</t>
  </si>
  <si>
    <t>EQUIPO22</t>
  </si>
  <si>
    <t>EQUIPO23</t>
  </si>
  <si>
    <t>EQUIPO24</t>
  </si>
  <si>
    <t>EQUIPO25</t>
  </si>
  <si>
    <t>EQUIPO26</t>
  </si>
  <si>
    <t>EQUIPO27</t>
  </si>
  <si>
    <t>EQUIPO28</t>
  </si>
  <si>
    <t>EQUIPO29</t>
  </si>
  <si>
    <t>EQUIPO30</t>
  </si>
  <si>
    <t>EQUIPO31</t>
  </si>
  <si>
    <t>EQUIPO32</t>
  </si>
  <si>
    <t>EQUIPO33</t>
  </si>
  <si>
    <t>EQUIPO34</t>
  </si>
  <si>
    <t>EQUIPO35</t>
  </si>
  <si>
    <t>EQUIPO36</t>
  </si>
  <si>
    <t>EQUIPO37</t>
  </si>
  <si>
    <t>EQUIPO38</t>
  </si>
  <si>
    <t>EQUIPO39</t>
  </si>
  <si>
    <t>EQUIPO40</t>
  </si>
  <si>
    <t>EQUIPO41</t>
  </si>
  <si>
    <t>EQUIPO42</t>
  </si>
  <si>
    <t>EQUIPO43</t>
  </si>
  <si>
    <t>EQUIPO44</t>
  </si>
  <si>
    <t>EQUIPO45</t>
  </si>
  <si>
    <t>EQUIPO46</t>
  </si>
  <si>
    <t>EQUIPO47</t>
  </si>
  <si>
    <t>EQUIPO48</t>
  </si>
  <si>
    <t>EQUIPO49</t>
  </si>
  <si>
    <t>EQUIPO50</t>
  </si>
  <si>
    <t>EQUIPO51</t>
  </si>
  <si>
    <t>EQUIPO52</t>
  </si>
  <si>
    <t>EQUIPO53</t>
  </si>
  <si>
    <t>EQUIPO54</t>
  </si>
  <si>
    <t>EQUIPO55</t>
  </si>
  <si>
    <t>EQUIPO56</t>
  </si>
  <si>
    <t>EQUIPO57</t>
  </si>
  <si>
    <t>EQUIPO58</t>
  </si>
  <si>
    <t>EQUIPO59</t>
  </si>
  <si>
    <t>EQUIPO60</t>
  </si>
  <si>
    <t>EQUIPO61</t>
  </si>
  <si>
    <t>EQUIPO62</t>
  </si>
  <si>
    <t>EQUIPO63</t>
  </si>
  <si>
    <t>EQUIPO64</t>
  </si>
  <si>
    <t>EQUIPO65</t>
  </si>
  <si>
    <t>EQUIPO66</t>
  </si>
  <si>
    <t>EQUIPO67</t>
  </si>
  <si>
    <t>EQUIPO68</t>
  </si>
  <si>
    <t>EQUIPO69</t>
  </si>
  <si>
    <t>EQUIPO70</t>
  </si>
  <si>
    <t>EQUIPO71</t>
  </si>
  <si>
    <t>EQUIPO72</t>
  </si>
  <si>
    <t>EQUIPO73</t>
  </si>
  <si>
    <t>EQUIPO74</t>
  </si>
  <si>
    <t>EQUIPO75</t>
  </si>
  <si>
    <t>EQUIPO76</t>
  </si>
  <si>
    <t>EQUIPO77</t>
  </si>
  <si>
    <t>EQUIPO78</t>
  </si>
  <si>
    <t>EQUIPO79</t>
  </si>
  <si>
    <t>EQUIPO80</t>
  </si>
  <si>
    <t>EQUIPO81</t>
  </si>
  <si>
    <t>EQUIPO82</t>
  </si>
  <si>
    <t>EQUIPO83</t>
  </si>
  <si>
    <t>EQUIPO84</t>
  </si>
  <si>
    <t>EQUIPO85</t>
  </si>
  <si>
    <t>EQUIPO86</t>
  </si>
  <si>
    <t>EQUIPO87</t>
  </si>
  <si>
    <t>EQUIPO88</t>
  </si>
  <si>
    <t>EQUIPO89</t>
  </si>
  <si>
    <t>EQUIPO90</t>
  </si>
  <si>
    <t>EQUIPO91</t>
  </si>
  <si>
    <t>EQUIPO92</t>
  </si>
  <si>
    <t>EQUIPO93</t>
  </si>
  <si>
    <t>EQUIPO94</t>
  </si>
  <si>
    <t>EQUIPO95</t>
  </si>
  <si>
    <t>EQUIPO96</t>
  </si>
  <si>
    <t>EQUIPO97</t>
  </si>
  <si>
    <t>EQUIPO98</t>
  </si>
  <si>
    <t>EQUIPO99</t>
  </si>
  <si>
    <t>EQUIPO100</t>
  </si>
  <si>
    <t>EQUIPO101</t>
  </si>
  <si>
    <t>EQUIPO102</t>
  </si>
  <si>
    <t>EQUIPO103</t>
  </si>
  <si>
    <t>EQUIPO104</t>
  </si>
  <si>
    <t>EQUIPO105</t>
  </si>
  <si>
    <t>EQUIPO106</t>
  </si>
  <si>
    <t>EQUIPO107</t>
  </si>
  <si>
    <t>EQUIPO108</t>
  </si>
  <si>
    <t>EQUIPO109</t>
  </si>
  <si>
    <t>EQUIPO110</t>
  </si>
  <si>
    <t>EQUIPO111</t>
  </si>
  <si>
    <t>EQUIPO112</t>
  </si>
  <si>
    <t>EQUIPO113</t>
  </si>
  <si>
    <t>EQUIPO114</t>
  </si>
  <si>
    <t>EQUIPO115</t>
  </si>
  <si>
    <t>EQUIPO116</t>
  </si>
  <si>
    <t>EQUIPO117</t>
  </si>
  <si>
    <t>EQUIPO118</t>
  </si>
  <si>
    <t>EQUIPO119</t>
  </si>
  <si>
    <t>EQUIPO120</t>
  </si>
  <si>
    <t>EQUIPO121</t>
  </si>
  <si>
    <t>EQUIPO122</t>
  </si>
  <si>
    <t>EQUIPO123</t>
  </si>
  <si>
    <t>EQUIPO124</t>
  </si>
  <si>
    <t>EQUIPO125</t>
  </si>
  <si>
    <t>EQUIPO126</t>
  </si>
  <si>
    <t>EQUIPO127</t>
  </si>
  <si>
    <t>EQUIPO128</t>
  </si>
  <si>
    <t>EQUIPO129</t>
  </si>
  <si>
    <t>EQUIPO130</t>
  </si>
  <si>
    <t>EQUIPO131</t>
  </si>
  <si>
    <t>EQUIPO132</t>
  </si>
  <si>
    <t>EQUIPO133</t>
  </si>
  <si>
    <t>EQUIPO134</t>
  </si>
  <si>
    <t>EQUIPO135</t>
  </si>
  <si>
    <t>EQUIPO136</t>
  </si>
  <si>
    <t>EQUIPO137</t>
  </si>
  <si>
    <t>EQUIPO138</t>
  </si>
  <si>
    <t>EQUIPO139</t>
  </si>
  <si>
    <t>EQUIPO140</t>
  </si>
  <si>
    <t>EQUIPO141</t>
  </si>
  <si>
    <t>EQUIPO142</t>
  </si>
  <si>
    <t>EQUIPO143</t>
  </si>
  <si>
    <t>EQUIPO144</t>
  </si>
  <si>
    <t>EQUIPO145</t>
  </si>
  <si>
    <t>EQUIPO146</t>
  </si>
  <si>
    <t>EQUIPO147</t>
  </si>
  <si>
    <t>EQUIPO148</t>
  </si>
  <si>
    <t>EQUIPO149</t>
  </si>
  <si>
    <t>EQUIPO150</t>
  </si>
  <si>
    <t>EQUIPO151</t>
  </si>
  <si>
    <t>EQUIPO152</t>
  </si>
  <si>
    <t>EQUIPO153</t>
  </si>
  <si>
    <t>EQUIPO154</t>
  </si>
  <si>
    <t>EQUIPO155</t>
  </si>
  <si>
    <t>EQUIPO156</t>
  </si>
  <si>
    <t>EQUIPO157</t>
  </si>
  <si>
    <t>EQUIPO158</t>
  </si>
  <si>
    <t>EQUIPO159</t>
  </si>
  <si>
    <t>EQUIPO160</t>
  </si>
  <si>
    <t>EQUIPO161</t>
  </si>
  <si>
    <t>EQUIPO162</t>
  </si>
  <si>
    <t>EQUIPO163</t>
  </si>
  <si>
    <t>EQUIPO164</t>
  </si>
  <si>
    <t>EQUIPO165</t>
  </si>
  <si>
    <t>EQUIPO166</t>
  </si>
  <si>
    <t>EQUIPO167</t>
  </si>
  <si>
    <t>EQUIPO168</t>
  </si>
  <si>
    <t>EQUIPO169</t>
  </si>
  <si>
    <t>EQUIPO170</t>
  </si>
  <si>
    <t>EQUIPO171</t>
  </si>
  <si>
    <t>EQUIPO172</t>
  </si>
  <si>
    <t>EQUIPO173</t>
  </si>
  <si>
    <t>EQUIPO174</t>
  </si>
  <si>
    <t>EQUIPO175</t>
  </si>
  <si>
    <t>EQUIPO176</t>
  </si>
  <si>
    <t>EQUIPO177</t>
  </si>
  <si>
    <t>Estructura</t>
  </si>
  <si>
    <t>Manual</t>
  </si>
  <si>
    <t>Electrica</t>
  </si>
  <si>
    <t>Hidraulico</t>
  </si>
  <si>
    <t>Gas</t>
  </si>
  <si>
    <t>Combustible</t>
  </si>
  <si>
    <t xml:space="preserve">I. EQUIPOS </t>
  </si>
  <si>
    <t>Codigo</t>
  </si>
  <si>
    <t>Descripciòn</t>
  </si>
  <si>
    <t>II. MATERIALES</t>
  </si>
  <si>
    <t>III. TRANSPORTE</t>
  </si>
  <si>
    <t>IV. MANO DE OBRA</t>
  </si>
  <si>
    <t/>
  </si>
  <si>
    <t>Desperdicios sobre los materiales</t>
  </si>
  <si>
    <t>Herramienta menor (% Mano de Obra)</t>
  </si>
  <si>
    <t>Mestro de Obra</t>
  </si>
  <si>
    <t>Ayudante raso</t>
  </si>
  <si>
    <t>Ayudante entendido</t>
  </si>
  <si>
    <t xml:space="preserve">JORNAL </t>
  </si>
  <si>
    <t>PERSONAL</t>
  </si>
  <si>
    <t>Topografo</t>
  </si>
  <si>
    <t>Cadenero</t>
  </si>
  <si>
    <t>Oficial Carpinteria Metalica</t>
  </si>
  <si>
    <t>Ayudante Carpinteria Metalica</t>
  </si>
  <si>
    <t>Oficial Carpinteria Madera</t>
  </si>
  <si>
    <t>Ayudante Carpinteria Madera</t>
  </si>
  <si>
    <t>Oficial Electrico</t>
  </si>
  <si>
    <t>Ayudante Electrico</t>
  </si>
  <si>
    <t>Oficial Pintura y Resane</t>
  </si>
  <si>
    <t>Ayudante Pintura y Resane</t>
  </si>
  <si>
    <t>Fierrero</t>
  </si>
  <si>
    <t>Oficial de obra primera</t>
  </si>
  <si>
    <t>CALCULO DE LAS CUADRILLAS</t>
  </si>
  <si>
    <t>Concepto</t>
  </si>
  <si>
    <t>Vr/Unitario</t>
  </si>
  <si>
    <t>Vr/Total</t>
  </si>
  <si>
    <t>Cuadrilla A1OficialPrimera+1AyudanteRaso</t>
  </si>
  <si>
    <t>Cuadrilla B1Topografo+2Cadeneros</t>
  </si>
  <si>
    <t>Cuadrilla C1OficialPrimera+2AyudanteRaso</t>
  </si>
  <si>
    <t>Cuadrilla D2AyudanteRaso</t>
  </si>
  <si>
    <t>Cuadrilla E1OficialPrimera+4AyudanteRaso</t>
  </si>
  <si>
    <t>Cuadrilla F2OficialPrimera+4AyudanteRaso</t>
  </si>
  <si>
    <t>Oficial Fontaneria</t>
  </si>
  <si>
    <t>Ayudante Fontaneria</t>
  </si>
  <si>
    <t>Cuadrilla G2OficialPrimera+4AyudanteRaso</t>
  </si>
  <si>
    <t>Personal y/o Cuadrilla</t>
  </si>
  <si>
    <t>LISTADO DE ACTIVIDADES</t>
  </si>
  <si>
    <t>APU/ITEMS</t>
  </si>
  <si>
    <t>Instalaciones electricas</t>
  </si>
  <si>
    <t>Instalaciones de agua potable</t>
  </si>
  <si>
    <t>Instalaciones sistematica</t>
  </si>
  <si>
    <t>Instalaciones sanitaria provicional</t>
  </si>
  <si>
    <t>Concreto de 4000 PSI</t>
  </si>
  <si>
    <t>ANALISIS DE PRECIOS AUXILIARES</t>
  </si>
  <si>
    <t>Und./Hora</t>
  </si>
  <si>
    <t>M/hora</t>
  </si>
  <si>
    <t>Kg/hora</t>
  </si>
  <si>
    <t>Und./hora</t>
  </si>
  <si>
    <t>m2/hora</t>
  </si>
  <si>
    <t>Mortero de 1:4</t>
  </si>
  <si>
    <t>Acero de refuerzo de 60000 PSI</t>
  </si>
  <si>
    <t xml:space="preserve">Acero </t>
  </si>
  <si>
    <t xml:space="preserve">Formaleta en madera fina, para concreto columnas y vigas </t>
  </si>
  <si>
    <t xml:space="preserve">Pulidora Grande </t>
  </si>
  <si>
    <t>Formaleta en madera para muros de contencion, pozo septico y tanque subterraneo</t>
  </si>
  <si>
    <t>VARIOS29</t>
  </si>
  <si>
    <t xml:space="preserve">Tela verde 50m x 2.10m ancho 55gr/m2 </t>
  </si>
  <si>
    <t>Transporte de Materiales</t>
  </si>
  <si>
    <t>1m3</t>
  </si>
  <si>
    <t xml:space="preserve">Excavacion Manual en material Heterogeneo </t>
  </si>
  <si>
    <t>Transporte de Materiales Manual interno</t>
  </si>
  <si>
    <t>Polea o Molinete</t>
  </si>
  <si>
    <t xml:space="preserve">Tarifa de transporte </t>
  </si>
  <si>
    <t xml:space="preserve">Geotextil No Tejido PP/1600S </t>
  </si>
  <si>
    <t>Concreto de 2500 PSI</t>
  </si>
  <si>
    <t>Estuco Estucor Plastico</t>
  </si>
  <si>
    <t>Cuñete</t>
  </si>
  <si>
    <t>Losa de Pavimento segun diseño con e= 0,15mts Mr 4mpa, pasadores de transferencia  ø=1" f 37000psi de 0,35m cada 30 cm, atraque ø=1/2" 60000psi de 1m cada 1,20m,incluye formaleta, acelerante de concreto al  0,5%, y sello asfaltico y curado.</t>
  </si>
  <si>
    <t>ACEROS</t>
  </si>
  <si>
    <t xml:space="preserve">Acero Fy = 60.000 psi </t>
  </si>
  <si>
    <t>Mortero de nivelacion e=0,05m parra pisos</t>
  </si>
  <si>
    <t>Techo en lámina arquitectónica pintada</t>
  </si>
  <si>
    <t>Techo en lámina policarbonato</t>
  </si>
  <si>
    <t>6.2</t>
  </si>
  <si>
    <t>Manto bituminoso para control de humedades, incluye cintas asfalticas</t>
  </si>
  <si>
    <t>Fachada flotante en lamina microperforada, según diseños y detalles</t>
  </si>
  <si>
    <t>Tuberia PVC - Sanitaria, con un Diametro de 6", para aguas lluvias, enterrada, empotradas por losas y/o colgadas. Incluye Accesorios</t>
  </si>
  <si>
    <t>Gabinete contra incendios</t>
  </si>
  <si>
    <t>Tuberia HG 1" hasta H=3M (incluye accesorios)</t>
  </si>
  <si>
    <t>Tuberia HG 2" hasta H=3M (incluye accesorios)</t>
  </si>
  <si>
    <t>Valvula Siamesa</t>
  </si>
  <si>
    <t>Enchape piso-pared en ceramica de 1ra de 20 x 20cm</t>
  </si>
  <si>
    <t>Sanitario tipo avanti de bajo consumo</t>
  </si>
  <si>
    <t>Poceta de aseo prefabricada en balsoda</t>
  </si>
  <si>
    <t>Ducha cromada de 1/2" con mezclador</t>
  </si>
  <si>
    <t>Lavamanos tipo avanti de pedestal con griferia, incluye griferia tipo llave</t>
  </si>
  <si>
    <t>3.5</t>
  </si>
  <si>
    <t>3.6</t>
  </si>
  <si>
    <t>3.7</t>
  </si>
  <si>
    <t>3.8</t>
  </si>
  <si>
    <t>3.9</t>
  </si>
  <si>
    <t>3.10</t>
  </si>
  <si>
    <t>3.11</t>
  </si>
  <si>
    <t>3.12</t>
  </si>
  <si>
    <t>3.13</t>
  </si>
  <si>
    <t>3.14</t>
  </si>
  <si>
    <t>3.15</t>
  </si>
  <si>
    <t>3.16</t>
  </si>
  <si>
    <t>3.17</t>
  </si>
  <si>
    <t>9.0</t>
  </si>
  <si>
    <t>9.1</t>
  </si>
  <si>
    <t>9.2</t>
  </si>
  <si>
    <t>9.3</t>
  </si>
  <si>
    <t>10.0</t>
  </si>
  <si>
    <t>10.1</t>
  </si>
  <si>
    <t>10.3.3</t>
  </si>
  <si>
    <t>10.1.7</t>
  </si>
  <si>
    <t>10.1.12</t>
  </si>
  <si>
    <t>10.1.13</t>
  </si>
  <si>
    <t>10.2</t>
  </si>
  <si>
    <t>10.3</t>
  </si>
  <si>
    <t>10.3.1</t>
  </si>
  <si>
    <t>10.3.2</t>
  </si>
  <si>
    <t>10.3.4</t>
  </si>
  <si>
    <t>10.3.5</t>
  </si>
  <si>
    <t>10.4</t>
  </si>
  <si>
    <t>10.4.1</t>
  </si>
  <si>
    <t>10.5</t>
  </si>
  <si>
    <t>10.5.1</t>
  </si>
  <si>
    <t>10.5.2</t>
  </si>
  <si>
    <t>10.5.3</t>
  </si>
  <si>
    <t>10.5.4</t>
  </si>
  <si>
    <t>10.5.5</t>
  </si>
  <si>
    <t>10.6</t>
  </si>
  <si>
    <t>10.6.1</t>
  </si>
  <si>
    <t>10.6.2</t>
  </si>
  <si>
    <t>10.6.3</t>
  </si>
  <si>
    <t>10.6.4</t>
  </si>
  <si>
    <t>10.6.5</t>
  </si>
  <si>
    <t>Barra de seguridad en acero inoxidable</t>
  </si>
  <si>
    <t>11.0</t>
  </si>
  <si>
    <t>ZONAS VERDES</t>
  </si>
  <si>
    <t>Arboles o especies nativas.</t>
  </si>
  <si>
    <t>11.1</t>
  </si>
  <si>
    <t>11.2</t>
  </si>
  <si>
    <t xml:space="preserve">Placa de contrapiso en concreto de 30000psi, e = 0.10m </t>
  </si>
  <si>
    <t>Piso en baldosa trafico pesado (granito)</t>
  </si>
  <si>
    <t>Quimico Pulida y Brillo</t>
  </si>
  <si>
    <t>Acero para Estructuras Pesadas</t>
  </si>
  <si>
    <t>Teja Policarbonato</t>
  </si>
  <si>
    <t>CUBIERT16</t>
  </si>
  <si>
    <t>Cielo falso en superboard, incluye estructura</t>
  </si>
  <si>
    <t>Superboard Cemento Art Deco 6mm 244x122cm 26kg</t>
  </si>
  <si>
    <t>VARIOS30</t>
  </si>
  <si>
    <t>VARIOS31</t>
  </si>
  <si>
    <t>Estructura compuesta x omegas, viguetas, angulos</t>
  </si>
  <si>
    <t>VARIOS32</t>
  </si>
  <si>
    <t>Manto bituminoso</t>
  </si>
  <si>
    <t>Puertas</t>
  </si>
  <si>
    <t>Puerta Vatiente Izq (P8) en aluminio y PLOMO de 2,10 x 1,30mts, según diseños</t>
  </si>
  <si>
    <t>Puerta Corrediza (P9) en aluminio y PLOMO de 2,10 x 1,40mts, según diseños</t>
  </si>
  <si>
    <t>Puerta Corrediza (P1) en aluminio y vidrio 3+3 de 2,10 x 3,6mts, según diseños</t>
  </si>
  <si>
    <t>Puerta Doble Vatiente (P2) en aluminio y vidrio 3+3 de 2,10 x 2,0mts, según diseños</t>
  </si>
  <si>
    <t>Puerta Doble Vatiente (P3) en aluminio y vidrio 3+3 de 2,10 x 1,8mts, según diseños</t>
  </si>
  <si>
    <t>Puerta Doble Vatiente (P4) en aluminio y vidrio 3+3  de 2,10 x 2,0mts, según diseños</t>
  </si>
  <si>
    <t>Puerta Doble Vatiente (P5) en aluminio y vidrio 3+3 de 2,10 x 1,5mts, según diseños</t>
  </si>
  <si>
    <t>Puerta Doble Vatiente (P6) en aluminio y vidrio 3+3 de 2,10 x 1,20mts, según diseños</t>
  </si>
  <si>
    <t>Puerta Doble Vatiente (P7) en aluminio y vidrio 3+3 de 2,10 x 1,40mts, según diseños</t>
  </si>
  <si>
    <t>Puerta Vatiente Izq (P10) en aluminio y vidrio 3+3 de 2,10 x 0,9mts, según diseños</t>
  </si>
  <si>
    <t>Puerta Vatiente Izq (P11) en aluminio y vidrio 3+3 de 2,10 x 1,00mts, según diseños</t>
  </si>
  <si>
    <t>Puerta Vatiente Der (P12) en aluminio y vidrio 3+3 de 2,10 x 0,9mts, según diseños</t>
  </si>
  <si>
    <t>Puerta Vatiente Izq (P13) en aluminio y vidrio 3+3 de 2,10 x 0,7mts, según diseños</t>
  </si>
  <si>
    <t>Puerta Corrediza (P14) en aluminio y vidrio 3+3 de 2,10 x 1,00mts, según diseños</t>
  </si>
  <si>
    <t>Puerta Vatiente izq (P15) en aluminio y vidrio 3+3 de 2,10 x 1,00mts, según diseños</t>
  </si>
  <si>
    <t>Puerta Vatiente izq (P16) en aluminio y vidrio 3+3 de 2,10 x 0,80mts, según diseños</t>
  </si>
  <si>
    <t>Puerta Corrediza (P17) en aluminio y vidrio 3+3 de 2,10 x 0,9mts, según diseños</t>
  </si>
  <si>
    <t>Puerta Corrediza (P18) en aluminio y vidrio 3+3 de 2,10 x 1,20mts, según diseños</t>
  </si>
  <si>
    <t>9.1.1</t>
  </si>
  <si>
    <t>9.1.2</t>
  </si>
  <si>
    <t>9.1.3</t>
  </si>
  <si>
    <t>9.1.4</t>
  </si>
  <si>
    <t>9.1.5</t>
  </si>
  <si>
    <t>9.1.6</t>
  </si>
  <si>
    <t>9.1.7</t>
  </si>
  <si>
    <t>9.1.8</t>
  </si>
  <si>
    <t>9.1.9</t>
  </si>
  <si>
    <t>9.1.10</t>
  </si>
  <si>
    <t>9.1.11</t>
  </si>
  <si>
    <t>9.1.12</t>
  </si>
  <si>
    <t>9.1.13</t>
  </si>
  <si>
    <t>9.1.14</t>
  </si>
  <si>
    <t>9.1.15</t>
  </si>
  <si>
    <t>9.1.16</t>
  </si>
  <si>
    <t>9.1.17</t>
  </si>
  <si>
    <t>9.1.18</t>
  </si>
  <si>
    <t>Ventanas</t>
  </si>
  <si>
    <t>Ventana Corrediza (V1) en aluminio y vridrio 3+3 de 4,03 x 1,10mts, según diseños</t>
  </si>
  <si>
    <t>Ventana Corrediza (V2) en aluminio y vridrio 3+3 de 2,00 x 1,10mts, según diseños</t>
  </si>
  <si>
    <t>Ventana Corrediza (V3) en aluminio y vridrio 3+3 de 1,20 x 1,10mts, según diseños</t>
  </si>
  <si>
    <t>Ventana Corrediza (V4) en aluminio y vridrio 3+3 de 0,9 x 1,10mts, según diseños</t>
  </si>
  <si>
    <t>Ventana Corrediza (V5) en aluminio y vridrio 3+3 de 0,6 x 1,10mts, según diseños</t>
  </si>
  <si>
    <t>Ventana Corrediza (V6) en aluminio y vridrio 3+3 de 1,00 x 1,10mts, según diseños</t>
  </si>
  <si>
    <t>Ventana Corrediza (V7) en aluminio y vridrio 3+3 de 3,00 x 0,40mts, según diseños</t>
  </si>
  <si>
    <t>Ventana Corrediza (V8) en aluminio y vridrio 3+3 de 1,00 x 0,40mts, según diseños</t>
  </si>
  <si>
    <t>Ventana Corrediza (V9) en aluminio y vridrio 3+3 de 0,90 x 0,40mts, según diseños</t>
  </si>
  <si>
    <t>Ventana Corrediza (V10) en aluminio y PLOMO 3+3 de 0,90 x 0,40mts, según diseños</t>
  </si>
  <si>
    <t>Ventana Corrediza (V11) en aluminio de 3,70 x 0,60mts, según diseños</t>
  </si>
  <si>
    <t>9.2.1</t>
  </si>
  <si>
    <t>9.2.4</t>
  </si>
  <si>
    <t>9.2.6</t>
  </si>
  <si>
    <t>9.2.2</t>
  </si>
  <si>
    <t>9.2.3</t>
  </si>
  <si>
    <t>9.2.5</t>
  </si>
  <si>
    <t>9.2.7</t>
  </si>
  <si>
    <t>9.2.8</t>
  </si>
  <si>
    <t>9.2.9</t>
  </si>
  <si>
    <t>9.2.10</t>
  </si>
  <si>
    <t>9.2.11</t>
  </si>
  <si>
    <t>Varios</t>
  </si>
  <si>
    <t>Pasamanos  hierro forjado, incluye anclajes, pintura anticorrosiva y esmalte.</t>
  </si>
  <si>
    <t>9.3.1</t>
  </si>
  <si>
    <t>9.3.2</t>
  </si>
  <si>
    <t>9.3.3</t>
  </si>
  <si>
    <t>9.3.4</t>
  </si>
  <si>
    <t>9.3.5</t>
  </si>
  <si>
    <t>9.3.6</t>
  </si>
  <si>
    <t>9.3.7</t>
  </si>
  <si>
    <t xml:space="preserve">Fabricacion e instalacion de malla eslabonada para cerramiento perimetral, incluye excavacion manual en material heterogeneo, zapata de 80x80cm, columnas de 30x30cm, viga de 25cmx25cm todo en concreto reforzado de 3000 psi,  mamposteria de concreto de 12x20x40 a la vista prensado, postes verticales longitudinales diagonales y riostras en tuberia en hierro galvanizado de 2" exterior calibre 16 - separados cada 2,3mts, malla eslabonada galvanizada 5cm, pintura para acabado final y todos los elementos necesarios para su correcta instalacion. </t>
  </si>
  <si>
    <t>CARPMETAL01</t>
  </si>
  <si>
    <t>CARPMETAL02</t>
  </si>
  <si>
    <t>CARPMETAL03</t>
  </si>
  <si>
    <t>CARPMETAL04</t>
  </si>
  <si>
    <t>CARPMETAL05</t>
  </si>
  <si>
    <t>CARPMETAL06</t>
  </si>
  <si>
    <t>CARPMETAL07</t>
  </si>
  <si>
    <t>CARPMETAL08</t>
  </si>
  <si>
    <t>CARPMETAL09</t>
  </si>
  <si>
    <t>CARPMETAL10</t>
  </si>
  <si>
    <t>CARPMETAL11</t>
  </si>
  <si>
    <t>CARPMETAL12</t>
  </si>
  <si>
    <t>CARPMETAL13</t>
  </si>
  <si>
    <t>CARPMETAL14</t>
  </si>
  <si>
    <t>CARPMETAL15</t>
  </si>
  <si>
    <t>CARPMETAL16</t>
  </si>
  <si>
    <t>CARPMETAL17</t>
  </si>
  <si>
    <t>CARPMETAL18</t>
  </si>
  <si>
    <t>CARPMETAL19</t>
  </si>
  <si>
    <t>CARPMETAL20</t>
  </si>
  <si>
    <t>CARPMETAL21</t>
  </si>
  <si>
    <t>CARPMETAL22</t>
  </si>
  <si>
    <t>CARPMETAL23</t>
  </si>
  <si>
    <t>CARPMETAL24</t>
  </si>
  <si>
    <t>CARPMETAL25</t>
  </si>
  <si>
    <t>CARPMETAL26</t>
  </si>
  <si>
    <t>CARPMETAL27</t>
  </si>
  <si>
    <t>CARPMETAL28</t>
  </si>
  <si>
    <t>CARPMETAL29</t>
  </si>
  <si>
    <t>Puerta para baño en acero inoxidable anclada con perno expansivo, de 0.9 * 1.8 m.</t>
  </si>
  <si>
    <t>Division para baño en acero inoxidable anclada con perno expansivo, de 1.56 * 1.8 m.</t>
  </si>
  <si>
    <t>Particion sanitaria en acero inoxidable de 1,56*1,8 m</t>
  </si>
  <si>
    <t>Anclajes con epoxico</t>
  </si>
  <si>
    <t>Puerta en acero inoxidable de 0.9 * 1.8 m</t>
  </si>
  <si>
    <t>Malla eslabonada 1.8 x 10 metros, Metal 2.1/4 x 2.1/4-pulg 2.5mm</t>
  </si>
  <si>
    <t>VARIOS33</t>
  </si>
  <si>
    <t>Tubería sanitaría PVC. Ø 6"</t>
  </si>
  <si>
    <t>Tubería sanitaría PVC. Ø 3"</t>
  </si>
  <si>
    <t>Tubería sanitaría PVC. Ø 4"</t>
  </si>
  <si>
    <t xml:space="preserve"> Tubería sanitaría PVC. Ø 2"</t>
  </si>
  <si>
    <t>Cajas inspección 80 x 80</t>
  </si>
  <si>
    <t>Cajas inspección 30 x 30</t>
  </si>
  <si>
    <t>Bajante pvc Ø 4"</t>
  </si>
  <si>
    <t>Punto desagüe pvc. 4"</t>
  </si>
  <si>
    <t>Tanque plástico 2000 Litros, con tapa, incluye accesorios</t>
  </si>
  <si>
    <t>Lavaplatos en Acero con Escurridero</t>
  </si>
  <si>
    <t>suministro e Instalacion de Llave de Paso  pvc. 3"</t>
  </si>
  <si>
    <t>suministro e Instalacion Llave de Paso pvc. 2 1/2"</t>
  </si>
  <si>
    <t>suministro e Instalacion de Llave de Paso  pvc. 2"</t>
  </si>
  <si>
    <t>suministro e Instalacion de Llave de Paso  pvc. 1"</t>
  </si>
  <si>
    <t>suministro e Instalacion de Llave de Paso pvc. 3/4"</t>
  </si>
  <si>
    <t>Bomba pedrollo CP 230C de 4HP y tanque hidroneumatico de 50 lts, inluye accesorios y presostato</t>
  </si>
  <si>
    <t>Red suministro pvc. 3"</t>
  </si>
  <si>
    <t>Red suministro pvc. 2 1/2"</t>
  </si>
  <si>
    <t xml:space="preserve"> Red suministro pvc. 2"</t>
  </si>
  <si>
    <t>10.1.14</t>
  </si>
  <si>
    <t>Tuberia PVC - Presion, con un Diametro de 1 1/2", empotradas por losas y/o colgadas. Incluye Accesorios</t>
  </si>
  <si>
    <t>Entrada principal</t>
  </si>
  <si>
    <t>Parqueaderos</t>
  </si>
  <si>
    <t>Edificio, cafeteria y cuarto de maquinas</t>
  </si>
  <si>
    <t>12.0</t>
  </si>
  <si>
    <t>Suministro e instalacion deTablero trifasico de 30 Circuitos con espacio para totalizador</t>
  </si>
  <si>
    <t>Suministro e instalacion deTablerotrifasico de 18 Circuitos con espacio para totalizador</t>
  </si>
  <si>
    <t>Sumnistro e instalacion salida para iluminacion; incluye ducto, alambre N° 12 AWG,HF,y luminaria led
60x60, 36W</t>
  </si>
  <si>
    <t>Sumnistro e instalacion salida para iluminacion; incluye ducto, alambre N° 12 AWG,HF,y luminaria led
18W</t>
  </si>
  <si>
    <t>Sumnistro e instalacion salida para iluminacion; incluye ducto, alambre N° 12 AWG,HF,y luminaria led
tipo 9W</t>
  </si>
  <si>
    <t>Suministro e instalacion de salida para toma corriente, Incluye Ducto,alambre N° 12 AWG,HF, toma corriente Doble con polo a tierra</t>
  </si>
  <si>
    <t>Suministro e instalacion de salida para tomacorriente 220V para A.A, Incluye Ducto,alambre N° 12 AWG,HF, toma corriente Doble con polo a tierra</t>
  </si>
  <si>
    <t>Suministro e instalacion de salida para toma corriente, Incluye Ducto,alambre N° 12 AWG,HF, toma corriente Doble con GFCI</t>
  </si>
  <si>
    <t>Suministro e instalacion de tomacorriente con tierra aislada (Naranja)</t>
  </si>
  <si>
    <t>Suministro e instalacion de tomacorriente con tierra aislada Grado Hospitalario</t>
  </si>
  <si>
    <t>Suministro e instalacion de Salida para interruptor incluye el interruptor</t>
  </si>
  <si>
    <t>Acometida a Tablero de distribucion de 30 ctos</t>
  </si>
  <si>
    <t>Suministro e instalacion de salidas de voz y datos en cable UTP categoria 6A</t>
  </si>
  <si>
    <t>Suministro e instalacion de toma para Voz y Datos (RJ45 Cat 6A)</t>
  </si>
  <si>
    <t>Suministro e instalacion de Salida para Llamada de enfermera, incluye Ducto,cable 2X18AWG, pulsador</t>
  </si>
  <si>
    <t>Suministro e instalacion de Salida para Detector de Humo, incluye Ducto,cable 2X18AWG, Detector de
humo</t>
  </si>
  <si>
    <t>Suministro e instalacion de bandeja portacables con Tapa 20x5 Cm</t>
  </si>
  <si>
    <t>Suminitro e instalacion de UPS de 15KVA</t>
  </si>
  <si>
    <t xml:space="preserve">Suministro e instalacion de panel de llamado de enfermera </t>
  </si>
  <si>
    <t>Suministro e instalacion de panel de alarma contra incendio un 1</t>
  </si>
  <si>
    <t>Suministro e instalacion de Rack Auto soportado de 1.5m</t>
  </si>
  <si>
    <t>Suministro e instalacion de path panel 24 puertos categoria 6 u</t>
  </si>
  <si>
    <t>Suministro e instalacion de suicth 24 puertos categoria 6</t>
  </si>
  <si>
    <t>12.1.1</t>
  </si>
  <si>
    <t>12.1.2</t>
  </si>
  <si>
    <t>12.1.3</t>
  </si>
  <si>
    <t>12.1.4</t>
  </si>
  <si>
    <t>12.1.5</t>
  </si>
  <si>
    <t>12.1.6</t>
  </si>
  <si>
    <t>12.1.7</t>
  </si>
  <si>
    <t>12.1.8</t>
  </si>
  <si>
    <t>12.1.9</t>
  </si>
  <si>
    <t>12.2.1</t>
  </si>
  <si>
    <t>12.2.2</t>
  </si>
  <si>
    <t>12.2.3</t>
  </si>
  <si>
    <t>12.2.4</t>
  </si>
  <si>
    <t>12.2.5</t>
  </si>
  <si>
    <t>12.2.6</t>
  </si>
  <si>
    <t>12.2.7</t>
  </si>
  <si>
    <t>12.2.8</t>
  </si>
  <si>
    <t>12.2.9</t>
  </si>
  <si>
    <t>12.2.10</t>
  </si>
  <si>
    <t>12.2.11</t>
  </si>
  <si>
    <t>12.2.12</t>
  </si>
  <si>
    <t>12.2.13</t>
  </si>
  <si>
    <t>12.2.14</t>
  </si>
  <si>
    <t>12.2.15</t>
  </si>
  <si>
    <t>12.2.16</t>
  </si>
  <si>
    <t>12.2.17</t>
  </si>
  <si>
    <t>12.2.18</t>
  </si>
  <si>
    <t>12.2.19</t>
  </si>
  <si>
    <t>12.2.20</t>
  </si>
  <si>
    <t>12.2.21</t>
  </si>
  <si>
    <t>12.2.22</t>
  </si>
  <si>
    <t>12.2.23</t>
  </si>
  <si>
    <t>12.2.24</t>
  </si>
  <si>
    <t>12.2.25</t>
  </si>
  <si>
    <t>12.2.26</t>
  </si>
  <si>
    <t>12.2.27</t>
  </si>
  <si>
    <t>12.2.28</t>
  </si>
  <si>
    <t>12.2.29</t>
  </si>
  <si>
    <t>12.2.30</t>
  </si>
  <si>
    <t>gl</t>
  </si>
  <si>
    <t>Materiales</t>
  </si>
  <si>
    <t>Vr / Unitario</t>
  </si>
  <si>
    <t>Vr / total</t>
  </si>
  <si>
    <t>transporte de Materiales</t>
  </si>
  <si>
    <t>Peso kg</t>
  </si>
  <si>
    <t>Maquinaria Equipos y Herramientas</t>
  </si>
  <si>
    <t>tarifa Dia</t>
  </si>
  <si>
    <t>Paladraga y barretón</t>
  </si>
  <si>
    <t>Equipo menor de liniero</t>
  </si>
  <si>
    <t>Mano de Obra Cuadrilla Redes</t>
  </si>
  <si>
    <t>Salario Cuadrilla</t>
  </si>
  <si>
    <t>Prestaciones Sociales 62%</t>
  </si>
  <si>
    <t>Salario total</t>
  </si>
  <si>
    <t>Rendimiento Dia</t>
  </si>
  <si>
    <t>Costo Parcial</t>
  </si>
  <si>
    <t>Ingeniero Residente</t>
  </si>
  <si>
    <t>Oficial de linea Conte categoria 5ª</t>
  </si>
  <si>
    <t>Ayudante Entendido Nivel 2</t>
  </si>
  <si>
    <t>transporte Camioneta Cuadrilla</t>
  </si>
  <si>
    <t>total costo Directo</t>
  </si>
  <si>
    <t>Alambre de cobre desnudo Nº 4</t>
  </si>
  <si>
    <t>Alambre de cobre desnudo Nº 6</t>
  </si>
  <si>
    <t>Cinta de acero de 5/8</t>
  </si>
  <si>
    <t>Collarin de 180mm Una salida</t>
  </si>
  <si>
    <t>Collarin de 220mm Una salida para transformador</t>
  </si>
  <si>
    <t>Conector compresiòn DBH-8</t>
  </si>
  <si>
    <t>Conector transversal Universal 1/0</t>
  </si>
  <si>
    <t>Cortacircuito Primario de 15 Kv 100 Ka</t>
  </si>
  <si>
    <t>Cruceta Matalica de 2400mm</t>
  </si>
  <si>
    <t>Diagonal en V con dobles de 48"</t>
  </si>
  <si>
    <r>
      <t>Fusible tipo t    (</t>
    </r>
    <r>
      <rPr>
        <b/>
        <i/>
        <sz val="8"/>
        <color rgb="FFFF0000"/>
        <rFont val="Arial Narrow"/>
        <family val="2"/>
      </rPr>
      <t>Según Proyecto</t>
    </r>
    <r>
      <rPr>
        <i/>
        <sz val="8"/>
        <color theme="1"/>
        <rFont val="Arial Narrow"/>
        <family val="2"/>
      </rPr>
      <t>)</t>
    </r>
  </si>
  <si>
    <t>Grapa para varilla de puesta tierra</t>
  </si>
  <si>
    <t>Hebilla para cinta de acero</t>
  </si>
  <si>
    <t>Manguera de polipropileno de 19 mm</t>
  </si>
  <si>
    <t>Pararrayos Sinteticos de 12 kv</t>
  </si>
  <si>
    <t>tornillo Maquina de 1/2x1 1/2"</t>
  </si>
  <si>
    <t>tornillo Maquina de 5/8x1 1/2"</t>
  </si>
  <si>
    <t>transformador trifasico de 30 kva</t>
  </si>
  <si>
    <t>tubo IMC de 1/2"</t>
  </si>
  <si>
    <t>Varilla de puesta tierra de 2400mm</t>
  </si>
  <si>
    <t>Vestida estructura Norma RA2-026 EPM</t>
  </si>
  <si>
    <t>Aislador polimerico de retensiòn</t>
  </si>
  <si>
    <t>Collarin de 200mm</t>
  </si>
  <si>
    <t>Cruceta Metalica de 1500mm</t>
  </si>
  <si>
    <t>Diagonal en V de 36"</t>
  </si>
  <si>
    <t>Eslabon en U de 5/8</t>
  </si>
  <si>
    <t>Espaciador de 5/8x12"</t>
  </si>
  <si>
    <t xml:space="preserve">Grapa de retensiòn para cable 1/0 </t>
  </si>
  <si>
    <t>Grapa de retensiòn para cable 1/0 - 4/0</t>
  </si>
  <si>
    <t>Poste de concreto de 12 mts 1050 kg</t>
  </si>
  <si>
    <t>tornillo Maquina de 5/8x1 1/2</t>
  </si>
  <si>
    <t>tuerca de Ojo de 5/8</t>
  </si>
  <si>
    <t>Vestida estructura Norma RA2-303 EPM</t>
  </si>
  <si>
    <t>cable de cobre #2 desnudo</t>
  </si>
  <si>
    <t>Vestida estructura Norma RA4-02 EPM</t>
  </si>
  <si>
    <t>Aislador tensor de 4 1/4</t>
  </si>
  <si>
    <t>Arandela cuadrada de 4x4x5/8</t>
  </si>
  <si>
    <t>Bloque de concreto para retenida</t>
  </si>
  <si>
    <t>Cable de Acero SGX 1/4</t>
  </si>
  <si>
    <t>Camiza para viento</t>
  </si>
  <si>
    <t>Guardacabos de protecciòn para cable</t>
  </si>
  <si>
    <t>Varilla de anclaje de 180mm</t>
  </si>
  <si>
    <t>Vestida estructura Norma RA6-001 EPM</t>
  </si>
  <si>
    <t>Cable Aluminio Ecologica aislado para 15 kv</t>
  </si>
  <si>
    <t>Cable Acero galbanizado de 3/8</t>
  </si>
  <si>
    <t>Red de media tensión en cable ecologico sistema compacto</t>
  </si>
  <si>
    <t>Espaciador para red compacta</t>
  </si>
  <si>
    <t>Cinta Autofundente Scoth23</t>
  </si>
  <si>
    <t>Cinta plastica de colores</t>
  </si>
  <si>
    <t>Cinta plastica Super 23</t>
  </si>
  <si>
    <t>Cable de cobre aisladoN°6</t>
  </si>
  <si>
    <t>Cable de cobre desnudoN°2/0</t>
  </si>
  <si>
    <t>Conector Compresio DBH-7</t>
  </si>
  <si>
    <t xml:space="preserve">amarras plasticas </t>
  </si>
  <si>
    <t>transformador trifasico de 75 kva 13,200/240/120 vol</t>
  </si>
  <si>
    <t>Cable Aluminio Aislado 4/0 serie 8,000</t>
  </si>
  <si>
    <t>tubo galvanizado para bajante de acometida de 4"</t>
  </si>
  <si>
    <t>Capacete Metalico de 4"</t>
  </si>
  <si>
    <t>Cinta Reflectiva de peligro</t>
  </si>
  <si>
    <t>Cinta de Acero de 3/4</t>
  </si>
  <si>
    <t>Hebilla para cinta de acero de 3/4</t>
  </si>
  <si>
    <t>Borne terminal para cable Nº 6</t>
  </si>
  <si>
    <t>Cable de cobre aislado Nº 6</t>
  </si>
  <si>
    <t>Conector Compresiòn DBH-8</t>
  </si>
  <si>
    <t>Varilla Cooperweld de 2400 para sistema de puesta tierra</t>
  </si>
  <si>
    <t>Soldadura exotermica de 115 gramos</t>
  </si>
  <si>
    <t>Cable de cobre desnudo Nº 2</t>
  </si>
  <si>
    <t>Conector Compresiòn 40-20</t>
  </si>
  <si>
    <t>gabinete Principal</t>
  </si>
  <si>
    <t xml:space="preserve">Equipo menor </t>
  </si>
  <si>
    <t>Tablero de 12 Circuitos con espacio para Totalizador</t>
  </si>
  <si>
    <t>Curva PVC 2"</t>
  </si>
  <si>
    <t>Terminal PVC 2"</t>
  </si>
  <si>
    <t>Cable de Cu #4</t>
  </si>
  <si>
    <t xml:space="preserve">herramienta menor </t>
  </si>
  <si>
    <t>tablero de 18 circuitos con espacio para totalizador</t>
  </si>
  <si>
    <t>Tubo EMT 3/4"</t>
  </si>
  <si>
    <t>Curva EMT 3/4"</t>
  </si>
  <si>
    <t>Union EMT 3/4"</t>
  </si>
  <si>
    <t>Caja metalica 4x4</t>
  </si>
  <si>
    <t>Cable #12 libre de halogeno</t>
  </si>
  <si>
    <t>Terminal EMT 3/4"</t>
  </si>
  <si>
    <t xml:space="preserve">Panel led </t>
  </si>
  <si>
    <t>luminaria tipo Led 2x32</t>
  </si>
  <si>
    <t>lampara tipo led 9w</t>
  </si>
  <si>
    <t>lampara tipo led 4x17</t>
  </si>
  <si>
    <t>Tomacorrientedoble con polo a tierra 125V;15A</t>
  </si>
  <si>
    <t>Tomacorrientetipo GFCI</t>
  </si>
  <si>
    <t>Caja 4x4 PVC</t>
  </si>
  <si>
    <t>cable de Cu # 10 AWG, Libre de Halogeno</t>
  </si>
  <si>
    <t>inspeccion RETIE,retilap</t>
  </si>
  <si>
    <t>planta de emergencia de 75 KVA 220/127V</t>
  </si>
  <si>
    <t>Transferncia Automatica</t>
  </si>
  <si>
    <t>Curva PVC 3/4"</t>
  </si>
  <si>
    <t>Union PVC 3/4"</t>
  </si>
  <si>
    <t>interruptor sencillo</t>
  </si>
  <si>
    <t>Cable de Cu #6</t>
  </si>
  <si>
    <t>Toma Color naranja G.H,125V;15A,tierra aislada</t>
  </si>
  <si>
    <t>SUB-TOTAL</t>
  </si>
  <si>
    <t>UPS, 15KVA</t>
  </si>
  <si>
    <t>13.0</t>
  </si>
  <si>
    <t>CONSECUTIVO</t>
  </si>
  <si>
    <t>DE</t>
  </si>
  <si>
    <t>DEPARTAMENTO DE CHOCÓ</t>
  </si>
  <si>
    <t>PROYECTO</t>
  </si>
  <si>
    <t xml:space="preserve">TERMINACION DE LA CONSTRUCCION DE LA UNIDAD INTERMEDIA EL CARAÑO EN EL MUNICIPIO DE QUIBDÓ, DEPARTAMENTO DEL CHOCÓ </t>
  </si>
  <si>
    <t>CONTRATANTE:</t>
  </si>
  <si>
    <t>CONTRATISTA</t>
  </si>
  <si>
    <t>INTERVENTOR:</t>
  </si>
  <si>
    <t>CAPITULO</t>
  </si>
  <si>
    <t xml:space="preserve">ITEM </t>
  </si>
  <si>
    <t>ACERO DE REFUERZO</t>
  </si>
  <si>
    <t>Figura</t>
  </si>
  <si>
    <t xml:space="preserve">Ubicación </t>
  </si>
  <si>
    <t>Elemento</t>
  </si>
  <si>
    <t>Unidad de Medida</t>
  </si>
  <si>
    <t>DIMENSIÓNES</t>
  </si>
  <si>
    <t>Medida total</t>
  </si>
  <si>
    <t>Barra</t>
  </si>
  <si>
    <t>Peso</t>
  </si>
  <si>
    <t>Longitud</t>
  </si>
  <si>
    <t>Nro. De Varillas</t>
  </si>
  <si>
    <t xml:space="preserve">EDIFICIO </t>
  </si>
  <si>
    <t>Muro acensor</t>
  </si>
  <si>
    <t xml:space="preserve">Vigas cimentacion </t>
  </si>
  <si>
    <t>Columnas</t>
  </si>
  <si>
    <t>Losa entrepiso</t>
  </si>
  <si>
    <t>5/5mm</t>
  </si>
  <si>
    <t>Vigas aereas</t>
  </si>
  <si>
    <t>Vigas de remate</t>
  </si>
  <si>
    <t>Vigas de cuchilla</t>
  </si>
  <si>
    <t>Riostras cubierta</t>
  </si>
  <si>
    <t>CERRAMIENTO</t>
  </si>
  <si>
    <t>Zapata</t>
  </si>
  <si>
    <t>Vigas de cimentación</t>
  </si>
  <si>
    <t>Alfajía</t>
  </si>
  <si>
    <t>CASETA</t>
  </si>
  <si>
    <t>Zapatas</t>
  </si>
  <si>
    <t>Vigas de amarre</t>
  </si>
  <si>
    <t>MURO DE CONTENCIÓN</t>
  </si>
  <si>
    <t>Vastago</t>
  </si>
  <si>
    <t>Zarpa</t>
  </si>
  <si>
    <t>Pila</t>
  </si>
  <si>
    <t>Viga de enlace</t>
  </si>
  <si>
    <t xml:space="preserve">OBSERVACIONES:  </t>
  </si>
  <si>
    <t>FIRMA:</t>
  </si>
  <si>
    <t>NOMBRE:</t>
  </si>
  <si>
    <t>Elaboró</t>
  </si>
  <si>
    <t>Revisó</t>
  </si>
  <si>
    <t>Contratista</t>
  </si>
  <si>
    <t>Interventoria:</t>
  </si>
  <si>
    <t>ESTRUCTURA METALICA</t>
  </si>
  <si>
    <t>Perfil</t>
  </si>
  <si>
    <t>Nro. De Perfiles</t>
  </si>
  <si>
    <t>CUBIERTA EDIFICIO</t>
  </si>
  <si>
    <t>Cercha tipo 1</t>
  </si>
  <si>
    <t>Tubo 2"x2mm</t>
  </si>
  <si>
    <t>Tubo 1.5"x2mm</t>
  </si>
  <si>
    <t>Cercha tipo 2</t>
  </si>
  <si>
    <t>Tubo 3"x2mm</t>
  </si>
  <si>
    <t>Correas</t>
  </si>
  <si>
    <t>PHR C 220x80x20 Cal 2.5mm</t>
  </si>
  <si>
    <t>Platinas, pernos, tuercas</t>
  </si>
  <si>
    <t>CUBIERTA CASETA</t>
  </si>
  <si>
    <t>PHR C 100x50x15 Cal 2.0mm</t>
  </si>
  <si>
    <t xml:space="preserve">FACHADA </t>
  </si>
  <si>
    <t xml:space="preserve">Perfiles </t>
  </si>
  <si>
    <t>PHR C 355x110x25 Cal 3.0mm</t>
  </si>
  <si>
    <t xml:space="preserve">Platinas, pernos, tuercas </t>
  </si>
  <si>
    <t>TOTAL PROYECTO</t>
  </si>
  <si>
    <t>TOTAL SUMINISTRO EQUIPOS INDUSTRIALES</t>
  </si>
  <si>
    <t>TOTAL PROYECTO + SUMINISTROS</t>
  </si>
  <si>
    <t>TOTAL PROYECTO + SUMINISTROS + INTERVENTORIA</t>
  </si>
  <si>
    <t>DESCRIPCIÓN</t>
  </si>
  <si>
    <t>EQUIPO</t>
  </si>
  <si>
    <t>CALCULO DEL FACTOR MULTIPLICADOR</t>
  </si>
  <si>
    <t>ÍTEM</t>
  </si>
  <si>
    <t>A</t>
  </si>
  <si>
    <t>Salario Básico (Nomina Total Mensual)</t>
  </si>
  <si>
    <t>B</t>
  </si>
  <si>
    <t>Prestaciones Sociales</t>
  </si>
  <si>
    <t>Prima Básica Anual</t>
  </si>
  <si>
    <t>Cesantías Básica Anual</t>
  </si>
  <si>
    <t>Incremento de Cesantías por Aumento</t>
  </si>
  <si>
    <t>Intereses de Cesantías</t>
  </si>
  <si>
    <t>C</t>
  </si>
  <si>
    <t>Sistema de Seguridad Social Integral</t>
  </si>
  <si>
    <t>SENA</t>
  </si>
  <si>
    <t>Empresa Promotora de Salud</t>
  </si>
  <si>
    <t>Instituto Colombianao de Bienestar Familiar ICBF</t>
  </si>
  <si>
    <t>Fondo de Pensiones</t>
  </si>
  <si>
    <t>Cajas de Compensación</t>
  </si>
  <si>
    <t>Accidentes de Trabajo Enfermedad Profesional (revisar)</t>
  </si>
  <si>
    <t>D</t>
  </si>
  <si>
    <t>Otros</t>
  </si>
  <si>
    <t xml:space="preserve">Seguros de Vida </t>
  </si>
  <si>
    <t xml:space="preserve">Overoles, Uniformes y Calzado </t>
  </si>
  <si>
    <t>Subtotal B+C</t>
  </si>
  <si>
    <t>Subtotal A+B+C+D</t>
  </si>
  <si>
    <t>E</t>
  </si>
  <si>
    <t>Costos Indirectos</t>
  </si>
  <si>
    <t>E1</t>
  </si>
  <si>
    <t>Gastos Generales</t>
  </si>
  <si>
    <t>Arriendo Oficina Principal</t>
  </si>
  <si>
    <t>Servicios Públicos Oficina Principal</t>
  </si>
  <si>
    <t>Vigilancia, Aseo y Cafetería Oficina Principal</t>
  </si>
  <si>
    <t xml:space="preserve">Reparación y Mantenimiento Equipo Oficinas Principal y Subsedes </t>
  </si>
  <si>
    <t>Seguros y Finanzas de Manejo y Cumplimiento  (desglosar)</t>
  </si>
  <si>
    <t>Gastos de Promoción, Preparación de Propuestas y Relaciones Pública</t>
  </si>
  <si>
    <t>Papelería, Utiles de Oficina, Fotocopias Oficina Principal</t>
  </si>
  <si>
    <t>Costos Financieros de la Empresa</t>
  </si>
  <si>
    <t>E2</t>
  </si>
  <si>
    <t>Impuestos,  perfeccionamiento</t>
  </si>
  <si>
    <t>Impuestos y Costos Legales(desglosar costos)</t>
  </si>
  <si>
    <t>Subtotal (E1+E2)</t>
  </si>
  <si>
    <t>F</t>
  </si>
  <si>
    <t>Honorarios</t>
  </si>
  <si>
    <t>FACTOR MULTIPLICADOR (A+B+C+D+E+F)</t>
  </si>
  <si>
    <r>
      <t xml:space="preserve">OBJETO: </t>
    </r>
    <r>
      <rPr>
        <b/>
        <sz val="8"/>
        <rFont val="Arial"/>
        <family val="2"/>
      </rPr>
      <t>TERMINACION UNIDAD INTERMEDIA DE SALUD EL CARAÑO</t>
    </r>
  </si>
  <si>
    <t>MES</t>
  </si>
  <si>
    <t>MES  2</t>
  </si>
  <si>
    <t>MES  3</t>
  </si>
  <si>
    <t>MES  4</t>
  </si>
  <si>
    <t>MES   5</t>
  </si>
  <si>
    <t>MES   6</t>
  </si>
  <si>
    <t xml:space="preserve">Rociadores </t>
  </si>
  <si>
    <t>Excavacion manual de pilas de diametro 1.0mts de 0 a 4 mts de profundidad  incluye anillo lateral de 0,1m de espesor bombeo de la misma.</t>
  </si>
  <si>
    <t>CUADRO COMPARATIVO EQUIPOS INDUSTRIALES</t>
  </si>
  <si>
    <r>
      <rPr>
        <b/>
        <sz val="10"/>
        <color theme="1"/>
        <rFont val="Arial"/>
        <family val="2"/>
      </rPr>
      <t>PROYECTO:</t>
    </r>
    <r>
      <rPr>
        <sz val="10"/>
        <color theme="1"/>
        <rFont val="Arial"/>
        <family val="2"/>
      </rPr>
      <t xml:space="preserve"> TERMINACION DE LA CONSTRUCCION UNIDAD INTERMEDIA "EL CARAÑO", MUNICIPIO DE QUIBDO, DEPARTAMENTO DEL CHOCO</t>
    </r>
  </si>
  <si>
    <t>PROVEEDORES</t>
  </si>
  <si>
    <t>MAQUISTORE</t>
  </si>
  <si>
    <t>LAVASECO MODERNO</t>
  </si>
  <si>
    <t>DISTERMICA</t>
  </si>
  <si>
    <t>MAQUITEC COLOMBIA</t>
  </si>
  <si>
    <t>ITEMS</t>
  </si>
  <si>
    <t>VALOR IVA INCLUIDO</t>
  </si>
  <si>
    <t xml:space="preserve">HY-GCH75-I  PLANTA ELECTRICA HYUNDAI DIESEL 68KVA/54KW EN CONTINUO/74KVA/59KW EN EMERGENCIA-CON CABINA DE INSONORIZACION </t>
  </si>
  <si>
    <t>PLANTA ELECTRIICA DIESEL DE 60KW, CON CABINA INSONORIZADA</t>
  </si>
  <si>
    <t>TRANFERENCIA AUTOMATICA 200 AMPERIOS, CONTACTORES LG</t>
  </si>
  <si>
    <t>TRANSFERENCIA AUTOMATICA DE CARGA PARA 60KW</t>
  </si>
  <si>
    <t>TRANSFORMADOR 75KVA TRIFASICO 13200/220V - MARCA MAXWELL</t>
  </si>
  <si>
    <t>TRANSFORMADOR TRIFASICO DE 75KVA</t>
  </si>
  <si>
    <t>HIDROFLOC MARCA PEDROLLO ELECTROBOMBA DE 5,5HP CP680C TRIFASICA Y TANQUE 310 LITROS DE MENBRANA + RACOR 5 VIAS + PRESOSTATO + MANOMETRO + FLOTADOR</t>
  </si>
  <si>
    <t>HIDROFLOC DE 4 - 5,5HP</t>
  </si>
  <si>
    <t>AIRE ACONDISIONADO TIPO CASETE DE 24,000 BTU</t>
  </si>
  <si>
    <t>SPLIT CASSETE DE 24,000BTU, R-410/220V/1PH/60HZ, ESTANDAR, ,ARCA YORK</t>
  </si>
  <si>
    <t>AIRE ACONDICIONADO TIPO MINI SPLIT INVERTERBE 9000BTU</t>
  </si>
  <si>
    <t>SPLIT INVERTER R-410A/9000BTU/1PH/SEER 15 TRANE</t>
  </si>
  <si>
    <t>ASCENSOR CAPACIDAD DE CARGA DE 500KG</t>
  </si>
  <si>
    <t>ASCENSOR PARA DISCAPACITADOS</t>
  </si>
  <si>
    <t>LAVADORA Y SECADORA INDUSTRIAL</t>
  </si>
  <si>
    <t>OPCION 1 (LAVADORA EXTRACTORA MARCA GIRBAU ESPAÑOLA MODELO LS332PM-V + SECADORA A GAS MARCA CONTINENTAL GIRBAU AMERICANO MODELO GT075-85</t>
  </si>
  <si>
    <t xml:space="preserve">PROPUESTA ESCOGIDA </t>
  </si>
  <si>
    <t>OBSERVACIONES</t>
  </si>
  <si>
    <t xml:space="preserve">SE ESCOGE DEBIDO A PRECIOS </t>
  </si>
  <si>
    <t>JUAN DE DIOS CHAVERRA GONZALEZ</t>
  </si>
  <si>
    <r>
      <t xml:space="preserve"> </t>
    </r>
    <r>
      <rPr>
        <b/>
        <sz val="14"/>
        <color indexed="8"/>
        <rFont val="Calibri"/>
        <family val="2"/>
      </rPr>
      <t xml:space="preserve">ANALISIS DETALLADO DEL AIU </t>
    </r>
    <r>
      <rPr>
        <sz val="14"/>
        <rFont val="Calibri"/>
        <family val="2"/>
      </rPr>
      <t xml:space="preserve"> </t>
    </r>
  </si>
  <si>
    <t>VALOR COSTO DIRECTO</t>
  </si>
  <si>
    <t>PLAZO TOTAL</t>
  </si>
  <si>
    <r>
      <t xml:space="preserve"> </t>
    </r>
    <r>
      <rPr>
        <b/>
        <sz val="10"/>
        <color indexed="8"/>
        <rFont val="Calibri"/>
        <family val="2"/>
      </rPr>
      <t xml:space="preserve">Código </t>
    </r>
    <r>
      <rPr>
        <sz val="10"/>
        <rFont val="Calibri"/>
        <family val="2"/>
      </rPr>
      <t xml:space="preserve"> </t>
    </r>
  </si>
  <si>
    <r>
      <t xml:space="preserve"> </t>
    </r>
    <r>
      <rPr>
        <b/>
        <sz val="10"/>
        <color indexed="8"/>
        <rFont val="Calibri"/>
        <family val="2"/>
      </rPr>
      <t xml:space="preserve">Descripción </t>
    </r>
    <r>
      <rPr>
        <sz val="10"/>
        <rFont val="Calibri"/>
        <family val="2"/>
      </rPr>
      <t xml:space="preserve"> </t>
    </r>
  </si>
  <si>
    <r>
      <t xml:space="preserve"> </t>
    </r>
    <r>
      <rPr>
        <b/>
        <sz val="10"/>
        <color indexed="8"/>
        <rFont val="Calibri"/>
        <family val="2"/>
      </rPr>
      <t xml:space="preserve">Unidad </t>
    </r>
    <r>
      <rPr>
        <sz val="10"/>
        <rFont val="Calibri"/>
        <family val="2"/>
      </rPr>
      <t xml:space="preserve"> </t>
    </r>
  </si>
  <si>
    <r>
      <t xml:space="preserve"> </t>
    </r>
    <r>
      <rPr>
        <b/>
        <sz val="10"/>
        <color indexed="8"/>
        <rFont val="Calibri"/>
        <family val="2"/>
      </rPr>
      <t xml:space="preserve">Cantidad </t>
    </r>
    <r>
      <rPr>
        <sz val="10"/>
        <rFont val="Calibri"/>
        <family val="2"/>
      </rPr>
      <t xml:space="preserve"> </t>
    </r>
  </si>
  <si>
    <t>No. DE MESES</t>
  </si>
  <si>
    <r>
      <t xml:space="preserve"> </t>
    </r>
    <r>
      <rPr>
        <b/>
        <sz val="10"/>
        <color indexed="8"/>
        <rFont val="Calibri"/>
        <family val="2"/>
      </rPr>
      <t xml:space="preserve">Vr. Unitario </t>
    </r>
    <r>
      <rPr>
        <b/>
        <sz val="10"/>
        <rFont val="Calibri"/>
        <family val="2"/>
      </rPr>
      <t xml:space="preserve"> </t>
    </r>
  </si>
  <si>
    <t>Dedicación</t>
  </si>
  <si>
    <r>
      <t xml:space="preserve"> </t>
    </r>
    <r>
      <rPr>
        <b/>
        <sz val="10"/>
        <color indexed="8"/>
        <rFont val="Calibri"/>
        <family val="2"/>
      </rPr>
      <t xml:space="preserve">Vr. Parcial </t>
    </r>
    <r>
      <rPr>
        <sz val="10"/>
        <rFont val="Calibri"/>
        <family val="2"/>
      </rPr>
      <t xml:space="preserve"> </t>
    </r>
  </si>
  <si>
    <t>% C.D.</t>
  </si>
  <si>
    <t>Factor prestac. %</t>
  </si>
  <si>
    <r>
      <t xml:space="preserve"> </t>
    </r>
    <r>
      <rPr>
        <b/>
        <sz val="10"/>
        <color indexed="8"/>
        <rFont val="Calibri"/>
        <family val="2"/>
      </rPr>
      <t xml:space="preserve">Vr. Capitulo </t>
    </r>
    <r>
      <rPr>
        <sz val="10"/>
        <rFont val="Calibri"/>
        <family val="2"/>
      </rPr>
      <t xml:space="preserve"> </t>
    </r>
  </si>
  <si>
    <r>
      <t xml:space="preserve"> </t>
    </r>
    <r>
      <rPr>
        <b/>
        <sz val="8.6"/>
        <color indexed="8"/>
        <rFont val="Calibri"/>
        <family val="2"/>
      </rPr>
      <t xml:space="preserve">1 </t>
    </r>
    <r>
      <rPr>
        <sz val="10"/>
        <rFont val="Calibri"/>
        <family val="2"/>
      </rPr>
      <t xml:space="preserve"> </t>
    </r>
  </si>
  <si>
    <r>
      <rPr>
        <b/>
        <sz val="8.6"/>
        <color indexed="8"/>
        <rFont val="Calibri"/>
        <family val="2"/>
      </rPr>
      <t xml:space="preserve">ADMINISTRACIÓN </t>
    </r>
    <r>
      <rPr>
        <sz val="10"/>
        <rFont val="Calibri"/>
        <family val="2"/>
      </rPr>
      <t xml:space="preserve"> </t>
    </r>
  </si>
  <si>
    <r>
      <t xml:space="preserve"> </t>
    </r>
    <r>
      <rPr>
        <sz val="8.6"/>
        <color indexed="8"/>
        <rFont val="Calibri"/>
        <family val="2"/>
      </rPr>
      <t xml:space="preserve">% </t>
    </r>
    <r>
      <rPr>
        <sz val="10"/>
        <rFont val="Calibri"/>
        <family val="2"/>
      </rPr>
      <t xml:space="preserve"> </t>
    </r>
  </si>
  <si>
    <r>
      <t xml:space="preserve"> </t>
    </r>
    <r>
      <rPr>
        <b/>
        <sz val="9"/>
        <color indexed="8"/>
        <rFont val="Calibri"/>
        <family val="2"/>
      </rPr>
      <t xml:space="preserve">1.01 </t>
    </r>
    <r>
      <rPr>
        <b/>
        <sz val="9"/>
        <rFont val="Calibri"/>
        <family val="2"/>
      </rPr>
      <t xml:space="preserve"> </t>
    </r>
  </si>
  <si>
    <t>Staff de Obra</t>
  </si>
  <si>
    <r>
      <t xml:space="preserve"> </t>
    </r>
    <r>
      <rPr>
        <b/>
        <sz val="9"/>
        <color indexed="8"/>
        <rFont val="Calibri"/>
        <family val="2"/>
      </rPr>
      <t xml:space="preserve">Gl </t>
    </r>
    <r>
      <rPr>
        <b/>
        <sz val="9"/>
        <rFont val="Calibri"/>
        <family val="2"/>
      </rPr>
      <t xml:space="preserve"> </t>
    </r>
  </si>
  <si>
    <t xml:space="preserve">DIRECTOR DE PROYECTO </t>
  </si>
  <si>
    <t>ESPECIALISTA EN ESTRUCTURA</t>
  </si>
  <si>
    <t>PROFESIONAL EN GESTION DE CALIDAD</t>
  </si>
  <si>
    <t>PROFESIONAL EN GESTION SOCIAL</t>
  </si>
  <si>
    <t>TOPOGRAFO</t>
  </si>
  <si>
    <t>PROFESIONAL SISO</t>
  </si>
  <si>
    <r>
      <t xml:space="preserve"> </t>
    </r>
    <r>
      <rPr>
        <b/>
        <sz val="9"/>
        <color indexed="8"/>
        <rFont val="Calibri"/>
        <family val="2"/>
      </rPr>
      <t>1.02</t>
    </r>
    <r>
      <rPr>
        <b/>
        <sz val="9"/>
        <rFont val="Calibri"/>
        <family val="2"/>
      </rPr>
      <t xml:space="preserve"> </t>
    </r>
  </si>
  <si>
    <t>Cuadrilla de Administración</t>
  </si>
  <si>
    <t xml:space="preserve">MAESTROS DE OBRA </t>
  </si>
  <si>
    <t xml:space="preserve">ALMACENISTA </t>
  </si>
  <si>
    <r>
      <t xml:space="preserve"> </t>
    </r>
    <r>
      <rPr>
        <b/>
        <sz val="9"/>
        <color indexed="8"/>
        <rFont val="Calibri"/>
        <family val="2"/>
      </rPr>
      <t xml:space="preserve">1.03 </t>
    </r>
    <r>
      <rPr>
        <b/>
        <sz val="9"/>
        <rFont val="Calibri"/>
        <family val="2"/>
      </rPr>
      <t xml:space="preserve"> </t>
    </r>
  </si>
  <si>
    <r>
      <rPr>
        <b/>
        <sz val="9"/>
        <color indexed="8"/>
        <rFont val="Calibri"/>
        <family val="2"/>
      </rPr>
      <t>Personal de Vigilancia</t>
    </r>
    <r>
      <rPr>
        <b/>
        <sz val="9"/>
        <rFont val="Calibri"/>
        <family val="2"/>
      </rPr>
      <t xml:space="preserve"> </t>
    </r>
  </si>
  <si>
    <t xml:space="preserve">VIGILANCIA </t>
  </si>
  <si>
    <r>
      <t xml:space="preserve"> </t>
    </r>
    <r>
      <rPr>
        <b/>
        <sz val="9"/>
        <color indexed="8"/>
        <rFont val="Calibri"/>
        <family val="2"/>
      </rPr>
      <t xml:space="preserve">1.04 </t>
    </r>
    <r>
      <rPr>
        <b/>
        <sz val="9"/>
        <rFont val="Calibri"/>
        <family val="2"/>
      </rPr>
      <t xml:space="preserve"> </t>
    </r>
  </si>
  <si>
    <t>Equipamiento para campamento</t>
  </si>
  <si>
    <t>MOBILIARIO</t>
  </si>
  <si>
    <t>EQUIPOS, ESCRITORIOS, FOTOCOPIADORA, TELEFONO,  IMPRESORA, CAMARA ETC.</t>
  </si>
  <si>
    <r>
      <t xml:space="preserve"> </t>
    </r>
    <r>
      <rPr>
        <b/>
        <sz val="9"/>
        <color indexed="8"/>
        <rFont val="Calibri"/>
        <family val="2"/>
      </rPr>
      <t xml:space="preserve">1.05 </t>
    </r>
    <r>
      <rPr>
        <b/>
        <sz val="9"/>
        <rFont val="Calibri"/>
        <family val="2"/>
      </rPr>
      <t xml:space="preserve"> </t>
    </r>
  </si>
  <si>
    <t>ASEO</t>
  </si>
  <si>
    <t xml:space="preserve">BAÑOS PORTATIL </t>
  </si>
  <si>
    <r>
      <t xml:space="preserve"> </t>
    </r>
    <r>
      <rPr>
        <b/>
        <sz val="9"/>
        <color indexed="8"/>
        <rFont val="Calibri"/>
        <family val="2"/>
      </rPr>
      <t xml:space="preserve">1.06 </t>
    </r>
    <r>
      <rPr>
        <b/>
        <sz val="9"/>
        <rFont val="Calibri"/>
        <family val="2"/>
      </rPr>
      <t xml:space="preserve"> </t>
    </r>
  </si>
  <si>
    <t>Sistema  de Seguridad Industrial  /   EQUIPO SEGURIDAD INDUSTRIAL</t>
  </si>
  <si>
    <r>
      <t xml:space="preserve"> </t>
    </r>
    <r>
      <rPr>
        <sz val="8.6"/>
        <color indexed="8"/>
        <rFont val="Arial"/>
        <family val="2"/>
      </rPr>
      <t/>
    </r>
  </si>
  <si>
    <t>ESTUDIOS Y ANALISIS DE RIESGOS</t>
  </si>
  <si>
    <t>SEÑALIZACIÓN</t>
  </si>
  <si>
    <t>DEMARCACIÓN DE SEGURIDAD</t>
  </si>
  <si>
    <t>DOTACIÓN ELEMENTOS DE ATENCIÓN DE EMERGENCIAS</t>
  </si>
  <si>
    <t>DOTACIÓN DE ELEMENTOS DE SEGURIDAD</t>
  </si>
  <si>
    <r>
      <t xml:space="preserve"> </t>
    </r>
    <r>
      <rPr>
        <b/>
        <sz val="9"/>
        <color indexed="8"/>
        <rFont val="Calibri"/>
        <family val="2"/>
      </rPr>
      <t xml:space="preserve">1.07 </t>
    </r>
    <r>
      <rPr>
        <b/>
        <sz val="9"/>
        <rFont val="Calibri"/>
        <family val="2"/>
      </rPr>
      <t xml:space="preserve"> </t>
    </r>
  </si>
  <si>
    <r>
      <rPr>
        <b/>
        <sz val="9"/>
        <color indexed="8"/>
        <rFont val="Calibri"/>
        <family val="2"/>
      </rPr>
      <t xml:space="preserve">Sistema de Aseguramiento de Calidad </t>
    </r>
    <r>
      <rPr>
        <b/>
        <sz val="9"/>
        <rFont val="Calibri"/>
        <family val="2"/>
      </rPr>
      <t xml:space="preserve"> </t>
    </r>
  </si>
  <si>
    <t>ELABORACIÓN ESTUDIOS Y PLAN DE CALIDAD</t>
  </si>
  <si>
    <r>
      <t xml:space="preserve"> </t>
    </r>
    <r>
      <rPr>
        <b/>
        <sz val="9"/>
        <color indexed="8"/>
        <rFont val="Calibri"/>
        <family val="2"/>
      </rPr>
      <t xml:space="preserve">1.08 </t>
    </r>
    <r>
      <rPr>
        <b/>
        <sz val="9"/>
        <rFont val="Calibri"/>
        <family val="2"/>
      </rPr>
      <t xml:space="preserve"> </t>
    </r>
  </si>
  <si>
    <r>
      <rPr>
        <b/>
        <sz val="9"/>
        <color indexed="8"/>
        <rFont val="Calibri"/>
        <family val="2"/>
      </rPr>
      <t xml:space="preserve">Servicios Públicos Provisionales y durante la obra </t>
    </r>
    <r>
      <rPr>
        <b/>
        <sz val="9"/>
        <rFont val="Calibri"/>
        <family val="2"/>
      </rPr>
      <t xml:space="preserve"> </t>
    </r>
  </si>
  <si>
    <t>ENERGIA ELECTRICA</t>
  </si>
  <si>
    <t>TELEFONO</t>
  </si>
  <si>
    <t>INTERNET</t>
  </si>
  <si>
    <r>
      <rPr>
        <b/>
        <sz val="9"/>
        <color indexed="8"/>
        <rFont val="Calibri"/>
        <family val="2"/>
      </rPr>
      <t xml:space="preserve">Ensayos de Control de Calidad </t>
    </r>
    <r>
      <rPr>
        <b/>
        <sz val="9"/>
        <rFont val="Calibri"/>
        <family val="2"/>
      </rPr>
      <t xml:space="preserve"> </t>
    </r>
  </si>
  <si>
    <t>CONCRETOS</t>
  </si>
  <si>
    <t>MATERIALES</t>
  </si>
  <si>
    <t>Gastos de oficina</t>
  </si>
  <si>
    <t>ARRIENDOS, PAPELERÍA, ASEO</t>
  </si>
  <si>
    <t>SECRETARIA</t>
  </si>
  <si>
    <t>MENSAJERO</t>
  </si>
  <si>
    <t>Gastos de pólizas ( seriedad, cumplimiento, responsabilidad civil, prestaciones, estabilidad)</t>
  </si>
  <si>
    <t>valla informativa</t>
  </si>
  <si>
    <r>
      <t xml:space="preserve"> </t>
    </r>
    <r>
      <rPr>
        <b/>
        <sz val="8.6"/>
        <color indexed="8"/>
        <rFont val="Calibri"/>
        <family val="2"/>
      </rPr>
      <t xml:space="preserve">2 </t>
    </r>
    <r>
      <rPr>
        <sz val="10"/>
        <rFont val="Calibri"/>
        <family val="2"/>
      </rPr>
      <t xml:space="preserve"> </t>
    </r>
  </si>
  <si>
    <r>
      <t xml:space="preserve"> </t>
    </r>
    <r>
      <rPr>
        <b/>
        <sz val="8.6"/>
        <color indexed="8"/>
        <rFont val="Calibri"/>
        <family val="2"/>
      </rPr>
      <t xml:space="preserve">IMPREVISTOS </t>
    </r>
    <r>
      <rPr>
        <sz val="10"/>
        <rFont val="Calibri"/>
        <family val="2"/>
      </rPr>
      <t xml:space="preserve"> </t>
    </r>
  </si>
  <si>
    <r>
      <t xml:space="preserve"> </t>
    </r>
    <r>
      <rPr>
        <b/>
        <sz val="8.6"/>
        <color indexed="8"/>
        <rFont val="Calibri"/>
        <family val="2"/>
      </rPr>
      <t xml:space="preserve">3 </t>
    </r>
    <r>
      <rPr>
        <sz val="10"/>
        <rFont val="Calibri"/>
        <family val="2"/>
      </rPr>
      <t xml:space="preserve"> </t>
    </r>
  </si>
  <si>
    <r>
      <t xml:space="preserve"> </t>
    </r>
    <r>
      <rPr>
        <b/>
        <sz val="8.6"/>
        <color indexed="8"/>
        <rFont val="Calibri"/>
        <family val="2"/>
      </rPr>
      <t xml:space="preserve">UTILIDAD </t>
    </r>
    <r>
      <rPr>
        <sz val="10"/>
        <rFont val="Calibri"/>
        <family val="2"/>
      </rPr>
      <t xml:space="preserve"> </t>
    </r>
  </si>
  <si>
    <r>
      <t xml:space="preserve"> </t>
    </r>
    <r>
      <rPr>
        <b/>
        <sz val="8.6"/>
        <color indexed="8"/>
        <rFont val="Calibri"/>
        <family val="2"/>
      </rPr>
      <t xml:space="preserve">A.I.U. </t>
    </r>
    <r>
      <rPr>
        <sz val="10"/>
        <rFont val="Calibri"/>
        <family val="2"/>
      </rPr>
      <t xml:space="preserve"> </t>
    </r>
  </si>
  <si>
    <t>TOTAL COSTO DIRECTO</t>
  </si>
  <si>
    <t>TOTAL OBRA</t>
  </si>
  <si>
    <t>TOTAL INTERVENTORÍA</t>
  </si>
  <si>
    <t>6 MESES</t>
  </si>
  <si>
    <t xml:space="preserve">RESIDENTE DE OBRA </t>
  </si>
  <si>
    <t>INGENIERO AUXILIAR</t>
  </si>
  <si>
    <t>13.2</t>
  </si>
  <si>
    <t>13.1</t>
  </si>
  <si>
    <t>SUMINISTRO DE TRANSFERENCIA AUTOMATICA DE CARGA PARA 60KW</t>
  </si>
  <si>
    <t>SUMINISTRO DE ASCENSOR PARA DISCAPACITADOS</t>
  </si>
  <si>
    <t>13.4</t>
  </si>
  <si>
    <t>PLANTA ELECTRICA ECOMAX GD20SS-T 20KVA, DIESEL, MOTOR YANGDONG 4 CILINDROS, ENCENDIDO ELECTRICO, TRIFASICA, GENERADOR ECOMAX 2220/440V, TRABAJO CONTINUO, CABINADA, INSONORISADA, CON TRANSFERENCIA $ 27.490.000.</t>
  </si>
  <si>
    <t>SISTEMA DE PRESION PEDROLLO CON ELECTROBOMBA CENTRIFUGA CP680C, 5.5HP, TRIFASICA, 220/440, ALT. MAX. 52MTS, BOCA DESCARGA 2”, TANQUE HIDROFLO DE 200LTS, MANOMETRO, PRESOSTATO, RACOR 5 VIAS. $ 5.110.000.</t>
  </si>
  <si>
    <t>SISTEMA DE PRESION PEDROLLO CON ELECTROBOMBA CENTRIFUGA CP680C, 5.5HP, TRIFASICA, 220/440, ALT. MAX. 52MTS, BOCA DESCARGA 2”, TANQUE HIDROFLO DE 200LTS, MANOMETRO, PRESOSTATO, RACOR 5 VIAS. $ 4.800.000.</t>
  </si>
  <si>
    <t>TALLER ARCO</t>
  </si>
  <si>
    <t>PLANTA ELECTRICA DIESEL MARCA ECOPOWER</t>
  </si>
  <si>
    <t>PLANTA ELECTRICA ECOMAXXGD2055-T 20KVA DIESEL MOTOR YANGDONG A CILINDROS,ENCENDIDO ELECTRICO,TRIFASICA GENERADOR ECOMAX 220V/440 MARCA ECOPOWER, TRABAJO CONTINUO CON TRANSFERENCIA</t>
  </si>
  <si>
    <t>EQUIPO DE HIDROFLO 20H-5TWLA200 ARRANC Y ACCESORIOS PREEMSAMBALDO TRIFASICO</t>
  </si>
  <si>
    <t>SISTEMA DE PRESION HE 260-200</t>
  </si>
  <si>
    <t>Suministro de ascensor dos paradas tipo camillero</t>
  </si>
  <si>
    <t>Ascensor</t>
  </si>
  <si>
    <t>SURTIZORA</t>
  </si>
  <si>
    <t>CASA DE LOS MINEROS</t>
  </si>
  <si>
    <t>MOTORES Y RESPUESTOS DEL CHOCO</t>
  </si>
  <si>
    <t>GENERADOR DIESEL GDE20SS-T POTENCIA STAND BY 21 KVA 1800RPM TRIFASICO CABINADO</t>
  </si>
  <si>
    <t>SISTEMA DE PRESION HE 2 50-200 PRESION TRABAJO 50/0 CAUDAL INCIAL/FINAL 85 GPM % CAUDAL TOTAL 100%</t>
  </si>
  <si>
    <t xml:space="preserve">PLANTA ELECTRICA ECOMAX GD20SS-T 20KVA, DIESEL, MOTOR YANGDONG 4 CILINDROS, ENCENDIDO ELECTRICO, TRIFASICA, GENERADOR ECOMAX 2220/440V, TRABAJO CONTINUO, CABINADA, INSONORISADA, CON TRANSFERENCIA </t>
  </si>
  <si>
    <t>TRANSFORMADOR TRIFASICO DE 7.6 O 13.2 A 75 KVA EN ACEITE</t>
  </si>
  <si>
    <t>TALLLER ARCO</t>
  </si>
  <si>
    <t>STAFORD</t>
  </si>
  <si>
    <t>ASCENSOR TIPO CAMILLERO DOS PARADAS</t>
  </si>
  <si>
    <t>ESTILO</t>
  </si>
  <si>
    <t>RIGHA</t>
  </si>
  <si>
    <t xml:space="preserve">Pantalla en concreto 3000psi, e=20cm, incluye formaleta y anclajes estructurales en tanque subterraneo </t>
  </si>
  <si>
    <t>Suministro de Planta eléctrica diesel de 45 Kw, con cabina isonorizada,con tranferencia</t>
  </si>
  <si>
    <t>10.6.6</t>
  </si>
  <si>
    <t>Lavamanos en acero con escurridero</t>
  </si>
  <si>
    <t>Transportes interno</t>
  </si>
  <si>
    <t>Cuadrilla</t>
  </si>
  <si>
    <t>C1oficialprimera+2ayudanteraso</t>
  </si>
  <si>
    <t>2,1,2</t>
  </si>
  <si>
    <t>Lamina de plomo</t>
  </si>
  <si>
    <t>Pulidora grande</t>
  </si>
  <si>
    <t>Desperdicio</t>
  </si>
  <si>
    <t>E1oficialprimera+4ayudanteraso</t>
  </si>
  <si>
    <t>Mortero 1:4</t>
  </si>
  <si>
    <t>media caña en granito</t>
  </si>
  <si>
    <t>9,3,3</t>
  </si>
  <si>
    <t>Pasamanos en hierro forjado</t>
  </si>
  <si>
    <t>anclajes</t>
  </si>
  <si>
    <t>pintura anticirrosiva</t>
  </si>
  <si>
    <t>Esmalte</t>
  </si>
  <si>
    <t>9,3,4</t>
  </si>
  <si>
    <t>9,3,5</t>
  </si>
  <si>
    <t>Barra en acero inoxidable</t>
  </si>
  <si>
    <t>9,3,7</t>
  </si>
  <si>
    <t>Lamina microperforada</t>
  </si>
  <si>
    <t>10,1,1</t>
  </si>
  <si>
    <t>10,1,2</t>
  </si>
  <si>
    <t>10,1,3</t>
  </si>
  <si>
    <t>10,1,4</t>
  </si>
  <si>
    <t xml:space="preserve">10,1,5 </t>
  </si>
  <si>
    <t>10,1,6</t>
  </si>
  <si>
    <t>10,1,7</t>
  </si>
  <si>
    <t>10,1,8</t>
  </si>
  <si>
    <t>Tuberiìa  hidraulica</t>
  </si>
  <si>
    <t xml:space="preserve">Accesorios pvc. </t>
  </si>
  <si>
    <t>10,1,9</t>
  </si>
  <si>
    <t>10,1,10</t>
  </si>
  <si>
    <t>10,1,11</t>
  </si>
  <si>
    <t xml:space="preserve">Llave de Paso </t>
  </si>
  <si>
    <t xml:space="preserve">Accesorios  pvc. Pavco </t>
  </si>
  <si>
    <t>Punto PVC -  con Diametro de 2"</t>
  </si>
  <si>
    <t>PLANTA ELECTRICA DE 45 KVA</t>
  </si>
  <si>
    <t>TRANSFORMADOR 75KVA TRIFASICO</t>
  </si>
  <si>
    <t>Llave terminal</t>
  </si>
  <si>
    <t xml:space="preserve">Suministro de materiles </t>
  </si>
  <si>
    <t>12,1,9</t>
  </si>
  <si>
    <t>Ingeniero Residente, Oficial de linea Conte categoria 5ª, Ayudante Entendido Nivel 2</t>
  </si>
  <si>
    <t>Suministro de materiales</t>
  </si>
  <si>
    <t>glb</t>
  </si>
  <si>
    <t>12,2,1</t>
  </si>
  <si>
    <t>12,2,2</t>
  </si>
  <si>
    <t>12,2,3</t>
  </si>
  <si>
    <t>12,2,4</t>
  </si>
  <si>
    <t>12,2,5</t>
  </si>
  <si>
    <t>12,2,6</t>
  </si>
  <si>
    <t>transporte interno</t>
  </si>
  <si>
    <t>Sumnistro e instalacion salida para iluminacion; incluye ducto, alambre N° 12 AWG,HF,y luminaria led 60*60, 36w</t>
  </si>
  <si>
    <t>12,2,7</t>
  </si>
  <si>
    <t>Sumnistro e instalacion salida para iluminacion; incluye ducto, alambre N° 12 AWG,HF,y luminaria led 18w</t>
  </si>
  <si>
    <t>12,2,8</t>
  </si>
  <si>
    <t>Sumnistro e instalacion salida para iluminacion; incluye ducto, alambre N° 12 AWG,HF,y luminaria led tipo 9w</t>
  </si>
  <si>
    <t>12,2,9</t>
  </si>
  <si>
    <t>12,2,10</t>
  </si>
  <si>
    <t>12,2,11</t>
  </si>
  <si>
    <t>12,2,12</t>
  </si>
  <si>
    <t>12,2,13</t>
  </si>
  <si>
    <t>12,2,14</t>
  </si>
  <si>
    <t>12,2,15</t>
  </si>
  <si>
    <t>12,2,16</t>
  </si>
  <si>
    <t>Acometida a Tablero de distribucion de 18 ctos</t>
  </si>
  <si>
    <t>12,2,17</t>
  </si>
  <si>
    <t>12,2,18</t>
  </si>
  <si>
    <t>12,2,19</t>
  </si>
  <si>
    <t>12,2,20</t>
  </si>
  <si>
    <t>12,2,21</t>
  </si>
  <si>
    <t>12,2,22</t>
  </si>
  <si>
    <t>12,2,23</t>
  </si>
  <si>
    <t>Suministro e instalacion de Salida para Detector de Humo, incluye Ducto,cable 2X18AWG, Detector de humo</t>
  </si>
  <si>
    <t>12,2,24</t>
  </si>
  <si>
    <t>12,2,25</t>
  </si>
  <si>
    <t>12,2,26</t>
  </si>
  <si>
    <t>12,2,27</t>
  </si>
  <si>
    <t>12,2,28</t>
  </si>
  <si>
    <t>12,2,29</t>
  </si>
  <si>
    <t>12,2,30</t>
  </si>
  <si>
    <t>10,2,9</t>
  </si>
  <si>
    <t>10,2,10</t>
  </si>
  <si>
    <t>tanque plastico 2000 litros, conn tapa, incluye accesorios</t>
  </si>
  <si>
    <t>10,2,8</t>
  </si>
  <si>
    <t>10,5,1</t>
  </si>
  <si>
    <t>GLB</t>
  </si>
  <si>
    <t>10,5,2</t>
  </si>
  <si>
    <t>10,5,3</t>
  </si>
  <si>
    <t>10,5,4</t>
  </si>
  <si>
    <t>10,5,5</t>
  </si>
  <si>
    <t>10,6,1</t>
  </si>
  <si>
    <t>10,6,4</t>
  </si>
  <si>
    <t>10,6,5</t>
  </si>
  <si>
    <t xml:space="preserve">SISTEMA DE PRESION PEDROLLO CON ELECTROBOMBA CENTRIFUGA CP680C, 5.5HP, TRIFASICA, 220/440, ALT. MAX. 52MTS, BOCA DESCARGA 2”, TANQUE HIDROFLO DE 200LTS, MANOMETRO, PRESOSTATO, RACOR 5 VIAS. </t>
  </si>
  <si>
    <t>SISTEMA DE PRESION HE 2 50 - 200 PRESION TRABAJO 50/0 CAUDAL INICIAL/FINAL 85 GPM %CAUDAL TOTAL 100%</t>
  </si>
  <si>
    <t>EQUIPO HIDROFLO 20H - 5TW LA200 ARRAMC. Y ACCESORIOS</t>
  </si>
  <si>
    <t>Gabinete principal</t>
  </si>
  <si>
    <t>Tablero trifasico de 30 Circuitos con espacio para Totalizador</t>
  </si>
  <si>
    <t>Tablero trifasico de 18 Circuitos con espacio para Totalizador</t>
  </si>
  <si>
    <t>Tablero trifasico de 12 Circuitos con espacio para Totalizador</t>
  </si>
  <si>
    <t>Tablero trifasico de 8 Circuitos con espacio para Totalizador</t>
  </si>
  <si>
    <t>Luminaria led18w</t>
  </si>
  <si>
    <t>Panel led 36w</t>
  </si>
  <si>
    <t>Luminaria led 9w</t>
  </si>
  <si>
    <t>Tablero metalico  30cto</t>
  </si>
  <si>
    <t>Tablero metalico 12cto</t>
  </si>
  <si>
    <t>Tablero metalico 18 cto</t>
  </si>
  <si>
    <t>Tablero metalico 8cto</t>
  </si>
  <si>
    <t xml:space="preserve">Bandeja metalica </t>
  </si>
  <si>
    <t xml:space="preserve">Tablero </t>
  </si>
  <si>
    <t>Tablero de control</t>
  </si>
  <si>
    <t>Rack Auto h= 1.5m</t>
  </si>
  <si>
    <t xml:space="preserve"> Path panel 24 puertos categoria 6 u</t>
  </si>
  <si>
    <t>suicth 24 puertos categoria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</si>
</sst>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8">
    <numFmt numFmtId="5" formatCode="&quot;$&quot;\ #,##0;\-&quot;$&quot;\ #,##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 #,##0.00_);_(* \(#,##0.00\);_(* &quot;-&quot;??_);_(@_)"/>
    <numFmt numFmtId="166" formatCode="_ * #,##0.00_ ;_ * \-#,##0.00_ ;_ * &quot;-&quot;??_ ;_ @_ "/>
    <numFmt numFmtId="167" formatCode="#,##0.0"/>
    <numFmt numFmtId="168" formatCode="_-* #,##0.00\ _€_-;\-* #,##0.00\ _€_-;_-* &quot;-&quot;??\ _€_-;_-@_-"/>
    <numFmt numFmtId="169" formatCode="_ * #,##0_ ;_ * \-#,##0_ ;_ * &quot;-&quot;_ ;_ @_ "/>
    <numFmt numFmtId="170" formatCode="_-* #,##0.00_-;\-* #,##0.00_-;_-* &quot;-&quot;_-;_-@_-"/>
    <numFmt numFmtId="171" formatCode="_-* #,##0.00\ _P_t_a_-;\-* #,##0.00\ _P_t_a_-;_-* &quot;-&quot;??\ _P_t_a_-;_-@_-"/>
    <numFmt numFmtId="172" formatCode="0.000"/>
    <numFmt numFmtId="173" formatCode="_-* #,##0.00\ &quot;pta&quot;_-;\-* #,##0.00\ &quot;pta&quot;_-;_-* &quot;-&quot;??\ &quot;pta&quot;_-;_-@_-"/>
    <numFmt numFmtId="174" formatCode="_-* #,##0\ _P_t_a_-;\-* #,##0\ _P_t_a_-;_-* &quot;-&quot;\ _P_t_a_-;_-@_-"/>
    <numFmt numFmtId="175" formatCode="#,##0.000"/>
    <numFmt numFmtId="176" formatCode="0.0"/>
    <numFmt numFmtId="177" formatCode="&quot;$&quot;\ #,##0"/>
    <numFmt numFmtId="178" formatCode="&quot;$&quot;\ #,##0.00"/>
    <numFmt numFmtId="179" formatCode="#,##0.0000"/>
    <numFmt numFmtId="180" formatCode="_(&quot;$&quot;\ * #,##0.00_);_(&quot;$&quot;\ * \(#,##0.00\);_(&quot;$&quot;\ * &quot;-&quot;??_);_(@_)"/>
    <numFmt numFmtId="181" formatCode="_-* #,##0_-;\-* #,##0_-;_-* &quot;-&quot;??_-;_-@_-"/>
    <numFmt numFmtId="187" formatCode="&quot;$&quot;\ #,##0;[Red]&quot;$&quot;\ #,##0"/>
    <numFmt numFmtId="188" formatCode="_(&quot;$&quot;\ * #,##0_);_(&quot;$&quot;\ * \(#,##0\);_(&quot;$&quot;\ * &quot;-&quot;??_);_(@_)"/>
    <numFmt numFmtId="189" formatCode="[$$-240A]\ #,##0"/>
    <numFmt numFmtId="190" formatCode="_-* #,##0\ _€_-;\-* #,##0\ _€_-;_-* &quot;-&quot;??\ _€_-;_-@_-"/>
    <numFmt numFmtId="191" formatCode="_(* #,##0_);_(* \(#,##0\);_(* &quot;-&quot;??_);_(@_)"/>
    <numFmt numFmtId="192" formatCode="_(&quot;$&quot;\ * #,##0.0_);_(&quot;$&quot;\ * \(#,##0.0\);_(&quot;$&quot;\ * &quot;-&quot;??_);_(@_)"/>
  </numFmts>
  <fonts count="83" x14ac:knownFonts="1">
    <font>
      <sz val="11"/>
      <color theme="1"/>
      <name val="Calibri"/>
      <family val="2"/>
      <scheme val="minor"/>
    </font>
    <font>
      <sz val="10"/>
      <name val="Arial"/>
      <family val="2"/>
    </font>
    <font>
      <sz val="11"/>
      <color theme="1"/>
      <name val="Calibri"/>
      <family val="2"/>
      <scheme val="minor"/>
    </font>
    <font>
      <u/>
      <sz val="11"/>
      <color theme="11"/>
      <name val="Calibri"/>
      <family val="2"/>
      <scheme val="minor"/>
    </font>
    <font>
      <sz val="11"/>
      <color theme="1"/>
      <name val="Arial"/>
      <family val="2"/>
    </font>
    <font>
      <b/>
      <sz val="11"/>
      <name val="Arial"/>
      <family val="2"/>
    </font>
    <font>
      <sz val="11"/>
      <name val="Arial"/>
      <family val="2"/>
    </font>
    <font>
      <sz val="11"/>
      <color indexed="8"/>
      <name val="Arial"/>
      <family val="2"/>
    </font>
    <font>
      <b/>
      <sz val="11"/>
      <color indexed="8"/>
      <name val="Arial"/>
      <family val="2"/>
    </font>
    <font>
      <b/>
      <sz val="10"/>
      <name val="Arial"/>
      <family val="2"/>
    </font>
    <font>
      <sz val="8"/>
      <name val="Arial"/>
      <family val="2"/>
    </font>
    <font>
      <sz val="8"/>
      <color theme="1"/>
      <name val="Arial"/>
      <family val="2"/>
    </font>
    <font>
      <b/>
      <sz val="8"/>
      <name val="Arial"/>
      <family val="2"/>
    </font>
    <font>
      <b/>
      <sz val="9"/>
      <name val="Arial"/>
      <family val="2"/>
    </font>
    <font>
      <sz val="9"/>
      <color theme="1"/>
      <name val="Arial"/>
      <family val="2"/>
    </font>
    <font>
      <b/>
      <sz val="12"/>
      <name val="Arial"/>
      <family val="2"/>
    </font>
    <font>
      <sz val="9"/>
      <name val="Arial"/>
      <family val="2"/>
    </font>
    <font>
      <sz val="11"/>
      <color theme="1"/>
      <name val="Century Gothic"/>
      <family val="2"/>
    </font>
    <font>
      <sz val="10"/>
      <name val="MS Sans Serif"/>
      <family val="2"/>
    </font>
    <font>
      <sz val="10"/>
      <name val="Arial"/>
      <family val="2"/>
    </font>
    <font>
      <b/>
      <sz val="14"/>
      <name val="Arial"/>
      <family val="2"/>
    </font>
    <font>
      <sz val="11"/>
      <color theme="1" tint="0.14999847407452621"/>
      <name val="Arial"/>
      <family val="2"/>
    </font>
    <font>
      <b/>
      <sz val="10"/>
      <color theme="1"/>
      <name val="Arial"/>
      <family val="2"/>
    </font>
    <font>
      <b/>
      <sz val="8"/>
      <color theme="1"/>
      <name val="Arial"/>
      <family val="2"/>
    </font>
    <font>
      <b/>
      <sz val="18"/>
      <name val="Arial"/>
      <family val="2"/>
    </font>
    <font>
      <sz val="8"/>
      <name val="Calibri"/>
      <family val="2"/>
      <scheme val="minor"/>
    </font>
    <font>
      <sz val="10"/>
      <name val="Arial"/>
      <family val="2"/>
    </font>
    <font>
      <sz val="9"/>
      <color indexed="10"/>
      <name val="Arial"/>
      <family val="2"/>
    </font>
    <font>
      <sz val="9"/>
      <color theme="1"/>
      <name val="Calibri"/>
      <family val="2"/>
      <scheme val="minor"/>
    </font>
    <font>
      <b/>
      <sz val="9"/>
      <color theme="1"/>
      <name val="Arial"/>
      <family val="2"/>
    </font>
    <font>
      <sz val="9"/>
      <color indexed="8"/>
      <name val="Arial"/>
      <family val="2"/>
    </font>
    <font>
      <b/>
      <i/>
      <sz val="9"/>
      <name val="Arial"/>
      <family val="2"/>
    </font>
    <font>
      <i/>
      <sz val="9"/>
      <name val="Arial"/>
      <family val="2"/>
    </font>
    <font>
      <b/>
      <sz val="11"/>
      <color theme="1" tint="0.14999847407452621"/>
      <name val="Arial"/>
      <family val="2"/>
    </font>
    <font>
      <b/>
      <sz val="8"/>
      <name val="Arial Narrow"/>
      <family val="2"/>
    </font>
    <font>
      <b/>
      <sz val="9"/>
      <name val="Arial Narrow"/>
      <family val="2"/>
    </font>
    <font>
      <b/>
      <sz val="10"/>
      <color rgb="FF000000"/>
      <name val="Arial Narrow"/>
      <family val="2"/>
    </font>
    <font>
      <b/>
      <sz val="10"/>
      <name val="Arial Narrow"/>
      <family val="2"/>
    </font>
    <font>
      <sz val="10"/>
      <name val="Arial Narrow"/>
      <family val="2"/>
    </font>
    <font>
      <sz val="9"/>
      <name val="Arial Narrow"/>
      <family val="2"/>
    </font>
    <font>
      <b/>
      <sz val="8"/>
      <color rgb="FF000000"/>
      <name val="Arial Narrow"/>
      <family val="2"/>
    </font>
    <font>
      <sz val="8"/>
      <name val="Arial Narrow"/>
      <family val="2"/>
    </font>
    <font>
      <i/>
      <sz val="8"/>
      <color theme="1"/>
      <name val="Arial Narrow"/>
      <family val="2"/>
    </font>
    <font>
      <b/>
      <i/>
      <sz val="8"/>
      <color rgb="FFFF0000"/>
      <name val="Arial Narrow"/>
      <family val="2"/>
    </font>
    <font>
      <i/>
      <sz val="8"/>
      <color rgb="FF000000"/>
      <name val="Arial Narrow"/>
      <family val="2"/>
    </font>
    <font>
      <sz val="9"/>
      <color rgb="FF000000"/>
      <name val="Arial Narrow"/>
      <family val="2"/>
    </font>
    <font>
      <b/>
      <sz val="12"/>
      <color theme="1"/>
      <name val="Calibri"/>
      <family val="2"/>
      <scheme val="minor"/>
    </font>
    <font>
      <b/>
      <sz val="8"/>
      <color theme="1"/>
      <name val="Calibri"/>
      <family val="2"/>
      <scheme val="minor"/>
    </font>
    <font>
      <b/>
      <sz val="10"/>
      <color theme="1"/>
      <name val="Calibri"/>
      <family val="2"/>
      <scheme val="minor"/>
    </font>
    <font>
      <sz val="12"/>
      <color theme="1"/>
      <name val="Calibri"/>
      <family val="2"/>
      <scheme val="minor"/>
    </font>
    <font>
      <b/>
      <sz val="14"/>
      <color theme="0"/>
      <name val="Calibri"/>
      <family val="2"/>
      <scheme val="minor"/>
    </font>
    <font>
      <sz val="10"/>
      <color theme="1"/>
      <name val="Calibri"/>
      <family val="2"/>
      <scheme val="minor"/>
    </font>
    <font>
      <b/>
      <sz val="9"/>
      <color theme="1"/>
      <name val="Calibri"/>
      <family val="2"/>
    </font>
    <font>
      <sz val="8"/>
      <color theme="1"/>
      <name val="Calibri"/>
      <family val="2"/>
      <scheme val="minor"/>
    </font>
    <font>
      <sz val="9"/>
      <color theme="1"/>
      <name val="Calibri"/>
      <family val="2"/>
    </font>
    <font>
      <b/>
      <sz val="12"/>
      <color theme="1"/>
      <name val="Calibri"/>
      <family val="2"/>
    </font>
    <font>
      <b/>
      <sz val="10"/>
      <color theme="1"/>
      <name val="Calibri"/>
      <family val="2"/>
    </font>
    <font>
      <b/>
      <sz val="8"/>
      <color theme="1"/>
      <name val="Calibri"/>
      <family val="2"/>
    </font>
    <font>
      <sz val="12"/>
      <color theme="1"/>
      <name val="Calibri"/>
      <family val="2"/>
    </font>
    <font>
      <sz val="10"/>
      <color theme="1"/>
      <name val="Calibri"/>
      <family val="2"/>
    </font>
    <font>
      <sz val="12"/>
      <name val="Calibri"/>
      <family val="2"/>
    </font>
    <font>
      <sz val="10"/>
      <name val="Calibri"/>
      <family val="2"/>
    </font>
    <font>
      <i/>
      <sz val="10"/>
      <name val="Calibri"/>
      <family val="2"/>
    </font>
    <font>
      <b/>
      <sz val="11"/>
      <color theme="1"/>
      <name val="Arial"/>
      <family val="2"/>
    </font>
    <font>
      <sz val="10"/>
      <color theme="1"/>
      <name val="Arial"/>
      <family val="2"/>
    </font>
    <font>
      <b/>
      <sz val="11"/>
      <color theme="1"/>
      <name val="Calibri"/>
      <family val="2"/>
    </font>
    <font>
      <sz val="11"/>
      <color theme="1"/>
      <name val="Calibri"/>
      <family val="2"/>
    </font>
    <font>
      <sz val="14"/>
      <name val="Calibri"/>
      <family val="2"/>
    </font>
    <font>
      <b/>
      <sz val="14"/>
      <color indexed="8"/>
      <name val="Calibri"/>
      <family val="2"/>
    </font>
    <font>
      <b/>
      <sz val="10"/>
      <name val="Calibri"/>
      <family val="2"/>
    </font>
    <font>
      <b/>
      <sz val="10"/>
      <color indexed="8"/>
      <name val="Calibri"/>
      <family val="2"/>
    </font>
    <font>
      <b/>
      <sz val="8.6"/>
      <color indexed="8"/>
      <name val="Calibri"/>
      <family val="2"/>
    </font>
    <font>
      <sz val="8.6"/>
      <color indexed="8"/>
      <name val="Calibri"/>
      <family val="2"/>
    </font>
    <font>
      <sz val="8"/>
      <name val="Calibri"/>
      <family val="2"/>
    </font>
    <font>
      <b/>
      <sz val="9"/>
      <name val="Calibri"/>
      <family val="2"/>
    </font>
    <font>
      <b/>
      <sz val="9"/>
      <color indexed="8"/>
      <name val="Calibri"/>
      <family val="2"/>
    </font>
    <font>
      <b/>
      <sz val="8"/>
      <name val="Calibri"/>
      <family val="2"/>
    </font>
    <font>
      <sz val="9"/>
      <name val="Calibri"/>
      <family val="2"/>
    </font>
    <font>
      <sz val="9"/>
      <color indexed="8"/>
      <name val="Calibri"/>
      <family val="2"/>
    </font>
    <font>
      <sz val="8.6"/>
      <color indexed="8"/>
      <name val="Arial"/>
      <family val="2"/>
    </font>
    <font>
      <b/>
      <sz val="11"/>
      <name val="Calibri"/>
      <family val="2"/>
    </font>
    <font>
      <sz val="9"/>
      <color rgb="FF000000"/>
      <name val="Arial"/>
      <family val="2"/>
    </font>
    <font>
      <sz val="11"/>
      <color theme="1"/>
      <name val="Corbel"/>
    </font>
  </fonts>
  <fills count="28">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7" tint="0.79998168889431442"/>
        <bgColor rgb="FF000000"/>
      </patternFill>
    </fill>
    <fill>
      <patternFill patternType="solid">
        <fgColor theme="8" tint="0.79998168889431442"/>
        <bgColor indexed="64"/>
      </patternFill>
    </fill>
    <fill>
      <patternFill patternType="solid">
        <fgColor rgb="FFCCFFCC"/>
        <bgColor indexed="64"/>
      </patternFill>
    </fill>
    <fill>
      <patternFill patternType="solid">
        <fgColor theme="0"/>
        <bgColor indexed="64"/>
      </patternFill>
    </fill>
    <fill>
      <patternFill patternType="solid">
        <fgColor rgb="FF002060"/>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rgb="FFA0D56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EB47C8"/>
        <bgColor indexed="64"/>
      </patternFill>
    </fill>
    <fill>
      <patternFill patternType="solid">
        <fgColor rgb="FFF6C2F4"/>
        <bgColor indexed="64"/>
      </patternFill>
    </fill>
    <fill>
      <patternFill patternType="solid">
        <fgColor rgb="FFF15DB2"/>
        <bgColor indexed="64"/>
      </patternFill>
    </fill>
    <fill>
      <patternFill patternType="solid">
        <fgColor rgb="FFF9BDDF"/>
        <bgColor indexed="64"/>
      </patternFill>
    </fill>
    <fill>
      <patternFill patternType="solid">
        <fgColor rgb="FFCC00FF"/>
        <bgColor indexed="64"/>
      </patternFill>
    </fill>
    <fill>
      <patternFill patternType="solid">
        <fgColor rgb="FFE885FF"/>
        <bgColor indexed="64"/>
      </patternFill>
    </fill>
    <fill>
      <patternFill patternType="solid">
        <fgColor theme="8"/>
        <bgColor indexed="64"/>
      </patternFill>
    </fill>
    <fill>
      <patternFill patternType="solid">
        <fgColor theme="4" tint="0.59999389629810485"/>
        <bgColor indexed="64"/>
      </patternFill>
    </fill>
  </fills>
  <borders count="145">
    <border>
      <left/>
      <right/>
      <top/>
      <bottom/>
      <diagonal/>
    </border>
    <border>
      <left/>
      <right/>
      <top style="hair">
        <color auto="1"/>
      </top>
      <bottom style="hair">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hair">
        <color auto="1"/>
      </right>
      <top style="hair">
        <color auto="1"/>
      </top>
      <bottom style="hair">
        <color auto="1"/>
      </bottom>
      <diagonal/>
    </border>
    <border>
      <left/>
      <right/>
      <top/>
      <bottom style="hair">
        <color auto="1"/>
      </bottom>
      <diagonal/>
    </border>
    <border>
      <left style="thin">
        <color auto="1"/>
      </left>
      <right style="thin">
        <color auto="1"/>
      </right>
      <top/>
      <bottom style="thin">
        <color auto="1"/>
      </bottom>
      <diagonal/>
    </border>
    <border>
      <left/>
      <right style="hair">
        <color auto="1"/>
      </right>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thin">
        <color auto="1"/>
      </top>
      <bottom style="thin">
        <color auto="1"/>
      </bottom>
      <diagonal/>
    </border>
    <border>
      <left/>
      <right/>
      <top/>
      <bottom style="thin">
        <color auto="1"/>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thin">
        <color auto="1"/>
      </right>
      <top style="thin">
        <color auto="1"/>
      </top>
      <bottom style="thin">
        <color auto="1"/>
      </bottom>
      <diagonal/>
    </border>
    <border>
      <left/>
      <right/>
      <top style="thin">
        <color auto="1"/>
      </top>
      <bottom/>
      <diagonal/>
    </border>
    <border>
      <left style="double">
        <color auto="1"/>
      </left>
      <right/>
      <top style="thin">
        <color auto="1"/>
      </top>
      <bottom style="thin">
        <color auto="1"/>
      </bottom>
      <diagonal/>
    </border>
    <border>
      <left style="medium">
        <color auto="1"/>
      </left>
      <right/>
      <top/>
      <bottom style="double">
        <color auto="1"/>
      </bottom>
      <diagonal/>
    </border>
    <border>
      <left/>
      <right/>
      <top/>
      <bottom style="double">
        <color auto="1"/>
      </bottom>
      <diagonal/>
    </border>
    <border>
      <left style="medium">
        <color auto="1"/>
      </left>
      <right/>
      <top style="double">
        <color auto="1"/>
      </top>
      <bottom/>
      <diagonal/>
    </border>
    <border>
      <left/>
      <right/>
      <top style="double">
        <color auto="1"/>
      </top>
      <bottom/>
      <diagonal/>
    </border>
    <border>
      <left/>
      <right style="thin">
        <color auto="1"/>
      </right>
      <top style="double">
        <color auto="1"/>
      </top>
      <bottom style="thin">
        <color auto="1"/>
      </bottom>
      <diagonal/>
    </border>
    <border>
      <left/>
      <right style="thin">
        <color auto="1"/>
      </right>
      <top style="double">
        <color auto="1"/>
      </top>
      <bottom/>
      <diagonal/>
    </border>
    <border>
      <left style="thin">
        <color auto="1"/>
      </left>
      <right/>
      <top style="double">
        <color auto="1"/>
      </top>
      <bottom style="thin">
        <color auto="1"/>
      </bottom>
      <diagonal/>
    </border>
    <border>
      <left style="thin">
        <color auto="1"/>
      </left>
      <right style="thin">
        <color auto="1"/>
      </right>
      <top style="double">
        <color auto="1"/>
      </top>
      <bottom style="thin">
        <color auto="1"/>
      </bottom>
      <diagonal/>
    </border>
    <border>
      <left/>
      <right style="thin">
        <color auto="1"/>
      </right>
      <top style="thin">
        <color auto="1"/>
      </top>
      <bottom style="double">
        <color auto="1"/>
      </bottom>
      <diagonal/>
    </border>
    <border>
      <left style="thin">
        <color auto="1"/>
      </left>
      <right/>
      <top style="thin">
        <color auto="1"/>
      </top>
      <bottom style="double">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right style="thin">
        <color auto="1"/>
      </right>
      <top style="thin">
        <color auto="1"/>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auto="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auto="1"/>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hair">
        <color indexed="64"/>
      </top>
      <bottom style="hair">
        <color indexed="64"/>
      </bottom>
      <diagonal/>
    </border>
    <border>
      <left style="medium">
        <color auto="1"/>
      </left>
      <right/>
      <top style="medium">
        <color auto="1"/>
      </top>
      <bottom style="double">
        <color auto="1"/>
      </bottom>
      <diagonal/>
    </border>
    <border>
      <left/>
      <right/>
      <top style="medium">
        <color auto="1"/>
      </top>
      <bottom style="double">
        <color auto="1"/>
      </bottom>
      <diagonal/>
    </border>
    <border>
      <left/>
      <right style="medium">
        <color auto="1"/>
      </right>
      <top style="medium">
        <color auto="1"/>
      </top>
      <bottom style="double">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double">
        <color auto="1"/>
      </right>
      <top style="thin">
        <color auto="1"/>
      </top>
      <bottom/>
      <diagonal/>
    </border>
    <border>
      <left style="double">
        <color auto="1"/>
      </left>
      <right/>
      <top/>
      <bottom/>
      <diagonal/>
    </border>
    <border>
      <left/>
      <right style="double">
        <color auto="1"/>
      </right>
      <top/>
      <bottom/>
      <diagonal/>
    </border>
    <border>
      <left/>
      <right style="double">
        <color auto="1"/>
      </right>
      <top/>
      <bottom style="double">
        <color auto="1"/>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thin">
        <color auto="1"/>
      </left>
      <right style="thin">
        <color auto="1"/>
      </right>
      <top style="double">
        <color auto="1"/>
      </top>
      <bottom/>
      <diagonal/>
    </border>
    <border>
      <left style="thin">
        <color auto="1"/>
      </left>
      <right style="medium">
        <color auto="1"/>
      </right>
      <top style="double">
        <color auto="1"/>
      </top>
      <bottom/>
      <diagonal/>
    </border>
    <border>
      <left style="medium">
        <color auto="1"/>
      </left>
      <right/>
      <top style="double">
        <color auto="1"/>
      </top>
      <bottom style="thin">
        <color auto="1"/>
      </bottom>
      <diagonal/>
    </border>
    <border>
      <left/>
      <right/>
      <top style="double">
        <color auto="1"/>
      </top>
      <bottom style="thin">
        <color auto="1"/>
      </bottom>
      <diagonal/>
    </border>
    <border>
      <left style="medium">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medium">
        <color auto="1"/>
      </right>
      <top style="thin">
        <color auto="1"/>
      </top>
      <bottom style="double">
        <color auto="1"/>
      </bottom>
      <diagonal/>
    </border>
    <border>
      <left style="double">
        <color auto="1"/>
      </left>
      <right/>
      <top style="double">
        <color auto="1"/>
      </top>
      <bottom style="double">
        <color auto="1"/>
      </bottom>
      <diagonal/>
    </border>
    <border>
      <left style="thin">
        <color auto="1"/>
      </left>
      <right style="medium">
        <color auto="1"/>
      </right>
      <top style="double">
        <color auto="1"/>
      </top>
      <bottom style="double">
        <color auto="1"/>
      </bottom>
      <diagonal/>
    </border>
    <border>
      <left style="double">
        <color auto="1"/>
      </left>
      <right/>
      <top/>
      <bottom style="double">
        <color auto="1"/>
      </bottom>
      <diagonal/>
    </border>
    <border>
      <left style="thin">
        <color auto="1"/>
      </left>
      <right style="medium">
        <color auto="1"/>
      </right>
      <top/>
      <bottom style="double">
        <color auto="1"/>
      </bottom>
      <diagonal/>
    </border>
    <border>
      <left style="medium">
        <color auto="1"/>
      </left>
      <right/>
      <top style="thin">
        <color auto="1"/>
      </top>
      <bottom style="double">
        <color auto="1"/>
      </bottom>
      <diagonal/>
    </border>
    <border>
      <left style="thin">
        <color auto="1"/>
      </left>
      <right style="medium">
        <color auto="1"/>
      </right>
      <top style="double">
        <color auto="1"/>
      </top>
      <bottom style="thin">
        <color auto="1"/>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thin">
        <color auto="1"/>
      </right>
      <top style="double">
        <color auto="1"/>
      </top>
      <bottom style="medium">
        <color auto="1"/>
      </bottom>
      <diagonal/>
    </border>
    <border>
      <left style="thin">
        <color auto="1"/>
      </left>
      <right style="medium">
        <color auto="1"/>
      </right>
      <top style="double">
        <color auto="1"/>
      </top>
      <bottom style="medium">
        <color auto="1"/>
      </bottom>
      <diagonal/>
    </border>
    <border>
      <left/>
      <right style="hair">
        <color rgb="FF000000"/>
      </right>
      <top style="hair">
        <color auto="1"/>
      </top>
      <bottom style="hair">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double">
        <color indexed="64"/>
      </top>
      <bottom/>
      <diagonal/>
    </border>
    <border>
      <left/>
      <right style="medium">
        <color indexed="64"/>
      </right>
      <top/>
      <bottom style="double">
        <color indexed="64"/>
      </bottom>
      <diagonal/>
    </border>
    <border>
      <left style="thin">
        <color indexed="64"/>
      </left>
      <right style="medium">
        <color indexed="64"/>
      </right>
      <top/>
      <bottom/>
      <diagonal/>
    </border>
    <border>
      <left/>
      <right style="thin">
        <color indexed="64"/>
      </right>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double">
        <color indexed="64"/>
      </left>
      <right style="thin">
        <color indexed="64"/>
      </right>
      <top style="thin">
        <color indexed="64"/>
      </top>
      <bottom/>
      <diagonal/>
    </border>
    <border>
      <left style="double">
        <color indexed="64"/>
      </left>
      <right style="double">
        <color indexed="64"/>
      </right>
      <top style="double">
        <color indexed="64"/>
      </top>
      <bottom style="double">
        <color indexed="64"/>
      </bottom>
      <diagonal/>
    </border>
  </borders>
  <cellStyleXfs count="75">
    <xf numFmtId="0" fontId="0" fillId="0" borderId="0"/>
    <xf numFmtId="165" fontId="2" fillId="0" borderId="0" applyFont="0" applyFill="0" applyBorder="0" applyAlignment="0" applyProtection="0"/>
    <xf numFmtId="0" fontId="1" fillId="0" borderId="0"/>
    <xf numFmtId="0" fontId="1" fillId="0" borderId="0"/>
    <xf numFmtId="0" fontId="1" fillId="0" borderId="0" applyFont="0" applyFill="0" applyBorder="0" applyAlignment="0" applyProtection="0"/>
    <xf numFmtId="9" fontId="2" fillId="0" borderId="0" applyFont="0" applyFill="0" applyBorder="0" applyAlignment="0" applyProtection="0"/>
    <xf numFmtId="168" fontId="2" fillId="0" borderId="0" applyFont="0" applyFill="0" applyBorder="0" applyAlignment="0" applyProtection="0"/>
    <xf numFmtId="0" fontId="1" fillId="0" borderId="0"/>
    <xf numFmtId="166" fontId="1"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69" fontId="1"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41" fontId="2" fillId="0" borderId="0" applyFont="0" applyFill="0" applyBorder="0" applyAlignment="0" applyProtection="0"/>
    <xf numFmtId="0" fontId="17" fillId="0" borderId="0"/>
    <xf numFmtId="0" fontId="18" fillId="0" borderId="0"/>
    <xf numFmtId="0" fontId="1" fillId="0" borderId="0"/>
    <xf numFmtId="165" fontId="1" fillId="0" borderId="0" applyFont="0" applyFill="0" applyBorder="0" applyAlignment="0" applyProtection="0"/>
    <xf numFmtId="0" fontId="19" fillId="0" borderId="0"/>
    <xf numFmtId="42" fontId="2" fillId="0" borderId="0" applyFont="0" applyFill="0" applyBorder="0" applyAlignment="0" applyProtection="0"/>
    <xf numFmtId="171" fontId="19" fillId="0" borderId="0" applyFont="0" applyFill="0" applyBorder="0" applyAlignment="0" applyProtection="0"/>
    <xf numFmtId="173" fontId="19" fillId="0" borderId="0" applyFont="0" applyFill="0" applyBorder="0" applyAlignment="0" applyProtection="0"/>
    <xf numFmtId="9" fontId="19" fillId="0" borderId="0" applyFont="0" applyFill="0" applyBorder="0" applyAlignment="0" applyProtection="0"/>
    <xf numFmtId="174" fontId="19" fillId="0" borderId="0" applyFont="0" applyFill="0" applyBorder="0" applyAlignment="0" applyProtection="0"/>
    <xf numFmtId="165" fontId="1" fillId="0" borderId="0" applyFont="0" applyFill="0" applyBorder="0" applyAlignment="0" applyProtection="0"/>
    <xf numFmtId="0" fontId="26" fillId="0" borderId="0"/>
    <xf numFmtId="164" fontId="1" fillId="0" borderId="0" applyFont="0" applyFill="0" applyBorder="0" applyAlignment="0" applyProtection="0"/>
    <xf numFmtId="166" fontId="1" fillId="0" borderId="0" applyFont="0" applyFill="0" applyBorder="0" applyAlignment="0" applyProtection="0"/>
    <xf numFmtId="0" fontId="1" fillId="0" borderId="0"/>
    <xf numFmtId="43" fontId="2" fillId="0" borderId="0" applyFont="0" applyFill="0" applyBorder="0" applyAlignment="0" applyProtection="0"/>
    <xf numFmtId="41" fontId="2" fillId="0" borderId="0" applyFont="0" applyFill="0" applyBorder="0" applyAlignment="0" applyProtection="0"/>
    <xf numFmtId="43" fontId="1" fillId="0" borderId="0" applyFont="0" applyFill="0" applyBorder="0" applyAlignment="0" applyProtection="0"/>
    <xf numFmtId="42" fontId="2" fillId="0" borderId="0" applyFont="0" applyFill="0" applyBorder="0" applyAlignment="0" applyProtection="0"/>
    <xf numFmtId="0" fontId="2" fillId="0" borderId="0"/>
    <xf numFmtId="180"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71" fontId="1" fillId="0" borderId="0" applyFont="0" applyFill="0" applyBorder="0" applyAlignment="0" applyProtection="0"/>
    <xf numFmtId="173" fontId="1" fillId="0" borderId="0" applyFont="0" applyFill="0" applyBorder="0" applyAlignment="0" applyProtection="0"/>
    <xf numFmtId="9" fontId="1" fillId="0" borderId="0" applyFont="0" applyFill="0" applyBorder="0" applyAlignment="0" applyProtection="0"/>
    <xf numFmtId="174" fontId="1"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cellStyleXfs>
  <cellXfs count="1418">
    <xf numFmtId="0" fontId="0" fillId="0" borderId="0" xfId="0"/>
    <xf numFmtId="0" fontId="4" fillId="0" borderId="0" xfId="0" applyFont="1" applyFill="1" applyBorder="1"/>
    <xf numFmtId="0" fontId="5" fillId="0" borderId="0" xfId="0" applyFont="1" applyFill="1" applyBorder="1" applyAlignment="1">
      <alignment vertical="center"/>
    </xf>
    <xf numFmtId="0" fontId="6" fillId="0" borderId="0" xfId="0" applyFont="1" applyFill="1" applyBorder="1" applyAlignment="1">
      <alignment horizontal="center" vertical="center"/>
    </xf>
    <xf numFmtId="0" fontId="5" fillId="0" borderId="0" xfId="0" applyFont="1" applyFill="1" applyBorder="1" applyAlignment="1">
      <alignment vertical="center" wrapText="1"/>
    </xf>
    <xf numFmtId="0" fontId="6" fillId="0" borderId="0" xfId="0" applyFont="1" applyFill="1" applyBorder="1" applyAlignment="1">
      <alignment horizontal="center" vertical="top"/>
    </xf>
    <xf numFmtId="0" fontId="6" fillId="0" borderId="0" xfId="0" applyFont="1" applyFill="1" applyBorder="1" applyAlignment="1">
      <alignment vertical="center" wrapText="1"/>
    </xf>
    <xf numFmtId="4" fontId="4" fillId="0" borderId="0" xfId="0" applyNumberFormat="1" applyFont="1" applyFill="1" applyBorder="1" applyAlignment="1">
      <alignment horizontal="right"/>
    </xf>
    <xf numFmtId="0" fontId="4" fillId="0" borderId="0" xfId="0" applyFont="1" applyFill="1" applyBorder="1" applyAlignment="1">
      <alignment horizontal="center"/>
    </xf>
    <xf numFmtId="0" fontId="4" fillId="0" borderId="0" xfId="0" applyFont="1" applyFill="1" applyBorder="1" applyAlignment="1">
      <alignment horizontal="justify"/>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167" fontId="5" fillId="2" borderId="0" xfId="0" applyNumberFormat="1" applyFont="1" applyFill="1" applyBorder="1" applyAlignment="1">
      <alignment horizontal="center" vertical="center"/>
    </xf>
    <xf numFmtId="0" fontId="5" fillId="2" borderId="0" xfId="0" applyFont="1" applyFill="1" applyBorder="1" applyAlignment="1">
      <alignment horizontal="justify" vertical="center" wrapText="1"/>
    </xf>
    <xf numFmtId="0" fontId="5" fillId="2" borderId="0" xfId="0" applyFont="1" applyFill="1" applyBorder="1" applyAlignment="1">
      <alignment horizontal="center" vertical="center" wrapText="1"/>
    </xf>
    <xf numFmtId="170" fontId="5" fillId="2" borderId="0" xfId="45" applyNumberFormat="1" applyFont="1" applyFill="1" applyBorder="1" applyAlignment="1">
      <alignment horizontal="center" vertical="center" wrapText="1"/>
    </xf>
    <xf numFmtId="167" fontId="6" fillId="0" borderId="0" xfId="0" applyNumberFormat="1" applyFont="1" applyFill="1" applyBorder="1" applyAlignment="1">
      <alignment horizontal="center" vertical="center"/>
    </xf>
    <xf numFmtId="3" fontId="6" fillId="0" borderId="0" xfId="0" applyNumberFormat="1" applyFont="1" applyFill="1" applyBorder="1" applyAlignment="1">
      <alignment horizontal="justify" vertical="center" wrapText="1"/>
    </xf>
    <xf numFmtId="0" fontId="7" fillId="0" borderId="0" xfId="0" applyFont="1" applyFill="1" applyBorder="1" applyAlignment="1">
      <alignment horizontal="center" vertical="center" wrapText="1"/>
    </xf>
    <xf numFmtId="170" fontId="7" fillId="0" borderId="0" xfId="45" applyNumberFormat="1" applyFont="1" applyFill="1" applyBorder="1" applyAlignment="1">
      <alignment horizontal="center" vertical="center" wrapText="1"/>
    </xf>
    <xf numFmtId="170" fontId="6" fillId="0" borderId="0" xfId="45" applyNumberFormat="1" applyFont="1" applyFill="1" applyBorder="1" applyAlignment="1">
      <alignment horizontal="center" vertical="center" wrapText="1"/>
    </xf>
    <xf numFmtId="170" fontId="5" fillId="0" borderId="0" xfId="45" applyNumberFormat="1" applyFont="1" applyFill="1" applyBorder="1" applyAlignment="1">
      <alignment horizontal="center" vertical="center" wrapText="1"/>
    </xf>
    <xf numFmtId="4" fontId="6" fillId="0" borderId="0" xfId="0" applyNumberFormat="1" applyFont="1" applyFill="1" applyBorder="1" applyAlignment="1">
      <alignment horizontal="justify" vertical="center" wrapText="1"/>
    </xf>
    <xf numFmtId="4" fontId="6" fillId="0" borderId="0" xfId="0" applyNumberFormat="1" applyFont="1" applyFill="1" applyBorder="1" applyAlignment="1">
      <alignment vertical="center" wrapText="1"/>
    </xf>
    <xf numFmtId="170" fontId="6" fillId="2" borderId="0" xfId="45" applyNumberFormat="1" applyFont="1" applyFill="1" applyBorder="1" applyAlignment="1">
      <alignment horizontal="center" vertical="center" wrapText="1"/>
    </xf>
    <xf numFmtId="4" fontId="7"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170" fontId="7" fillId="2" borderId="0" xfId="45" applyNumberFormat="1" applyFont="1" applyFill="1" applyBorder="1" applyAlignment="1">
      <alignment horizontal="center" vertical="center" wrapText="1"/>
    </xf>
    <xf numFmtId="4" fontId="6" fillId="0" borderId="0" xfId="0" applyNumberFormat="1" applyFont="1" applyBorder="1" applyAlignment="1">
      <alignment horizontal="justify" vertical="center" wrapText="1"/>
    </xf>
    <xf numFmtId="4" fontId="7" fillId="0" borderId="0" xfId="0" applyNumberFormat="1" applyFont="1" applyBorder="1" applyAlignment="1">
      <alignment horizontal="center" vertical="center" wrapText="1"/>
    </xf>
    <xf numFmtId="170" fontId="8" fillId="2" borderId="0" xfId="45" applyNumberFormat="1" applyFont="1" applyFill="1" applyBorder="1" applyAlignment="1">
      <alignment horizontal="center" vertical="center" wrapText="1"/>
    </xf>
    <xf numFmtId="167" fontId="21" fillId="0" borderId="0" xfId="0" applyNumberFormat="1" applyFont="1" applyFill="1" applyBorder="1" applyAlignment="1">
      <alignment horizontal="center" vertical="center"/>
    </xf>
    <xf numFmtId="0" fontId="21" fillId="0" borderId="0" xfId="0" applyFont="1" applyFill="1" applyBorder="1" applyAlignment="1">
      <alignment horizontal="justify" vertical="center" wrapText="1"/>
    </xf>
    <xf numFmtId="0" fontId="21" fillId="0" borderId="0" xfId="0" applyFont="1" applyFill="1" applyBorder="1" applyAlignment="1">
      <alignment horizontal="center" vertical="center" wrapText="1"/>
    </xf>
    <xf numFmtId="170" fontId="21" fillId="0" borderId="0" xfId="45" applyNumberFormat="1" applyFont="1" applyFill="1" applyBorder="1" applyAlignment="1">
      <alignment horizontal="center" vertical="center" wrapText="1"/>
    </xf>
    <xf numFmtId="0" fontId="21" fillId="0" borderId="0" xfId="0" applyFont="1" applyFill="1" applyBorder="1" applyAlignment="1">
      <alignment horizontal="right" vertical="center" wrapText="1"/>
    </xf>
    <xf numFmtId="4" fontId="21" fillId="0" borderId="0" xfId="0" applyNumberFormat="1" applyFont="1" applyFill="1" applyBorder="1" applyAlignment="1">
      <alignment horizontal="justify" vertical="center" wrapText="1"/>
    </xf>
    <xf numFmtId="4" fontId="21" fillId="0" borderId="0" xfId="0" applyNumberFormat="1" applyFont="1" applyFill="1" applyBorder="1" applyAlignment="1">
      <alignment horizontal="center" vertical="center" wrapText="1"/>
    </xf>
    <xf numFmtId="0" fontId="21" fillId="0" borderId="0" xfId="0" applyFont="1" applyFill="1" applyBorder="1" applyAlignment="1">
      <alignment horizontal="left" vertical="center" wrapText="1"/>
    </xf>
    <xf numFmtId="4" fontId="21" fillId="0" borderId="0" xfId="0" applyNumberFormat="1" applyFont="1" applyFill="1" applyBorder="1" applyAlignment="1">
      <alignment horizontal="left" vertical="center" wrapText="1"/>
    </xf>
    <xf numFmtId="0" fontId="6" fillId="0" borderId="0" xfId="0" applyFont="1" applyFill="1" applyBorder="1" applyAlignment="1">
      <alignment horizontal="left" vertical="center" wrapText="1"/>
    </xf>
    <xf numFmtId="0" fontId="6" fillId="0" borderId="0" xfId="0" applyFont="1" applyFill="1" applyBorder="1" applyAlignment="1">
      <alignment horizontal="left" vertical="top"/>
    </xf>
    <xf numFmtId="0" fontId="16" fillId="0" borderId="27" xfId="2" applyFont="1" applyBorder="1" applyAlignment="1">
      <alignment horizontal="center"/>
    </xf>
    <xf numFmtId="0" fontId="11" fillId="0" borderId="0" xfId="2" applyFont="1" applyAlignment="1">
      <alignment vertical="center"/>
    </xf>
    <xf numFmtId="0" fontId="11" fillId="0" borderId="0" xfId="2" applyFont="1" applyAlignment="1">
      <alignment horizontal="center" vertical="center"/>
    </xf>
    <xf numFmtId="4" fontId="11" fillId="0" borderId="0" xfId="2" applyNumberFormat="1" applyFont="1" applyAlignment="1">
      <alignment horizontal="center" vertical="center"/>
    </xf>
    <xf numFmtId="0" fontId="10" fillId="0" borderId="0" xfId="2" applyFont="1" applyAlignment="1">
      <alignment horizontal="center" vertical="center" wrapText="1"/>
    </xf>
    <xf numFmtId="4" fontId="10" fillId="0" borderId="0" xfId="2" applyNumberFormat="1" applyFont="1" applyAlignment="1">
      <alignment horizontal="center" vertical="center" wrapText="1"/>
    </xf>
    <xf numFmtId="0" fontId="12" fillId="0" borderId="0" xfId="2" applyFont="1" applyAlignment="1">
      <alignment horizontal="center" vertical="center" wrapText="1"/>
    </xf>
    <xf numFmtId="0" fontId="12" fillId="0" borderId="19" xfId="2" applyFont="1" applyBorder="1" applyAlignment="1">
      <alignment horizontal="left" vertical="center" wrapText="1"/>
    </xf>
    <xf numFmtId="0" fontId="12" fillId="0" borderId="19" xfId="2" applyFont="1" applyBorder="1" applyAlignment="1">
      <alignment horizontal="center" vertical="center" wrapText="1"/>
    </xf>
    <xf numFmtId="0" fontId="10" fillId="0" borderId="0" xfId="2" applyFont="1" applyAlignment="1">
      <alignment horizontal="left" vertical="center" wrapText="1"/>
    </xf>
    <xf numFmtId="0" fontId="10" fillId="0" borderId="0" xfId="2" applyFont="1" applyAlignment="1">
      <alignment vertical="center" wrapText="1"/>
    </xf>
    <xf numFmtId="0" fontId="12" fillId="0" borderId="0" xfId="2" applyFont="1" applyAlignment="1">
      <alignment horizontal="left" vertical="center" wrapText="1"/>
    </xf>
    <xf numFmtId="0" fontId="10" fillId="0" borderId="17" xfId="2" applyFont="1" applyBorder="1" applyAlignment="1">
      <alignment horizontal="center" vertical="center" wrapText="1"/>
    </xf>
    <xf numFmtId="0" fontId="23" fillId="0" borderId="11" xfId="2" applyFont="1" applyBorder="1" applyAlignment="1">
      <alignment horizontal="left" vertical="center"/>
    </xf>
    <xf numFmtId="0" fontId="22" fillId="0" borderId="12" xfId="2" applyFont="1" applyBorder="1" applyAlignment="1">
      <alignment horizontal="center" vertical="center"/>
    </xf>
    <xf numFmtId="0" fontId="23" fillId="0" borderId="54" xfId="2" applyFont="1" applyBorder="1" applyAlignment="1">
      <alignment horizontal="center" vertical="center" wrapText="1"/>
    </xf>
    <xf numFmtId="4" fontId="13" fillId="0" borderId="25" xfId="2" applyNumberFormat="1" applyFont="1" applyBorder="1" applyAlignment="1">
      <alignment horizontal="center"/>
    </xf>
    <xf numFmtId="4" fontId="13" fillId="0" borderId="26" xfId="2" applyNumberFormat="1" applyFont="1" applyBorder="1" applyAlignment="1">
      <alignment horizontal="center"/>
    </xf>
    <xf numFmtId="2" fontId="16" fillId="0" borderId="27" xfId="2" applyNumberFormat="1" applyFont="1" applyBorder="1"/>
    <xf numFmtId="4" fontId="16" fillId="0" borderId="27" xfId="2" applyNumberFormat="1" applyFont="1" applyBorder="1"/>
    <xf numFmtId="12" fontId="16" fillId="0" borderId="27" xfId="2" applyNumberFormat="1" applyFont="1" applyBorder="1" applyAlignment="1">
      <alignment horizontal="center"/>
    </xf>
    <xf numFmtId="4" fontId="13" fillId="0" borderId="25" xfId="2" applyNumberFormat="1" applyFont="1" applyBorder="1"/>
    <xf numFmtId="4" fontId="13" fillId="0" borderId="26" xfId="2" applyNumberFormat="1" applyFont="1" applyBorder="1"/>
    <xf numFmtId="0" fontId="16" fillId="0" borderId="27" xfId="2" applyFont="1" applyFill="1" applyBorder="1" applyAlignment="1">
      <alignment horizontal="center"/>
    </xf>
    <xf numFmtId="0" fontId="16" fillId="0" borderId="25" xfId="2" applyFont="1" applyBorder="1"/>
    <xf numFmtId="0" fontId="13" fillId="0" borderId="0" xfId="2" applyFont="1" applyBorder="1" applyAlignment="1">
      <alignment horizontal="center" wrapText="1"/>
    </xf>
    <xf numFmtId="0" fontId="16" fillId="0" borderId="27" xfId="2" applyFont="1" applyBorder="1"/>
    <xf numFmtId="3" fontId="13" fillId="0" borderId="25" xfId="2" applyNumberFormat="1" applyFont="1" applyBorder="1" applyAlignment="1">
      <alignment horizontal="center" vertical="center"/>
    </xf>
    <xf numFmtId="0" fontId="16" fillId="0" borderId="21" xfId="2" applyFont="1" applyBorder="1" applyAlignment="1"/>
    <xf numFmtId="0" fontId="16" fillId="0" borderId="0" xfId="2" applyFont="1" applyBorder="1" applyAlignment="1"/>
    <xf numFmtId="0" fontId="16" fillId="0" borderId="22" xfId="2" applyFont="1" applyBorder="1" applyAlignment="1"/>
    <xf numFmtId="3" fontId="12" fillId="0" borderId="0" xfId="57" applyNumberFormat="1" applyFont="1" applyFill="1" applyBorder="1" applyAlignment="1">
      <alignment horizontal="center" vertical="center" wrapText="1"/>
    </xf>
    <xf numFmtId="3" fontId="12" fillId="0" borderId="0" xfId="57" applyNumberFormat="1" applyFont="1" applyFill="1" applyBorder="1" applyAlignment="1">
      <alignment vertical="center" wrapText="1"/>
    </xf>
    <xf numFmtId="172" fontId="12" fillId="0" borderId="0" xfId="2" applyNumberFormat="1" applyFont="1" applyAlignment="1">
      <alignment horizontal="center" vertical="center" wrapText="1"/>
    </xf>
    <xf numFmtId="0" fontId="16" fillId="0" borderId="0" xfId="2" applyFont="1"/>
    <xf numFmtId="0" fontId="13" fillId="0" borderId="25" xfId="2" applyFont="1" applyBorder="1" applyAlignment="1">
      <alignment horizontal="right"/>
    </xf>
    <xf numFmtId="0" fontId="13" fillId="0" borderId="25" xfId="2" applyFont="1" applyBorder="1"/>
    <xf numFmtId="0" fontId="16" fillId="0" borderId="25" xfId="2" applyFont="1" applyBorder="1" applyAlignment="1">
      <alignment horizontal="center" vertical="center"/>
    </xf>
    <xf numFmtId="0" fontId="16" fillId="0" borderId="26" xfId="2" applyFont="1" applyBorder="1"/>
    <xf numFmtId="0" fontId="16" fillId="0" borderId="28" xfId="2" applyFont="1" applyBorder="1"/>
    <xf numFmtId="0" fontId="16" fillId="0" borderId="25" xfId="2" applyFont="1" applyBorder="1" applyAlignment="1">
      <alignment horizontal="center"/>
    </xf>
    <xf numFmtId="0" fontId="16" fillId="0" borderId="26" xfId="2" applyFont="1" applyBorder="1" applyAlignment="1">
      <alignment horizontal="center"/>
    </xf>
    <xf numFmtId="4" fontId="16" fillId="0" borderId="27" xfId="2" applyNumberFormat="1" applyFont="1" applyBorder="1" applyAlignment="1">
      <alignment horizontal="right"/>
    </xf>
    <xf numFmtId="2" fontId="16" fillId="0" borderId="27" xfId="2" applyNumberFormat="1" applyFont="1" applyBorder="1" applyAlignment="1">
      <alignment horizontal="center" vertical="center"/>
    </xf>
    <xf numFmtId="4" fontId="16" fillId="0" borderId="27" xfId="2" applyNumberFormat="1" applyFont="1" applyBorder="1" applyAlignment="1">
      <alignment horizontal="center"/>
    </xf>
    <xf numFmtId="0" fontId="13" fillId="0" borderId="25" xfId="2" applyFont="1" applyBorder="1" applyAlignment="1">
      <alignment vertical="center"/>
    </xf>
    <xf numFmtId="0" fontId="16" fillId="0" borderId="25" xfId="2" applyFont="1" applyBorder="1" applyAlignment="1">
      <alignment horizontal="center" vertical="center" wrapText="1"/>
    </xf>
    <xf numFmtId="0" fontId="16" fillId="0" borderId="21" xfId="2" applyFont="1" applyBorder="1"/>
    <xf numFmtId="0" fontId="16" fillId="0" borderId="27" xfId="2" applyFont="1" applyBorder="1" applyAlignment="1">
      <alignment horizontal="right"/>
    </xf>
    <xf numFmtId="2" fontId="16" fillId="0" borderId="27" xfId="2" applyNumberFormat="1" applyFont="1" applyBorder="1" applyAlignment="1">
      <alignment horizontal="right" vertical="center"/>
    </xf>
    <xf numFmtId="0" fontId="16" fillId="0" borderId="4" xfId="2" applyFont="1" applyBorder="1"/>
    <xf numFmtId="0" fontId="16" fillId="0" borderId="0" xfId="2" applyFont="1" applyBorder="1"/>
    <xf numFmtId="0" fontId="16" fillId="0" borderId="0" xfId="2" applyFont="1" applyBorder="1" applyAlignment="1">
      <alignment horizontal="center"/>
    </xf>
    <xf numFmtId="9" fontId="16" fillId="0" borderId="27" xfId="2" applyNumberFormat="1" applyFont="1" applyBorder="1" applyAlignment="1">
      <alignment horizontal="center"/>
    </xf>
    <xf numFmtId="4" fontId="16" fillId="0" borderId="27" xfId="2" applyNumberFormat="1" applyFont="1" applyFill="1" applyBorder="1" applyAlignment="1">
      <alignment horizontal="right"/>
    </xf>
    <xf numFmtId="2" fontId="16" fillId="0" borderId="27" xfId="2" applyNumberFormat="1" applyFont="1" applyFill="1" applyBorder="1" applyAlignment="1">
      <alignment horizontal="center" vertical="center"/>
    </xf>
    <xf numFmtId="0" fontId="16" fillId="0" borderId="25" xfId="2" applyFont="1" applyFill="1" applyBorder="1" applyAlignment="1">
      <alignment horizontal="center" vertical="center" wrapText="1"/>
    </xf>
    <xf numFmtId="2" fontId="16" fillId="0" borderId="27" xfId="2" applyNumberFormat="1" applyFont="1" applyFill="1" applyBorder="1" applyAlignment="1">
      <alignment horizontal="right" vertical="center"/>
    </xf>
    <xf numFmtId="2" fontId="16" fillId="0" borderId="27" xfId="2" applyNumberFormat="1" applyFont="1" applyBorder="1" applyAlignment="1">
      <alignment horizontal="center"/>
    </xf>
    <xf numFmtId="1" fontId="16" fillId="0" borderId="27" xfId="2" applyNumberFormat="1" applyFont="1" applyBorder="1" applyAlignment="1">
      <alignment horizontal="center" vertical="center"/>
    </xf>
    <xf numFmtId="3" fontId="16" fillId="0" borderId="27" xfId="2" applyNumberFormat="1" applyFont="1" applyBorder="1" applyAlignment="1">
      <alignment horizontal="center"/>
    </xf>
    <xf numFmtId="0" fontId="16" fillId="0" borderId="25" xfId="2" applyFont="1" applyBorder="1" applyAlignment="1">
      <alignment horizontal="center" wrapText="1"/>
    </xf>
    <xf numFmtId="0" fontId="16" fillId="0" borderId="25" xfId="2" applyFont="1" applyFill="1" applyBorder="1" applyAlignment="1">
      <alignment wrapText="1"/>
    </xf>
    <xf numFmtId="0" fontId="14" fillId="0" borderId="25" xfId="2" applyFont="1" applyBorder="1" applyAlignment="1">
      <alignment horizontal="center" vertical="center"/>
    </xf>
    <xf numFmtId="0" fontId="28" fillId="0" borderId="25" xfId="2" applyFont="1" applyBorder="1"/>
    <xf numFmtId="0" fontId="16" fillId="0" borderId="0" xfId="2" applyFont="1" applyBorder="1" applyAlignment="1">
      <alignment horizontal="center" vertical="top"/>
    </xf>
    <xf numFmtId="0" fontId="13" fillId="0" borderId="25" xfId="2" applyFont="1" applyBorder="1" applyAlignment="1">
      <alignment horizontal="center"/>
    </xf>
    <xf numFmtId="0" fontId="16" fillId="0" borderId="28" xfId="2" applyFont="1" applyBorder="1" applyAlignment="1">
      <alignment horizontal="center"/>
    </xf>
    <xf numFmtId="9" fontId="16" fillId="0" borderId="27" xfId="2" applyNumberFormat="1" applyFont="1" applyBorder="1"/>
    <xf numFmtId="0" fontId="29" fillId="0" borderId="24" xfId="2" applyFont="1" applyBorder="1" applyAlignment="1">
      <alignment horizontal="left" vertical="center"/>
    </xf>
    <xf numFmtId="0" fontId="29" fillId="0" borderId="1" xfId="2" applyFont="1" applyBorder="1" applyAlignment="1">
      <alignment horizontal="left" vertical="center"/>
    </xf>
    <xf numFmtId="0" fontId="29" fillId="0" borderId="4" xfId="2" applyFont="1" applyBorder="1" applyAlignment="1">
      <alignment horizontal="left" vertical="center"/>
    </xf>
    <xf numFmtId="0" fontId="29" fillId="0" borderId="0" xfId="2" applyFont="1" applyBorder="1" applyAlignment="1">
      <alignment horizontal="left" vertical="center"/>
    </xf>
    <xf numFmtId="0" fontId="14" fillId="0" borderId="0" xfId="2" applyFont="1" applyBorder="1" applyAlignment="1">
      <alignment horizontal="center" vertical="center"/>
    </xf>
    <xf numFmtId="0" fontId="16" fillId="0" borderId="26" xfId="2" applyFont="1" applyBorder="1" applyAlignment="1">
      <alignment horizontal="center" vertical="center"/>
    </xf>
    <xf numFmtId="0" fontId="16" fillId="0" borderId="27" xfId="2" applyFont="1" applyBorder="1" applyAlignment="1">
      <alignment horizontal="center" vertical="center"/>
    </xf>
    <xf numFmtId="0" fontId="16" fillId="0" borderId="0" xfId="2" applyFont="1" applyAlignment="1">
      <alignment horizontal="center"/>
    </xf>
    <xf numFmtId="4" fontId="13" fillId="0" borderId="25" xfId="2" applyNumberFormat="1" applyFont="1" applyBorder="1" applyAlignment="1">
      <alignment vertical="center"/>
    </xf>
    <xf numFmtId="1" fontId="16" fillId="0" borderId="27" xfId="2" applyNumberFormat="1" applyFont="1" applyBorder="1" applyAlignment="1">
      <alignment horizontal="center"/>
    </xf>
    <xf numFmtId="0" fontId="16" fillId="0" borderId="0" xfId="2" applyFont="1" applyBorder="1" applyAlignment="1">
      <alignment vertical="center"/>
    </xf>
    <xf numFmtId="0" fontId="13" fillId="0" borderId="0" xfId="2" applyFont="1" applyBorder="1" applyAlignment="1">
      <alignment vertical="center"/>
    </xf>
    <xf numFmtId="176" fontId="16" fillId="0" borderId="27" xfId="2" applyNumberFormat="1" applyFont="1" applyBorder="1" applyAlignment="1">
      <alignment horizontal="center" vertical="center"/>
    </xf>
    <xf numFmtId="3" fontId="6" fillId="0" borderId="0" xfId="0" applyNumberFormat="1" applyFont="1" applyFill="1" applyBorder="1" applyAlignment="1">
      <alignment horizontal="right" vertical="center" wrapText="1"/>
    </xf>
    <xf numFmtId="167" fontId="5" fillId="0" borderId="0" xfId="0" applyNumberFormat="1" applyFont="1" applyFill="1" applyBorder="1" applyAlignment="1">
      <alignment horizontal="center" vertical="center"/>
    </xf>
    <xf numFmtId="4" fontId="6" fillId="0" borderId="0" xfId="0" applyNumberFormat="1" applyFont="1" applyFill="1" applyBorder="1" applyAlignment="1">
      <alignment horizontal="center" vertical="center" wrapText="1"/>
    </xf>
    <xf numFmtId="4" fontId="4" fillId="0" borderId="0" xfId="0" applyNumberFormat="1" applyFont="1" applyFill="1" applyBorder="1" applyAlignment="1">
      <alignment horizontal="center" vertical="center"/>
    </xf>
    <xf numFmtId="0" fontId="4" fillId="0" borderId="0" xfId="0" applyFont="1" applyFill="1" applyBorder="1" applyAlignment="1">
      <alignment horizontal="center" vertical="center" wrapText="1"/>
    </xf>
    <xf numFmtId="4" fontId="4" fillId="0" borderId="0" xfId="0" applyNumberFormat="1" applyFont="1" applyFill="1" applyBorder="1" applyAlignment="1">
      <alignment horizontal="center" vertical="center" wrapText="1"/>
    </xf>
    <xf numFmtId="0" fontId="10" fillId="0" borderId="0" xfId="57" applyFont="1" applyFill="1" applyBorder="1" applyAlignment="1">
      <alignment vertical="center" wrapText="1"/>
    </xf>
    <xf numFmtId="0" fontId="10" fillId="0" borderId="0" xfId="57" applyFont="1" applyFill="1" applyBorder="1" applyAlignment="1">
      <alignment horizontal="center" vertical="center" wrapText="1"/>
    </xf>
    <xf numFmtId="4" fontId="10" fillId="0" borderId="0" xfId="57" applyNumberFormat="1" applyFont="1" applyFill="1" applyBorder="1" applyAlignment="1">
      <alignment vertical="center" wrapText="1"/>
    </xf>
    <xf numFmtId="3" fontId="10" fillId="0" borderId="0" xfId="57" applyNumberFormat="1" applyFont="1" applyFill="1" applyBorder="1" applyAlignment="1">
      <alignment horizontal="center" vertical="center" wrapText="1"/>
    </xf>
    <xf numFmtId="16" fontId="10" fillId="0" borderId="0" xfId="57" applyNumberFormat="1" applyFont="1" applyFill="1" applyBorder="1" applyAlignment="1">
      <alignment vertical="center" wrapText="1"/>
    </xf>
    <xf numFmtId="12" fontId="10" fillId="0" borderId="0" xfId="57" applyNumberFormat="1" applyFont="1" applyFill="1" applyBorder="1" applyAlignment="1">
      <alignment horizontal="center" vertical="center" wrapText="1"/>
    </xf>
    <xf numFmtId="0" fontId="10" fillId="0" borderId="0" xfId="57" applyFont="1" applyFill="1" applyBorder="1" applyAlignment="1">
      <alignment horizontal="left" vertical="center" wrapText="1"/>
    </xf>
    <xf numFmtId="0" fontId="10" fillId="0" borderId="0" xfId="60" applyFont="1" applyAlignment="1">
      <alignment horizontal="center" vertical="center" wrapText="1"/>
    </xf>
    <xf numFmtId="4" fontId="6" fillId="0" borderId="0" xfId="0" applyNumberFormat="1" applyFont="1" applyFill="1" applyBorder="1" applyAlignment="1">
      <alignment horizontal="right" vertical="center" wrapText="1"/>
    </xf>
    <xf numFmtId="0" fontId="5" fillId="0" borderId="0" xfId="0" applyFont="1" applyBorder="1" applyAlignment="1">
      <alignment vertical="center"/>
    </xf>
    <xf numFmtId="4" fontId="5" fillId="0" borderId="0" xfId="0" applyNumberFormat="1" applyFont="1" applyFill="1" applyBorder="1" applyAlignment="1">
      <alignment horizontal="justify" vertical="center" wrapText="1"/>
    </xf>
    <xf numFmtId="43" fontId="6" fillId="0" borderId="0" xfId="0" applyNumberFormat="1" applyFont="1" applyFill="1" applyBorder="1" applyAlignment="1">
      <alignment vertical="center" wrapText="1"/>
    </xf>
    <xf numFmtId="0" fontId="5" fillId="0" borderId="0" xfId="0" applyFont="1" applyFill="1" applyBorder="1" applyAlignment="1">
      <alignment horizontal="center" vertical="center"/>
    </xf>
    <xf numFmtId="3" fontId="5" fillId="2" borderId="0" xfId="0" applyNumberFormat="1" applyFont="1" applyFill="1" applyBorder="1" applyAlignment="1">
      <alignment horizontal="right" vertical="center" wrapText="1"/>
    </xf>
    <xf numFmtId="0" fontId="8" fillId="0" borderId="0" xfId="0" applyFont="1" applyFill="1" applyBorder="1" applyAlignment="1">
      <alignment horizontal="center" vertical="center" wrapText="1"/>
    </xf>
    <xf numFmtId="170" fontId="8" fillId="0" borderId="0" xfId="45" applyNumberFormat="1" applyFont="1" applyFill="1" applyBorder="1" applyAlignment="1">
      <alignment horizontal="center" vertical="center" wrapText="1"/>
    </xf>
    <xf numFmtId="3" fontId="5" fillId="2" borderId="0" xfId="0" applyNumberFormat="1" applyFont="1" applyFill="1" applyBorder="1" applyAlignment="1">
      <alignment horizontal="center" vertical="center" wrapText="1"/>
    </xf>
    <xf numFmtId="0" fontId="6" fillId="0" borderId="0" xfId="0" applyFont="1" applyFill="1" applyBorder="1" applyAlignment="1">
      <alignment horizontal="justify" vertical="center" wrapText="1"/>
    </xf>
    <xf numFmtId="0" fontId="5" fillId="2" borderId="0" xfId="0" applyFont="1" applyFill="1" applyBorder="1" applyAlignment="1">
      <alignment horizontal="right" vertical="center" wrapText="1"/>
    </xf>
    <xf numFmtId="4" fontId="7" fillId="2" borderId="0" xfId="0" applyNumberFormat="1" applyFont="1" applyFill="1" applyBorder="1" applyAlignment="1">
      <alignment horizontal="center" vertical="center" wrapText="1"/>
    </xf>
    <xf numFmtId="0" fontId="12" fillId="0" borderId="0" xfId="57" applyFont="1" applyFill="1" applyBorder="1" applyAlignment="1">
      <alignment horizontal="left" vertical="center" wrapText="1"/>
    </xf>
    <xf numFmtId="0" fontId="12" fillId="0" borderId="0" xfId="57" applyFont="1" applyFill="1" applyBorder="1" applyAlignment="1">
      <alignment horizontal="center" vertical="center" wrapText="1"/>
    </xf>
    <xf numFmtId="4" fontId="10" fillId="0" borderId="0" xfId="57" applyNumberFormat="1" applyFont="1" applyFill="1" applyBorder="1" applyAlignment="1">
      <alignment horizontal="center" vertical="center" wrapText="1"/>
    </xf>
    <xf numFmtId="0" fontId="16" fillId="0" borderId="25" xfId="2" applyFont="1" applyBorder="1" applyAlignment="1">
      <alignment wrapText="1"/>
    </xf>
    <xf numFmtId="0" fontId="16" fillId="0" borderId="25" xfId="2" applyFont="1" applyBorder="1" applyAlignment="1">
      <alignment vertical="center" wrapText="1"/>
    </xf>
    <xf numFmtId="0" fontId="16" fillId="0" borderId="26" xfId="2" applyFont="1" applyBorder="1" applyAlignment="1">
      <alignment wrapText="1"/>
    </xf>
    <xf numFmtId="0" fontId="16" fillId="0" borderId="1" xfId="2" applyFont="1" applyBorder="1" applyAlignment="1">
      <alignment vertical="center" wrapText="1"/>
    </xf>
    <xf numFmtId="0" fontId="16" fillId="0" borderId="4" xfId="2" applyFont="1" applyBorder="1" applyAlignment="1">
      <alignment vertical="center" wrapText="1"/>
    </xf>
    <xf numFmtId="0" fontId="16" fillId="0" borderId="25" xfId="2" applyFont="1" applyBorder="1" applyAlignment="1">
      <alignment wrapText="1"/>
    </xf>
    <xf numFmtId="0" fontId="16" fillId="0" borderId="26" xfId="2" applyFont="1" applyBorder="1" applyAlignment="1">
      <alignment wrapText="1"/>
    </xf>
    <xf numFmtId="0" fontId="16" fillId="0" borderId="25" xfId="2" applyFont="1" applyBorder="1" applyAlignment="1">
      <alignment vertical="center" wrapText="1"/>
    </xf>
    <xf numFmtId="0" fontId="16" fillId="0" borderId="1" xfId="2" applyFont="1" applyBorder="1" applyAlignment="1">
      <alignment vertical="center" wrapText="1"/>
    </xf>
    <xf numFmtId="0" fontId="16" fillId="0" borderId="4" xfId="2" applyFont="1" applyBorder="1" applyAlignment="1">
      <alignment vertical="center" wrapText="1"/>
    </xf>
    <xf numFmtId="0" fontId="12" fillId="5" borderId="0" xfId="57" applyFont="1" applyFill="1" applyBorder="1" applyAlignment="1">
      <alignment vertical="center" wrapText="1"/>
    </xf>
    <xf numFmtId="0" fontId="10" fillId="5" borderId="0" xfId="57" applyFont="1" applyFill="1" applyBorder="1" applyAlignment="1">
      <alignment horizontal="center" vertical="center" wrapText="1"/>
    </xf>
    <xf numFmtId="3" fontId="12" fillId="0" borderId="8" xfId="57" applyNumberFormat="1" applyFont="1" applyFill="1" applyBorder="1" applyAlignment="1">
      <alignment horizontal="left" vertical="center" wrapText="1"/>
    </xf>
    <xf numFmtId="3" fontId="12" fillId="0" borderId="9" xfId="57" applyNumberFormat="1" applyFont="1" applyFill="1" applyBorder="1" applyAlignment="1">
      <alignment horizontal="left" vertical="center" wrapText="1"/>
    </xf>
    <xf numFmtId="3" fontId="12" fillId="0" borderId="9" xfId="57" applyNumberFormat="1" applyFont="1" applyFill="1" applyBorder="1" applyAlignment="1">
      <alignment horizontal="center" vertical="center" wrapText="1"/>
    </xf>
    <xf numFmtId="3" fontId="12" fillId="0" borderId="10" xfId="57" applyNumberFormat="1" applyFont="1" applyFill="1" applyBorder="1" applyAlignment="1">
      <alignment horizontal="center" vertical="center" wrapText="1"/>
    </xf>
    <xf numFmtId="3" fontId="12" fillId="0" borderId="13" xfId="57" applyNumberFormat="1" applyFont="1" applyFill="1" applyBorder="1" applyAlignment="1">
      <alignment horizontal="left" vertical="center" wrapText="1"/>
    </xf>
    <xf numFmtId="3" fontId="12" fillId="0" borderId="14" xfId="57" applyNumberFormat="1" applyFont="1" applyFill="1" applyBorder="1" applyAlignment="1">
      <alignment vertical="center" wrapText="1"/>
    </xf>
    <xf numFmtId="4" fontId="12" fillId="0" borderId="15" xfId="57" applyNumberFormat="1" applyFont="1" applyFill="1" applyBorder="1" applyAlignment="1">
      <alignment vertical="center" wrapText="1"/>
    </xf>
    <xf numFmtId="0" fontId="12" fillId="0" borderId="8" xfId="57" applyFont="1" applyFill="1" applyBorder="1" applyAlignment="1">
      <alignment horizontal="center" vertical="center" wrapText="1"/>
    </xf>
    <xf numFmtId="0" fontId="12" fillId="0" borderId="9" xfId="57" applyFont="1" applyFill="1" applyBorder="1" applyAlignment="1">
      <alignment horizontal="center" vertical="center" wrapText="1"/>
    </xf>
    <xf numFmtId="4" fontId="12" fillId="0" borderId="10" xfId="57" applyNumberFormat="1" applyFont="1" applyFill="1" applyBorder="1" applyAlignment="1">
      <alignment horizontal="center" vertical="center" wrapText="1"/>
    </xf>
    <xf numFmtId="4" fontId="10" fillId="0" borderId="12" xfId="57" applyNumberFormat="1" applyFont="1" applyFill="1" applyBorder="1" applyAlignment="1">
      <alignment horizontal="center" vertical="center" wrapText="1"/>
    </xf>
    <xf numFmtId="4" fontId="10" fillId="5" borderId="12" xfId="57" applyNumberFormat="1" applyFont="1" applyFill="1" applyBorder="1" applyAlignment="1">
      <alignment horizontal="center" vertical="center" wrapText="1"/>
    </xf>
    <xf numFmtId="4" fontId="12" fillId="0" borderId="12" xfId="57" applyNumberFormat="1" applyFont="1" applyFill="1" applyBorder="1" applyAlignment="1">
      <alignment horizontal="center" vertical="center" wrapText="1"/>
    </xf>
    <xf numFmtId="4" fontId="10" fillId="0" borderId="12" xfId="57" applyNumberFormat="1" applyFont="1" applyFill="1" applyBorder="1" applyAlignment="1">
      <alignment horizontal="right" vertical="center" wrapText="1"/>
    </xf>
    <xf numFmtId="0" fontId="10" fillId="0" borderId="14" xfId="57" applyFont="1" applyFill="1" applyBorder="1" applyAlignment="1">
      <alignment vertical="center" wrapText="1"/>
    </xf>
    <xf numFmtId="0" fontId="10" fillId="0" borderId="14" xfId="57" applyFont="1" applyFill="1" applyBorder="1" applyAlignment="1">
      <alignment horizontal="center" vertical="center" wrapText="1"/>
    </xf>
    <xf numFmtId="4" fontId="10" fillId="0" borderId="15" xfId="57" applyNumberFormat="1" applyFont="1" applyFill="1" applyBorder="1" applyAlignment="1">
      <alignment horizontal="center" vertical="center" wrapText="1"/>
    </xf>
    <xf numFmtId="0" fontId="10" fillId="0" borderId="12" xfId="57" applyFont="1" applyFill="1" applyBorder="1" applyAlignment="1">
      <alignment vertical="center" wrapText="1"/>
    </xf>
    <xf numFmtId="0" fontId="10" fillId="0" borderId="15" xfId="57" applyFont="1" applyFill="1" applyBorder="1" applyAlignment="1">
      <alignment vertical="center" wrapText="1"/>
    </xf>
    <xf numFmtId="0" fontId="12" fillId="0" borderId="11" xfId="57" applyFont="1" applyFill="1" applyBorder="1" applyAlignment="1">
      <alignment horizontal="center" vertical="center" wrapText="1"/>
    </xf>
    <xf numFmtId="0" fontId="12" fillId="0" borderId="0" xfId="2" applyFont="1" applyAlignment="1">
      <alignment vertical="center" wrapText="1"/>
    </xf>
    <xf numFmtId="4" fontId="16" fillId="0" borderId="25" xfId="2" applyNumberFormat="1" applyFont="1" applyBorder="1" applyAlignment="1">
      <alignment wrapText="1"/>
    </xf>
    <xf numFmtId="2" fontId="16" fillId="0" borderId="25" xfId="2" applyNumberFormat="1" applyFont="1" applyBorder="1" applyAlignment="1">
      <alignment wrapText="1"/>
    </xf>
    <xf numFmtId="2" fontId="16" fillId="0" borderId="25" xfId="2" applyNumberFormat="1" applyFont="1" applyBorder="1" applyAlignment="1">
      <alignment horizontal="right" vertical="center" wrapText="1"/>
    </xf>
    <xf numFmtId="0" fontId="16" fillId="0" borderId="28" xfId="2" applyFont="1" applyBorder="1" applyAlignment="1">
      <alignment horizontal="center" vertical="center" wrapText="1"/>
    </xf>
    <xf numFmtId="0" fontId="14" fillId="0" borderId="28" xfId="2" applyFont="1" applyBorder="1" applyAlignment="1">
      <alignment vertical="center" wrapText="1"/>
    </xf>
    <xf numFmtId="0" fontId="16" fillId="0" borderId="70" xfId="2" applyFont="1" applyBorder="1" applyAlignment="1">
      <alignment wrapText="1"/>
    </xf>
    <xf numFmtId="0" fontId="14" fillId="0" borderId="28" xfId="2" applyFont="1" applyBorder="1" applyAlignment="1">
      <alignment horizontal="center" vertical="center" wrapText="1"/>
    </xf>
    <xf numFmtId="3" fontId="13" fillId="0" borderId="71" xfId="2" applyNumberFormat="1" applyFont="1" applyBorder="1" applyAlignment="1">
      <alignment horizontal="center" vertical="center" wrapText="1"/>
    </xf>
    <xf numFmtId="0" fontId="29" fillId="0" borderId="28" xfId="2" applyFont="1" applyBorder="1" applyAlignment="1">
      <alignment horizontal="left" vertical="center" wrapText="1"/>
    </xf>
    <xf numFmtId="0" fontId="14" fillId="0" borderId="55" xfId="2" applyFont="1" applyBorder="1" applyAlignment="1">
      <alignment vertical="center" wrapText="1"/>
    </xf>
    <xf numFmtId="0" fontId="4" fillId="0" borderId="0" xfId="0" applyFont="1" applyAlignment="1">
      <alignment wrapText="1"/>
    </xf>
    <xf numFmtId="0" fontId="14" fillId="0" borderId="26" xfId="2" applyFont="1" applyBorder="1" applyAlignment="1">
      <alignment wrapText="1"/>
    </xf>
    <xf numFmtId="4" fontId="16" fillId="0" borderId="25" xfId="2" applyNumberFormat="1" applyFont="1" applyBorder="1" applyAlignment="1">
      <alignment vertical="center" wrapText="1"/>
    </xf>
    <xf numFmtId="0" fontId="16" fillId="0" borderId="25" xfId="2" applyFont="1" applyBorder="1" applyAlignment="1">
      <alignment horizontal="left" vertical="center" wrapText="1"/>
    </xf>
    <xf numFmtId="42" fontId="10" fillId="0" borderId="12" xfId="51" applyFont="1" applyFill="1" applyBorder="1" applyAlignment="1">
      <alignment horizontal="center" vertical="center" wrapText="1"/>
    </xf>
    <xf numFmtId="5" fontId="16" fillId="0" borderId="25" xfId="51" applyNumberFormat="1" applyFont="1" applyBorder="1" applyAlignment="1">
      <alignment horizontal="center" vertical="center" wrapText="1"/>
    </xf>
    <xf numFmtId="177" fontId="16" fillId="0" borderId="25" xfId="51" applyNumberFormat="1" applyFont="1" applyBorder="1" applyAlignment="1">
      <alignment horizontal="center" vertical="center" wrapText="1"/>
    </xf>
    <xf numFmtId="3" fontId="10" fillId="0" borderId="11" xfId="57" applyNumberFormat="1" applyFont="1" applyFill="1" applyBorder="1" applyAlignment="1">
      <alignment horizontal="left" vertical="center" wrapText="1"/>
    </xf>
    <xf numFmtId="0" fontId="10" fillId="0" borderId="11" xfId="57" applyFont="1" applyFill="1" applyBorder="1" applyAlignment="1">
      <alignment horizontal="left" vertical="center" wrapText="1"/>
    </xf>
    <xf numFmtId="0" fontId="10" fillId="5" borderId="11" xfId="57" applyFont="1" applyFill="1" applyBorder="1" applyAlignment="1">
      <alignment horizontal="left" vertical="center" wrapText="1"/>
    </xf>
    <xf numFmtId="0" fontId="10" fillId="0" borderId="13" xfId="57" applyFont="1" applyFill="1" applyBorder="1" applyAlignment="1">
      <alignment horizontal="left" vertical="center" wrapText="1"/>
    </xf>
    <xf numFmtId="3" fontId="10" fillId="0" borderId="13" xfId="57" applyNumberFormat="1" applyFont="1" applyFill="1" applyBorder="1" applyAlignment="1">
      <alignment horizontal="left" vertical="center" wrapText="1"/>
    </xf>
    <xf numFmtId="177" fontId="16" fillId="0" borderId="25" xfId="2" applyNumberFormat="1" applyFont="1" applyBorder="1" applyAlignment="1">
      <alignment horizontal="center" vertical="center" wrapText="1"/>
    </xf>
    <xf numFmtId="175" fontId="16" fillId="0" borderId="25" xfId="51" applyNumberFormat="1" applyFont="1" applyBorder="1" applyAlignment="1">
      <alignment horizontal="center" vertical="center" wrapText="1"/>
    </xf>
    <xf numFmtId="177" fontId="16" fillId="0" borderId="25" xfId="2" applyNumberFormat="1" applyFont="1" applyBorder="1" applyAlignment="1">
      <alignment wrapText="1"/>
    </xf>
    <xf numFmtId="177" fontId="16" fillId="0" borderId="25" xfId="2" applyNumberFormat="1" applyFont="1" applyBorder="1" applyAlignment="1">
      <alignment horizontal="center" wrapText="1"/>
    </xf>
    <xf numFmtId="9" fontId="16" fillId="0" borderId="1" xfId="5" applyFont="1" applyBorder="1" applyAlignment="1">
      <alignment horizontal="left" vertical="center" wrapText="1"/>
    </xf>
    <xf numFmtId="9" fontId="16" fillId="0" borderId="1" xfId="2" applyNumberFormat="1" applyFont="1" applyBorder="1" applyAlignment="1">
      <alignment horizontal="center" vertical="center" wrapText="1"/>
    </xf>
    <xf numFmtId="42" fontId="16" fillId="0" borderId="25" xfId="51" applyFont="1" applyBorder="1" applyAlignment="1">
      <alignment wrapText="1"/>
    </xf>
    <xf numFmtId="3" fontId="16" fillId="0" borderId="25" xfId="2" applyNumberFormat="1" applyFont="1" applyBorder="1" applyAlignment="1">
      <alignment wrapText="1"/>
    </xf>
    <xf numFmtId="0" fontId="11" fillId="0" borderId="58" xfId="2" applyFont="1" applyBorder="1" applyAlignment="1">
      <alignment horizontal="left" vertical="center"/>
    </xf>
    <xf numFmtId="0" fontId="11" fillId="0" borderId="0" xfId="2" applyFont="1" applyAlignment="1">
      <alignment horizontal="left" vertical="center"/>
    </xf>
    <xf numFmtId="0" fontId="23" fillId="0" borderId="55" xfId="2" applyFont="1" applyBorder="1" applyAlignment="1">
      <alignment horizontal="center" vertical="center" wrapText="1"/>
    </xf>
    <xf numFmtId="178" fontId="11" fillId="0" borderId="59" xfId="2" applyNumberFormat="1" applyFont="1" applyBorder="1" applyAlignment="1">
      <alignment horizontal="center" vertical="center"/>
    </xf>
    <xf numFmtId="0" fontId="23" fillId="0" borderId="0" xfId="2" applyFont="1" applyAlignment="1">
      <alignment vertical="center"/>
    </xf>
    <xf numFmtId="178" fontId="11" fillId="0" borderId="0" xfId="2" applyNumberFormat="1" applyFont="1" applyAlignment="1">
      <alignment vertical="center"/>
    </xf>
    <xf numFmtId="0" fontId="22" fillId="0" borderId="0" xfId="2" applyFont="1" applyBorder="1" applyAlignment="1">
      <alignment vertical="center"/>
    </xf>
    <xf numFmtId="0" fontId="23" fillId="0" borderId="8" xfId="2" applyFont="1" applyBorder="1" applyAlignment="1">
      <alignment horizontal="center" vertical="center"/>
    </xf>
    <xf numFmtId="0" fontId="23" fillId="0" borderId="9" xfId="2" applyFont="1" applyBorder="1" applyAlignment="1">
      <alignment horizontal="center" vertical="center"/>
    </xf>
    <xf numFmtId="0" fontId="23" fillId="0" borderId="10" xfId="2" applyFont="1" applyBorder="1" applyAlignment="1">
      <alignment horizontal="center" vertical="center"/>
    </xf>
    <xf numFmtId="0" fontId="11" fillId="0" borderId="11" xfId="2" applyFont="1" applyBorder="1" applyAlignment="1">
      <alignment horizontal="left" vertical="center"/>
    </xf>
    <xf numFmtId="0" fontId="11" fillId="0" borderId="0" xfId="2" applyFont="1" applyBorder="1" applyAlignment="1">
      <alignment horizontal="center" vertical="center"/>
    </xf>
    <xf numFmtId="178" fontId="11" fillId="0" borderId="0" xfId="2" applyNumberFormat="1" applyFont="1" applyBorder="1" applyAlignment="1">
      <alignment horizontal="center" vertical="center"/>
    </xf>
    <xf numFmtId="178" fontId="11" fillId="0" borderId="12" xfId="2" applyNumberFormat="1" applyFont="1" applyBorder="1" applyAlignment="1">
      <alignment horizontal="center" vertical="center"/>
    </xf>
    <xf numFmtId="178" fontId="23" fillId="0" borderId="15" xfId="2" applyNumberFormat="1" applyFont="1" applyBorder="1" applyAlignment="1">
      <alignment horizontal="center" vertical="center"/>
    </xf>
    <xf numFmtId="0" fontId="11" fillId="0" borderId="0" xfId="2" applyFont="1" applyBorder="1" applyAlignment="1">
      <alignment horizontal="left" vertical="center"/>
    </xf>
    <xf numFmtId="10" fontId="16" fillId="0" borderId="25" xfId="2" applyNumberFormat="1" applyFont="1" applyFill="1" applyBorder="1" applyAlignment="1">
      <alignment horizontal="center" vertical="center" wrapText="1"/>
    </xf>
    <xf numFmtId="178" fontId="16" fillId="0" borderId="25" xfId="2" applyNumberFormat="1" applyFont="1" applyBorder="1" applyAlignment="1">
      <alignment vertical="center" wrapText="1"/>
    </xf>
    <xf numFmtId="0" fontId="27" fillId="0" borderId="25" xfId="2" applyFont="1" applyBorder="1" applyAlignment="1">
      <alignment horizontal="center" vertical="center" wrapText="1"/>
    </xf>
    <xf numFmtId="4" fontId="27" fillId="0" borderId="25" xfId="2" applyNumberFormat="1" applyFont="1" applyBorder="1" applyAlignment="1">
      <alignment vertical="center" wrapText="1"/>
    </xf>
    <xf numFmtId="0" fontId="27" fillId="0" borderId="25" xfId="2" applyFont="1" applyBorder="1" applyAlignment="1">
      <alignment horizontal="right" vertical="center" wrapText="1"/>
    </xf>
    <xf numFmtId="177" fontId="27" fillId="0" borderId="25" xfId="2" applyNumberFormat="1" applyFont="1" applyBorder="1" applyAlignment="1">
      <alignment horizontal="center" vertical="center" wrapText="1"/>
    </xf>
    <xf numFmtId="178" fontId="27" fillId="0" borderId="25" xfId="2" applyNumberFormat="1" applyFont="1" applyBorder="1" applyAlignment="1">
      <alignment vertical="center" wrapText="1"/>
    </xf>
    <xf numFmtId="9" fontId="14" fillId="0" borderId="25" xfId="5" applyFont="1" applyBorder="1" applyAlignment="1">
      <alignment wrapText="1"/>
    </xf>
    <xf numFmtId="0" fontId="31" fillId="5" borderId="61" xfId="2" applyFont="1" applyFill="1" applyBorder="1" applyAlignment="1">
      <alignment horizontal="right" vertical="center" wrapText="1"/>
    </xf>
    <xf numFmtId="0" fontId="14" fillId="0" borderId="79" xfId="2" applyFont="1" applyBorder="1" applyAlignment="1">
      <alignment vertical="center" wrapText="1"/>
    </xf>
    <xf numFmtId="0" fontId="16" fillId="0" borderId="80" xfId="2" applyFont="1" applyBorder="1" applyAlignment="1">
      <alignment horizontal="center" wrapText="1"/>
    </xf>
    <xf numFmtId="0" fontId="16" fillId="0" borderId="54" xfId="2" applyFont="1" applyBorder="1" applyAlignment="1">
      <alignment horizontal="center" vertical="center" wrapText="1"/>
    </xf>
    <xf numFmtId="177" fontId="16" fillId="0" borderId="55" xfId="51" applyNumberFormat="1" applyFont="1" applyBorder="1" applyAlignment="1">
      <alignment horizontal="center" vertical="center" wrapText="1"/>
    </xf>
    <xf numFmtId="0" fontId="16" fillId="0" borderId="55" xfId="2" applyFont="1" applyBorder="1" applyAlignment="1">
      <alignment horizontal="center" wrapText="1"/>
    </xf>
    <xf numFmtId="0" fontId="16" fillId="0" borderId="54" xfId="2" applyFont="1" applyBorder="1" applyAlignment="1">
      <alignment wrapText="1"/>
    </xf>
    <xf numFmtId="0" fontId="16" fillId="0" borderId="56" xfId="2" applyFont="1" applyBorder="1" applyAlignment="1">
      <alignment wrapText="1"/>
    </xf>
    <xf numFmtId="177" fontId="13" fillId="0" borderId="57" xfId="51" applyNumberFormat="1" applyFont="1" applyBorder="1" applyAlignment="1">
      <alignment horizontal="center" wrapText="1"/>
    </xf>
    <xf numFmtId="4" fontId="13" fillId="0" borderId="57" xfId="2" applyNumberFormat="1" applyFont="1" applyBorder="1" applyAlignment="1">
      <alignment horizontal="center" wrapText="1"/>
    </xf>
    <xf numFmtId="0" fontId="13" fillId="0" borderId="79" xfId="2" applyFont="1" applyBorder="1" applyAlignment="1">
      <alignment vertical="center" wrapText="1"/>
    </xf>
    <xf numFmtId="0" fontId="27" fillId="0" borderId="54" xfId="2" applyFont="1" applyBorder="1" applyAlignment="1">
      <alignment vertical="center" wrapText="1"/>
    </xf>
    <xf numFmtId="0" fontId="16" fillId="0" borderId="55" xfId="2" applyFont="1" applyBorder="1" applyAlignment="1">
      <alignment horizontal="center" vertical="center" wrapText="1"/>
    </xf>
    <xf numFmtId="0" fontId="16" fillId="0" borderId="79" xfId="2" applyFont="1" applyBorder="1" applyAlignment="1">
      <alignment horizontal="center" vertical="center" wrapText="1"/>
    </xf>
    <xf numFmtId="0" fontId="16" fillId="0" borderId="54" xfId="2" applyFont="1" applyBorder="1" applyAlignment="1">
      <alignment vertical="center" wrapText="1"/>
    </xf>
    <xf numFmtId="4" fontId="13" fillId="0" borderId="55" xfId="2" applyNumberFormat="1" applyFont="1" applyBorder="1" applyAlignment="1">
      <alignment horizontal="center" wrapText="1"/>
    </xf>
    <xf numFmtId="0" fontId="14" fillId="0" borderId="80" xfId="2" applyFont="1" applyBorder="1" applyAlignment="1">
      <alignment vertical="center" wrapText="1"/>
    </xf>
    <xf numFmtId="0" fontId="14" fillId="0" borderId="57" xfId="2" applyFont="1" applyBorder="1" applyAlignment="1">
      <alignment vertical="center" wrapText="1"/>
    </xf>
    <xf numFmtId="0" fontId="29" fillId="0" borderId="79" xfId="2" applyFont="1" applyBorder="1" applyAlignment="1">
      <alignment horizontal="left" vertical="center" wrapText="1"/>
    </xf>
    <xf numFmtId="0" fontId="14" fillId="0" borderId="80" xfId="2" applyFont="1" applyBorder="1" applyAlignment="1">
      <alignment horizontal="center" vertical="center" wrapText="1"/>
    </xf>
    <xf numFmtId="0" fontId="22" fillId="0" borderId="76" xfId="0" applyFont="1" applyBorder="1" applyAlignment="1">
      <alignment vertical="center" wrapText="1"/>
    </xf>
    <xf numFmtId="0" fontId="22" fillId="0" borderId="77" xfId="0" applyFont="1" applyBorder="1" applyAlignment="1">
      <alignment vertical="center" wrapText="1"/>
    </xf>
    <xf numFmtId="0" fontId="22" fillId="0" borderId="78" xfId="0" applyFont="1" applyBorder="1" applyAlignment="1">
      <alignment vertical="center" wrapText="1"/>
    </xf>
    <xf numFmtId="4" fontId="31" fillId="5" borderId="62" xfId="2" applyNumberFormat="1" applyFont="1" applyFill="1" applyBorder="1" applyAlignment="1">
      <alignment horizontal="center" wrapText="1"/>
    </xf>
    <xf numFmtId="0" fontId="29" fillId="0" borderId="79" xfId="2" applyFont="1" applyBorder="1" applyAlignment="1">
      <alignment horizontal="left" vertical="center" wrapText="1"/>
    </xf>
    <xf numFmtId="0" fontId="29" fillId="0" borderId="28" xfId="2" applyFont="1" applyBorder="1" applyAlignment="1">
      <alignment horizontal="left" vertical="center" wrapText="1"/>
    </xf>
    <xf numFmtId="0" fontId="16" fillId="0" borderId="25" xfId="2" applyFont="1" applyBorder="1" applyAlignment="1">
      <alignment wrapText="1"/>
    </xf>
    <xf numFmtId="0" fontId="16" fillId="0" borderId="1" xfId="2" applyFont="1" applyBorder="1" applyAlignment="1">
      <alignment vertical="center" wrapText="1"/>
    </xf>
    <xf numFmtId="0" fontId="16" fillId="0" borderId="4" xfId="2" applyFont="1" applyBorder="1" applyAlignment="1">
      <alignment vertical="center" wrapText="1"/>
    </xf>
    <xf numFmtId="0" fontId="16" fillId="0" borderId="25" xfId="2" applyFont="1" applyBorder="1" applyAlignment="1">
      <alignment vertical="center" wrapText="1"/>
    </xf>
    <xf numFmtId="0" fontId="16" fillId="0" borderId="26" xfId="2" applyFont="1" applyBorder="1" applyAlignment="1">
      <alignment wrapText="1"/>
    </xf>
    <xf numFmtId="42" fontId="16" fillId="0" borderId="1" xfId="51" applyFont="1" applyBorder="1" applyAlignment="1">
      <alignment wrapText="1"/>
    </xf>
    <xf numFmtId="179" fontId="16" fillId="0" borderId="25" xfId="2" applyNumberFormat="1" applyFont="1" applyBorder="1" applyAlignment="1">
      <alignment wrapText="1"/>
    </xf>
    <xf numFmtId="179" fontId="16" fillId="0" borderId="4" xfId="2" applyNumberFormat="1" applyFont="1" applyBorder="1" applyAlignment="1">
      <alignment wrapText="1"/>
    </xf>
    <xf numFmtId="177" fontId="16" fillId="0" borderId="55" xfId="2" applyNumberFormat="1" applyFont="1" applyBorder="1" applyAlignment="1">
      <alignment horizontal="center" wrapText="1"/>
    </xf>
    <xf numFmtId="177" fontId="16" fillId="0" borderId="25" xfId="2" applyNumberFormat="1" applyFont="1" applyBorder="1" applyAlignment="1">
      <alignment horizontal="right" wrapText="1"/>
    </xf>
    <xf numFmtId="4" fontId="13" fillId="0" borderId="71" xfId="2" applyNumberFormat="1" applyFont="1" applyBorder="1" applyAlignment="1">
      <alignment horizontal="center" vertical="center" wrapText="1"/>
    </xf>
    <xf numFmtId="0" fontId="16" fillId="0" borderId="25" xfId="2" applyFont="1" applyBorder="1" applyAlignment="1">
      <alignment horizontal="left" wrapText="1"/>
    </xf>
    <xf numFmtId="0" fontId="29" fillId="0" borderId="79" xfId="2" applyFont="1" applyBorder="1" applyAlignment="1">
      <alignment horizontal="left" vertical="center" wrapText="1"/>
    </xf>
    <xf numFmtId="0" fontId="29" fillId="0" borderId="28" xfId="2" applyFont="1" applyBorder="1" applyAlignment="1">
      <alignment horizontal="left" vertical="center" wrapText="1"/>
    </xf>
    <xf numFmtId="0" fontId="16" fillId="0" borderId="25" xfId="2" applyFont="1" applyBorder="1" applyAlignment="1">
      <alignment wrapText="1"/>
    </xf>
    <xf numFmtId="0" fontId="16" fillId="0" borderId="1" xfId="2" applyFont="1" applyBorder="1" applyAlignment="1">
      <alignment vertical="center" wrapText="1"/>
    </xf>
    <xf numFmtId="0" fontId="16" fillId="0" borderId="4" xfId="2" applyFont="1" applyBorder="1" applyAlignment="1">
      <alignment vertical="center" wrapText="1"/>
    </xf>
    <xf numFmtId="0" fontId="16" fillId="0" borderId="26" xfId="2" applyFont="1" applyBorder="1" applyAlignment="1">
      <alignment wrapText="1"/>
    </xf>
    <xf numFmtId="0" fontId="16" fillId="0" borderId="25" xfId="2" applyFont="1" applyBorder="1" applyAlignment="1">
      <alignment vertical="center" wrapText="1"/>
    </xf>
    <xf numFmtId="0" fontId="16" fillId="2" borderId="74" xfId="2" applyFont="1" applyFill="1" applyBorder="1" applyAlignment="1">
      <alignment horizontal="center" vertical="center" wrapText="1"/>
    </xf>
    <xf numFmtId="0" fontId="14" fillId="2" borderId="75" xfId="2" applyFont="1" applyFill="1" applyBorder="1" applyAlignment="1">
      <alignment vertical="center" wrapText="1"/>
    </xf>
    <xf numFmtId="0" fontId="16" fillId="2" borderId="25" xfId="2" applyFont="1" applyFill="1" applyBorder="1" applyAlignment="1">
      <alignment horizontal="center" vertical="center" wrapText="1"/>
    </xf>
    <xf numFmtId="0" fontId="14" fillId="2" borderId="55" xfId="2" applyFont="1" applyFill="1" applyBorder="1" applyAlignment="1">
      <alignment vertical="center" wrapText="1"/>
    </xf>
    <xf numFmtId="0" fontId="4" fillId="2" borderId="12" xfId="0" applyFont="1" applyFill="1" applyBorder="1" applyAlignment="1">
      <alignment wrapText="1"/>
    </xf>
    <xf numFmtId="0" fontId="31" fillId="2" borderId="61" xfId="2" applyFont="1" applyFill="1" applyBorder="1" applyAlignment="1">
      <alignment horizontal="right" vertical="center" wrapText="1"/>
    </xf>
    <xf numFmtId="0" fontId="31" fillId="2" borderId="62" xfId="2" applyFont="1" applyFill="1" applyBorder="1" applyAlignment="1">
      <alignment horizontal="center" wrapText="1"/>
    </xf>
    <xf numFmtId="0" fontId="14" fillId="2" borderId="79" xfId="2" applyFont="1" applyFill="1" applyBorder="1" applyAlignment="1">
      <alignment vertical="center" wrapText="1"/>
    </xf>
    <xf numFmtId="0" fontId="14" fillId="2" borderId="28" xfId="2" applyFont="1" applyFill="1" applyBorder="1" applyAlignment="1">
      <alignment vertical="center" wrapText="1"/>
    </xf>
    <xf numFmtId="0" fontId="16" fillId="2" borderId="28" xfId="2" applyFont="1" applyFill="1" applyBorder="1" applyAlignment="1">
      <alignment horizontal="center" vertical="center" wrapText="1"/>
    </xf>
    <xf numFmtId="0" fontId="16" fillId="2" borderId="80" xfId="2" applyFont="1" applyFill="1" applyBorder="1" applyAlignment="1">
      <alignment horizontal="center" wrapText="1"/>
    </xf>
    <xf numFmtId="0" fontId="16" fillId="2" borderId="54" xfId="2" applyFont="1" applyFill="1" applyBorder="1" applyAlignment="1">
      <alignment horizontal="center" vertical="center" wrapText="1"/>
    </xf>
    <xf numFmtId="0" fontId="16" fillId="2" borderId="25" xfId="2" applyFont="1" applyFill="1" applyBorder="1" applyAlignment="1">
      <alignment horizontal="left" vertical="center" wrapText="1"/>
    </xf>
    <xf numFmtId="177" fontId="16" fillId="2" borderId="25" xfId="2" applyNumberFormat="1" applyFont="1" applyFill="1" applyBorder="1" applyAlignment="1">
      <alignment horizontal="center" vertical="center" wrapText="1"/>
    </xf>
    <xf numFmtId="175" fontId="16" fillId="2" borderId="25" xfId="51" applyNumberFormat="1" applyFont="1" applyFill="1" applyBorder="1" applyAlignment="1">
      <alignment horizontal="center" vertical="center" wrapText="1"/>
    </xf>
    <xf numFmtId="177" fontId="16" fillId="2" borderId="25" xfId="51" applyNumberFormat="1" applyFont="1" applyFill="1" applyBorder="1" applyAlignment="1">
      <alignment horizontal="center" vertical="center" wrapText="1"/>
    </xf>
    <xf numFmtId="177" fontId="16" fillId="2" borderId="55" xfId="51" applyNumberFormat="1" applyFont="1" applyFill="1" applyBorder="1" applyAlignment="1">
      <alignment horizontal="center" vertical="center" wrapText="1"/>
    </xf>
    <xf numFmtId="9" fontId="16" fillId="2" borderId="1" xfId="2" applyNumberFormat="1" applyFont="1" applyFill="1" applyBorder="1" applyAlignment="1">
      <alignment horizontal="center" vertical="center" wrapText="1"/>
    </xf>
    <xf numFmtId="9" fontId="16" fillId="2" borderId="1" xfId="5" applyFont="1" applyFill="1" applyBorder="1" applyAlignment="1">
      <alignment horizontal="left" vertical="center" wrapText="1"/>
    </xf>
    <xf numFmtId="0" fontId="16" fillId="2" borderId="4" xfId="2" applyFont="1" applyFill="1" applyBorder="1" applyAlignment="1">
      <alignment vertical="center" wrapText="1"/>
    </xf>
    <xf numFmtId="177" fontId="16" fillId="2" borderId="25" xfId="2" applyNumberFormat="1" applyFont="1" applyFill="1" applyBorder="1" applyAlignment="1">
      <alignment horizontal="center" wrapText="1"/>
    </xf>
    <xf numFmtId="0" fontId="16" fillId="2" borderId="55" xfId="2" applyFont="1" applyFill="1" applyBorder="1" applyAlignment="1">
      <alignment horizontal="center" wrapText="1"/>
    </xf>
    <xf numFmtId="0" fontId="16" fillId="2" borderId="54" xfId="2" applyFont="1" applyFill="1" applyBorder="1" applyAlignment="1">
      <alignment wrapText="1"/>
    </xf>
    <xf numFmtId="0" fontId="16" fillId="2" borderId="25" xfId="2" applyFont="1" applyFill="1" applyBorder="1" applyAlignment="1">
      <alignment wrapText="1"/>
    </xf>
    <xf numFmtId="0" fontId="16" fillId="2" borderId="56" xfId="2" applyFont="1" applyFill="1" applyBorder="1" applyAlignment="1">
      <alignment wrapText="1"/>
    </xf>
    <xf numFmtId="0" fontId="16" fillId="2" borderId="26" xfId="2" applyFont="1" applyFill="1" applyBorder="1" applyAlignment="1">
      <alignment wrapText="1"/>
    </xf>
    <xf numFmtId="177" fontId="13" fillId="2" borderId="57" xfId="51" applyNumberFormat="1" applyFont="1" applyFill="1" applyBorder="1" applyAlignment="1">
      <alignment horizontal="center" wrapText="1"/>
    </xf>
    <xf numFmtId="42" fontId="16" fillId="2" borderId="25" xfId="51" applyFont="1" applyFill="1" applyBorder="1" applyAlignment="1">
      <alignment wrapText="1"/>
    </xf>
    <xf numFmtId="3" fontId="16" fillId="2" borderId="25" xfId="2" applyNumberFormat="1" applyFont="1" applyFill="1" applyBorder="1" applyAlignment="1">
      <alignment wrapText="1"/>
    </xf>
    <xf numFmtId="177" fontId="16" fillId="2" borderId="25" xfId="2" applyNumberFormat="1" applyFont="1" applyFill="1" applyBorder="1" applyAlignment="1">
      <alignment wrapText="1"/>
    </xf>
    <xf numFmtId="0" fontId="16" fillId="2" borderId="1" xfId="2" applyFont="1" applyFill="1" applyBorder="1" applyAlignment="1">
      <alignment vertical="center" wrapText="1"/>
    </xf>
    <xf numFmtId="0" fontId="16" fillId="2" borderId="25" xfId="2" applyFont="1" applyFill="1" applyBorder="1" applyAlignment="1">
      <alignment horizontal="center" wrapText="1"/>
    </xf>
    <xf numFmtId="4" fontId="13" fillId="2" borderId="57" xfId="2" applyNumberFormat="1" applyFont="1" applyFill="1" applyBorder="1" applyAlignment="1">
      <alignment horizontal="center" wrapText="1"/>
    </xf>
    <xf numFmtId="0" fontId="13" fillId="2" borderId="79" xfId="2" applyFont="1" applyFill="1" applyBorder="1" applyAlignment="1">
      <alignment vertical="center" wrapText="1"/>
    </xf>
    <xf numFmtId="0" fontId="27" fillId="2" borderId="54" xfId="2" applyFont="1" applyFill="1" applyBorder="1" applyAlignment="1">
      <alignment vertical="center" wrapText="1"/>
    </xf>
    <xf numFmtId="0" fontId="27" fillId="2" borderId="25" xfId="2" applyFont="1" applyFill="1" applyBorder="1" applyAlignment="1">
      <alignment horizontal="center" vertical="center" wrapText="1"/>
    </xf>
    <xf numFmtId="177" fontId="27" fillId="2" borderId="25" xfId="2" applyNumberFormat="1" applyFont="1" applyFill="1" applyBorder="1" applyAlignment="1">
      <alignment horizontal="center" vertical="center" wrapText="1"/>
    </xf>
    <xf numFmtId="4" fontId="27" fillId="2" borderId="25" xfId="2" applyNumberFormat="1" applyFont="1" applyFill="1" applyBorder="1" applyAlignment="1">
      <alignment vertical="center" wrapText="1"/>
    </xf>
    <xf numFmtId="0" fontId="27" fillId="2" borderId="25" xfId="2" applyFont="1" applyFill="1" applyBorder="1" applyAlignment="1">
      <alignment horizontal="right" vertical="center" wrapText="1"/>
    </xf>
    <xf numFmtId="178" fontId="27" fillId="2" borderId="25" xfId="2" applyNumberFormat="1" applyFont="1" applyFill="1" applyBorder="1" applyAlignment="1">
      <alignment vertical="center" wrapText="1"/>
    </xf>
    <xf numFmtId="0" fontId="16" fillId="2" borderId="55" xfId="2" applyFont="1" applyFill="1" applyBorder="1" applyAlignment="1">
      <alignment horizontal="center" vertical="center" wrapText="1"/>
    </xf>
    <xf numFmtId="2" fontId="16" fillId="2" borderId="25" xfId="2" applyNumberFormat="1" applyFont="1" applyFill="1" applyBorder="1" applyAlignment="1">
      <alignment wrapText="1"/>
    </xf>
    <xf numFmtId="2" fontId="16" fillId="2" borderId="25" xfId="2" applyNumberFormat="1" applyFont="1" applyFill="1" applyBorder="1" applyAlignment="1">
      <alignment horizontal="right" vertical="center" wrapText="1"/>
    </xf>
    <xf numFmtId="4" fontId="16" fillId="2" borderId="25" xfId="2" applyNumberFormat="1" applyFont="1" applyFill="1" applyBorder="1" applyAlignment="1">
      <alignment wrapText="1"/>
    </xf>
    <xf numFmtId="0" fontId="16" fillId="2" borderId="79" xfId="2" applyFont="1" applyFill="1" applyBorder="1" applyAlignment="1">
      <alignment horizontal="center" vertical="center" wrapText="1"/>
    </xf>
    <xf numFmtId="0" fontId="16" fillId="2" borderId="54" xfId="2" applyFont="1" applyFill="1" applyBorder="1" applyAlignment="1">
      <alignment vertical="center" wrapText="1"/>
    </xf>
    <xf numFmtId="5" fontId="16" fillId="2" borderId="25" xfId="51" applyNumberFormat="1" applyFont="1" applyFill="1" applyBorder="1" applyAlignment="1">
      <alignment horizontal="center" vertical="center" wrapText="1"/>
    </xf>
    <xf numFmtId="10" fontId="16" fillId="2" borderId="25" xfId="2" applyNumberFormat="1" applyFont="1" applyFill="1" applyBorder="1" applyAlignment="1">
      <alignment horizontal="center" vertical="center" wrapText="1"/>
    </xf>
    <xf numFmtId="178" fontId="16" fillId="2" borderId="25" xfId="2" applyNumberFormat="1" applyFont="1" applyFill="1" applyBorder="1" applyAlignment="1">
      <alignment vertical="center" wrapText="1"/>
    </xf>
    <xf numFmtId="0" fontId="16" fillId="2" borderId="25" xfId="2" applyFont="1" applyFill="1" applyBorder="1" applyAlignment="1">
      <alignment vertical="center" wrapText="1"/>
    </xf>
    <xf numFmtId="4" fontId="16" fillId="2" borderId="25" xfId="2" applyNumberFormat="1" applyFont="1" applyFill="1" applyBorder="1" applyAlignment="1">
      <alignment vertical="center" wrapText="1"/>
    </xf>
    <xf numFmtId="4" fontId="13" fillId="2" borderId="55" xfId="2" applyNumberFormat="1" applyFont="1" applyFill="1" applyBorder="1" applyAlignment="1">
      <alignment horizontal="center" wrapText="1"/>
    </xf>
    <xf numFmtId="0" fontId="16" fillId="2" borderId="70" xfId="2" applyFont="1" applyFill="1" applyBorder="1" applyAlignment="1">
      <alignment wrapText="1"/>
    </xf>
    <xf numFmtId="3" fontId="13" fillId="2" borderId="71" xfId="2" applyNumberFormat="1" applyFont="1" applyFill="1" applyBorder="1" applyAlignment="1">
      <alignment horizontal="center" vertical="center" wrapText="1"/>
    </xf>
    <xf numFmtId="0" fontId="14" fillId="2" borderId="28" xfId="2" applyFont="1" applyFill="1" applyBorder="1" applyAlignment="1">
      <alignment horizontal="center" vertical="center" wrapText="1"/>
    </xf>
    <xf numFmtId="0" fontId="14" fillId="2" borderId="80" xfId="2" applyFont="1" applyFill="1" applyBorder="1" applyAlignment="1">
      <alignment vertical="center" wrapText="1"/>
    </xf>
    <xf numFmtId="9" fontId="14" fillId="2" borderId="25" xfId="5" applyFont="1" applyFill="1" applyBorder="1" applyAlignment="1">
      <alignment wrapText="1"/>
    </xf>
    <xf numFmtId="0" fontId="14" fillId="2" borderId="26" xfId="2" applyFont="1" applyFill="1" applyBorder="1" applyAlignment="1">
      <alignment wrapText="1"/>
    </xf>
    <xf numFmtId="0" fontId="14" fillId="2" borderId="57" xfId="2" applyFont="1" applyFill="1" applyBorder="1" applyAlignment="1">
      <alignment vertical="center" wrapText="1"/>
    </xf>
    <xf numFmtId="0" fontId="29" fillId="2" borderId="79" xfId="2" applyFont="1" applyFill="1" applyBorder="1" applyAlignment="1">
      <alignment horizontal="left" vertical="center" wrapText="1"/>
    </xf>
    <xf numFmtId="0" fontId="29" fillId="2" borderId="28" xfId="2" applyFont="1" applyFill="1" applyBorder="1" applyAlignment="1">
      <alignment horizontal="left" vertical="center" wrapText="1"/>
    </xf>
    <xf numFmtId="0" fontId="14" fillId="2" borderId="80" xfId="2" applyFont="1" applyFill="1" applyBorder="1" applyAlignment="1">
      <alignment horizontal="center" vertical="center" wrapText="1"/>
    </xf>
    <xf numFmtId="0" fontId="22" fillId="2" borderId="76" xfId="0" applyFont="1" applyFill="1" applyBorder="1" applyAlignment="1">
      <alignment vertical="center" wrapText="1"/>
    </xf>
    <xf numFmtId="0" fontId="22" fillId="2" borderId="77" xfId="0" applyFont="1" applyFill="1" applyBorder="1" applyAlignment="1">
      <alignment vertical="center" wrapText="1"/>
    </xf>
    <xf numFmtId="0" fontId="22" fillId="2" borderId="78" xfId="0" applyFont="1" applyFill="1" applyBorder="1" applyAlignment="1">
      <alignment vertical="center" wrapText="1"/>
    </xf>
    <xf numFmtId="0" fontId="4" fillId="2" borderId="0" xfId="0" applyFont="1" applyFill="1" applyAlignment="1">
      <alignment wrapText="1"/>
    </xf>
    <xf numFmtId="0" fontId="16" fillId="0" borderId="54" xfId="2" applyFont="1" applyFill="1" applyBorder="1" applyAlignment="1">
      <alignment wrapText="1"/>
    </xf>
    <xf numFmtId="42" fontId="16" fillId="0" borderId="25" xfId="51" applyFont="1" applyFill="1" applyBorder="1" applyAlignment="1">
      <alignment wrapText="1"/>
    </xf>
    <xf numFmtId="3" fontId="16" fillId="0" borderId="25" xfId="2" applyNumberFormat="1" applyFont="1" applyFill="1" applyBorder="1" applyAlignment="1">
      <alignment wrapText="1"/>
    </xf>
    <xf numFmtId="177" fontId="16" fillId="0" borderId="25" xfId="2" applyNumberFormat="1" applyFont="1" applyFill="1" applyBorder="1" applyAlignment="1">
      <alignment wrapText="1"/>
    </xf>
    <xf numFmtId="3" fontId="16" fillId="0" borderId="26" xfId="2" applyNumberFormat="1" applyFont="1" applyBorder="1" applyAlignment="1">
      <alignment wrapText="1"/>
    </xf>
    <xf numFmtId="4" fontId="16" fillId="0" borderId="1" xfId="2" applyNumberFormat="1" applyFont="1" applyBorder="1" applyAlignment="1">
      <alignment wrapText="1"/>
    </xf>
    <xf numFmtId="42" fontId="4" fillId="0" borderId="0" xfId="0" applyNumberFormat="1" applyFont="1" applyAlignment="1">
      <alignment wrapText="1"/>
    </xf>
    <xf numFmtId="42" fontId="4" fillId="0" borderId="0" xfId="51" applyFont="1" applyAlignment="1">
      <alignment wrapText="1"/>
    </xf>
    <xf numFmtId="179" fontId="16" fillId="0" borderId="25" xfId="2" applyNumberFormat="1" applyFont="1" applyFill="1" applyBorder="1" applyAlignment="1">
      <alignment wrapText="1"/>
    </xf>
    <xf numFmtId="42" fontId="16" fillId="0" borderId="25" xfId="51" applyFont="1" applyBorder="1" applyAlignment="1">
      <alignment horizontal="center" wrapText="1"/>
    </xf>
    <xf numFmtId="0" fontId="16" fillId="0" borderId="54" xfId="2" applyFont="1" applyFill="1" applyBorder="1" applyAlignment="1">
      <alignment horizontal="center" vertical="center" wrapText="1"/>
    </xf>
    <xf numFmtId="0" fontId="16" fillId="0" borderId="25" xfId="2" applyFont="1" applyFill="1" applyBorder="1" applyAlignment="1">
      <alignment horizontal="left" vertical="center" wrapText="1"/>
    </xf>
    <xf numFmtId="177" fontId="16" fillId="0" borderId="25" xfId="2" applyNumberFormat="1" applyFont="1" applyFill="1" applyBorder="1" applyAlignment="1">
      <alignment horizontal="center" vertical="center" wrapText="1"/>
    </xf>
    <xf numFmtId="175" fontId="16" fillId="0" borderId="25" xfId="51" applyNumberFormat="1" applyFont="1" applyFill="1" applyBorder="1" applyAlignment="1">
      <alignment horizontal="center" vertical="center" wrapText="1"/>
    </xf>
    <xf numFmtId="177" fontId="16" fillId="0" borderId="25" xfId="51" applyNumberFormat="1" applyFont="1" applyFill="1" applyBorder="1" applyAlignment="1">
      <alignment horizontal="center" vertical="center" wrapText="1"/>
    </xf>
    <xf numFmtId="0" fontId="16" fillId="0" borderId="25" xfId="2" applyFont="1" applyBorder="1" applyAlignment="1">
      <alignment horizontal="right" vertical="center" wrapText="1"/>
    </xf>
    <xf numFmtId="4" fontId="31" fillId="5" borderId="62" xfId="2" applyNumberFormat="1" applyFont="1" applyFill="1" applyBorder="1" applyAlignment="1">
      <alignment horizontal="center" vertical="center" wrapText="1"/>
    </xf>
    <xf numFmtId="3" fontId="16" fillId="0" borderId="54" xfId="2" applyNumberFormat="1" applyFont="1" applyBorder="1" applyAlignment="1">
      <alignment vertical="center" wrapText="1"/>
    </xf>
    <xf numFmtId="0" fontId="16" fillId="0" borderId="55" xfId="2" applyFont="1" applyFill="1" applyBorder="1" applyAlignment="1">
      <alignment horizontal="center" wrapText="1"/>
    </xf>
    <xf numFmtId="42" fontId="16" fillId="0" borderId="25" xfId="51" applyFont="1" applyFill="1" applyBorder="1" applyAlignment="1">
      <alignment horizontal="center" vertical="center" wrapText="1"/>
    </xf>
    <xf numFmtId="3" fontId="16" fillId="0" borderId="25" xfId="2" applyNumberFormat="1" applyFont="1" applyFill="1" applyBorder="1" applyAlignment="1">
      <alignment horizontal="center" vertical="center" wrapText="1"/>
    </xf>
    <xf numFmtId="4" fontId="16" fillId="0" borderId="25" xfId="2" applyNumberFormat="1" applyFont="1" applyBorder="1" applyAlignment="1">
      <alignment horizontal="center" wrapText="1"/>
    </xf>
    <xf numFmtId="0" fontId="4" fillId="0" borderId="0" xfId="0" applyFont="1" applyBorder="1"/>
    <xf numFmtId="0" fontId="5" fillId="0" borderId="0" xfId="0" applyFont="1" applyBorder="1" applyAlignment="1">
      <alignment horizontal="center" vertical="center"/>
    </xf>
    <xf numFmtId="0" fontId="5" fillId="0" borderId="0" xfId="0" applyFont="1" applyBorder="1" applyAlignment="1">
      <alignment horizontal="center" vertical="center" wrapText="1"/>
    </xf>
    <xf numFmtId="0" fontId="6" fillId="0" borderId="0" xfId="0" applyFont="1" applyBorder="1" applyAlignment="1">
      <alignment horizontal="center" vertical="center"/>
    </xf>
    <xf numFmtId="4" fontId="5" fillId="2" borderId="0" xfId="0" applyNumberFormat="1" applyFont="1" applyFill="1" applyBorder="1" applyAlignment="1">
      <alignment horizontal="right" vertical="center" wrapText="1"/>
    </xf>
    <xf numFmtId="167" fontId="6" fillId="0" borderId="0" xfId="0" applyNumberFormat="1" applyFont="1" applyBorder="1" applyAlignment="1">
      <alignment horizontal="center" vertical="center"/>
    </xf>
    <xf numFmtId="3" fontId="6" fillId="0" borderId="0" xfId="0" applyNumberFormat="1" applyFont="1" applyBorder="1" applyAlignment="1">
      <alignment horizontal="justify" vertical="center" wrapText="1"/>
    </xf>
    <xf numFmtId="0" fontId="7" fillId="0" borderId="0" xfId="0" applyFont="1" applyBorder="1" applyAlignment="1">
      <alignment horizontal="center" vertical="center" wrapText="1"/>
    </xf>
    <xf numFmtId="178" fontId="7" fillId="0" borderId="0" xfId="0" applyNumberFormat="1" applyFont="1" applyBorder="1" applyAlignment="1">
      <alignment horizontal="right" vertical="center" wrapText="1"/>
    </xf>
    <xf numFmtId="178" fontId="7" fillId="0" borderId="0" xfId="0" applyNumberFormat="1" applyFont="1" applyFill="1" applyBorder="1" applyAlignment="1">
      <alignment horizontal="right" vertical="center" wrapText="1"/>
    </xf>
    <xf numFmtId="167" fontId="21" fillId="0" borderId="0" xfId="0" applyNumberFormat="1" applyFont="1" applyBorder="1" applyAlignment="1">
      <alignment horizontal="center" vertical="center"/>
    </xf>
    <xf numFmtId="4" fontId="6" fillId="0" borderId="0" xfId="0" applyNumberFormat="1" applyFont="1" applyBorder="1" applyAlignment="1">
      <alignment horizontal="left" vertical="center" wrapText="1"/>
    </xf>
    <xf numFmtId="4" fontId="6" fillId="0" borderId="0" xfId="0" applyNumberFormat="1" applyFont="1" applyFill="1" applyBorder="1" applyAlignment="1">
      <alignment horizontal="left" vertical="center" wrapText="1"/>
    </xf>
    <xf numFmtId="0" fontId="5" fillId="2" borderId="0" xfId="0" applyFont="1" applyFill="1" applyBorder="1" applyAlignment="1">
      <alignment horizontal="left" vertical="center" wrapText="1"/>
    </xf>
    <xf numFmtId="167" fontId="6" fillId="2" borderId="0" xfId="0" applyNumberFormat="1" applyFont="1" applyFill="1" applyBorder="1" applyAlignment="1">
      <alignment horizontal="center" vertical="center"/>
    </xf>
    <xf numFmtId="170" fontId="7" fillId="0" borderId="0" xfId="45" applyNumberFormat="1" applyFont="1" applyFill="1" applyBorder="1" applyAlignment="1">
      <alignment horizontal="right" vertical="center" wrapText="1"/>
    </xf>
    <xf numFmtId="0" fontId="4" fillId="0" borderId="0" xfId="0" applyFont="1" applyBorder="1" applyAlignment="1">
      <alignment horizontal="center"/>
    </xf>
    <xf numFmtId="0" fontId="4" fillId="0" borderId="0" xfId="0" applyFont="1" applyBorder="1" applyAlignment="1">
      <alignment horizontal="justify"/>
    </xf>
    <xf numFmtId="0" fontId="4" fillId="0" borderId="0" xfId="0" applyFont="1" applyBorder="1" applyAlignment="1">
      <alignment horizontal="center" vertical="center"/>
    </xf>
    <xf numFmtId="170" fontId="4" fillId="0" borderId="0" xfId="45" applyNumberFormat="1" applyFont="1" applyBorder="1" applyAlignment="1">
      <alignment horizontal="right"/>
    </xf>
    <xf numFmtId="4" fontId="4" fillId="0" borderId="0" xfId="0" applyNumberFormat="1" applyFont="1" applyBorder="1" applyAlignment="1">
      <alignment horizontal="right"/>
    </xf>
    <xf numFmtId="4" fontId="5" fillId="0" borderId="0" xfId="0" applyNumberFormat="1" applyFont="1" applyBorder="1" applyAlignment="1">
      <alignment horizontal="center" vertical="center" wrapText="1"/>
    </xf>
    <xf numFmtId="178" fontId="8" fillId="2" borderId="0" xfId="0" applyNumberFormat="1" applyFont="1" applyFill="1" applyBorder="1" applyAlignment="1">
      <alignment horizontal="right" vertical="center" wrapText="1"/>
    </xf>
    <xf numFmtId="178" fontId="7" fillId="2" borderId="0" xfId="0" applyNumberFormat="1" applyFont="1" applyFill="1" applyBorder="1" applyAlignment="1">
      <alignment horizontal="right" vertical="center" wrapText="1"/>
    </xf>
    <xf numFmtId="178" fontId="21" fillId="0" borderId="0" xfId="0" applyNumberFormat="1" applyFont="1" applyBorder="1" applyAlignment="1">
      <alignment horizontal="right" vertical="center" wrapText="1"/>
    </xf>
    <xf numFmtId="4" fontId="16" fillId="0" borderId="25" xfId="2" applyNumberFormat="1" applyFont="1" applyFill="1" applyBorder="1" applyAlignment="1">
      <alignment horizontal="center" vertical="center" wrapText="1"/>
    </xf>
    <xf numFmtId="42" fontId="16" fillId="0" borderId="25" xfId="51" applyFont="1" applyBorder="1" applyAlignment="1">
      <alignment horizontal="right" wrapText="1"/>
    </xf>
    <xf numFmtId="177" fontId="16" fillId="0" borderId="25" xfId="2" applyNumberFormat="1" applyFont="1" applyFill="1" applyBorder="1" applyAlignment="1">
      <alignment horizontal="right" vertical="center" wrapText="1"/>
    </xf>
    <xf numFmtId="0" fontId="29" fillId="0" borderId="79" xfId="2" applyFont="1" applyBorder="1" applyAlignment="1">
      <alignment horizontal="left" vertical="center" wrapText="1"/>
    </xf>
    <xf numFmtId="0" fontId="29" fillId="0" borderId="28" xfId="2" applyFont="1" applyBorder="1" applyAlignment="1">
      <alignment horizontal="left" vertical="center" wrapText="1"/>
    </xf>
    <xf numFmtId="167" fontId="6" fillId="0" borderId="0" xfId="0" applyNumberFormat="1" applyFont="1" applyBorder="1" applyAlignment="1">
      <alignment horizontal="center" vertical="center"/>
    </xf>
    <xf numFmtId="0" fontId="16" fillId="0" borderId="25" xfId="2" applyFont="1" applyBorder="1" applyAlignment="1">
      <alignment wrapText="1"/>
    </xf>
    <xf numFmtId="0" fontId="16" fillId="0" borderId="1" xfId="2" applyFont="1" applyBorder="1" applyAlignment="1">
      <alignment vertical="center" wrapText="1"/>
    </xf>
    <xf numFmtId="0" fontId="16" fillId="0" borderId="4" xfId="2" applyFont="1" applyBorder="1" applyAlignment="1">
      <alignment vertical="center" wrapText="1"/>
    </xf>
    <xf numFmtId="0" fontId="16" fillId="0" borderId="25" xfId="2" applyFont="1" applyBorder="1" applyAlignment="1">
      <alignment vertical="center" wrapText="1"/>
    </xf>
    <xf numFmtId="0" fontId="16" fillId="0" borderId="26" xfId="2" applyFont="1" applyBorder="1" applyAlignment="1">
      <alignment wrapText="1"/>
    </xf>
    <xf numFmtId="0" fontId="16" fillId="0" borderId="1" xfId="2" applyFont="1" applyFill="1" applyBorder="1" applyAlignment="1">
      <alignment wrapText="1"/>
    </xf>
    <xf numFmtId="178" fontId="6" fillId="0" borderId="0" xfId="0" applyNumberFormat="1" applyFont="1" applyBorder="1" applyAlignment="1">
      <alignment horizontal="center" vertical="center"/>
    </xf>
    <xf numFmtId="178" fontId="7" fillId="4" borderId="0" xfId="0" applyNumberFormat="1" applyFont="1" applyFill="1" applyBorder="1" applyAlignment="1">
      <alignment horizontal="right" vertical="center" wrapText="1"/>
    </xf>
    <xf numFmtId="0" fontId="29" fillId="0" borderId="79" xfId="2" applyFont="1" applyBorder="1" applyAlignment="1">
      <alignment horizontal="left" vertical="center" wrapText="1"/>
    </xf>
    <xf numFmtId="0" fontId="29" fillId="0" borderId="28" xfId="2" applyFont="1" applyBorder="1" applyAlignment="1">
      <alignment horizontal="left" vertical="center" wrapText="1"/>
    </xf>
    <xf numFmtId="167" fontId="6" fillId="0" borderId="0" xfId="0" applyNumberFormat="1" applyFont="1" applyBorder="1" applyAlignment="1">
      <alignment horizontal="center" vertical="center"/>
    </xf>
    <xf numFmtId="0" fontId="16" fillId="0" borderId="25" xfId="2" applyFont="1" applyBorder="1" applyAlignment="1">
      <alignment wrapText="1"/>
    </xf>
    <xf numFmtId="0" fontId="16" fillId="0" borderId="1" xfId="2" applyFont="1" applyBorder="1" applyAlignment="1">
      <alignment vertical="center" wrapText="1"/>
    </xf>
    <xf numFmtId="0" fontId="16" fillId="0" borderId="4" xfId="2" applyFont="1" applyBorder="1" applyAlignment="1">
      <alignment vertical="center" wrapText="1"/>
    </xf>
    <xf numFmtId="0" fontId="16" fillId="0" borderId="4" xfId="2" applyFont="1" applyBorder="1" applyAlignment="1">
      <alignment wrapText="1"/>
    </xf>
    <xf numFmtId="0" fontId="16" fillId="0" borderId="26" xfId="2" applyFont="1" applyBorder="1" applyAlignment="1">
      <alignment wrapText="1"/>
    </xf>
    <xf numFmtId="0" fontId="16" fillId="0" borderId="25" xfId="2" applyFont="1" applyBorder="1" applyAlignment="1">
      <alignment vertical="center" wrapText="1"/>
    </xf>
    <xf numFmtId="178" fontId="21" fillId="0" borderId="0" xfId="0" applyNumberFormat="1" applyFont="1" applyFill="1" applyBorder="1" applyAlignment="1">
      <alignment horizontal="right" vertical="center" wrapText="1"/>
    </xf>
    <xf numFmtId="4" fontId="4" fillId="0" borderId="0" xfId="0" applyNumberFormat="1" applyFont="1" applyBorder="1" applyAlignment="1">
      <alignment horizontal="justify" vertical="center" wrapText="1"/>
    </xf>
    <xf numFmtId="4" fontId="4" fillId="0" borderId="0" xfId="0" applyNumberFormat="1" applyFont="1" applyAlignment="1">
      <alignment wrapText="1"/>
    </xf>
    <xf numFmtId="0" fontId="16" fillId="0" borderId="81" xfId="2" applyFont="1" applyFill="1" applyBorder="1" applyAlignment="1">
      <alignment wrapText="1"/>
    </xf>
    <xf numFmtId="0" fontId="16" fillId="0" borderId="1" xfId="2" applyFont="1" applyFill="1" applyBorder="1" applyAlignment="1">
      <alignment horizontal="center" vertical="center" wrapText="1"/>
    </xf>
    <xf numFmtId="42" fontId="16" fillId="0" borderId="1" xfId="51" applyFont="1" applyFill="1" applyBorder="1" applyAlignment="1">
      <alignment horizontal="center" vertical="center" wrapText="1"/>
    </xf>
    <xf numFmtId="4" fontId="16" fillId="0" borderId="4" xfId="2" applyNumberFormat="1" applyFont="1" applyFill="1" applyBorder="1" applyAlignment="1">
      <alignment horizontal="center" vertical="center" wrapText="1"/>
    </xf>
    <xf numFmtId="3" fontId="16" fillId="0" borderId="25" xfId="2" applyNumberFormat="1" applyFont="1" applyBorder="1" applyAlignment="1">
      <alignment horizontal="center" wrapText="1"/>
    </xf>
    <xf numFmtId="0" fontId="16" fillId="0" borderId="81" xfId="2" applyFont="1" applyBorder="1" applyAlignment="1">
      <alignment wrapText="1"/>
    </xf>
    <xf numFmtId="3" fontId="16" fillId="0" borderId="1" xfId="2" applyNumberFormat="1" applyFont="1" applyBorder="1" applyAlignment="1">
      <alignment wrapText="1"/>
    </xf>
    <xf numFmtId="0" fontId="14" fillId="0" borderId="54" xfId="2" applyFont="1" applyFill="1" applyBorder="1" applyAlignment="1">
      <alignment horizontal="center" vertical="center" wrapText="1"/>
    </xf>
    <xf numFmtId="0" fontId="14" fillId="0" borderId="25" xfId="2" applyFont="1" applyFill="1" applyBorder="1" applyAlignment="1">
      <alignment horizontal="left" vertical="center" wrapText="1"/>
    </xf>
    <xf numFmtId="0" fontId="14" fillId="0" borderId="25" xfId="2" applyFont="1" applyFill="1" applyBorder="1" applyAlignment="1">
      <alignment horizontal="center" vertical="center" wrapText="1"/>
    </xf>
    <xf numFmtId="177" fontId="14" fillId="0" borderId="25" xfId="2" applyNumberFormat="1" applyFont="1" applyFill="1" applyBorder="1" applyAlignment="1">
      <alignment horizontal="center" vertical="center" wrapText="1"/>
    </xf>
    <xf numFmtId="175" fontId="14" fillId="0" borderId="25" xfId="51" applyNumberFormat="1" applyFont="1" applyFill="1" applyBorder="1" applyAlignment="1">
      <alignment horizontal="center" vertical="center" wrapText="1"/>
    </xf>
    <xf numFmtId="177" fontId="14" fillId="0" borderId="25" xfId="51" applyNumberFormat="1" applyFont="1" applyFill="1" applyBorder="1" applyAlignment="1">
      <alignment horizontal="center" vertical="center" wrapText="1"/>
    </xf>
    <xf numFmtId="177" fontId="14" fillId="0" borderId="55" xfId="51" applyNumberFormat="1" applyFont="1" applyFill="1" applyBorder="1" applyAlignment="1">
      <alignment horizontal="center" vertical="center" wrapText="1"/>
    </xf>
    <xf numFmtId="167" fontId="16" fillId="0" borderId="25" xfId="2" applyNumberFormat="1" applyFont="1" applyFill="1" applyBorder="1" applyAlignment="1">
      <alignment wrapText="1"/>
    </xf>
    <xf numFmtId="4" fontId="16" fillId="0" borderId="25" xfId="2" applyNumberFormat="1" applyFont="1" applyFill="1" applyBorder="1" applyAlignment="1">
      <alignment wrapText="1"/>
    </xf>
    <xf numFmtId="177" fontId="16" fillId="0" borderId="55" xfId="51" applyNumberFormat="1" applyFont="1" applyFill="1" applyBorder="1" applyAlignment="1">
      <alignment horizontal="center" vertical="center" wrapText="1"/>
    </xf>
    <xf numFmtId="0" fontId="5" fillId="0" borderId="0" xfId="0" applyFont="1" applyFill="1" applyBorder="1" applyAlignment="1">
      <alignment horizontal="justify" vertical="center" wrapText="1"/>
    </xf>
    <xf numFmtId="42" fontId="10" fillId="0" borderId="0" xfId="51" applyFont="1" applyFill="1" applyBorder="1" applyAlignment="1">
      <alignment vertical="center" wrapText="1"/>
    </xf>
    <xf numFmtId="0" fontId="4" fillId="0" borderId="0" xfId="0" applyFont="1" applyFill="1" applyBorder="1" applyAlignment="1">
      <alignment horizontal="left" vertical="center" wrapText="1"/>
    </xf>
    <xf numFmtId="0" fontId="13" fillId="5" borderId="25" xfId="2" applyFont="1" applyFill="1" applyBorder="1"/>
    <xf numFmtId="0" fontId="13" fillId="5" borderId="25" xfId="2" applyFont="1" applyFill="1" applyBorder="1" applyAlignment="1">
      <alignment horizontal="center"/>
    </xf>
    <xf numFmtId="0" fontId="13" fillId="5" borderId="25" xfId="2" applyFont="1" applyFill="1" applyBorder="1" applyAlignment="1">
      <alignment horizontal="right"/>
    </xf>
    <xf numFmtId="177" fontId="16" fillId="0" borderId="1" xfId="51" applyNumberFormat="1" applyFont="1" applyBorder="1" applyAlignment="1">
      <alignment wrapText="1"/>
    </xf>
    <xf numFmtId="177" fontId="16" fillId="0" borderId="25" xfId="51" applyNumberFormat="1" applyFont="1" applyBorder="1" applyAlignment="1">
      <alignment wrapText="1"/>
    </xf>
    <xf numFmtId="177" fontId="16" fillId="0" borderId="25" xfId="51" applyNumberFormat="1" applyFont="1" applyFill="1" applyBorder="1" applyAlignment="1">
      <alignment wrapText="1"/>
    </xf>
    <xf numFmtId="0" fontId="13" fillId="0" borderId="25" xfId="2" applyFont="1" applyFill="1" applyBorder="1" applyAlignment="1">
      <alignment horizontal="right"/>
    </xf>
    <xf numFmtId="0" fontId="13" fillId="0" borderId="25" xfId="2" applyFont="1" applyFill="1" applyBorder="1" applyAlignment="1">
      <alignment horizontal="center" vertical="center"/>
    </xf>
    <xf numFmtId="0" fontId="4" fillId="3" borderId="0" xfId="0" applyFont="1" applyFill="1" applyBorder="1" applyAlignment="1">
      <alignment horizontal="left" vertical="center" wrapText="1"/>
    </xf>
    <xf numFmtId="0" fontId="12" fillId="0" borderId="49" xfId="60" applyFont="1" applyBorder="1" applyAlignment="1">
      <alignment horizontal="center" vertical="center" wrapText="1"/>
    </xf>
    <xf numFmtId="3" fontId="6" fillId="0" borderId="0" xfId="0" applyNumberFormat="1" applyFont="1" applyFill="1" applyBorder="1" applyAlignment="1">
      <alignment horizontal="left" vertical="center" wrapText="1"/>
    </xf>
    <xf numFmtId="3" fontId="5" fillId="2" borderId="0" xfId="0" applyNumberFormat="1" applyFont="1" applyFill="1" applyBorder="1" applyAlignment="1">
      <alignment horizontal="justify" vertical="center" wrapText="1"/>
    </xf>
    <xf numFmtId="4" fontId="8" fillId="2" borderId="0" xfId="0" applyNumberFormat="1" applyFont="1" applyFill="1" applyBorder="1" applyAlignment="1">
      <alignment horizontal="center" vertical="center" wrapText="1"/>
    </xf>
    <xf numFmtId="0" fontId="8" fillId="2" borderId="0" xfId="0" applyFont="1" applyFill="1" applyBorder="1" applyAlignment="1">
      <alignment horizontal="center" vertical="center" wrapText="1"/>
    </xf>
    <xf numFmtId="167" fontId="38" fillId="0" borderId="31" xfId="47" applyNumberFormat="1" applyFont="1" applyBorder="1" applyAlignment="1">
      <alignment horizontal="center" vertical="center" wrapText="1"/>
    </xf>
    <xf numFmtId="0" fontId="38" fillId="0" borderId="11" xfId="47" applyFont="1" applyBorder="1"/>
    <xf numFmtId="0" fontId="38" fillId="0" borderId="0" xfId="47" applyFont="1"/>
    <xf numFmtId="0" fontId="38" fillId="0" borderId="0" xfId="47" applyFont="1" applyAlignment="1">
      <alignment horizontal="center"/>
    </xf>
    <xf numFmtId="41" fontId="38" fillId="0" borderId="0" xfId="45" applyFont="1" applyAlignment="1">
      <alignment horizontal="center"/>
    </xf>
    <xf numFmtId="41" fontId="38" fillId="0" borderId="12" xfId="45" applyFont="1" applyBorder="1" applyAlignment="1">
      <alignment horizontal="center"/>
    </xf>
    <xf numFmtId="0" fontId="35" fillId="10" borderId="95" xfId="47" applyFont="1" applyFill="1" applyBorder="1" applyAlignment="1">
      <alignment horizontal="center" vertical="center" wrapText="1"/>
    </xf>
    <xf numFmtId="41" fontId="35" fillId="10" borderId="95" xfId="45" applyFont="1" applyFill="1" applyBorder="1" applyAlignment="1">
      <alignment horizontal="center" vertical="center" wrapText="1"/>
    </xf>
    <xf numFmtId="41" fontId="35" fillId="10" borderId="96" xfId="45" applyFont="1" applyFill="1" applyBorder="1" applyAlignment="1">
      <alignment horizontal="center" vertical="center" wrapText="1"/>
    </xf>
    <xf numFmtId="4" fontId="39" fillId="0" borderId="95" xfId="47" applyNumberFormat="1" applyFont="1" applyBorder="1" applyAlignment="1">
      <alignment horizontal="center"/>
    </xf>
    <xf numFmtId="0" fontId="39" fillId="0" borderId="95" xfId="47" applyFont="1" applyBorder="1" applyAlignment="1">
      <alignment horizontal="center"/>
    </xf>
    <xf numFmtId="41" fontId="39" fillId="0" borderId="49" xfId="45" applyFont="1" applyBorder="1" applyAlignment="1">
      <alignment horizontal="center"/>
    </xf>
    <xf numFmtId="41" fontId="39" fillId="0" borderId="96" xfId="45" applyFont="1" applyBorder="1" applyAlignment="1">
      <alignment horizontal="center"/>
    </xf>
    <xf numFmtId="0" fontId="39" fillId="0" borderId="2" xfId="47" applyFont="1" applyBorder="1" applyAlignment="1">
      <alignment horizontal="center"/>
    </xf>
    <xf numFmtId="0" fontId="39" fillId="0" borderId="49" xfId="47" applyFont="1" applyBorder="1" applyAlignment="1">
      <alignment horizontal="center"/>
    </xf>
    <xf numFmtId="41" fontId="39" fillId="0" borderId="50" xfId="45" applyFont="1" applyBorder="1" applyAlignment="1">
      <alignment horizontal="center"/>
    </xf>
    <xf numFmtId="4" fontId="39" fillId="0" borderId="49" xfId="47" applyNumberFormat="1" applyFont="1" applyBorder="1" applyAlignment="1">
      <alignment horizontal="center"/>
    </xf>
    <xf numFmtId="0" fontId="39" fillId="0" borderId="100" xfId="47" applyFont="1" applyBorder="1" applyAlignment="1">
      <alignment horizontal="center"/>
    </xf>
    <xf numFmtId="4" fontId="39" fillId="0" borderId="100" xfId="47" applyNumberFormat="1" applyFont="1" applyBorder="1" applyAlignment="1">
      <alignment horizontal="center"/>
    </xf>
    <xf numFmtId="41" fontId="39" fillId="0" borderId="100" xfId="45" applyFont="1" applyBorder="1" applyAlignment="1">
      <alignment horizontal="center"/>
    </xf>
    <xf numFmtId="41" fontId="39" fillId="0" borderId="101" xfId="45" applyFont="1" applyBorder="1" applyAlignment="1">
      <alignment horizontal="center"/>
    </xf>
    <xf numFmtId="0" fontId="39" fillId="0" borderId="11" xfId="47" applyFont="1" applyBorder="1"/>
    <xf numFmtId="0" fontId="39" fillId="0" borderId="0" xfId="47" applyFont="1"/>
    <xf numFmtId="0" fontId="39" fillId="0" borderId="0" xfId="47" applyFont="1" applyAlignment="1">
      <alignment horizontal="center"/>
    </xf>
    <xf numFmtId="4" fontId="39" fillId="0" borderId="0" xfId="47" applyNumberFormat="1" applyFont="1" applyAlignment="1">
      <alignment horizontal="center"/>
    </xf>
    <xf numFmtId="41" fontId="39" fillId="11" borderId="102" xfId="45" applyFont="1" applyFill="1" applyBorder="1" applyAlignment="1">
      <alignment horizontal="center"/>
    </xf>
    <xf numFmtId="41" fontId="39" fillId="11" borderId="103" xfId="45" applyFont="1" applyFill="1" applyBorder="1" applyAlignment="1">
      <alignment horizontal="center"/>
    </xf>
    <xf numFmtId="41" fontId="39" fillId="0" borderId="0" xfId="45" applyFont="1" applyAlignment="1">
      <alignment horizontal="center"/>
    </xf>
    <xf numFmtId="41" fontId="39" fillId="0" borderId="12" xfId="45" applyFont="1" applyBorder="1" applyAlignment="1">
      <alignment horizontal="center"/>
    </xf>
    <xf numFmtId="41" fontId="39" fillId="11" borderId="104" xfId="45" applyFont="1" applyFill="1" applyBorder="1" applyAlignment="1">
      <alignment horizontal="center"/>
    </xf>
    <xf numFmtId="41" fontId="39" fillId="11" borderId="105" xfId="45" applyFont="1" applyFill="1" applyBorder="1" applyAlignment="1">
      <alignment horizontal="center"/>
    </xf>
    <xf numFmtId="4" fontId="39" fillId="10" borderId="39" xfId="47" applyNumberFormat="1" applyFont="1" applyFill="1" applyBorder="1" applyAlignment="1">
      <alignment horizontal="center" vertical="center" wrapText="1"/>
    </xf>
    <xf numFmtId="0" fontId="39" fillId="10" borderId="39" xfId="47" applyFont="1" applyFill="1" applyBorder="1" applyAlignment="1">
      <alignment horizontal="center" vertical="center" wrapText="1"/>
    </xf>
    <xf numFmtId="41" fontId="39" fillId="10" borderId="39" xfId="45" applyFont="1" applyFill="1" applyBorder="1" applyAlignment="1">
      <alignment horizontal="center" vertical="center" wrapText="1"/>
    </xf>
    <xf numFmtId="41" fontId="39" fillId="10" borderId="107" xfId="45" applyFont="1" applyFill="1" applyBorder="1" applyAlignment="1">
      <alignment horizontal="center" vertical="center" wrapText="1"/>
    </xf>
    <xf numFmtId="41" fontId="39" fillId="0" borderId="49" xfId="45" applyFont="1" applyBorder="1" applyAlignment="1">
      <alignment vertical="center" wrapText="1"/>
    </xf>
    <xf numFmtId="1" fontId="39" fillId="0" borderId="49" xfId="45" applyNumberFormat="1" applyFont="1" applyBorder="1" applyAlignment="1">
      <alignment horizontal="center" vertical="center" wrapText="1"/>
    </xf>
    <xf numFmtId="41" fontId="39" fillId="0" borderId="50" xfId="45" applyFont="1" applyBorder="1" applyAlignment="1">
      <alignment vertical="center" wrapText="1"/>
    </xf>
    <xf numFmtId="41" fontId="39" fillId="0" borderId="100" xfId="45" applyFont="1" applyBorder="1"/>
    <xf numFmtId="1" fontId="39" fillId="0" borderId="100" xfId="45" applyNumberFormat="1" applyFont="1" applyBorder="1" applyAlignment="1">
      <alignment horizontal="center" vertical="center"/>
    </xf>
    <xf numFmtId="41" fontId="35" fillId="0" borderId="111" xfId="45" applyFont="1" applyBorder="1" applyAlignment="1">
      <alignment horizontal="center" vertical="center" wrapText="1"/>
    </xf>
    <xf numFmtId="167" fontId="41" fillId="0" borderId="25" xfId="47" applyNumberFormat="1" applyFont="1" applyBorder="1" applyAlignment="1">
      <alignment horizontal="center" vertical="center" wrapText="1"/>
    </xf>
    <xf numFmtId="0" fontId="34" fillId="10" borderId="25" xfId="47" applyFont="1" applyFill="1" applyBorder="1" applyAlignment="1">
      <alignment horizontal="center" vertical="center" wrapText="1"/>
    </xf>
    <xf numFmtId="41" fontId="34" fillId="10" borderId="25" xfId="45" applyFont="1" applyFill="1" applyBorder="1" applyAlignment="1">
      <alignment horizontal="center" vertical="center" wrapText="1"/>
    </xf>
    <xf numFmtId="4" fontId="41" fillId="0" borderId="25" xfId="47" applyNumberFormat="1" applyFont="1" applyBorder="1" applyAlignment="1">
      <alignment horizontal="center"/>
    </xf>
    <xf numFmtId="0" fontId="42" fillId="0" borderId="25" xfId="0" applyFont="1" applyBorder="1" applyAlignment="1">
      <alignment vertical="center"/>
    </xf>
    <xf numFmtId="181" fontId="42" fillId="0" borderId="25" xfId="1" applyNumberFormat="1" applyFont="1" applyBorder="1" applyAlignment="1">
      <alignment vertical="center"/>
    </xf>
    <xf numFmtId="41" fontId="41" fillId="0" borderId="25" xfId="45" applyFont="1" applyBorder="1" applyAlignment="1">
      <alignment horizontal="center"/>
    </xf>
    <xf numFmtId="41" fontId="41" fillId="11" borderId="25" xfId="45" applyFont="1" applyFill="1" applyBorder="1" applyAlignment="1">
      <alignment horizontal="center"/>
    </xf>
    <xf numFmtId="0" fontId="41" fillId="0" borderId="25" xfId="47" applyFont="1" applyBorder="1" applyAlignment="1">
      <alignment horizontal="center"/>
    </xf>
    <xf numFmtId="0" fontId="41" fillId="0" borderId="24" xfId="47" applyFont="1" applyBorder="1" applyAlignment="1">
      <alignment vertical="center" wrapText="1"/>
    </xf>
    <xf numFmtId="0" fontId="41" fillId="0" borderId="1" xfId="47" applyFont="1" applyBorder="1" applyAlignment="1">
      <alignment vertical="center" wrapText="1"/>
    </xf>
    <xf numFmtId="0" fontId="41" fillId="0" borderId="4" xfId="47" applyFont="1" applyBorder="1" applyAlignment="1">
      <alignment vertical="center" wrapText="1"/>
    </xf>
    <xf numFmtId="0" fontId="41" fillId="0" borderId="24" xfId="47" applyFont="1" applyBorder="1"/>
    <xf numFmtId="0" fontId="41" fillId="0" borderId="1" xfId="47" applyFont="1" applyBorder="1"/>
    <xf numFmtId="0" fontId="41" fillId="0" borderId="4" xfId="47" applyFont="1" applyBorder="1"/>
    <xf numFmtId="4" fontId="41" fillId="10" borderId="25" xfId="47" applyNumberFormat="1" applyFont="1" applyFill="1" applyBorder="1" applyAlignment="1">
      <alignment horizontal="center" vertical="center" wrapText="1"/>
    </xf>
    <xf numFmtId="0" fontId="41" fillId="10" borderId="25" xfId="47" applyFont="1" applyFill="1" applyBorder="1" applyAlignment="1">
      <alignment horizontal="center" vertical="center" wrapText="1"/>
    </xf>
    <xf numFmtId="41" fontId="41" fillId="10" borderId="25" xfId="45" applyFont="1" applyFill="1" applyBorder="1" applyAlignment="1">
      <alignment horizontal="center" vertical="center" wrapText="1"/>
    </xf>
    <xf numFmtId="41" fontId="41" fillId="0" borderId="25" xfId="45" applyFont="1" applyBorder="1" applyAlignment="1">
      <alignment vertical="center" wrapText="1"/>
    </xf>
    <xf numFmtId="1" fontId="41" fillId="0" borderId="25" xfId="45" applyNumberFormat="1" applyFont="1" applyBorder="1" applyAlignment="1">
      <alignment horizontal="center" vertical="center" wrapText="1"/>
    </xf>
    <xf numFmtId="41" fontId="41" fillId="0" borderId="25" xfId="45" applyFont="1" applyBorder="1"/>
    <xf numFmtId="1" fontId="41" fillId="0" borderId="25" xfId="45" applyNumberFormat="1" applyFont="1" applyBorder="1" applyAlignment="1">
      <alignment horizontal="center" vertical="center"/>
    </xf>
    <xf numFmtId="0" fontId="42" fillId="0" borderId="25" xfId="0" applyFont="1" applyBorder="1" applyAlignment="1">
      <alignment horizontal="center" vertical="center"/>
    </xf>
    <xf numFmtId="41" fontId="34" fillId="0" borderId="25" xfId="45" applyFont="1" applyBorder="1" applyAlignment="1">
      <alignment horizontal="center" vertical="center" wrapText="1"/>
    </xf>
    <xf numFmtId="0" fontId="42" fillId="0" borderId="24" xfId="0" applyFont="1" applyBorder="1" applyAlignment="1">
      <alignment horizontal="left" vertical="center"/>
    </xf>
    <xf numFmtId="0" fontId="42" fillId="0" borderId="1" xfId="0" applyFont="1" applyBorder="1" applyAlignment="1">
      <alignment horizontal="left" vertical="center"/>
    </xf>
    <xf numFmtId="0" fontId="42" fillId="0" borderId="4" xfId="0" applyFont="1" applyBorder="1" applyAlignment="1">
      <alignment horizontal="left" vertical="center"/>
    </xf>
    <xf numFmtId="0" fontId="44" fillId="0" borderId="24" xfId="0" applyFont="1" applyBorder="1" applyAlignment="1">
      <alignment horizontal="left" vertical="center"/>
    </xf>
    <xf numFmtId="0" fontId="44" fillId="0" borderId="1" xfId="0" applyFont="1" applyBorder="1" applyAlignment="1">
      <alignment horizontal="left" vertical="center"/>
    </xf>
    <xf numFmtId="0" fontId="44" fillId="0" borderId="4" xfId="0" applyFont="1" applyBorder="1" applyAlignment="1">
      <alignment horizontal="left" vertical="center"/>
    </xf>
    <xf numFmtId="4" fontId="41" fillId="0" borderId="4" xfId="0" applyNumberFormat="1" applyFont="1" applyBorder="1" applyAlignment="1">
      <alignment horizontal="center"/>
    </xf>
    <xf numFmtId="0" fontId="44" fillId="0" borderId="4" xfId="0" applyFont="1" applyBorder="1" applyAlignment="1">
      <alignment horizontal="center" vertical="center"/>
    </xf>
    <xf numFmtId="181" fontId="44" fillId="0" borderId="4" xfId="0" applyNumberFormat="1" applyFont="1" applyBorder="1" applyAlignment="1">
      <alignment vertical="center"/>
    </xf>
    <xf numFmtId="0" fontId="44" fillId="0" borderId="5" xfId="0" applyFont="1" applyBorder="1" applyAlignment="1">
      <alignment horizontal="left" vertical="center"/>
    </xf>
    <xf numFmtId="0" fontId="44" fillId="0" borderId="7" xfId="0" applyFont="1" applyBorder="1" applyAlignment="1">
      <alignment horizontal="left" vertical="center"/>
    </xf>
    <xf numFmtId="4" fontId="41" fillId="0" borderId="7" xfId="0" applyNumberFormat="1" applyFont="1" applyBorder="1" applyAlignment="1">
      <alignment horizontal="center"/>
    </xf>
    <xf numFmtId="0" fontId="44" fillId="0" borderId="7" xfId="0" applyFont="1" applyBorder="1" applyAlignment="1">
      <alignment horizontal="center" vertical="center"/>
    </xf>
    <xf numFmtId="181" fontId="44" fillId="0" borderId="7" xfId="0" applyNumberFormat="1" applyFont="1" applyBorder="1" applyAlignment="1">
      <alignment vertical="center"/>
    </xf>
    <xf numFmtId="0" fontId="44" fillId="0" borderId="23" xfId="0" applyFont="1" applyBorder="1" applyAlignment="1">
      <alignment horizontal="left" vertical="center"/>
    </xf>
    <xf numFmtId="0" fontId="41" fillId="0" borderId="25" xfId="45" applyNumberFormat="1" applyFont="1" applyBorder="1" applyAlignment="1">
      <alignment horizontal="center" vertical="center" wrapText="1"/>
    </xf>
    <xf numFmtId="4" fontId="41" fillId="0" borderId="4" xfId="47" applyNumberFormat="1" applyFont="1" applyBorder="1" applyAlignment="1">
      <alignment horizontal="center"/>
    </xf>
    <xf numFmtId="176" fontId="41" fillId="0" borderId="25" xfId="45" applyNumberFormat="1" applyFont="1" applyBorder="1" applyAlignment="1">
      <alignment horizontal="center" vertical="center" wrapText="1"/>
    </xf>
    <xf numFmtId="4" fontId="41" fillId="0" borderId="25" xfId="45" applyNumberFormat="1" applyFont="1" applyBorder="1" applyAlignment="1">
      <alignment horizontal="center" vertical="center" wrapText="1"/>
    </xf>
    <xf numFmtId="41" fontId="0" fillId="0" borderId="0" xfId="0" applyNumberFormat="1"/>
    <xf numFmtId="4" fontId="41" fillId="0" borderId="1" xfId="47" applyNumberFormat="1" applyFont="1" applyBorder="1" applyAlignment="1">
      <alignment horizontal="center"/>
    </xf>
    <xf numFmtId="0" fontId="42" fillId="0" borderId="4" xfId="0" applyFont="1" applyBorder="1" applyAlignment="1">
      <alignment horizontal="center" vertical="center"/>
    </xf>
    <xf numFmtId="0" fontId="34" fillId="12" borderId="25" xfId="47" applyFont="1" applyFill="1" applyBorder="1" applyAlignment="1">
      <alignment horizontal="center" vertical="center" wrapText="1"/>
    </xf>
    <xf numFmtId="41" fontId="34" fillId="12" borderId="25" xfId="45" applyFont="1" applyFill="1" applyBorder="1" applyAlignment="1">
      <alignment horizontal="center" vertical="center" wrapText="1"/>
    </xf>
    <xf numFmtId="178" fontId="4" fillId="0" borderId="0" xfId="0" applyNumberFormat="1" applyFont="1" applyFill="1" applyBorder="1" applyAlignment="1">
      <alignment horizontal="right" vertical="center" wrapText="1"/>
    </xf>
    <xf numFmtId="0" fontId="47" fillId="2" borderId="113" xfId="0" applyFont="1" applyFill="1" applyBorder="1" applyAlignment="1">
      <alignment horizontal="center" vertical="center"/>
    </xf>
    <xf numFmtId="1" fontId="0" fillId="0" borderId="9" xfId="0" applyNumberFormat="1" applyBorder="1" applyAlignment="1">
      <alignment horizontal="center" vertical="center"/>
    </xf>
    <xf numFmtId="0" fontId="48" fillId="2" borderId="114" xfId="0" applyFont="1" applyFill="1" applyBorder="1" applyAlignment="1">
      <alignment horizontal="center" vertical="center"/>
    </xf>
    <xf numFmtId="0" fontId="0" fillId="0" borderId="10" xfId="0" applyBorder="1" applyAlignment="1">
      <alignment horizontal="center" vertical="center"/>
    </xf>
    <xf numFmtId="12" fontId="51" fillId="0" borderId="49" xfId="0" applyNumberFormat="1" applyFont="1" applyBorder="1" applyAlignment="1">
      <alignment horizontal="center" vertical="center"/>
    </xf>
    <xf numFmtId="0" fontId="51" fillId="0" borderId="49" xfId="0" applyFont="1" applyBorder="1" applyAlignment="1">
      <alignment horizontal="center" vertical="center"/>
    </xf>
    <xf numFmtId="12" fontId="0" fillId="0" borderId="0" xfId="0" applyNumberFormat="1"/>
    <xf numFmtId="0" fontId="52" fillId="8" borderId="63" xfId="0" applyFont="1" applyFill="1" applyBorder="1" applyAlignment="1">
      <alignment horizontal="center" vertical="center"/>
    </xf>
    <xf numFmtId="0" fontId="52" fillId="8" borderId="113" xfId="0" applyFont="1" applyFill="1" applyBorder="1" applyAlignment="1">
      <alignment horizontal="center" vertical="center"/>
    </xf>
    <xf numFmtId="2" fontId="54" fillId="0" borderId="10" xfId="0" applyNumberFormat="1" applyFont="1" applyBorder="1" applyAlignment="1">
      <alignment horizontal="center" vertical="center"/>
    </xf>
    <xf numFmtId="4" fontId="54" fillId="0" borderId="65" xfId="0" applyNumberFormat="1" applyFont="1" applyBorder="1" applyAlignment="1">
      <alignment horizontal="center" vertical="center"/>
    </xf>
    <xf numFmtId="0" fontId="58" fillId="0" borderId="8" xfId="0" applyFont="1" applyBorder="1" applyAlignment="1">
      <alignment vertical="center"/>
    </xf>
    <xf numFmtId="0" fontId="58" fillId="0" borderId="9" xfId="0" applyFont="1" applyBorder="1" applyAlignment="1">
      <alignment vertical="center"/>
    </xf>
    <xf numFmtId="0" fontId="58" fillId="0" borderId="10" xfId="0" applyFont="1" applyBorder="1" applyAlignment="1">
      <alignment vertical="center"/>
    </xf>
    <xf numFmtId="0" fontId="56" fillId="14" borderId="52" xfId="0" applyFont="1" applyFill="1" applyBorder="1" applyAlignment="1">
      <alignment horizontal="center" vertical="center"/>
    </xf>
    <xf numFmtId="2" fontId="56" fillId="14" borderId="52" xfId="0" applyNumberFormat="1" applyFont="1" applyFill="1" applyBorder="1" applyAlignment="1">
      <alignment horizontal="center" vertical="center"/>
    </xf>
    <xf numFmtId="0" fontId="57" fillId="14" borderId="52" xfId="0" applyFont="1" applyFill="1" applyBorder="1" applyAlignment="1">
      <alignment horizontal="center" vertical="center" wrapText="1"/>
    </xf>
    <xf numFmtId="0" fontId="58" fillId="0" borderId="11" xfId="0" applyFont="1" applyBorder="1" applyAlignment="1">
      <alignment vertical="center"/>
    </xf>
    <xf numFmtId="0" fontId="58" fillId="0" borderId="0" xfId="0" applyFont="1" applyAlignment="1">
      <alignment vertical="center"/>
    </xf>
    <xf numFmtId="0" fontId="58" fillId="0" borderId="0" xfId="0" applyFont="1" applyBorder="1" applyAlignment="1">
      <alignment vertical="center"/>
    </xf>
    <xf numFmtId="0" fontId="59" fillId="0" borderId="29" xfId="0" applyFont="1" applyFill="1" applyBorder="1" applyAlignment="1">
      <alignment horizontal="center" vertical="center"/>
    </xf>
    <xf numFmtId="12" fontId="59" fillId="0" borderId="49" xfId="0" applyNumberFormat="1" applyFont="1" applyFill="1" applyBorder="1" applyAlignment="1">
      <alignment horizontal="center" vertical="center"/>
    </xf>
    <xf numFmtId="2" fontId="59" fillId="0" borderId="49" xfId="0" applyNumberFormat="1" applyFont="1" applyFill="1" applyBorder="1" applyAlignment="1">
      <alignment horizontal="center" vertical="center"/>
    </xf>
    <xf numFmtId="1" fontId="59" fillId="0" borderId="49" xfId="0" applyNumberFormat="1" applyFont="1" applyFill="1" applyBorder="1" applyAlignment="1">
      <alignment horizontal="center" vertical="center"/>
    </xf>
    <xf numFmtId="2" fontId="59" fillId="0" borderId="50" xfId="0" applyNumberFormat="1" applyFont="1" applyFill="1" applyBorder="1" applyAlignment="1">
      <alignment vertical="center"/>
    </xf>
    <xf numFmtId="0" fontId="59" fillId="6" borderId="29" xfId="0" applyFont="1" applyFill="1" applyBorder="1" applyAlignment="1">
      <alignment horizontal="center" vertical="center"/>
    </xf>
    <xf numFmtId="12" fontId="59" fillId="6" borderId="49" xfId="0" applyNumberFormat="1" applyFont="1" applyFill="1" applyBorder="1" applyAlignment="1">
      <alignment horizontal="center" vertical="center"/>
    </xf>
    <xf numFmtId="2" fontId="59" fillId="6" borderId="49" xfId="0" applyNumberFormat="1" applyFont="1" applyFill="1" applyBorder="1" applyAlignment="1">
      <alignment horizontal="center" vertical="center"/>
    </xf>
    <xf numFmtId="1" fontId="59" fillId="6" borderId="49" xfId="0" applyNumberFormat="1" applyFont="1" applyFill="1" applyBorder="1" applyAlignment="1">
      <alignment horizontal="center" vertical="center"/>
    </xf>
    <xf numFmtId="2" fontId="59" fillId="6" borderId="50" xfId="0" applyNumberFormat="1" applyFont="1" applyFill="1" applyBorder="1" applyAlignment="1">
      <alignment vertical="center"/>
    </xf>
    <xf numFmtId="0" fontId="0" fillId="0" borderId="49" xfId="0" applyBorder="1" applyAlignment="1">
      <alignment horizontal="center"/>
    </xf>
    <xf numFmtId="0" fontId="0" fillId="0" borderId="0" xfId="0" applyAlignment="1">
      <alignment horizontal="center"/>
    </xf>
    <xf numFmtId="0" fontId="59" fillId="17" borderId="29" xfId="0" applyFont="1" applyFill="1" applyBorder="1" applyAlignment="1">
      <alignment horizontal="center" vertical="center"/>
    </xf>
    <xf numFmtId="12" fontId="59" fillId="17" borderId="49" xfId="0" applyNumberFormat="1" applyFont="1" applyFill="1" applyBorder="1" applyAlignment="1">
      <alignment horizontal="center" vertical="center"/>
    </xf>
    <xf numFmtId="2" fontId="59" fillId="17" borderId="49" xfId="0" applyNumberFormat="1" applyFont="1" applyFill="1" applyBorder="1" applyAlignment="1">
      <alignment horizontal="center" vertical="center"/>
    </xf>
    <xf numFmtId="2" fontId="59" fillId="17" borderId="50" xfId="0" applyNumberFormat="1" applyFont="1" applyFill="1" applyBorder="1" applyAlignment="1">
      <alignment vertical="center"/>
    </xf>
    <xf numFmtId="42" fontId="2" fillId="0" borderId="0" xfId="51" applyFont="1"/>
    <xf numFmtId="0" fontId="59" fillId="19" borderId="29" xfId="0" applyFont="1" applyFill="1" applyBorder="1" applyAlignment="1">
      <alignment horizontal="center" vertical="center"/>
    </xf>
    <xf numFmtId="12" fontId="59" fillId="19" borderId="49" xfId="0" applyNumberFormat="1" applyFont="1" applyFill="1" applyBorder="1" applyAlignment="1">
      <alignment horizontal="center" vertical="center"/>
    </xf>
    <xf numFmtId="2" fontId="59" fillId="19" borderId="49" xfId="0" applyNumberFormat="1" applyFont="1" applyFill="1" applyBorder="1" applyAlignment="1">
      <alignment horizontal="center" vertical="center"/>
    </xf>
    <xf numFmtId="2" fontId="59" fillId="19" borderId="49" xfId="0" applyNumberFormat="1" applyFont="1" applyFill="1" applyBorder="1" applyAlignment="1">
      <alignment vertical="center"/>
    </xf>
    <xf numFmtId="2" fontId="59" fillId="0" borderId="49" xfId="0" applyNumberFormat="1" applyFont="1" applyFill="1" applyBorder="1" applyAlignment="1">
      <alignment vertical="center"/>
    </xf>
    <xf numFmtId="0" fontId="59" fillId="19" borderId="45" xfId="0" applyFont="1" applyFill="1" applyBorder="1" applyAlignment="1">
      <alignment horizontal="center" vertical="center"/>
    </xf>
    <xf numFmtId="12" fontId="59" fillId="19" borderId="6" xfId="0" applyNumberFormat="1" applyFont="1" applyFill="1" applyBorder="1" applyAlignment="1">
      <alignment horizontal="center" vertical="center"/>
    </xf>
    <xf numFmtId="2" fontId="59" fillId="19" borderId="6" xfId="0" applyNumberFormat="1" applyFont="1" applyFill="1" applyBorder="1" applyAlignment="1">
      <alignment horizontal="center" vertical="center"/>
    </xf>
    <xf numFmtId="2" fontId="59" fillId="19" borderId="128" xfId="0" applyNumberFormat="1" applyFont="1" applyFill="1" applyBorder="1" applyAlignment="1">
      <alignment vertical="center"/>
    </xf>
    <xf numFmtId="2" fontId="59" fillId="19" borderId="50" xfId="0" applyNumberFormat="1" applyFont="1" applyFill="1" applyBorder="1" applyAlignment="1">
      <alignment vertical="center"/>
    </xf>
    <xf numFmtId="0" fontId="58" fillId="0" borderId="11" xfId="0" applyFont="1" applyFill="1" applyBorder="1" applyAlignment="1">
      <alignment vertical="center"/>
    </xf>
    <xf numFmtId="0" fontId="58" fillId="0" borderId="0" xfId="0" applyFont="1" applyFill="1" applyAlignment="1">
      <alignment vertical="center"/>
    </xf>
    <xf numFmtId="0" fontId="58" fillId="0" borderId="12" xfId="0" applyFont="1" applyFill="1" applyBorder="1" applyAlignment="1">
      <alignment vertical="center"/>
    </xf>
    <xf numFmtId="0" fontId="0" fillId="0" borderId="0" xfId="0" applyFill="1"/>
    <xf numFmtId="0" fontId="58" fillId="0" borderId="12" xfId="0" applyFont="1" applyBorder="1" applyAlignment="1">
      <alignment vertical="center"/>
    </xf>
    <xf numFmtId="0" fontId="59" fillId="21" borderId="29" xfId="0" applyFont="1" applyFill="1" applyBorder="1" applyAlignment="1">
      <alignment horizontal="center" vertical="center"/>
    </xf>
    <xf numFmtId="12" fontId="59" fillId="21" borderId="49" xfId="0" applyNumberFormat="1" applyFont="1" applyFill="1" applyBorder="1" applyAlignment="1">
      <alignment horizontal="center" vertical="center"/>
    </xf>
    <xf numFmtId="2" fontId="59" fillId="21" borderId="49" xfId="0" applyNumberFormat="1" applyFont="1" applyFill="1" applyBorder="1" applyAlignment="1">
      <alignment horizontal="center" vertical="center"/>
    </xf>
    <xf numFmtId="2" fontId="59" fillId="21" borderId="50" xfId="0" applyNumberFormat="1" applyFont="1" applyFill="1" applyBorder="1" applyAlignment="1">
      <alignment vertical="center"/>
    </xf>
    <xf numFmtId="164" fontId="2" fillId="0" borderId="0" xfId="73" applyFont="1"/>
    <xf numFmtId="0" fontId="61" fillId="0" borderId="34" xfId="7" applyFont="1" applyBorder="1" applyAlignment="1">
      <alignment vertical="center"/>
    </xf>
    <xf numFmtId="0" fontId="61" fillId="0" borderId="35" xfId="7" applyFont="1" applyBorder="1" applyAlignment="1">
      <alignment vertical="center"/>
    </xf>
    <xf numFmtId="0" fontId="59" fillId="0" borderId="35" xfId="7" applyFont="1" applyBorder="1" applyAlignment="1">
      <alignment vertical="center"/>
    </xf>
    <xf numFmtId="0" fontId="59" fillId="0" borderId="35" xfId="7" applyFont="1" applyBorder="1" applyAlignment="1">
      <alignment horizontal="center" vertical="center"/>
    </xf>
    <xf numFmtId="2" fontId="59" fillId="0" borderId="35" xfId="7" applyNumberFormat="1" applyFont="1" applyBorder="1" applyAlignment="1">
      <alignment vertical="center"/>
    </xf>
    <xf numFmtId="4" fontId="59" fillId="0" borderId="129" xfId="7" applyNumberFormat="1" applyFont="1" applyBorder="1" applyAlignment="1">
      <alignment vertical="center"/>
    </xf>
    <xf numFmtId="0" fontId="61" fillId="0" borderId="11" xfId="7" applyFont="1" applyBorder="1" applyAlignment="1">
      <alignment horizontal="left" vertical="center"/>
    </xf>
    <xf numFmtId="0" fontId="61" fillId="0" borderId="0" xfId="7" applyFont="1" applyAlignment="1">
      <alignment vertical="center"/>
    </xf>
    <xf numFmtId="0" fontId="61" fillId="0" borderId="0" xfId="7" applyFont="1" applyAlignment="1">
      <alignment horizontal="left" vertical="center"/>
    </xf>
    <xf numFmtId="0" fontId="59" fillId="0" borderId="0" xfId="7" applyFont="1" applyAlignment="1">
      <alignment horizontal="center" vertical="center"/>
    </xf>
    <xf numFmtId="2" fontId="59" fillId="0" borderId="0" xfId="7" applyNumberFormat="1" applyFont="1" applyAlignment="1">
      <alignment vertical="center"/>
    </xf>
    <xf numFmtId="0" fontId="59" fillId="0" borderId="0" xfId="7" applyFont="1" applyAlignment="1">
      <alignment vertical="center"/>
    </xf>
    <xf numFmtId="4" fontId="59" fillId="0" borderId="12" xfId="7" applyNumberFormat="1" applyFont="1" applyBorder="1" applyAlignment="1">
      <alignment vertical="center"/>
    </xf>
    <xf numFmtId="0" fontId="61" fillId="0" borderId="117" xfId="7" applyFont="1" applyBorder="1" applyAlignment="1">
      <alignment horizontal="left" vertical="center"/>
    </xf>
    <xf numFmtId="0" fontId="61" fillId="0" borderId="17" xfId="7" applyFont="1" applyBorder="1" applyAlignment="1">
      <alignment vertical="center"/>
    </xf>
    <xf numFmtId="0" fontId="61" fillId="0" borderId="17" xfId="7" applyFont="1" applyBorder="1" applyAlignment="1">
      <alignment horizontal="left" vertical="center"/>
    </xf>
    <xf numFmtId="0" fontId="59" fillId="0" borderId="17" xfId="7" applyFont="1" applyBorder="1" applyAlignment="1">
      <alignment horizontal="center" vertical="center"/>
    </xf>
    <xf numFmtId="2" fontId="59" fillId="0" borderId="17" xfId="7" applyNumberFormat="1" applyFont="1" applyBorder="1" applyAlignment="1">
      <alignment vertical="center"/>
    </xf>
    <xf numFmtId="0" fontId="59" fillId="0" borderId="17" xfId="7" applyFont="1" applyBorder="1" applyAlignment="1">
      <alignment vertical="center"/>
    </xf>
    <xf numFmtId="0" fontId="62" fillId="0" borderId="0" xfId="7" applyFont="1" applyAlignment="1">
      <alignment vertical="center"/>
    </xf>
    <xf numFmtId="0" fontId="62" fillId="0" borderId="0" xfId="7" applyFont="1" applyAlignment="1">
      <alignment horizontal="left" vertical="center"/>
    </xf>
    <xf numFmtId="0" fontId="61" fillId="0" borderId="32" xfId="7" applyFont="1" applyBorder="1" applyAlignment="1">
      <alignment horizontal="left" vertical="center"/>
    </xf>
    <xf numFmtId="0" fontId="61" fillId="0" borderId="33" xfId="7" applyFont="1" applyBorder="1" applyAlignment="1">
      <alignment vertical="center"/>
    </xf>
    <xf numFmtId="0" fontId="59" fillId="0" borderId="33" xfId="7" applyFont="1" applyBorder="1" applyAlignment="1">
      <alignment vertical="center"/>
    </xf>
    <xf numFmtId="0" fontId="59" fillId="0" borderId="33" xfId="7" applyFont="1" applyBorder="1" applyAlignment="1">
      <alignment horizontal="center" vertical="center"/>
    </xf>
    <xf numFmtId="2" fontId="59" fillId="0" borderId="33" xfId="7" applyNumberFormat="1" applyFont="1" applyBorder="1" applyAlignment="1">
      <alignment vertical="center"/>
    </xf>
    <xf numFmtId="4" fontId="59" fillId="0" borderId="130" xfId="7" applyNumberFormat="1" applyFont="1" applyBorder="1" applyAlignment="1">
      <alignment horizontal="center" vertical="center"/>
    </xf>
    <xf numFmtId="4" fontId="59" fillId="0" borderId="12" xfId="7" applyNumberFormat="1" applyFont="1" applyBorder="1" applyAlignment="1">
      <alignment horizontal="center" vertical="center"/>
    </xf>
    <xf numFmtId="0" fontId="58" fillId="0" borderId="13" xfId="0" applyFont="1" applyBorder="1" applyAlignment="1">
      <alignment vertical="center"/>
    </xf>
    <xf numFmtId="0" fontId="58" fillId="0" borderId="14" xfId="0" applyFont="1" applyBorder="1" applyAlignment="1">
      <alignment vertical="center"/>
    </xf>
    <xf numFmtId="0" fontId="58" fillId="0" borderId="15" xfId="0" applyFont="1" applyBorder="1" applyAlignment="1">
      <alignment vertical="center"/>
    </xf>
    <xf numFmtId="0" fontId="61" fillId="0" borderId="13" xfId="7" applyFont="1" applyBorder="1" applyAlignment="1">
      <alignment vertical="center"/>
    </xf>
    <xf numFmtId="0" fontId="61" fillId="0" borderId="14" xfId="7" applyFont="1" applyBorder="1" applyAlignment="1">
      <alignment vertical="center"/>
    </xf>
    <xf numFmtId="0" fontId="59" fillId="0" borderId="14" xfId="7" applyFont="1" applyBorder="1" applyAlignment="1">
      <alignment vertical="center"/>
    </xf>
    <xf numFmtId="0" fontId="59" fillId="0" borderId="14" xfId="7" applyFont="1" applyBorder="1" applyAlignment="1">
      <alignment horizontal="center" vertical="center"/>
    </xf>
    <xf numFmtId="2" fontId="59" fillId="0" borderId="14" xfId="7" applyNumberFormat="1" applyFont="1" applyBorder="1" applyAlignment="1">
      <alignment vertical="center"/>
    </xf>
    <xf numFmtId="4" fontId="59" fillId="0" borderId="15" xfId="7" applyNumberFormat="1" applyFont="1" applyBorder="1" applyAlignment="1">
      <alignment horizontal="center" vertical="center"/>
    </xf>
    <xf numFmtId="2" fontId="0" fillId="0" borderId="0" xfId="0" applyNumberFormat="1"/>
    <xf numFmtId="0" fontId="58" fillId="0" borderId="0" xfId="0" applyFont="1" applyFill="1" applyBorder="1" applyAlignment="1">
      <alignment vertical="center"/>
    </xf>
    <xf numFmtId="0" fontId="56" fillId="14" borderId="46" xfId="0" applyFont="1" applyFill="1" applyBorder="1" applyAlignment="1">
      <alignment horizontal="center" vertical="center"/>
    </xf>
    <xf numFmtId="2" fontId="56" fillId="14" borderId="46" xfId="0" applyNumberFormat="1" applyFont="1" applyFill="1" applyBorder="1" applyAlignment="1">
      <alignment horizontal="center" vertical="center"/>
    </xf>
    <xf numFmtId="0" fontId="57" fillId="14" borderId="46" xfId="0" applyFont="1" applyFill="1" applyBorder="1" applyAlignment="1">
      <alignment horizontal="center" vertical="center" wrapText="1"/>
    </xf>
    <xf numFmtId="0" fontId="59" fillId="23" borderId="49" xfId="0" applyFont="1" applyFill="1" applyBorder="1" applyAlignment="1">
      <alignment horizontal="center" vertical="center"/>
    </xf>
    <xf numFmtId="12" fontId="59" fillId="23" borderId="49" xfId="0" applyNumberFormat="1" applyFont="1" applyFill="1" applyBorder="1" applyAlignment="1">
      <alignment horizontal="center" vertical="center"/>
    </xf>
    <xf numFmtId="2" fontId="59" fillId="23" borderId="49" xfId="0" applyNumberFormat="1" applyFont="1" applyFill="1" applyBorder="1" applyAlignment="1">
      <alignment horizontal="center" vertical="center"/>
    </xf>
    <xf numFmtId="2" fontId="59" fillId="23" borderId="49" xfId="0" applyNumberFormat="1" applyFont="1" applyFill="1" applyBorder="1" applyAlignment="1">
      <alignment vertical="center"/>
    </xf>
    <xf numFmtId="0" fontId="59" fillId="23" borderId="45" xfId="0" applyFont="1" applyFill="1" applyBorder="1" applyAlignment="1">
      <alignment horizontal="center" vertical="center"/>
    </xf>
    <xf numFmtId="12" fontId="59" fillId="23" borderId="6" xfId="0" applyNumberFormat="1" applyFont="1" applyFill="1" applyBorder="1" applyAlignment="1">
      <alignment horizontal="center" vertical="center"/>
    </xf>
    <xf numFmtId="2" fontId="59" fillId="23" borderId="6" xfId="0" applyNumberFormat="1" applyFont="1" applyFill="1" applyBorder="1" applyAlignment="1">
      <alignment horizontal="center" vertical="center"/>
    </xf>
    <xf numFmtId="2" fontId="59" fillId="23" borderId="44" xfId="0" applyNumberFormat="1" applyFont="1" applyFill="1" applyBorder="1" applyAlignment="1">
      <alignment vertical="center"/>
    </xf>
    <xf numFmtId="0" fontId="59" fillId="25" borderId="48" xfId="0" applyFont="1" applyFill="1" applyBorder="1" applyAlignment="1">
      <alignment horizontal="center" vertical="center"/>
    </xf>
    <xf numFmtId="12" fontId="59" fillId="25" borderId="47" xfId="0" applyNumberFormat="1" applyFont="1" applyFill="1" applyBorder="1" applyAlignment="1">
      <alignment horizontal="center" vertical="center"/>
    </xf>
    <xf numFmtId="2" fontId="59" fillId="25" borderId="47" xfId="0" applyNumberFormat="1" applyFont="1" applyFill="1" applyBorder="1" applyAlignment="1">
      <alignment horizontal="center" vertical="center"/>
    </xf>
    <xf numFmtId="2" fontId="59" fillId="25" borderId="131" xfId="0" applyNumberFormat="1" applyFont="1" applyFill="1" applyBorder="1" applyAlignment="1">
      <alignment vertical="center"/>
    </xf>
    <xf numFmtId="0" fontId="59" fillId="27" borderId="49" xfId="0" applyFont="1" applyFill="1" applyBorder="1" applyAlignment="1">
      <alignment horizontal="center" vertical="center"/>
    </xf>
    <xf numFmtId="12" fontId="59" fillId="27" borderId="49" xfId="0" applyNumberFormat="1" applyFont="1" applyFill="1" applyBorder="1" applyAlignment="1">
      <alignment horizontal="center" vertical="center"/>
    </xf>
    <xf numFmtId="2" fontId="59" fillId="27" borderId="49" xfId="0" applyNumberFormat="1" applyFont="1" applyFill="1" applyBorder="1" applyAlignment="1">
      <alignment horizontal="center" vertical="center"/>
    </xf>
    <xf numFmtId="2" fontId="59" fillId="27" borderId="49" xfId="0" applyNumberFormat="1" applyFont="1" applyFill="1" applyBorder="1" applyAlignment="1">
      <alignment vertical="center"/>
    </xf>
    <xf numFmtId="2" fontId="58" fillId="0" borderId="128" xfId="0" applyNumberFormat="1" applyFont="1" applyBorder="1" applyAlignment="1">
      <alignment vertical="center"/>
    </xf>
    <xf numFmtId="0" fontId="61" fillId="0" borderId="0" xfId="7" applyFont="1" applyBorder="1" applyAlignment="1">
      <alignment horizontal="left" vertical="center"/>
    </xf>
    <xf numFmtId="0" fontId="61" fillId="0" borderId="33" xfId="7" applyFont="1" applyBorder="1" applyAlignment="1">
      <alignment horizontal="left" vertical="center"/>
    </xf>
    <xf numFmtId="0" fontId="5" fillId="0" borderId="135" xfId="60" applyFont="1" applyBorder="1" applyAlignment="1">
      <alignment horizontal="center" vertical="center"/>
    </xf>
    <xf numFmtId="0" fontId="5" fillId="0" borderId="136" xfId="60" applyFont="1" applyBorder="1" applyAlignment="1">
      <alignment horizontal="center" vertical="center"/>
    </xf>
    <xf numFmtId="0" fontId="5" fillId="0" borderId="137" xfId="60" applyFont="1" applyBorder="1" applyAlignment="1">
      <alignment horizontal="center" vertical="center"/>
    </xf>
    <xf numFmtId="10" fontId="6" fillId="0" borderId="6" xfId="60" applyNumberFormat="1" applyFont="1" applyBorder="1" applyAlignment="1">
      <alignment horizontal="center" vertical="center"/>
    </xf>
    <xf numFmtId="2" fontId="6" fillId="0" borderId="139" xfId="71" applyNumberFormat="1" applyFont="1" applyBorder="1" applyAlignment="1">
      <alignment horizontal="center" vertical="center"/>
    </xf>
    <xf numFmtId="10" fontId="6" fillId="0" borderId="49" xfId="60" applyNumberFormat="1" applyFont="1" applyBorder="1" applyAlignment="1">
      <alignment horizontal="center" vertical="center"/>
    </xf>
    <xf numFmtId="2" fontId="6" fillId="0" borderId="141" xfId="60" applyNumberFormat="1" applyFont="1" applyBorder="1" applyAlignment="1">
      <alignment horizontal="center" vertical="center"/>
    </xf>
    <xf numFmtId="2" fontId="6" fillId="0" borderId="139" xfId="60" applyNumberFormat="1" applyFont="1" applyBorder="1" applyAlignment="1">
      <alignment horizontal="center" vertical="center"/>
    </xf>
    <xf numFmtId="10" fontId="6" fillId="0" borderId="46" xfId="60" applyNumberFormat="1" applyFont="1" applyBorder="1" applyAlignment="1">
      <alignment horizontal="center" vertical="center"/>
    </xf>
    <xf numFmtId="0" fontId="6" fillId="0" borderId="0" xfId="60" applyFont="1" applyAlignment="1">
      <alignment vertical="center"/>
    </xf>
    <xf numFmtId="0" fontId="5" fillId="0" borderId="138" xfId="60" applyFont="1" applyFill="1" applyBorder="1" applyAlignment="1">
      <alignment horizontal="center" vertical="center"/>
    </xf>
    <xf numFmtId="187" fontId="6" fillId="0" borderId="6" xfId="60" applyNumberFormat="1" applyFont="1" applyFill="1" applyBorder="1" applyAlignment="1">
      <alignment vertical="center"/>
    </xf>
    <xf numFmtId="0" fontId="5" fillId="0" borderId="140" xfId="60" applyFont="1" applyFill="1" applyBorder="1" applyAlignment="1">
      <alignment horizontal="center" vertical="center"/>
    </xf>
    <xf numFmtId="187" fontId="6" fillId="0" borderId="49" xfId="60" applyNumberFormat="1" applyFont="1" applyFill="1" applyBorder="1" applyAlignment="1">
      <alignment vertical="center"/>
    </xf>
    <xf numFmtId="187" fontId="5" fillId="0" borderId="49" xfId="60" applyNumberFormat="1" applyFont="1" applyFill="1" applyBorder="1" applyAlignment="1">
      <alignment vertical="center"/>
    </xf>
    <xf numFmtId="0" fontId="6" fillId="0" borderId="49" xfId="60" applyFont="1" applyBorder="1" applyAlignment="1">
      <alignment vertical="center"/>
    </xf>
    <xf numFmtId="0" fontId="6" fillId="0" borderId="49" xfId="60" applyFont="1" applyFill="1" applyBorder="1" applyAlignment="1">
      <alignment vertical="center"/>
    </xf>
    <xf numFmtId="0" fontId="6" fillId="0" borderId="49" xfId="60" applyFont="1" applyBorder="1" applyAlignment="1">
      <alignment vertical="center" wrapText="1"/>
    </xf>
    <xf numFmtId="0" fontId="5" fillId="0" borderId="143" xfId="60" applyFont="1" applyFill="1" applyBorder="1" applyAlignment="1">
      <alignment horizontal="center" vertical="center"/>
    </xf>
    <xf numFmtId="187" fontId="5" fillId="0" borderId="46" xfId="60" applyNumberFormat="1" applyFont="1" applyFill="1" applyBorder="1" applyAlignment="1">
      <alignment vertical="center"/>
    </xf>
    <xf numFmtId="0" fontId="5" fillId="0" borderId="143" xfId="60" applyFont="1" applyBorder="1" applyAlignment="1">
      <alignment horizontal="center" vertical="center"/>
    </xf>
    <xf numFmtId="0" fontId="6" fillId="0" borderId="46" xfId="60" applyFont="1" applyBorder="1" applyAlignment="1">
      <alignment vertical="center"/>
    </xf>
    <xf numFmtId="2" fontId="5" fillId="0" borderId="144" xfId="60" applyNumberFormat="1" applyFont="1" applyBorder="1" applyAlignment="1">
      <alignment horizontal="center" vertical="center"/>
    </xf>
    <xf numFmtId="0" fontId="6" fillId="0" borderId="35" xfId="60" applyFont="1" applyBorder="1" applyAlignment="1">
      <alignment vertical="center"/>
    </xf>
    <xf numFmtId="0" fontId="6" fillId="0" borderId="0" xfId="60" applyFont="1" applyBorder="1" applyAlignment="1">
      <alignment vertical="center"/>
    </xf>
    <xf numFmtId="10" fontId="6" fillId="0" borderId="0" xfId="60" applyNumberFormat="1" applyFont="1" applyBorder="1" applyAlignment="1">
      <alignment horizontal="center" vertical="center"/>
    </xf>
    <xf numFmtId="0" fontId="10" fillId="0" borderId="0" xfId="60" applyFont="1" applyAlignment="1">
      <alignment wrapText="1"/>
    </xf>
    <xf numFmtId="0" fontId="10" fillId="0" borderId="49" xfId="60" applyFont="1" applyBorder="1" applyAlignment="1">
      <alignment wrapText="1"/>
    </xf>
    <xf numFmtId="0" fontId="10" fillId="0" borderId="49" xfId="60" applyFont="1" applyBorder="1" applyAlignment="1">
      <alignment horizontal="center" wrapText="1"/>
    </xf>
    <xf numFmtId="4" fontId="12" fillId="3" borderId="49" xfId="60" applyNumberFormat="1" applyFont="1" applyFill="1" applyBorder="1" applyAlignment="1">
      <alignment wrapText="1"/>
    </xf>
    <xf numFmtId="4" fontId="10" fillId="3" borderId="49" xfId="60" applyNumberFormat="1" applyFont="1" applyFill="1" applyBorder="1" applyAlignment="1">
      <alignment wrapText="1"/>
    </xf>
    <xf numFmtId="4" fontId="12" fillId="0" borderId="49" xfId="60" applyNumberFormat="1" applyFont="1" applyBorder="1" applyAlignment="1">
      <alignment wrapText="1"/>
    </xf>
    <xf numFmtId="4" fontId="10" fillId="0" borderId="49" xfId="60" applyNumberFormat="1" applyFont="1" applyBorder="1" applyAlignment="1">
      <alignment wrapText="1"/>
    </xf>
    <xf numFmtId="4" fontId="10" fillId="0" borderId="0" xfId="60" applyNumberFormat="1" applyFont="1" applyAlignment="1">
      <alignment wrapText="1"/>
    </xf>
    <xf numFmtId="3" fontId="10" fillId="0" borderId="0" xfId="60" applyNumberFormat="1" applyFont="1" applyAlignment="1">
      <alignment wrapText="1"/>
    </xf>
    <xf numFmtId="4" fontId="10" fillId="0" borderId="49" xfId="60" applyNumberFormat="1" applyFont="1" applyFill="1" applyBorder="1" applyAlignment="1">
      <alignment wrapText="1"/>
    </xf>
    <xf numFmtId="165" fontId="4" fillId="0" borderId="0" xfId="1" applyFont="1" applyBorder="1"/>
    <xf numFmtId="165" fontId="58" fillId="0" borderId="50" xfId="1" applyFont="1" applyBorder="1" applyAlignment="1">
      <alignment vertical="center"/>
    </xf>
    <xf numFmtId="10" fontId="4" fillId="0" borderId="0" xfId="5" applyNumberFormat="1" applyFont="1" applyBorder="1" applyAlignment="1">
      <alignment horizontal="right"/>
    </xf>
    <xf numFmtId="0" fontId="29" fillId="0" borderId="0" xfId="0" applyFont="1" applyAlignment="1">
      <alignment horizontal="center" vertical="center" wrapText="1"/>
    </xf>
    <xf numFmtId="0" fontId="14" fillId="0" borderId="0" xfId="0" applyFont="1" applyAlignment="1">
      <alignment horizontal="center" vertical="center" wrapText="1"/>
    </xf>
    <xf numFmtId="0" fontId="22" fillId="0" borderId="49" xfId="0" applyFont="1" applyBorder="1" applyAlignment="1">
      <alignment horizontal="center" vertical="center" wrapText="1"/>
    </xf>
    <xf numFmtId="0" fontId="22" fillId="0" borderId="0" xfId="0" applyFont="1" applyAlignment="1">
      <alignment horizontal="center" vertical="center" wrapText="1"/>
    </xf>
    <xf numFmtId="0" fontId="29" fillId="0" borderId="49" xfId="0" applyFont="1" applyBorder="1" applyAlignment="1">
      <alignment horizontal="center" vertical="center" wrapText="1"/>
    </xf>
    <xf numFmtId="177" fontId="29" fillId="0" borderId="49" xfId="51" applyNumberFormat="1" applyFont="1" applyBorder="1" applyAlignment="1">
      <alignment horizontal="center" vertical="center" wrapText="1"/>
    </xf>
    <xf numFmtId="0" fontId="14" fillId="0" borderId="49" xfId="0" applyFont="1" applyBorder="1" applyAlignment="1">
      <alignment horizontal="left" vertical="center" wrapText="1"/>
    </xf>
    <xf numFmtId="177" fontId="14" fillId="0" borderId="49" xfId="51" applyNumberFormat="1" applyFont="1" applyBorder="1" applyAlignment="1">
      <alignment horizontal="center" vertical="center" wrapText="1"/>
    </xf>
    <xf numFmtId="0" fontId="14" fillId="0" borderId="0" xfId="0" applyFont="1" applyAlignment="1">
      <alignment horizontal="left" vertical="center" wrapText="1"/>
    </xf>
    <xf numFmtId="177" fontId="14" fillId="0" borderId="0" xfId="51" applyNumberFormat="1" applyFont="1" applyAlignment="1">
      <alignment horizontal="center" vertical="center" wrapText="1"/>
    </xf>
    <xf numFmtId="0" fontId="6" fillId="0" borderId="0" xfId="0" applyFont="1" applyBorder="1"/>
    <xf numFmtId="0" fontId="29" fillId="0" borderId="49" xfId="0" applyFont="1" applyFill="1" applyBorder="1" applyAlignment="1">
      <alignment horizontal="center" vertical="center" wrapText="1"/>
    </xf>
    <xf numFmtId="0" fontId="63" fillId="0" borderId="0" xfId="0" applyFont="1" applyBorder="1" applyAlignment="1">
      <alignment horizontal="justify"/>
    </xf>
    <xf numFmtId="0" fontId="5" fillId="0" borderId="49" xfId="0" applyFont="1" applyBorder="1" applyAlignment="1">
      <alignment horizontal="center" vertical="center"/>
    </xf>
    <xf numFmtId="0" fontId="5" fillId="0" borderId="49" xfId="0" applyFont="1" applyBorder="1" applyAlignment="1">
      <alignment horizontal="center" vertical="center" wrapText="1"/>
    </xf>
    <xf numFmtId="170" fontId="5" fillId="0" borderId="49" xfId="45" applyNumberFormat="1" applyFont="1" applyBorder="1" applyAlignment="1">
      <alignment horizontal="center" vertical="center"/>
    </xf>
    <xf numFmtId="4" fontId="5" fillId="0" borderId="49" xfId="0" applyNumberFormat="1" applyFont="1" applyBorder="1" applyAlignment="1">
      <alignment horizontal="right" vertical="center" wrapText="1"/>
    </xf>
    <xf numFmtId="4" fontId="5" fillId="0" borderId="49" xfId="0" applyNumberFormat="1" applyFont="1" applyBorder="1" applyAlignment="1">
      <alignment horizontal="right" vertical="center"/>
    </xf>
    <xf numFmtId="167" fontId="5" fillId="2" borderId="49" xfId="0" applyNumberFormat="1" applyFont="1" applyFill="1" applyBorder="1" applyAlignment="1">
      <alignment horizontal="center" vertical="center"/>
    </xf>
    <xf numFmtId="0" fontId="5" fillId="2" borderId="49" xfId="0" applyFont="1" applyFill="1" applyBorder="1" applyAlignment="1">
      <alignment horizontal="justify" vertical="center" wrapText="1"/>
    </xf>
    <xf numFmtId="0" fontId="5" fillId="2" borderId="49" xfId="0" applyFont="1" applyFill="1" applyBorder="1" applyAlignment="1">
      <alignment horizontal="center" vertical="center" wrapText="1"/>
    </xf>
    <xf numFmtId="170" fontId="5" fillId="2" borderId="49" xfId="0" applyNumberFormat="1" applyFont="1" applyFill="1" applyBorder="1" applyAlignment="1">
      <alignment horizontal="right" vertical="center" wrapText="1"/>
    </xf>
    <xf numFmtId="178" fontId="5" fillId="2" borderId="49" xfId="51" applyNumberFormat="1" applyFont="1" applyFill="1" applyBorder="1" applyAlignment="1">
      <alignment horizontal="right" vertical="center" wrapText="1"/>
    </xf>
    <xf numFmtId="167" fontId="6" fillId="0" borderId="49" xfId="0" applyNumberFormat="1" applyFont="1" applyBorder="1" applyAlignment="1">
      <alignment horizontal="center" vertical="center"/>
    </xf>
    <xf numFmtId="0" fontId="6" fillId="0" borderId="49" xfId="0" applyFont="1" applyFill="1" applyBorder="1" applyAlignment="1">
      <alignment horizontal="justify" vertical="center" wrapText="1"/>
    </xf>
    <xf numFmtId="0" fontId="6" fillId="0" borderId="49" xfId="0" applyFont="1" applyFill="1" applyBorder="1" applyAlignment="1">
      <alignment horizontal="center" vertical="center" wrapText="1"/>
    </xf>
    <xf numFmtId="170" fontId="7" fillId="0" borderId="49" xfId="0" applyNumberFormat="1" applyFont="1" applyBorder="1" applyAlignment="1">
      <alignment horizontal="right" vertical="center" wrapText="1"/>
    </xf>
    <xf numFmtId="178" fontId="7" fillId="0" borderId="49" xfId="51" applyNumberFormat="1" applyFont="1" applyBorder="1" applyAlignment="1">
      <alignment horizontal="right" vertical="center" wrapText="1"/>
    </xf>
    <xf numFmtId="170" fontId="5" fillId="2" borderId="49" xfId="45" applyNumberFormat="1" applyFont="1" applyFill="1" applyBorder="1" applyAlignment="1">
      <alignment horizontal="right" vertical="center" wrapText="1"/>
    </xf>
    <xf numFmtId="178" fontId="7" fillId="2" borderId="49" xfId="51" applyNumberFormat="1" applyFont="1" applyFill="1" applyBorder="1" applyAlignment="1">
      <alignment horizontal="right" vertical="center" wrapText="1"/>
    </xf>
    <xf numFmtId="178" fontId="8" fillId="2" borderId="49" xfId="51" applyNumberFormat="1" applyFont="1" applyFill="1" applyBorder="1" applyAlignment="1">
      <alignment horizontal="right" vertical="center" wrapText="1"/>
    </xf>
    <xf numFmtId="0" fontId="5" fillId="2" borderId="49" xfId="0" applyFont="1" applyFill="1" applyBorder="1" applyAlignment="1">
      <alignment horizontal="right" vertical="center" wrapText="1"/>
    </xf>
    <xf numFmtId="170" fontId="8" fillId="2" borderId="49" xfId="45" applyNumberFormat="1" applyFont="1" applyFill="1" applyBorder="1" applyAlignment="1">
      <alignment horizontal="right" vertical="center" wrapText="1"/>
    </xf>
    <xf numFmtId="167" fontId="21" fillId="0" borderId="49" xfId="0" applyNumberFormat="1" applyFont="1" applyBorder="1" applyAlignment="1">
      <alignment horizontal="center" vertical="center"/>
    </xf>
    <xf numFmtId="170" fontId="7" fillId="0" borderId="49" xfId="45" applyNumberFormat="1" applyFont="1" applyBorder="1" applyAlignment="1">
      <alignment horizontal="right" vertical="center" wrapText="1"/>
    </xf>
    <xf numFmtId="170" fontId="7" fillId="0" borderId="49" xfId="0" applyNumberFormat="1" applyFont="1" applyFill="1" applyBorder="1" applyAlignment="1">
      <alignment horizontal="right" vertical="center" wrapText="1"/>
    </xf>
    <xf numFmtId="167" fontId="21" fillId="0" borderId="49" xfId="0" applyNumberFormat="1" applyFont="1" applyFill="1" applyBorder="1" applyAlignment="1">
      <alignment horizontal="center" vertical="center"/>
    </xf>
    <xf numFmtId="167" fontId="33" fillId="2" borderId="49" xfId="0" applyNumberFormat="1" applyFont="1" applyFill="1" applyBorder="1" applyAlignment="1">
      <alignment horizontal="center" vertical="center"/>
    </xf>
    <xf numFmtId="170" fontId="8" fillId="2" borderId="49" xfId="0" applyNumberFormat="1" applyFont="1" applyFill="1" applyBorder="1" applyAlignment="1">
      <alignment horizontal="right" vertical="center" wrapText="1"/>
    </xf>
    <xf numFmtId="170" fontId="6" fillId="0" borderId="49" xfId="45" applyNumberFormat="1" applyFont="1" applyFill="1" applyBorder="1" applyAlignment="1">
      <alignment horizontal="right" vertical="center" wrapText="1"/>
    </xf>
    <xf numFmtId="167" fontId="6" fillId="0" borderId="49" xfId="0" applyNumberFormat="1" applyFont="1" applyFill="1" applyBorder="1" applyAlignment="1">
      <alignment horizontal="center" vertical="center"/>
    </xf>
    <xf numFmtId="170" fontId="7" fillId="0" borderId="49" xfId="45" applyNumberFormat="1" applyFont="1" applyFill="1" applyBorder="1" applyAlignment="1">
      <alignment horizontal="right" vertical="center" wrapText="1"/>
    </xf>
    <xf numFmtId="167" fontId="5" fillId="0" borderId="49" xfId="0" applyNumberFormat="1" applyFont="1" applyFill="1" applyBorder="1" applyAlignment="1">
      <alignment horizontal="center" vertical="center"/>
    </xf>
    <xf numFmtId="4" fontId="6" fillId="0" borderId="49" xfId="0" applyNumberFormat="1" applyFont="1" applyFill="1" applyBorder="1" applyAlignment="1">
      <alignment horizontal="center" vertical="center" wrapText="1"/>
    </xf>
    <xf numFmtId="4" fontId="5" fillId="2" borderId="49" xfId="0" applyNumberFormat="1" applyFont="1" applyFill="1" applyBorder="1" applyAlignment="1">
      <alignment horizontal="center" vertical="center" wrapText="1"/>
    </xf>
    <xf numFmtId="178" fontId="7" fillId="0" borderId="49" xfId="51" applyNumberFormat="1" applyFont="1" applyFill="1" applyBorder="1" applyAlignment="1">
      <alignment horizontal="right" vertical="center" wrapText="1"/>
    </xf>
    <xf numFmtId="167" fontId="6" fillId="2" borderId="49" xfId="0" applyNumberFormat="1" applyFont="1" applyFill="1" applyBorder="1" applyAlignment="1">
      <alignment horizontal="center" vertical="center"/>
    </xf>
    <xf numFmtId="0" fontId="6" fillId="2" borderId="49" xfId="0" applyFont="1" applyFill="1" applyBorder="1" applyAlignment="1">
      <alignment horizontal="center" vertical="center" wrapText="1"/>
    </xf>
    <xf numFmtId="170" fontId="7" fillId="2" borderId="49" xfId="45" applyNumberFormat="1" applyFont="1" applyFill="1" applyBorder="1" applyAlignment="1">
      <alignment horizontal="right" vertical="center" wrapText="1"/>
    </xf>
    <xf numFmtId="4" fontId="6" fillId="2" borderId="49" xfId="0" applyNumberFormat="1" applyFont="1" applyFill="1" applyBorder="1" applyAlignment="1">
      <alignment horizontal="justify" vertical="center" wrapText="1"/>
    </xf>
    <xf numFmtId="4" fontId="7" fillId="2" borderId="49" xfId="0" applyNumberFormat="1" applyFont="1" applyFill="1" applyBorder="1" applyAlignment="1">
      <alignment horizontal="center" vertical="center" wrapText="1"/>
    </xf>
    <xf numFmtId="4" fontId="7" fillId="2" borderId="49" xfId="0" applyNumberFormat="1" applyFont="1" applyFill="1" applyBorder="1" applyAlignment="1">
      <alignment horizontal="right" vertical="center" wrapText="1"/>
    </xf>
    <xf numFmtId="4" fontId="8" fillId="0" borderId="49" xfId="0" applyNumberFormat="1" applyFont="1" applyBorder="1" applyAlignment="1">
      <alignment horizontal="right" vertical="center" wrapText="1"/>
    </xf>
    <xf numFmtId="0" fontId="6" fillId="0" borderId="49" xfId="0" applyFont="1" applyBorder="1" applyAlignment="1">
      <alignment horizontal="justify" vertical="center" wrapText="1"/>
    </xf>
    <xf numFmtId="10" fontId="7" fillId="0" borderId="49" xfId="0" applyNumberFormat="1" applyFont="1" applyBorder="1" applyAlignment="1">
      <alignment horizontal="center" vertical="center" wrapText="1"/>
    </xf>
    <xf numFmtId="170" fontId="5" fillId="0" borderId="49" xfId="45" applyNumberFormat="1" applyFont="1" applyBorder="1" applyAlignment="1">
      <alignment horizontal="right" vertical="center" wrapText="1"/>
    </xf>
    <xf numFmtId="4" fontId="7" fillId="0" borderId="49" xfId="0" applyNumberFormat="1" applyFont="1" applyBorder="1" applyAlignment="1">
      <alignment horizontal="right" vertical="center" wrapText="1"/>
    </xf>
    <xf numFmtId="0" fontId="7" fillId="2" borderId="49" xfId="0" applyFont="1" applyFill="1" applyBorder="1" applyAlignment="1">
      <alignment horizontal="center" vertical="center" wrapText="1"/>
    </xf>
    <xf numFmtId="4" fontId="5" fillId="2" borderId="49" xfId="0" applyNumberFormat="1" applyFont="1" applyFill="1" applyBorder="1" applyAlignment="1">
      <alignment horizontal="right" vertical="center" wrapText="1"/>
    </xf>
    <xf numFmtId="0" fontId="6" fillId="0" borderId="49" xfId="0" applyFont="1" applyBorder="1" applyAlignment="1">
      <alignment horizontal="center" vertical="center" wrapText="1"/>
    </xf>
    <xf numFmtId="170" fontId="6" fillId="0" borderId="49" xfId="45" applyNumberFormat="1" applyFont="1" applyBorder="1" applyAlignment="1">
      <alignment horizontal="right" vertical="center" wrapText="1"/>
    </xf>
    <xf numFmtId="4" fontId="6" fillId="0" borderId="49" xfId="0" applyNumberFormat="1" applyFont="1" applyBorder="1" applyAlignment="1">
      <alignment horizontal="right" vertical="center" wrapText="1"/>
    </xf>
    <xf numFmtId="170" fontId="6" fillId="2" borderId="49" xfId="45" applyNumberFormat="1" applyFont="1" applyFill="1" applyBorder="1" applyAlignment="1">
      <alignment horizontal="right" vertical="center" wrapText="1"/>
    </xf>
    <xf numFmtId="4" fontId="4" fillId="0" borderId="49" xfId="0" applyNumberFormat="1" applyFont="1" applyBorder="1" applyAlignment="1">
      <alignment horizontal="right"/>
    </xf>
    <xf numFmtId="4" fontId="63" fillId="2" borderId="49" xfId="0" applyNumberFormat="1" applyFont="1" applyFill="1" applyBorder="1" applyAlignment="1">
      <alignment horizontal="right" vertical="center"/>
    </xf>
    <xf numFmtId="0" fontId="66" fillId="0" borderId="0" xfId="0" applyFont="1" applyAlignment="1">
      <alignment vertical="center"/>
    </xf>
    <xf numFmtId="188" fontId="66" fillId="0" borderId="0" xfId="66" applyNumberFormat="1" applyFont="1" applyAlignment="1">
      <alignment vertical="center"/>
    </xf>
    <xf numFmtId="188" fontId="66" fillId="0" borderId="0" xfId="0" applyNumberFormat="1" applyFont="1" applyAlignment="1">
      <alignment vertical="center"/>
    </xf>
    <xf numFmtId="0" fontId="66" fillId="0" borderId="0" xfId="0" applyFont="1" applyAlignment="1">
      <alignment horizontal="center" vertical="center"/>
    </xf>
    <xf numFmtId="0" fontId="65" fillId="0" borderId="0" xfId="0" applyFont="1" applyAlignment="1">
      <alignment vertical="center" wrapText="1"/>
    </xf>
    <xf numFmtId="176" fontId="66" fillId="0" borderId="0" xfId="0" applyNumberFormat="1" applyFont="1" applyAlignment="1">
      <alignment vertical="center"/>
    </xf>
    <xf numFmtId="9" fontId="66" fillId="0" borderId="0" xfId="5" applyFont="1" applyAlignment="1">
      <alignment vertical="center"/>
    </xf>
    <xf numFmtId="10" fontId="66" fillId="0" borderId="0" xfId="0" applyNumberFormat="1" applyFont="1" applyAlignment="1">
      <alignment vertical="center"/>
    </xf>
    <xf numFmtId="10" fontId="66" fillId="0" borderId="0" xfId="5" applyNumberFormat="1" applyFont="1" applyAlignment="1">
      <alignment vertical="center"/>
    </xf>
    <xf numFmtId="4" fontId="65" fillId="0" borderId="0" xfId="66" applyNumberFormat="1" applyFont="1" applyAlignment="1">
      <alignment vertical="center"/>
    </xf>
    <xf numFmtId="0" fontId="69" fillId="0" borderId="0" xfId="0" applyFont="1" applyAlignment="1">
      <alignment vertical="center"/>
    </xf>
    <xf numFmtId="0" fontId="65" fillId="0" borderId="0" xfId="0" applyFont="1" applyAlignment="1">
      <alignment horizontal="center" vertical="center"/>
    </xf>
    <xf numFmtId="0" fontId="59" fillId="0" borderId="49" xfId="0" applyFont="1" applyBorder="1" applyAlignment="1">
      <alignment horizontal="center" vertical="center" wrapText="1"/>
    </xf>
    <xf numFmtId="2" fontId="59" fillId="0" borderId="49" xfId="0" applyNumberFormat="1" applyFont="1" applyBorder="1" applyAlignment="1">
      <alignment horizontal="center" vertical="center" wrapText="1"/>
    </xf>
    <xf numFmtId="176" fontId="56" fillId="0" borderId="49" xfId="0" applyNumberFormat="1" applyFont="1" applyBorder="1" applyAlignment="1">
      <alignment horizontal="center" vertical="center" wrapText="1"/>
    </xf>
    <xf numFmtId="0" fontId="69" fillId="0" borderId="49" xfId="0" applyFont="1" applyBorder="1" applyAlignment="1">
      <alignment horizontal="center" vertical="center" wrapText="1"/>
    </xf>
    <xf numFmtId="9" fontId="69" fillId="0" borderId="49" xfId="5" applyFont="1" applyBorder="1" applyAlignment="1">
      <alignment horizontal="center" vertical="center" wrapText="1"/>
    </xf>
    <xf numFmtId="10" fontId="56" fillId="0" borderId="49" xfId="5" applyNumberFormat="1" applyFont="1" applyBorder="1" applyAlignment="1">
      <alignment horizontal="center" vertical="center" wrapText="1"/>
    </xf>
    <xf numFmtId="0" fontId="59" fillId="0" borderId="0" xfId="0" applyFont="1" applyAlignment="1">
      <alignment horizontal="center" vertical="center" wrapText="1"/>
    </xf>
    <xf numFmtId="0" fontId="66" fillId="0" borderId="49" xfId="0" applyFont="1" applyBorder="1" applyAlignment="1">
      <alignment horizontal="center" vertical="center"/>
    </xf>
    <xf numFmtId="0" fontId="66" fillId="0" borderId="49" xfId="0" applyFont="1" applyBorder="1" applyAlignment="1">
      <alignment horizontal="center" vertical="center" wrapText="1"/>
    </xf>
    <xf numFmtId="176" fontId="73" fillId="0" borderId="49" xfId="0" applyNumberFormat="1" applyFont="1" applyBorder="1" applyAlignment="1">
      <alignment vertical="center"/>
    </xf>
    <xf numFmtId="165" fontId="73" fillId="0" borderId="49" xfId="74" applyFont="1" applyBorder="1" applyAlignment="1">
      <alignment vertical="center"/>
    </xf>
    <xf numFmtId="9" fontId="73" fillId="0" borderId="49" xfId="5" applyFont="1" applyBorder="1" applyAlignment="1">
      <alignment vertical="center"/>
    </xf>
    <xf numFmtId="10" fontId="73" fillId="0" borderId="49" xfId="5" applyNumberFormat="1" applyFont="1" applyBorder="1" applyAlignment="1">
      <alignment vertical="center"/>
    </xf>
    <xf numFmtId="0" fontId="73" fillId="0" borderId="49" xfId="0" applyFont="1" applyBorder="1" applyAlignment="1">
      <alignment vertical="center"/>
    </xf>
    <xf numFmtId="0" fontId="74" fillId="0" borderId="49" xfId="0" applyFont="1" applyBorder="1" applyAlignment="1">
      <alignment horizontal="left" vertical="center"/>
    </xf>
    <xf numFmtId="0" fontId="75" fillId="0" borderId="49" xfId="0" applyFont="1" applyBorder="1" applyAlignment="1">
      <alignment vertical="center" wrapText="1"/>
    </xf>
    <xf numFmtId="0" fontId="74" fillId="0" borderId="49" xfId="0" applyFont="1" applyBorder="1" applyAlignment="1">
      <alignment horizontal="center" vertical="center"/>
    </xf>
    <xf numFmtId="176" fontId="76" fillId="0" borderId="49" xfId="0" applyNumberFormat="1" applyFont="1" applyBorder="1" applyAlignment="1">
      <alignment vertical="center"/>
    </xf>
    <xf numFmtId="165" fontId="76" fillId="0" borderId="49" xfId="74" applyFont="1" applyBorder="1" applyAlignment="1">
      <alignment vertical="center"/>
    </xf>
    <xf numFmtId="9" fontId="76" fillId="0" borderId="49" xfId="5" applyFont="1" applyBorder="1" applyAlignment="1">
      <alignment vertical="center"/>
    </xf>
    <xf numFmtId="10" fontId="76" fillId="0" borderId="49" xfId="5" applyNumberFormat="1" applyFont="1" applyBorder="1" applyAlignment="1">
      <alignment horizontal="center" vertical="center"/>
    </xf>
    <xf numFmtId="4" fontId="76" fillId="0" borderId="49" xfId="5" applyNumberFormat="1" applyFont="1" applyBorder="1" applyAlignment="1">
      <alignment horizontal="center" vertical="center"/>
    </xf>
    <xf numFmtId="188" fontId="76" fillId="0" borderId="49" xfId="66" applyNumberFormat="1" applyFont="1" applyBorder="1" applyAlignment="1">
      <alignment vertical="center"/>
    </xf>
    <xf numFmtId="0" fontId="74" fillId="0" borderId="0" xfId="0" applyFont="1" applyAlignment="1">
      <alignment vertical="center"/>
    </xf>
    <xf numFmtId="165" fontId="74" fillId="0" borderId="0" xfId="0" applyNumberFormat="1" applyFont="1" applyAlignment="1">
      <alignment vertical="center"/>
    </xf>
    <xf numFmtId="0" fontId="77" fillId="0" borderId="49" xfId="0" applyFont="1" applyBorder="1" applyAlignment="1">
      <alignment horizontal="left" vertical="center"/>
    </xf>
    <xf numFmtId="0" fontId="77" fillId="0" borderId="49" xfId="0" applyFont="1" applyBorder="1" applyAlignment="1">
      <alignment vertical="center" wrapText="1"/>
    </xf>
    <xf numFmtId="0" fontId="77" fillId="0" borderId="49" xfId="0" applyFont="1" applyBorder="1" applyAlignment="1">
      <alignment horizontal="center" vertical="center"/>
    </xf>
    <xf numFmtId="176" fontId="73" fillId="0" borderId="49" xfId="0" applyNumberFormat="1" applyFont="1" applyBorder="1" applyAlignment="1">
      <alignment horizontal="center" vertical="center"/>
    </xf>
    <xf numFmtId="188" fontId="73" fillId="0" borderId="49" xfId="66" applyNumberFormat="1" applyFont="1" applyBorder="1" applyAlignment="1">
      <alignment vertical="center"/>
    </xf>
    <xf numFmtId="10" fontId="73" fillId="0" borderId="49" xfId="5" applyNumberFormat="1" applyFont="1" applyBorder="1" applyAlignment="1">
      <alignment horizontal="center" vertical="center"/>
    </xf>
    <xf numFmtId="10" fontId="77" fillId="0" borderId="0" xfId="0" applyNumberFormat="1" applyFont="1" applyAlignment="1">
      <alignment vertical="center"/>
    </xf>
    <xf numFmtId="0" fontId="77" fillId="0" borderId="0" xfId="0" applyFont="1" applyAlignment="1">
      <alignment vertical="center"/>
    </xf>
    <xf numFmtId="0" fontId="77" fillId="0" borderId="49" xfId="0" applyFont="1" applyBorder="1" applyAlignment="1">
      <alignment vertical="center"/>
    </xf>
    <xf numFmtId="176" fontId="76" fillId="0" borderId="49" xfId="0" applyNumberFormat="1" applyFont="1" applyBorder="1" applyAlignment="1">
      <alignment horizontal="center" vertical="center"/>
    </xf>
    <xf numFmtId="0" fontId="74" fillId="0" borderId="49" xfId="0" applyFont="1" applyBorder="1" applyAlignment="1">
      <alignment vertical="center" wrapText="1"/>
    </xf>
    <xf numFmtId="0" fontId="78" fillId="0" borderId="49" xfId="0" applyFont="1" applyBorder="1" applyAlignment="1">
      <alignment vertical="center" wrapText="1"/>
    </xf>
    <xf numFmtId="2" fontId="74" fillId="0" borderId="49" xfId="0" applyNumberFormat="1" applyFont="1" applyBorder="1" applyAlignment="1">
      <alignment horizontal="left" vertical="center"/>
    </xf>
    <xf numFmtId="43" fontId="77" fillId="0" borderId="0" xfId="0" applyNumberFormat="1" applyFont="1" applyAlignment="1">
      <alignment vertical="center"/>
    </xf>
    <xf numFmtId="188" fontId="74" fillId="0" borderId="0" xfId="0" applyNumberFormat="1" applyFont="1" applyAlignment="1">
      <alignment vertical="center"/>
    </xf>
    <xf numFmtId="0" fontId="65" fillId="0" borderId="49" xfId="0" applyFont="1" applyBorder="1" applyAlignment="1">
      <alignment vertical="center" wrapText="1"/>
    </xf>
    <xf numFmtId="189" fontId="51" fillId="0" borderId="12" xfId="0" applyNumberFormat="1" applyFont="1" applyBorder="1"/>
    <xf numFmtId="0" fontId="66" fillId="0" borderId="49" xfId="0" applyFont="1" applyBorder="1" applyAlignment="1">
      <alignment vertical="center" wrapText="1"/>
    </xf>
    <xf numFmtId="190" fontId="66" fillId="0" borderId="0" xfId="0" applyNumberFormat="1" applyFont="1" applyAlignment="1">
      <alignment vertical="center"/>
    </xf>
    <xf numFmtId="0" fontId="66" fillId="0" borderId="49" xfId="0" applyFont="1" applyBorder="1" applyAlignment="1">
      <alignment vertical="center"/>
    </xf>
    <xf numFmtId="0" fontId="66" fillId="0" borderId="0" xfId="0" applyFont="1" applyAlignment="1">
      <alignment vertical="center" wrapText="1"/>
    </xf>
    <xf numFmtId="176" fontId="66" fillId="0" borderId="49" xfId="0" applyNumberFormat="1" applyFont="1" applyBorder="1" applyAlignment="1">
      <alignment vertical="center" wrapText="1"/>
    </xf>
    <xf numFmtId="4" fontId="65" fillId="0" borderId="49" xfId="74" applyNumberFormat="1" applyFont="1" applyBorder="1" applyAlignment="1">
      <alignment vertical="center" wrapText="1"/>
    </xf>
    <xf numFmtId="43" fontId="66" fillId="0" borderId="0" xfId="0" applyNumberFormat="1" applyFont="1" applyAlignment="1">
      <alignment vertical="center"/>
    </xf>
    <xf numFmtId="2" fontId="66" fillId="0" borderId="49" xfId="0" applyNumberFormat="1" applyFont="1" applyBorder="1" applyAlignment="1">
      <alignment vertical="center" wrapText="1"/>
    </xf>
    <xf numFmtId="191" fontId="80" fillId="0" borderId="49" xfId="74" applyNumberFormat="1" applyFont="1" applyBorder="1" applyAlignment="1">
      <alignment vertical="center" wrapText="1"/>
    </xf>
    <xf numFmtId="192" fontId="66" fillId="0" borderId="0" xfId="66" applyNumberFormat="1" applyFont="1" applyAlignment="1">
      <alignment vertical="center"/>
    </xf>
    <xf numFmtId="9" fontId="66" fillId="0" borderId="49" xfId="5" applyFont="1" applyBorder="1" applyAlignment="1">
      <alignment vertical="center" wrapText="1"/>
    </xf>
    <xf numFmtId="191" fontId="65" fillId="0" borderId="49" xfId="74" applyNumberFormat="1" applyFont="1" applyBorder="1" applyAlignment="1">
      <alignment vertical="center" wrapText="1"/>
    </xf>
    <xf numFmtId="191" fontId="66" fillId="0" borderId="0" xfId="0" applyNumberFormat="1" applyFont="1" applyAlignment="1">
      <alignment vertical="center"/>
    </xf>
    <xf numFmtId="191" fontId="66" fillId="0" borderId="0" xfId="74" applyNumberFormat="1" applyFont="1" applyAlignment="1">
      <alignment vertical="center"/>
    </xf>
    <xf numFmtId="165" fontId="66" fillId="0" borderId="0" xfId="74" applyFont="1" applyAlignment="1">
      <alignment vertical="center" wrapText="1"/>
    </xf>
    <xf numFmtId="165" fontId="66" fillId="0" borderId="0" xfId="74" applyFont="1" applyAlignment="1">
      <alignment horizontal="center" vertical="center"/>
    </xf>
    <xf numFmtId="176" fontId="66" fillId="0" borderId="0" xfId="74" applyNumberFormat="1" applyFont="1" applyAlignment="1">
      <alignment vertical="center"/>
    </xf>
    <xf numFmtId="179" fontId="8" fillId="0" borderId="49" xfId="0" applyNumberFormat="1" applyFont="1" applyBorder="1" applyAlignment="1">
      <alignment horizontal="right" vertical="center" wrapText="1"/>
    </xf>
    <xf numFmtId="0" fontId="22" fillId="0" borderId="49" xfId="0" applyFont="1" applyBorder="1" applyAlignment="1">
      <alignment horizontal="center" vertical="center" wrapText="1"/>
    </xf>
    <xf numFmtId="167" fontId="16" fillId="0" borderId="25" xfId="51" applyNumberFormat="1" applyFont="1" applyFill="1" applyBorder="1" applyAlignment="1">
      <alignment horizontal="center" vertical="center" wrapText="1"/>
    </xf>
    <xf numFmtId="0" fontId="6" fillId="0" borderId="3" xfId="0" applyFont="1" applyBorder="1" applyAlignment="1">
      <alignment horizontal="justify" vertical="center" wrapText="1"/>
    </xf>
    <xf numFmtId="0" fontId="29" fillId="0" borderId="46" xfId="0" applyFont="1" applyBorder="1" applyAlignment="1">
      <alignment horizontal="center" vertical="center" wrapText="1"/>
    </xf>
    <xf numFmtId="0" fontId="14" fillId="0" borderId="46" xfId="0" applyFont="1" applyBorder="1" applyAlignment="1">
      <alignment horizontal="left" vertical="center" wrapText="1"/>
    </xf>
    <xf numFmtId="177" fontId="14" fillId="0" borderId="46" xfId="51" applyNumberFormat="1" applyFont="1" applyBorder="1" applyAlignment="1">
      <alignment horizontal="center" vertical="center" wrapText="1"/>
    </xf>
    <xf numFmtId="0" fontId="14" fillId="0" borderId="49" xfId="0" applyFont="1" applyBorder="1" applyAlignment="1">
      <alignment horizontal="center" vertical="center" wrapText="1"/>
    </xf>
    <xf numFmtId="0" fontId="81" fillId="0" borderId="49" xfId="0" applyFont="1" applyBorder="1" applyAlignment="1">
      <alignment vertical="center" wrapText="1"/>
    </xf>
    <xf numFmtId="0" fontId="82" fillId="0" borderId="0" xfId="0" applyFont="1" applyAlignment="1">
      <alignment horizontal="justify" vertical="center"/>
    </xf>
    <xf numFmtId="177" fontId="14" fillId="0" borderId="49" xfId="51" applyNumberFormat="1" applyFont="1" applyBorder="1" applyAlignment="1">
      <alignment horizontal="left" vertical="center" wrapText="1"/>
    </xf>
    <xf numFmtId="0" fontId="81" fillId="4" borderId="49" xfId="0" applyFont="1" applyFill="1" applyBorder="1" applyAlignment="1">
      <alignment vertical="center" wrapText="1"/>
    </xf>
    <xf numFmtId="0" fontId="22" fillId="0" borderId="49"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29" xfId="0" applyFont="1" applyBorder="1" applyAlignment="1">
      <alignment horizontal="center" vertical="center" wrapText="1"/>
    </xf>
    <xf numFmtId="168" fontId="6" fillId="0" borderId="0" xfId="0" applyNumberFormat="1" applyFont="1" applyBorder="1"/>
    <xf numFmtId="167" fontId="6" fillId="0" borderId="0" xfId="0" applyNumberFormat="1" applyFont="1" applyAlignment="1">
      <alignment horizontal="center" vertical="center"/>
    </xf>
    <xf numFmtId="0" fontId="6" fillId="0" borderId="0" xfId="0" applyFont="1" applyAlignment="1">
      <alignment horizontal="justify" vertical="center" wrapText="1"/>
    </xf>
    <xf numFmtId="0" fontId="6" fillId="0" borderId="0" xfId="0" applyFont="1" applyAlignment="1">
      <alignment horizontal="center" vertical="center" wrapText="1"/>
    </xf>
    <xf numFmtId="170" fontId="6" fillId="0" borderId="0" xfId="45" applyNumberFormat="1" applyFont="1" applyBorder="1" applyAlignment="1">
      <alignment horizontal="right" vertical="center" wrapText="1"/>
    </xf>
    <xf numFmtId="4" fontId="6" fillId="0" borderId="0" xfId="0" applyNumberFormat="1" applyFont="1" applyAlignment="1">
      <alignment horizontal="right" vertical="center" wrapText="1"/>
    </xf>
    <xf numFmtId="2" fontId="59" fillId="0" borderId="51" xfId="0" applyNumberFormat="1" applyFont="1" applyFill="1" applyBorder="1" applyAlignment="1">
      <alignment horizontal="center" vertical="center"/>
    </xf>
    <xf numFmtId="177" fontId="14" fillId="4" borderId="49" xfId="51" applyNumberFormat="1" applyFont="1" applyFill="1" applyBorder="1" applyAlignment="1">
      <alignment horizontal="center" vertical="center" wrapText="1"/>
    </xf>
    <xf numFmtId="177" fontId="14" fillId="4" borderId="49" xfId="51" applyNumberFormat="1" applyFont="1" applyFill="1" applyBorder="1" applyAlignment="1">
      <alignment horizontal="left" vertical="center" wrapText="1"/>
    </xf>
    <xf numFmtId="177" fontId="14" fillId="4" borderId="0" xfId="51" applyNumberFormat="1" applyFont="1" applyFill="1" applyAlignment="1">
      <alignment horizontal="center" vertical="center" wrapText="1"/>
    </xf>
    <xf numFmtId="0" fontId="81" fillId="0" borderId="49" xfId="0" applyFont="1" applyFill="1" applyBorder="1" applyAlignment="1">
      <alignment vertical="center" wrapText="1"/>
    </xf>
    <xf numFmtId="177" fontId="14" fillId="0" borderId="49" xfId="51" applyNumberFormat="1" applyFont="1" applyFill="1" applyBorder="1" applyAlignment="1">
      <alignment horizontal="center" vertical="center" wrapText="1"/>
    </xf>
    <xf numFmtId="0" fontId="81" fillId="0" borderId="46" xfId="0" applyFont="1" applyBorder="1" applyAlignment="1">
      <alignment vertical="center" wrapText="1"/>
    </xf>
    <xf numFmtId="177" fontId="14" fillId="0" borderId="46" xfId="51" applyNumberFormat="1" applyFont="1" applyBorder="1" applyAlignment="1">
      <alignment horizontal="left" vertical="center" wrapText="1"/>
    </xf>
    <xf numFmtId="0" fontId="14" fillId="0" borderId="49" xfId="0" applyFont="1" applyFill="1" applyBorder="1" applyAlignment="1">
      <alignment horizontal="center" vertical="center" wrapText="1"/>
    </xf>
    <xf numFmtId="167" fontId="21" fillId="4" borderId="0" xfId="0" applyNumberFormat="1" applyFont="1" applyFill="1" applyBorder="1" applyAlignment="1">
      <alignment horizontal="center" vertical="center"/>
    </xf>
    <xf numFmtId="0" fontId="14" fillId="0" borderId="25" xfId="2" applyFont="1" applyBorder="1" applyAlignment="1">
      <alignment horizontal="center" vertical="center"/>
    </xf>
    <xf numFmtId="0" fontId="16" fillId="0" borderId="21" xfId="2" applyFont="1" applyBorder="1" applyAlignment="1"/>
    <xf numFmtId="0" fontId="16" fillId="0" borderId="0" xfId="2" applyFont="1" applyBorder="1" applyAlignment="1"/>
    <xf numFmtId="0" fontId="16" fillId="0" borderId="0" xfId="2" applyFont="1" applyBorder="1" applyAlignment="1">
      <alignment vertical="center"/>
    </xf>
    <xf numFmtId="0" fontId="16" fillId="0" borderId="22" xfId="2" applyFont="1" applyBorder="1" applyAlignment="1"/>
    <xf numFmtId="0" fontId="13" fillId="0" borderId="25" xfId="2" applyFont="1" applyBorder="1" applyAlignment="1">
      <alignment vertical="center"/>
    </xf>
    <xf numFmtId="4" fontId="63" fillId="0" borderId="49" xfId="0" applyNumberFormat="1" applyFont="1" applyFill="1" applyBorder="1" applyAlignment="1">
      <alignment horizontal="right" vertical="center"/>
    </xf>
    <xf numFmtId="0" fontId="13" fillId="0" borderId="25" xfId="2" applyFont="1" applyBorder="1" applyAlignment="1">
      <alignment horizontal="center" vertical="center"/>
    </xf>
    <xf numFmtId="0" fontId="16" fillId="0" borderId="27" xfId="2" applyFont="1" applyBorder="1" applyAlignment="1">
      <alignment wrapText="1"/>
    </xf>
    <xf numFmtId="0" fontId="13" fillId="0" borderId="0" xfId="2" applyFont="1" applyBorder="1" applyAlignment="1">
      <alignment horizontal="center"/>
    </xf>
    <xf numFmtId="0" fontId="9" fillId="0" borderId="0" xfId="2" applyFont="1" applyBorder="1" applyAlignment="1">
      <alignment horizontal="center" vertical="center"/>
    </xf>
    <xf numFmtId="0" fontId="13" fillId="5" borderId="25" xfId="2" applyFont="1" applyFill="1" applyBorder="1" applyAlignment="1">
      <alignment horizontal="center" vertical="center"/>
    </xf>
    <xf numFmtId="0" fontId="1" fillId="0" borderId="0" xfId="2" applyFont="1" applyBorder="1" applyAlignment="1">
      <alignment horizontal="center"/>
    </xf>
    <xf numFmtId="0" fontId="16" fillId="0" borderId="21" xfId="2" applyFont="1" applyBorder="1" applyAlignment="1"/>
    <xf numFmtId="0" fontId="16" fillId="0" borderId="0" xfId="2" applyFont="1" applyBorder="1" applyAlignment="1"/>
    <xf numFmtId="0" fontId="13" fillId="0" borderId="25" xfId="2" applyFont="1" applyBorder="1" applyAlignment="1">
      <alignment vertical="center"/>
    </xf>
    <xf numFmtId="0" fontId="14" fillId="0" borderId="25" xfId="2" applyFont="1" applyBorder="1" applyAlignment="1">
      <alignment horizontal="center" vertical="center"/>
    </xf>
    <xf numFmtId="0" fontId="16" fillId="0" borderId="22" xfId="2" applyFont="1" applyBorder="1" applyAlignment="1"/>
    <xf numFmtId="0" fontId="16" fillId="0" borderId="0" xfId="2" applyFont="1" applyBorder="1" applyAlignment="1">
      <alignment vertical="center"/>
    </xf>
    <xf numFmtId="0" fontId="14" fillId="4" borderId="49" xfId="0" applyFont="1" applyFill="1" applyBorder="1" applyAlignment="1">
      <alignment horizontal="center" vertical="center" wrapText="1"/>
    </xf>
    <xf numFmtId="0" fontId="14" fillId="4" borderId="49" xfId="0" applyFont="1" applyFill="1" applyBorder="1" applyAlignment="1">
      <alignment horizontal="left" vertical="center" wrapText="1"/>
    </xf>
    <xf numFmtId="0" fontId="14" fillId="4" borderId="0" xfId="0" applyFont="1" applyFill="1" applyAlignment="1">
      <alignment horizontal="left" vertical="center" wrapText="1"/>
    </xf>
    <xf numFmtId="0" fontId="14" fillId="0" borderId="46" xfId="0" applyFont="1" applyBorder="1" applyAlignment="1">
      <alignment horizontal="center" vertical="center" wrapText="1"/>
    </xf>
    <xf numFmtId="0" fontId="16" fillId="0" borderId="0" xfId="2" applyFont="1" applyBorder="1" applyAlignment="1"/>
    <xf numFmtId="0" fontId="13" fillId="0" borderId="25" xfId="2" applyFont="1" applyBorder="1" applyAlignment="1">
      <alignment vertical="center"/>
    </xf>
    <xf numFmtId="0" fontId="16" fillId="0" borderId="0" xfId="2" applyFont="1" applyBorder="1" applyAlignment="1">
      <alignment vertical="center"/>
    </xf>
    <xf numFmtId="0" fontId="16" fillId="0" borderId="21" xfId="2" applyFont="1" applyBorder="1" applyAlignment="1">
      <alignment wrapText="1"/>
    </xf>
    <xf numFmtId="0" fontId="13" fillId="0" borderId="25" xfId="2" applyFont="1" applyBorder="1" applyAlignment="1">
      <alignment vertical="center"/>
    </xf>
    <xf numFmtId="0" fontId="13" fillId="0" borderId="25" xfId="2" applyFont="1" applyBorder="1" applyAlignment="1">
      <alignment vertical="center"/>
    </xf>
    <xf numFmtId="0" fontId="16" fillId="0" borderId="0" xfId="2" applyFont="1" applyBorder="1" applyAlignment="1"/>
    <xf numFmtId="0" fontId="13" fillId="0" borderId="25" xfId="2" applyFont="1" applyBorder="1" applyAlignment="1">
      <alignment vertical="center"/>
    </xf>
    <xf numFmtId="0" fontId="16" fillId="0" borderId="0" xfId="2" applyFont="1" applyBorder="1" applyAlignment="1">
      <alignment vertical="center"/>
    </xf>
    <xf numFmtId="0" fontId="16" fillId="0" borderId="0" xfId="2" applyFont="1" applyBorder="1" applyAlignment="1"/>
    <xf numFmtId="0" fontId="13" fillId="0" borderId="25" xfId="2" applyFont="1" applyBorder="1" applyAlignment="1">
      <alignment vertical="center"/>
    </xf>
    <xf numFmtId="0" fontId="16" fillId="0" borderId="0" xfId="2" applyFont="1" applyBorder="1" applyAlignment="1">
      <alignment vertical="center"/>
    </xf>
    <xf numFmtId="176" fontId="16" fillId="0" borderId="27" xfId="2" applyNumberFormat="1" applyFont="1" applyBorder="1" applyAlignment="1">
      <alignment horizontal="center"/>
    </xf>
    <xf numFmtId="0" fontId="16" fillId="0" borderId="0" xfId="2" applyFont="1" applyBorder="1" applyAlignment="1"/>
    <xf numFmtId="0" fontId="13" fillId="0" borderId="25" xfId="2" applyFont="1" applyBorder="1" applyAlignment="1">
      <alignment vertical="center"/>
    </xf>
    <xf numFmtId="0" fontId="16" fillId="0" borderId="0" xfId="2" applyFont="1" applyBorder="1" applyAlignment="1">
      <alignment vertical="center"/>
    </xf>
    <xf numFmtId="0" fontId="16" fillId="0" borderId="0" xfId="2" applyFont="1" applyBorder="1" applyAlignment="1"/>
    <xf numFmtId="0" fontId="13" fillId="0" borderId="25" xfId="2" applyFont="1" applyBorder="1" applyAlignment="1">
      <alignment vertical="center"/>
    </xf>
    <xf numFmtId="0" fontId="16" fillId="0" borderId="0" xfId="2" applyFont="1" applyBorder="1" applyAlignment="1">
      <alignment vertical="center"/>
    </xf>
    <xf numFmtId="0" fontId="22" fillId="0" borderId="49"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29" xfId="0" applyFont="1" applyBorder="1" applyAlignment="1">
      <alignment horizontal="center" vertical="center" wrapText="1"/>
    </xf>
    <xf numFmtId="0" fontId="28" fillId="0" borderId="25" xfId="2" applyFont="1" applyBorder="1" applyAlignment="1">
      <alignment horizontal="center"/>
    </xf>
    <xf numFmtId="0" fontId="14" fillId="0" borderId="25" xfId="2" applyFont="1" applyBorder="1" applyAlignment="1">
      <alignment horizontal="center" vertical="center"/>
    </xf>
    <xf numFmtId="0" fontId="16" fillId="0" borderId="19" xfId="2" applyFont="1" applyBorder="1" applyAlignment="1">
      <alignment vertical="center"/>
    </xf>
    <xf numFmtId="0" fontId="16" fillId="0" borderId="20" xfId="2" applyFont="1" applyBorder="1" applyAlignment="1"/>
    <xf numFmtId="0" fontId="42" fillId="0" borderId="25" xfId="0" applyFont="1" applyBorder="1" applyAlignment="1">
      <alignment horizontal="left" vertical="center"/>
    </xf>
    <xf numFmtId="0" fontId="42" fillId="0" borderId="24" xfId="0" applyFont="1" applyBorder="1" applyAlignment="1">
      <alignment horizontal="left" vertical="center"/>
    </xf>
    <xf numFmtId="0" fontId="42" fillId="0" borderId="1" xfId="0" applyFont="1" applyBorder="1" applyAlignment="1">
      <alignment horizontal="left" vertical="center"/>
    </xf>
    <xf numFmtId="0" fontId="42" fillId="0" borderId="4" xfId="0" applyFont="1" applyBorder="1" applyAlignment="1">
      <alignment horizontal="left" vertical="center"/>
    </xf>
    <xf numFmtId="0" fontId="16" fillId="0" borderId="19" xfId="2" applyFont="1" applyBorder="1" applyAlignment="1">
      <alignment vertical="center"/>
    </xf>
    <xf numFmtId="0" fontId="16" fillId="0" borderId="20" xfId="2" applyFont="1" applyBorder="1" applyAlignment="1"/>
    <xf numFmtId="0" fontId="42" fillId="0" borderId="25" xfId="0" applyFont="1" applyBorder="1" applyAlignment="1">
      <alignment horizontal="left" vertical="center"/>
    </xf>
    <xf numFmtId="0" fontId="42" fillId="0" borderId="24" xfId="0" applyFont="1" applyBorder="1" applyAlignment="1">
      <alignment horizontal="left" vertical="center"/>
    </xf>
    <xf numFmtId="0" fontId="42" fillId="0" borderId="1" xfId="0" applyFont="1" applyBorder="1" applyAlignment="1">
      <alignment horizontal="left" vertical="center"/>
    </xf>
    <xf numFmtId="0" fontId="42" fillId="0" borderId="4" xfId="0" applyFont="1" applyBorder="1" applyAlignment="1">
      <alignment horizontal="left" vertical="center"/>
    </xf>
    <xf numFmtId="0" fontId="34" fillId="12" borderId="24" xfId="47" applyFont="1" applyFill="1" applyBorder="1" applyAlignment="1">
      <alignment horizontal="left" vertical="center" wrapText="1"/>
    </xf>
    <xf numFmtId="0" fontId="34" fillId="12" borderId="1" xfId="47" applyFont="1" applyFill="1" applyBorder="1" applyAlignment="1">
      <alignment horizontal="left" vertical="center" wrapText="1"/>
    </xf>
    <xf numFmtId="0" fontId="34" fillId="12" borderId="4" xfId="47" applyFont="1" applyFill="1" applyBorder="1" applyAlignment="1">
      <alignment horizontal="left" vertical="center" wrapText="1"/>
    </xf>
    <xf numFmtId="165" fontId="6" fillId="0" borderId="0" xfId="1" applyFont="1" applyBorder="1" applyAlignment="1">
      <alignment horizontal="center" vertical="center"/>
    </xf>
    <xf numFmtId="165" fontId="0" fillId="0" borderId="0" xfId="1" applyFont="1"/>
    <xf numFmtId="168" fontId="0" fillId="0" borderId="0" xfId="0" applyNumberFormat="1"/>
    <xf numFmtId="3" fontId="0" fillId="0" borderId="0" xfId="0" applyNumberFormat="1"/>
    <xf numFmtId="0" fontId="13" fillId="0" borderId="19" xfId="2" applyFont="1" applyBorder="1" applyAlignment="1">
      <alignment vertical="center"/>
    </xf>
    <xf numFmtId="165" fontId="0" fillId="0" borderId="0" xfId="0" applyNumberFormat="1"/>
    <xf numFmtId="168" fontId="6" fillId="0" borderId="0" xfId="0" applyNumberFormat="1" applyFont="1" applyBorder="1" applyAlignment="1">
      <alignment horizontal="center" vertical="center"/>
    </xf>
    <xf numFmtId="0" fontId="63" fillId="0" borderId="49" xfId="0" applyFont="1" applyBorder="1" applyAlignment="1">
      <alignment horizontal="center" vertical="center" wrapText="1"/>
    </xf>
    <xf numFmtId="0" fontId="64" fillId="0" borderId="49" xfId="0" applyFont="1" applyBorder="1" applyAlignment="1">
      <alignment horizontal="left" vertical="center" wrapText="1"/>
    </xf>
    <xf numFmtId="0" fontId="22" fillId="0" borderId="49"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29" xfId="0" applyFont="1" applyBorder="1" applyAlignment="1">
      <alignment horizontal="center" vertical="center" wrapText="1"/>
    </xf>
    <xf numFmtId="0" fontId="63" fillId="0" borderId="3" xfId="0" applyFont="1" applyBorder="1" applyAlignment="1">
      <alignment horizontal="center" vertical="center"/>
    </xf>
    <xf numFmtId="0" fontId="63" fillId="0" borderId="2" xfId="0" applyFont="1" applyBorder="1" applyAlignment="1">
      <alignment horizontal="center" vertical="center"/>
    </xf>
    <xf numFmtId="0" fontId="63" fillId="0" borderId="29" xfId="0" applyFont="1" applyBorder="1" applyAlignment="1">
      <alignment horizontal="center" vertical="center"/>
    </xf>
    <xf numFmtId="0" fontId="22" fillId="0" borderId="2" xfId="0" applyFont="1" applyBorder="1" applyAlignment="1">
      <alignment horizontal="center" vertical="center" wrapText="1"/>
    </xf>
    <xf numFmtId="0" fontId="64" fillId="0" borderId="3" xfId="0" applyFont="1" applyBorder="1" applyAlignment="1">
      <alignment horizontal="center" vertical="center" wrapText="1"/>
    </xf>
    <xf numFmtId="0" fontId="64" fillId="0" borderId="2" xfId="0" applyFont="1" applyBorder="1" applyAlignment="1">
      <alignment horizontal="center" vertical="center" wrapText="1"/>
    </xf>
    <xf numFmtId="0" fontId="64" fillId="0" borderId="29" xfId="0" applyFont="1" applyBorder="1" applyAlignment="1">
      <alignment horizontal="center" vertical="center" wrapText="1"/>
    </xf>
    <xf numFmtId="0" fontId="65" fillId="0" borderId="67" xfId="0" applyFont="1" applyBorder="1" applyAlignment="1">
      <alignment horizontal="center" vertical="center" wrapText="1"/>
    </xf>
    <xf numFmtId="0" fontId="65" fillId="0" borderId="68" xfId="0" applyFont="1" applyBorder="1" applyAlignment="1">
      <alignment horizontal="center" vertical="center" wrapText="1"/>
    </xf>
    <xf numFmtId="0" fontId="65" fillId="0" borderId="69" xfId="0" applyFont="1" applyBorder="1" applyAlignment="1">
      <alignment horizontal="center" vertical="center" wrapText="1"/>
    </xf>
    <xf numFmtId="0" fontId="67" fillId="0" borderId="0" xfId="0" applyFont="1" applyAlignment="1">
      <alignment horizontal="center" vertical="center"/>
    </xf>
    <xf numFmtId="4" fontId="65" fillId="0" borderId="0" xfId="0" applyNumberFormat="1" applyFont="1" applyAlignment="1">
      <alignment horizontal="left" vertical="center"/>
    </xf>
    <xf numFmtId="0" fontId="65" fillId="0" borderId="0" xfId="0" applyFont="1" applyAlignment="1">
      <alignment horizontal="left" vertical="center"/>
    </xf>
    <xf numFmtId="3" fontId="9" fillId="0" borderId="67" xfId="57" applyNumberFormat="1" applyFont="1" applyFill="1" applyBorder="1" applyAlignment="1">
      <alignment horizontal="center" vertical="center" wrapText="1"/>
    </xf>
    <xf numFmtId="3" fontId="9" fillId="0" borderId="68" xfId="57" applyNumberFormat="1" applyFont="1" applyFill="1" applyBorder="1" applyAlignment="1">
      <alignment horizontal="center" vertical="center" wrapText="1"/>
    </xf>
    <xf numFmtId="3" fontId="9" fillId="0" borderId="69" xfId="57" applyNumberFormat="1" applyFont="1" applyFill="1" applyBorder="1" applyAlignment="1">
      <alignment horizontal="center" vertical="center" wrapText="1"/>
    </xf>
    <xf numFmtId="0" fontId="22" fillId="0" borderId="8" xfId="2" applyFont="1" applyBorder="1" applyAlignment="1">
      <alignment horizontal="center" vertical="center"/>
    </xf>
    <xf numFmtId="0" fontId="22" fillId="0" borderId="10" xfId="2" applyFont="1" applyBorder="1" applyAlignment="1">
      <alignment horizontal="center" vertical="center"/>
    </xf>
    <xf numFmtId="0" fontId="23" fillId="0" borderId="0" xfId="2" applyFont="1" applyAlignment="1">
      <alignment horizontal="center" vertical="center"/>
    </xf>
    <xf numFmtId="0" fontId="22" fillId="0" borderId="11" xfId="2" applyFont="1" applyBorder="1" applyAlignment="1">
      <alignment horizontal="center" vertical="center"/>
    </xf>
    <xf numFmtId="0" fontId="22" fillId="0" borderId="0" xfId="2" applyFont="1" applyBorder="1" applyAlignment="1">
      <alignment horizontal="center" vertical="center"/>
    </xf>
    <xf numFmtId="0" fontId="11" fillId="0" borderId="13" xfId="2" applyFont="1" applyBorder="1" applyAlignment="1">
      <alignment horizontal="center" vertical="center"/>
    </xf>
    <xf numFmtId="0" fontId="11" fillId="0" borderId="14" xfId="2" applyFont="1" applyBorder="1" applyAlignment="1">
      <alignment horizontal="center" vertical="center"/>
    </xf>
    <xf numFmtId="0" fontId="5" fillId="0" borderId="102" xfId="60" applyFont="1" applyFill="1" applyBorder="1" applyAlignment="1">
      <alignment horizontal="center" vertical="center"/>
    </xf>
    <xf numFmtId="0" fontId="5" fillId="0" borderId="133" xfId="60" applyFont="1" applyFill="1" applyBorder="1" applyAlignment="1">
      <alignment horizontal="center" vertical="center"/>
    </xf>
    <xf numFmtId="0" fontId="5" fillId="0" borderId="134" xfId="60" applyFont="1" applyFill="1" applyBorder="1" applyAlignment="1">
      <alignment horizontal="center" vertical="center"/>
    </xf>
    <xf numFmtId="0" fontId="6" fillId="0" borderId="92" xfId="60" applyFont="1" applyBorder="1" applyAlignment="1">
      <alignment horizontal="center" vertical="center"/>
    </xf>
    <xf numFmtId="0" fontId="6" fillId="0" borderId="93" xfId="60" applyFont="1" applyBorder="1" applyAlignment="1">
      <alignment horizontal="center" vertical="center"/>
    </xf>
    <xf numFmtId="0" fontId="6" fillId="0" borderId="142" xfId="60" applyFont="1" applyBorder="1" applyAlignment="1">
      <alignment horizontal="center" vertical="center"/>
    </xf>
    <xf numFmtId="0" fontId="5" fillId="0" borderId="102" xfId="60" applyFont="1" applyBorder="1" applyAlignment="1">
      <alignment horizontal="left" vertical="center"/>
    </xf>
    <xf numFmtId="0" fontId="5" fillId="0" borderId="133" xfId="60" applyFont="1" applyBorder="1" applyAlignment="1">
      <alignment horizontal="left" vertical="center"/>
    </xf>
    <xf numFmtId="0" fontId="9" fillId="0" borderId="0" xfId="2" applyFont="1" applyBorder="1" applyAlignment="1">
      <alignment horizontal="center" vertical="center" wrapText="1"/>
    </xf>
    <xf numFmtId="0" fontId="12" fillId="0" borderId="0" xfId="2" applyFont="1" applyAlignment="1">
      <alignment horizontal="center" vertical="center" wrapText="1"/>
    </xf>
    <xf numFmtId="0" fontId="20" fillId="0" borderId="0" xfId="0" applyFont="1" applyBorder="1" applyAlignment="1">
      <alignment horizontal="center" vertical="center" wrapText="1"/>
    </xf>
    <xf numFmtId="0" fontId="63" fillId="0" borderId="49" xfId="0" applyFont="1" applyBorder="1" applyAlignment="1">
      <alignment horizontal="center"/>
    </xf>
    <xf numFmtId="0" fontId="63" fillId="2" borderId="49" xfId="0" applyFont="1" applyFill="1" applyBorder="1" applyAlignment="1">
      <alignment horizontal="center" vertical="center"/>
    </xf>
    <xf numFmtId="167" fontId="6" fillId="0" borderId="49" xfId="0" applyNumberFormat="1" applyFont="1" applyBorder="1" applyAlignment="1">
      <alignment horizontal="center" vertical="center"/>
    </xf>
    <xf numFmtId="0" fontId="20" fillId="0" borderId="49" xfId="0" applyFont="1" applyBorder="1" applyAlignment="1">
      <alignment horizontal="center" vertical="center" wrapText="1"/>
    </xf>
    <xf numFmtId="0" fontId="9" fillId="0" borderId="49" xfId="0" applyFont="1" applyBorder="1" applyAlignment="1">
      <alignment horizontal="center" vertical="center"/>
    </xf>
    <xf numFmtId="4" fontId="5" fillId="0" borderId="49" xfId="0" applyNumberFormat="1" applyFont="1" applyBorder="1" applyAlignment="1">
      <alignment horizontal="center" vertical="center" wrapText="1"/>
    </xf>
    <xf numFmtId="0" fontId="5" fillId="0" borderId="49" xfId="0" applyFont="1" applyBorder="1" applyAlignment="1">
      <alignment horizontal="right" vertical="center" wrapText="1"/>
    </xf>
    <xf numFmtId="0" fontId="5" fillId="0" borderId="49" xfId="0" applyFont="1" applyBorder="1" applyAlignment="1">
      <alignment horizontal="center" vertical="center" wrapText="1"/>
    </xf>
    <xf numFmtId="0" fontId="5" fillId="0" borderId="0" xfId="0" applyFont="1" applyFill="1" applyBorder="1" applyAlignment="1">
      <alignment horizontal="center" vertical="center"/>
    </xf>
    <xf numFmtId="0" fontId="24" fillId="0" borderId="0" xfId="0" applyFont="1" applyFill="1" applyBorder="1" applyAlignment="1">
      <alignment horizontal="center" vertical="center" wrapText="1"/>
    </xf>
    <xf numFmtId="0" fontId="12" fillId="0" borderId="49" xfId="60" applyFont="1" applyBorder="1" applyAlignment="1">
      <alignment horizontal="center" vertical="center" wrapText="1"/>
    </xf>
    <xf numFmtId="0" fontId="10" fillId="0" borderId="46" xfId="60" applyFont="1" applyBorder="1" applyAlignment="1">
      <alignment horizontal="center" vertical="center" wrapText="1"/>
    </xf>
    <xf numFmtId="0" fontId="10" fillId="0" borderId="47" xfId="60" applyFont="1" applyBorder="1" applyAlignment="1">
      <alignment horizontal="center" vertical="center" wrapText="1"/>
    </xf>
    <xf numFmtId="0" fontId="10" fillId="0" borderId="6" xfId="60" applyFont="1" applyBorder="1" applyAlignment="1">
      <alignment horizontal="center" vertical="center" wrapText="1"/>
    </xf>
    <xf numFmtId="0" fontId="10" fillId="0" borderId="49" xfId="60" applyFont="1" applyBorder="1" applyAlignment="1">
      <alignment horizontal="left" wrapText="1"/>
    </xf>
    <xf numFmtId="0" fontId="10" fillId="0" borderId="42" xfId="60" applyFont="1" applyBorder="1" applyAlignment="1">
      <alignment horizontal="left" vertical="center" wrapText="1"/>
    </xf>
    <xf numFmtId="0" fontId="10" fillId="0" borderId="30" xfId="60" applyFont="1" applyBorder="1" applyAlignment="1">
      <alignment horizontal="left" vertical="center" wrapText="1"/>
    </xf>
    <xf numFmtId="0" fontId="10" fillId="0" borderId="43" xfId="60" applyFont="1" applyBorder="1" applyAlignment="1">
      <alignment horizontal="left" vertical="center" wrapText="1"/>
    </xf>
    <xf numFmtId="0" fontId="10" fillId="0" borderId="51" xfId="60" applyFont="1" applyBorder="1" applyAlignment="1">
      <alignment horizontal="left" vertical="center" wrapText="1"/>
    </xf>
    <xf numFmtId="0" fontId="10" fillId="0" borderId="0" xfId="60" applyFont="1" applyAlignment="1">
      <alignment horizontal="left" vertical="center" wrapText="1"/>
    </xf>
    <xf numFmtId="0" fontId="10" fillId="0" borderId="48" xfId="60" applyFont="1" applyBorder="1" applyAlignment="1">
      <alignment horizontal="left" vertical="center" wrapText="1"/>
    </xf>
    <xf numFmtId="0" fontId="10" fillId="0" borderId="44" xfId="60" applyFont="1" applyBorder="1" applyAlignment="1">
      <alignment horizontal="left" vertical="center" wrapText="1"/>
    </xf>
    <xf numFmtId="0" fontId="10" fillId="0" borderId="17" xfId="60" applyFont="1" applyBorder="1" applyAlignment="1">
      <alignment horizontal="left" vertical="center" wrapText="1"/>
    </xf>
    <xf numFmtId="0" fontId="10" fillId="0" borderId="45" xfId="60" applyFont="1" applyBorder="1" applyAlignment="1">
      <alignment horizontal="left" vertical="center" wrapText="1"/>
    </xf>
    <xf numFmtId="0" fontId="12" fillId="0" borderId="49" xfId="60" applyFont="1" applyBorder="1" applyAlignment="1">
      <alignment horizontal="left" vertical="center" wrapText="1"/>
    </xf>
    <xf numFmtId="4" fontId="10" fillId="0" borderId="49" xfId="60" applyNumberFormat="1" applyFont="1" applyBorder="1" applyAlignment="1">
      <alignment horizontal="center" vertical="center" wrapText="1"/>
    </xf>
    <xf numFmtId="0" fontId="10" fillId="0" borderId="49" xfId="60" applyFont="1" applyBorder="1" applyAlignment="1">
      <alignment horizontal="center" vertical="center" wrapText="1"/>
    </xf>
    <xf numFmtId="9" fontId="10" fillId="0" borderId="49" xfId="60" applyNumberFormat="1" applyFont="1" applyBorder="1" applyAlignment="1">
      <alignment horizontal="center" wrapText="1"/>
    </xf>
    <xf numFmtId="0" fontId="10" fillId="0" borderId="49" xfId="60" applyFont="1" applyBorder="1" applyAlignment="1">
      <alignment horizontal="center" wrapText="1"/>
    </xf>
    <xf numFmtId="4" fontId="10" fillId="0" borderId="49" xfId="60" applyNumberFormat="1" applyFont="1" applyBorder="1" applyAlignment="1">
      <alignment horizontal="center" wrapText="1"/>
    </xf>
    <xf numFmtId="4" fontId="12" fillId="0" borderId="49" xfId="60" applyNumberFormat="1" applyFont="1" applyBorder="1" applyAlignment="1">
      <alignment horizontal="center" vertical="center" wrapText="1"/>
    </xf>
    <xf numFmtId="9" fontId="10" fillId="0" borderId="49" xfId="60" applyNumberFormat="1" applyFont="1" applyBorder="1" applyAlignment="1">
      <alignment horizontal="right" wrapText="1"/>
    </xf>
    <xf numFmtId="0" fontId="10" fillId="0" borderId="49" xfId="60" applyFont="1" applyBorder="1" applyAlignment="1">
      <alignment horizontal="right" wrapText="1"/>
    </xf>
    <xf numFmtId="4" fontId="10" fillId="0" borderId="49" xfId="60" applyNumberFormat="1" applyFont="1" applyBorder="1" applyAlignment="1">
      <alignment horizontal="right" wrapText="1"/>
    </xf>
    <xf numFmtId="9" fontId="10" fillId="0" borderId="49" xfId="60" applyNumberFormat="1" applyFont="1" applyBorder="1" applyAlignment="1">
      <alignment horizontal="center" vertical="center" wrapText="1"/>
    </xf>
    <xf numFmtId="10" fontId="10" fillId="0" borderId="49" xfId="60" applyNumberFormat="1" applyFont="1" applyBorder="1" applyAlignment="1">
      <alignment horizontal="center" wrapText="1"/>
    </xf>
    <xf numFmtId="9" fontId="10" fillId="0" borderId="49" xfId="5" applyFont="1" applyBorder="1" applyAlignment="1">
      <alignment horizontal="center" wrapText="1"/>
    </xf>
    <xf numFmtId="4" fontId="6" fillId="0" borderId="0" xfId="0" applyNumberFormat="1" applyFont="1" applyAlignment="1">
      <alignment horizontal="center" wrapText="1"/>
    </xf>
    <xf numFmtId="4" fontId="10" fillId="0" borderId="0" xfId="60" applyNumberFormat="1" applyFont="1" applyAlignment="1">
      <alignment horizontal="left" wrapText="1"/>
    </xf>
    <xf numFmtId="0" fontId="12" fillId="0" borderId="49" xfId="60" applyFont="1" applyBorder="1" applyAlignment="1">
      <alignment horizontal="center" wrapText="1"/>
    </xf>
    <xf numFmtId="4" fontId="12" fillId="0" borderId="49" xfId="60" applyNumberFormat="1" applyFont="1" applyBorder="1" applyAlignment="1">
      <alignment horizontal="center" wrapText="1"/>
    </xf>
    <xf numFmtId="4" fontId="12" fillId="0" borderId="3" xfId="60" applyNumberFormat="1" applyFont="1" applyBorder="1" applyAlignment="1">
      <alignment horizontal="center" wrapText="1"/>
    </xf>
    <xf numFmtId="4" fontId="12" fillId="0" borderId="2" xfId="60" applyNumberFormat="1" applyFont="1" applyBorder="1" applyAlignment="1">
      <alignment horizontal="center" wrapText="1"/>
    </xf>
    <xf numFmtId="4" fontId="12" fillId="0" borderId="29" xfId="60" applyNumberFormat="1" applyFont="1" applyBorder="1" applyAlignment="1">
      <alignment horizontal="center" wrapText="1"/>
    </xf>
    <xf numFmtId="9" fontId="10" fillId="0" borderId="3" xfId="60" applyNumberFormat="1" applyFont="1" applyBorder="1" applyAlignment="1">
      <alignment horizontal="center" wrapText="1"/>
    </xf>
    <xf numFmtId="9" fontId="10" fillId="0" borderId="2" xfId="60" applyNumberFormat="1" applyFont="1" applyBorder="1" applyAlignment="1">
      <alignment horizontal="center" wrapText="1"/>
    </xf>
    <xf numFmtId="9" fontId="10" fillId="0" borderId="29" xfId="60" applyNumberFormat="1" applyFont="1" applyBorder="1" applyAlignment="1">
      <alignment horizontal="center" wrapText="1"/>
    </xf>
    <xf numFmtId="0" fontId="60" fillId="0" borderId="34" xfId="7" applyFont="1" applyBorder="1" applyAlignment="1">
      <alignment horizontal="left" vertical="center"/>
    </xf>
    <xf numFmtId="0" fontId="60" fillId="0" borderId="35" xfId="7" applyFont="1" applyBorder="1" applyAlignment="1">
      <alignment horizontal="left" vertical="center"/>
    </xf>
    <xf numFmtId="0" fontId="60" fillId="0" borderId="129" xfId="7" applyFont="1" applyBorder="1" applyAlignment="1">
      <alignment horizontal="left" vertical="center"/>
    </xf>
    <xf numFmtId="0" fontId="60" fillId="0" borderId="11" xfId="7" applyFont="1" applyBorder="1" applyAlignment="1">
      <alignment horizontal="center" vertical="center"/>
    </xf>
    <xf numFmtId="0" fontId="60" fillId="0" borderId="0" xfId="7" applyFont="1" applyAlignment="1">
      <alignment horizontal="center" vertical="center"/>
    </xf>
    <xf numFmtId="0" fontId="60" fillId="0" borderId="12" xfId="7" applyFont="1" applyBorder="1" applyAlignment="1">
      <alignment horizontal="center" vertical="center"/>
    </xf>
    <xf numFmtId="0" fontId="60" fillId="0" borderId="11" xfId="7" applyFont="1" applyBorder="1" applyAlignment="1">
      <alignment horizontal="left" vertical="center"/>
    </xf>
    <xf numFmtId="0" fontId="60" fillId="0" borderId="0" xfId="7" applyFont="1" applyAlignment="1">
      <alignment horizontal="left" vertical="center"/>
    </xf>
    <xf numFmtId="0" fontId="60" fillId="0" borderId="12" xfId="7" applyFont="1" applyBorder="1" applyAlignment="1">
      <alignment horizontal="left" vertical="center"/>
    </xf>
    <xf numFmtId="0" fontId="56" fillId="20" borderId="87" xfId="0" applyFont="1" applyFill="1" applyBorder="1" applyAlignment="1">
      <alignment horizontal="center" vertical="center"/>
    </xf>
    <xf numFmtId="0" fontId="56" fillId="20" borderId="43" xfId="0" applyFont="1" applyFill="1" applyBorder="1" applyAlignment="1">
      <alignment horizontal="center" vertical="center"/>
    </xf>
    <xf numFmtId="0" fontId="56" fillId="20" borderId="11" xfId="0" applyFont="1" applyFill="1" applyBorder="1" applyAlignment="1">
      <alignment horizontal="center" vertical="center"/>
    </xf>
    <xf numFmtId="0" fontId="56" fillId="20" borderId="48" xfId="0" applyFont="1" applyFill="1" applyBorder="1" applyAlignment="1">
      <alignment horizontal="center" vertical="center"/>
    </xf>
    <xf numFmtId="0" fontId="56" fillId="20" borderId="117" xfId="0" applyFont="1" applyFill="1" applyBorder="1" applyAlignment="1">
      <alignment horizontal="center" vertical="center"/>
    </xf>
    <xf numFmtId="0" fontId="56" fillId="20" borderId="45" xfId="0" applyFont="1" applyFill="1" applyBorder="1" applyAlignment="1">
      <alignment horizontal="center" vertical="center"/>
    </xf>
    <xf numFmtId="0" fontId="59" fillId="0" borderId="42" xfId="0" applyFont="1" applyFill="1" applyBorder="1" applyAlignment="1">
      <alignment horizontal="center" vertical="center" wrapText="1"/>
    </xf>
    <xf numFmtId="0" fontId="59" fillId="0" borderId="43" xfId="0" applyFont="1" applyFill="1" applyBorder="1" applyAlignment="1">
      <alignment horizontal="center" vertical="center" wrapText="1"/>
    </xf>
    <xf numFmtId="0" fontId="59" fillId="0" borderId="51" xfId="0" applyFont="1" applyFill="1" applyBorder="1" applyAlignment="1">
      <alignment horizontal="center" vertical="center" wrapText="1"/>
    </xf>
    <xf numFmtId="0" fontId="59" fillId="0" borderId="48" xfId="0" applyFont="1" applyFill="1" applyBorder="1" applyAlignment="1">
      <alignment horizontal="center" vertical="center" wrapText="1"/>
    </xf>
    <xf numFmtId="0" fontId="59" fillId="0" borderId="44" xfId="0" applyFont="1" applyFill="1" applyBorder="1" applyAlignment="1">
      <alignment horizontal="center" vertical="center" wrapText="1"/>
    </xf>
    <xf numFmtId="0" fontId="59" fillId="0" borderId="45" xfId="0" applyFont="1" applyFill="1" applyBorder="1" applyAlignment="1">
      <alignment horizontal="center" vertical="center" wrapText="1"/>
    </xf>
    <xf numFmtId="0" fontId="59" fillId="21" borderId="42" xfId="0" applyFont="1" applyFill="1" applyBorder="1" applyAlignment="1">
      <alignment horizontal="center" vertical="center" wrapText="1"/>
    </xf>
    <xf numFmtId="0" fontId="59" fillId="21" borderId="43" xfId="0" applyFont="1" applyFill="1" applyBorder="1" applyAlignment="1">
      <alignment horizontal="center" vertical="center" wrapText="1"/>
    </xf>
    <xf numFmtId="0" fontId="59" fillId="21" borderId="51" xfId="0" applyFont="1" applyFill="1" applyBorder="1" applyAlignment="1">
      <alignment horizontal="center" vertical="center" wrapText="1"/>
    </xf>
    <xf numFmtId="0" fontId="59" fillId="21" borderId="48" xfId="0" applyFont="1" applyFill="1" applyBorder="1" applyAlignment="1">
      <alignment horizontal="center" vertical="center" wrapText="1"/>
    </xf>
    <xf numFmtId="0" fontId="59" fillId="21" borderId="44" xfId="0" applyFont="1" applyFill="1" applyBorder="1" applyAlignment="1">
      <alignment horizontal="center" vertical="center" wrapText="1"/>
    </xf>
    <xf numFmtId="0" fontId="59" fillId="21" borderId="45" xfId="0" applyFont="1" applyFill="1" applyBorder="1" applyAlignment="1">
      <alignment horizontal="center" vertical="center" wrapText="1"/>
    </xf>
    <xf numFmtId="0" fontId="55" fillId="8" borderId="106" xfId="0" applyFont="1" applyFill="1" applyBorder="1" applyAlignment="1">
      <alignment horizontal="center" vertical="center"/>
    </xf>
    <xf numFmtId="0" fontId="55" fillId="8" borderId="93" xfId="0" applyFont="1" applyFill="1" applyBorder="1" applyAlignment="1">
      <alignment horizontal="center" vertical="center"/>
    </xf>
    <xf numFmtId="0" fontId="55" fillId="8" borderId="33" xfId="0" applyFont="1" applyFill="1" applyBorder="1" applyAlignment="1">
      <alignment horizontal="center" vertical="center"/>
    </xf>
    <xf numFmtId="0" fontId="55" fillId="8" borderId="40" xfId="0" applyFont="1" applyFill="1" applyBorder="1" applyAlignment="1">
      <alignment horizontal="center" vertical="center"/>
    </xf>
    <xf numFmtId="0" fontId="56" fillId="16" borderId="42" xfId="0" applyFont="1" applyFill="1" applyBorder="1" applyAlignment="1">
      <alignment horizontal="center" vertical="center"/>
    </xf>
    <xf numFmtId="0" fontId="56" fillId="16" borderId="43" xfId="0" applyFont="1" applyFill="1" applyBorder="1" applyAlignment="1">
      <alignment horizontal="center" vertical="center"/>
    </xf>
    <xf numFmtId="0" fontId="56" fillId="16" borderId="51" xfId="0" applyFont="1" applyFill="1" applyBorder="1" applyAlignment="1">
      <alignment horizontal="center" vertical="center"/>
    </xf>
    <xf numFmtId="0" fontId="56" fillId="16" borderId="48" xfId="0" applyFont="1" applyFill="1" applyBorder="1" applyAlignment="1">
      <alignment horizontal="center" vertical="center"/>
    </xf>
    <xf numFmtId="0" fontId="56" fillId="16" borderId="44" xfId="0" applyFont="1" applyFill="1" applyBorder="1" applyAlignment="1">
      <alignment horizontal="center" vertical="center"/>
    </xf>
    <xf numFmtId="0" fontId="56" fillId="16" borderId="45" xfId="0" applyFont="1" applyFill="1" applyBorder="1" applyAlignment="1">
      <alignment horizontal="center" vertical="center"/>
    </xf>
    <xf numFmtId="0" fontId="59" fillId="17" borderId="42" xfId="0" applyFont="1" applyFill="1" applyBorder="1" applyAlignment="1">
      <alignment horizontal="center" vertical="center" wrapText="1"/>
    </xf>
    <xf numFmtId="0" fontId="59" fillId="17" borderId="43" xfId="0" applyFont="1" applyFill="1" applyBorder="1" applyAlignment="1">
      <alignment horizontal="center" vertical="center" wrapText="1"/>
    </xf>
    <xf numFmtId="0" fontId="59" fillId="17" borderId="51" xfId="0" applyFont="1" applyFill="1" applyBorder="1" applyAlignment="1">
      <alignment horizontal="center" vertical="center" wrapText="1"/>
    </xf>
    <xf numFmtId="0" fontId="59" fillId="17" borderId="48" xfId="0" applyFont="1" applyFill="1" applyBorder="1" applyAlignment="1">
      <alignment horizontal="center" vertical="center" wrapText="1"/>
    </xf>
    <xf numFmtId="0" fontId="59" fillId="17" borderId="44" xfId="0" applyFont="1" applyFill="1" applyBorder="1" applyAlignment="1">
      <alignment horizontal="center" vertical="center" wrapText="1"/>
    </xf>
    <xf numFmtId="0" fontId="59" fillId="17" borderId="45" xfId="0" applyFont="1" applyFill="1" applyBorder="1" applyAlignment="1">
      <alignment horizontal="center" vertical="center" wrapText="1"/>
    </xf>
    <xf numFmtId="0" fontId="56" fillId="18" borderId="42" xfId="0" applyFont="1" applyFill="1" applyBorder="1" applyAlignment="1">
      <alignment horizontal="center" vertical="center"/>
    </xf>
    <xf numFmtId="0" fontId="56" fillId="18" borderId="43" xfId="0" applyFont="1" applyFill="1" applyBorder="1" applyAlignment="1">
      <alignment horizontal="center" vertical="center"/>
    </xf>
    <xf numFmtId="0" fontId="56" fillId="18" borderId="51" xfId="0" applyFont="1" applyFill="1" applyBorder="1" applyAlignment="1">
      <alignment horizontal="center" vertical="center"/>
    </xf>
    <xf numFmtId="0" fontId="56" fillId="18" borderId="48" xfId="0" applyFont="1" applyFill="1" applyBorder="1" applyAlignment="1">
      <alignment horizontal="center" vertical="center"/>
    </xf>
    <xf numFmtId="0" fontId="56" fillId="18" borderId="44" xfId="0" applyFont="1" applyFill="1" applyBorder="1" applyAlignment="1">
      <alignment horizontal="center" vertical="center"/>
    </xf>
    <xf numFmtId="0" fontId="56" fillId="18" borderId="45" xfId="0" applyFont="1" applyFill="1" applyBorder="1" applyAlignment="1">
      <alignment horizontal="center" vertical="center"/>
    </xf>
    <xf numFmtId="0" fontId="59" fillId="19" borderId="42" xfId="0" applyFont="1" applyFill="1" applyBorder="1" applyAlignment="1">
      <alignment horizontal="center" vertical="center" wrapText="1"/>
    </xf>
    <xf numFmtId="0" fontId="59" fillId="19" borderId="43" xfId="0" applyFont="1" applyFill="1" applyBorder="1" applyAlignment="1">
      <alignment horizontal="center" vertical="center" wrapText="1"/>
    </xf>
    <xf numFmtId="0" fontId="59" fillId="19" borderId="51" xfId="0" applyFont="1" applyFill="1" applyBorder="1" applyAlignment="1">
      <alignment horizontal="center" vertical="center" wrapText="1"/>
    </xf>
    <xf numFmtId="0" fontId="59" fillId="19" borderId="48" xfId="0" applyFont="1" applyFill="1" applyBorder="1" applyAlignment="1">
      <alignment horizontal="center" vertical="center" wrapText="1"/>
    </xf>
    <xf numFmtId="0" fontId="59" fillId="19" borderId="44" xfId="0" applyFont="1" applyFill="1" applyBorder="1" applyAlignment="1">
      <alignment horizontal="center" vertical="center" wrapText="1"/>
    </xf>
    <xf numFmtId="0" fontId="59" fillId="19" borderId="45" xfId="0" applyFont="1" applyFill="1" applyBorder="1" applyAlignment="1">
      <alignment horizontal="center" vertical="center" wrapText="1"/>
    </xf>
    <xf numFmtId="0" fontId="56" fillId="15" borderId="49" xfId="0" applyFont="1" applyFill="1" applyBorder="1" applyAlignment="1">
      <alignment horizontal="center" vertical="center"/>
    </xf>
    <xf numFmtId="0" fontId="56" fillId="15" borderId="46" xfId="0" applyFont="1" applyFill="1" applyBorder="1" applyAlignment="1">
      <alignment horizontal="center" vertical="center"/>
    </xf>
    <xf numFmtId="0" fontId="59" fillId="0" borderId="49" xfId="0" applyFont="1" applyFill="1" applyBorder="1" applyAlignment="1">
      <alignment horizontal="center" vertical="center" wrapText="1"/>
    </xf>
    <xf numFmtId="0" fontId="59" fillId="6" borderId="49" xfId="0" applyFont="1" applyFill="1" applyBorder="1" applyAlignment="1">
      <alignment horizontal="center" vertical="center" wrapText="1"/>
    </xf>
    <xf numFmtId="0" fontId="56" fillId="14" borderId="125" xfId="0" applyFont="1" applyFill="1" applyBorder="1" applyAlignment="1">
      <alignment horizontal="center" vertical="center"/>
    </xf>
    <xf numFmtId="0" fontId="56" fillId="14" borderId="127" xfId="0" applyFont="1" applyFill="1" applyBorder="1" applyAlignment="1">
      <alignment horizontal="center" vertical="center"/>
    </xf>
    <xf numFmtId="0" fontId="46" fillId="8" borderId="119" xfId="0" applyFont="1" applyFill="1" applyBorder="1" applyAlignment="1">
      <alignment horizontal="center" vertical="center"/>
    </xf>
    <xf numFmtId="0" fontId="46" fillId="8" borderId="52" xfId="0" applyFont="1" applyFill="1" applyBorder="1" applyAlignment="1">
      <alignment horizontal="center" vertical="center"/>
    </xf>
    <xf numFmtId="0" fontId="49" fillId="0" borderId="120" xfId="0" applyFont="1" applyBorder="1" applyAlignment="1">
      <alignment horizontal="center" vertical="center"/>
    </xf>
    <xf numFmtId="0" fontId="49" fillId="0" borderId="66" xfId="0" applyFont="1" applyBorder="1" applyAlignment="1">
      <alignment horizontal="center" vertical="center"/>
    </xf>
    <xf numFmtId="0" fontId="49" fillId="0" borderId="53" xfId="0" applyFont="1" applyBorder="1" applyAlignment="1">
      <alignment horizontal="center" vertical="center"/>
    </xf>
    <xf numFmtId="0" fontId="49" fillId="0" borderId="121" xfId="0" applyFont="1" applyBorder="1" applyAlignment="1">
      <alignment horizontal="center" vertical="center"/>
    </xf>
    <xf numFmtId="0" fontId="52" fillId="0" borderId="122" xfId="0" applyFont="1" applyBorder="1" applyAlignment="1">
      <alignment horizontal="center" vertical="center"/>
    </xf>
    <xf numFmtId="0" fontId="52" fillId="0" borderId="68" xfId="0" applyFont="1" applyBorder="1" applyAlignment="1">
      <alignment horizontal="center" vertical="center"/>
    </xf>
    <xf numFmtId="0" fontId="53" fillId="0" borderId="122" xfId="0" applyFont="1" applyBorder="1" applyAlignment="1">
      <alignment horizontal="left" vertical="center" wrapText="1"/>
    </xf>
    <xf numFmtId="0" fontId="53" fillId="0" borderId="68" xfId="0" applyFont="1" applyBorder="1" applyAlignment="1">
      <alignment horizontal="left" vertical="center" wrapText="1"/>
    </xf>
    <xf numFmtId="0" fontId="53" fillId="0" borderId="69" xfId="0" applyFont="1" applyBorder="1" applyAlignment="1">
      <alignment horizontal="left" vertical="center" wrapText="1"/>
    </xf>
    <xf numFmtId="0" fontId="55" fillId="0" borderId="123" xfId="0" applyFont="1" applyBorder="1" applyAlignment="1">
      <alignment horizontal="center" vertical="center"/>
    </xf>
    <xf numFmtId="0" fontId="55" fillId="0" borderId="124" xfId="0" applyFont="1" applyBorder="1" applyAlignment="1">
      <alignment horizontal="center" vertical="center"/>
    </xf>
    <xf numFmtId="0" fontId="55" fillId="0" borderId="125" xfId="0" applyFont="1" applyBorder="1" applyAlignment="1">
      <alignment horizontal="center" vertical="center"/>
    </xf>
    <xf numFmtId="0" fontId="56" fillId="14" borderId="8" xfId="0" applyFont="1" applyFill="1" applyBorder="1" applyAlignment="1">
      <alignment horizontal="center" vertical="center"/>
    </xf>
    <xf numFmtId="0" fontId="56" fillId="14" borderId="115" xfId="0" applyFont="1" applyFill="1" applyBorder="1" applyAlignment="1">
      <alignment horizontal="center" vertical="center"/>
    </xf>
    <xf numFmtId="0" fontId="56" fillId="14" borderId="11" xfId="0" applyFont="1" applyFill="1" applyBorder="1" applyAlignment="1">
      <alignment horizontal="center" vertical="center"/>
    </xf>
    <xf numFmtId="0" fontId="56" fillId="14" borderId="48" xfId="0" applyFont="1" applyFill="1" applyBorder="1" applyAlignment="1">
      <alignment horizontal="center" vertical="center"/>
    </xf>
    <xf numFmtId="0" fontId="56" fillId="14" borderId="64" xfId="0" applyFont="1" applyFill="1" applyBorder="1" applyAlignment="1">
      <alignment horizontal="center" vertical="center"/>
    </xf>
    <xf numFmtId="0" fontId="56" fillId="14" borderId="46" xfId="0" applyFont="1" applyFill="1" applyBorder="1" applyAlignment="1">
      <alignment horizontal="center" vertical="center"/>
    </xf>
    <xf numFmtId="0" fontId="57" fillId="14" borderId="124" xfId="0" applyFont="1" applyFill="1" applyBorder="1" applyAlignment="1">
      <alignment horizontal="center" vertical="center" wrapText="1"/>
    </xf>
    <xf numFmtId="0" fontId="57" fillId="14" borderId="126" xfId="0" applyFont="1" applyFill="1" applyBorder="1" applyAlignment="1">
      <alignment horizontal="center" vertical="center" wrapText="1"/>
    </xf>
    <xf numFmtId="0" fontId="46" fillId="0" borderId="8" xfId="0" applyFont="1" applyBorder="1" applyAlignment="1">
      <alignment horizontal="center" vertical="center"/>
    </xf>
    <xf numFmtId="0" fontId="46" fillId="0" borderId="9" xfId="0" applyFont="1" applyBorder="1" applyAlignment="1">
      <alignment horizontal="center" vertical="center"/>
    </xf>
    <xf numFmtId="0" fontId="49" fillId="0" borderId="11" xfId="0" applyFont="1" applyBorder="1" applyAlignment="1">
      <alignment horizontal="center" vertical="center"/>
    </xf>
    <xf numFmtId="0" fontId="49" fillId="0" borderId="0" xfId="0" applyFont="1" applyAlignment="1">
      <alignment horizontal="center" vertical="center"/>
    </xf>
    <xf numFmtId="0" fontId="50" fillId="13" borderId="8" xfId="0" applyFont="1" applyFill="1" applyBorder="1" applyAlignment="1">
      <alignment horizontal="center" vertical="center"/>
    </xf>
    <xf numFmtId="0" fontId="50" fillId="13" borderId="9" xfId="0" applyFont="1" applyFill="1" applyBorder="1" applyAlignment="1">
      <alignment horizontal="center" vertical="center"/>
    </xf>
    <xf numFmtId="0" fontId="50" fillId="13" borderId="10" xfId="0" applyFont="1" applyFill="1" applyBorder="1" applyAlignment="1">
      <alignment horizontal="center" vertical="center"/>
    </xf>
    <xf numFmtId="0" fontId="50" fillId="13" borderId="11" xfId="0" applyFont="1" applyFill="1" applyBorder="1" applyAlignment="1">
      <alignment horizontal="center" vertical="center"/>
    </xf>
    <xf numFmtId="0" fontId="50" fillId="13" borderId="0" xfId="0" applyFont="1" applyFill="1" applyAlignment="1">
      <alignment horizontal="center" vertical="center"/>
    </xf>
    <xf numFmtId="0" fontId="50" fillId="13" borderId="12" xfId="0" applyFont="1" applyFill="1" applyBorder="1" applyAlignment="1">
      <alignment horizontal="center" vertical="center"/>
    </xf>
    <xf numFmtId="0" fontId="46" fillId="0" borderId="11" xfId="0" applyFont="1" applyBorder="1" applyAlignment="1">
      <alignment horizontal="center" vertical="center"/>
    </xf>
    <xf numFmtId="0" fontId="46" fillId="0" borderId="0" xfId="0" applyFont="1" applyAlignment="1">
      <alignment horizontal="center" vertical="center"/>
    </xf>
    <xf numFmtId="0" fontId="46" fillId="0" borderId="12" xfId="0" applyFont="1" applyBorder="1" applyAlignment="1">
      <alignment horizontal="center" vertical="center"/>
    </xf>
    <xf numFmtId="0" fontId="46" fillId="8" borderId="8" xfId="0" applyFont="1" applyFill="1" applyBorder="1" applyAlignment="1">
      <alignment horizontal="center" vertical="center"/>
    </xf>
    <xf numFmtId="0" fontId="46" fillId="8" borderId="115" xfId="0" applyFont="1" applyFill="1" applyBorder="1" applyAlignment="1">
      <alignment horizontal="center" vertical="center"/>
    </xf>
    <xf numFmtId="0" fontId="46" fillId="8" borderId="117" xfId="0" applyFont="1" applyFill="1" applyBorder="1" applyAlignment="1">
      <alignment horizontal="center" vertical="center"/>
    </xf>
    <xf numFmtId="0" fontId="46" fillId="8" borderId="45" xfId="0" applyFont="1" applyFill="1" applyBorder="1" applyAlignment="1">
      <alignment horizontal="center" vertical="center"/>
    </xf>
    <xf numFmtId="0" fontId="51" fillId="0" borderId="116" xfId="0" applyFont="1" applyBorder="1" applyAlignment="1">
      <alignment horizontal="center" vertical="center" wrapText="1"/>
    </xf>
    <xf numFmtId="0" fontId="51" fillId="0" borderId="9" xfId="0" applyFont="1" applyBorder="1" applyAlignment="1">
      <alignment horizontal="center" vertical="center" wrapText="1"/>
    </xf>
    <xf numFmtId="0" fontId="51" fillId="0" borderId="44" xfId="0" applyFont="1" applyBorder="1" applyAlignment="1">
      <alignment horizontal="center" vertical="center" wrapText="1"/>
    </xf>
    <xf numFmtId="0" fontId="51" fillId="0" borderId="17" xfId="0" applyFont="1" applyBorder="1" applyAlignment="1">
      <alignment horizontal="center" vertical="center" wrapText="1"/>
    </xf>
    <xf numFmtId="0" fontId="46" fillId="8" borderId="116" xfId="0" applyFont="1" applyFill="1" applyBorder="1" applyAlignment="1">
      <alignment horizontal="center" vertical="center"/>
    </xf>
    <xf numFmtId="0" fontId="46" fillId="8" borderId="44" xfId="0" applyFont="1" applyFill="1" applyBorder="1" applyAlignment="1">
      <alignment horizontal="center" vertical="center"/>
    </xf>
    <xf numFmtId="0" fontId="51" fillId="0" borderId="10" xfId="0" applyFont="1" applyBorder="1" applyAlignment="1">
      <alignment horizontal="center" vertical="center" wrapText="1"/>
    </xf>
    <xf numFmtId="0" fontId="51" fillId="0" borderId="118" xfId="0" applyFont="1" applyBorder="1" applyAlignment="1">
      <alignment horizontal="center" vertical="center" wrapText="1"/>
    </xf>
    <xf numFmtId="0" fontId="60" fillId="0" borderId="0" xfId="7" applyFont="1" applyBorder="1" applyAlignment="1">
      <alignment horizontal="left" vertical="center"/>
    </xf>
    <xf numFmtId="0" fontId="56" fillId="26" borderId="87" xfId="0" applyFont="1" applyFill="1" applyBorder="1" applyAlignment="1">
      <alignment horizontal="center" vertical="center"/>
    </xf>
    <xf numFmtId="0" fontId="56" fillId="26" borderId="43" xfId="0" applyFont="1" applyFill="1" applyBorder="1" applyAlignment="1">
      <alignment horizontal="center" vertical="center"/>
    </xf>
    <xf numFmtId="0" fontId="56" fillId="26" borderId="11" xfId="0" applyFont="1" applyFill="1" applyBorder="1" applyAlignment="1">
      <alignment horizontal="center" vertical="center"/>
    </xf>
    <xf numFmtId="0" fontId="56" fillId="26" borderId="48" xfId="0" applyFont="1" applyFill="1" applyBorder="1" applyAlignment="1">
      <alignment horizontal="center" vertical="center"/>
    </xf>
    <xf numFmtId="0" fontId="59" fillId="27" borderId="3" xfId="0" applyFont="1" applyFill="1" applyBorder="1" applyAlignment="1">
      <alignment horizontal="center" vertical="center" wrapText="1"/>
    </xf>
    <xf numFmtId="0" fontId="59" fillId="27" borderId="29" xfId="0" applyFont="1" applyFill="1" applyBorder="1" applyAlignment="1">
      <alignment horizontal="center" vertical="center" wrapText="1"/>
    </xf>
    <xf numFmtId="0" fontId="55" fillId="8" borderId="132" xfId="0" applyFont="1" applyFill="1" applyBorder="1" applyAlignment="1">
      <alignment horizontal="center" vertical="center"/>
    </xf>
    <xf numFmtId="0" fontId="60" fillId="0" borderId="0" xfId="7" applyFont="1" applyBorder="1" applyAlignment="1">
      <alignment horizontal="center" vertical="center"/>
    </xf>
    <xf numFmtId="0" fontId="56" fillId="24" borderId="30" xfId="0" applyFont="1" applyFill="1" applyBorder="1" applyAlignment="1">
      <alignment horizontal="center" vertical="center"/>
    </xf>
    <xf numFmtId="0" fontId="56" fillId="24" borderId="43" xfId="0" applyFont="1" applyFill="1" applyBorder="1" applyAlignment="1">
      <alignment horizontal="center" vertical="center"/>
    </xf>
    <xf numFmtId="0" fontId="59" fillId="25" borderId="42" xfId="0" applyFont="1" applyFill="1" applyBorder="1" applyAlignment="1">
      <alignment horizontal="center" vertical="center" wrapText="1"/>
    </xf>
    <xf numFmtId="0" fontId="59" fillId="25" borderId="43" xfId="0" applyFont="1" applyFill="1" applyBorder="1" applyAlignment="1">
      <alignment horizontal="center" vertical="center" wrapText="1"/>
    </xf>
    <xf numFmtId="0" fontId="56" fillId="14" borderId="0" xfId="0" applyFont="1" applyFill="1" applyBorder="1" applyAlignment="1">
      <alignment horizontal="center" vertical="center"/>
    </xf>
    <xf numFmtId="0" fontId="56" fillId="22" borderId="30" xfId="0" applyFont="1" applyFill="1" applyBorder="1" applyAlignment="1">
      <alignment horizontal="center" vertical="center"/>
    </xf>
    <xf numFmtId="0" fontId="56" fillId="22" borderId="43" xfId="0" applyFont="1" applyFill="1" applyBorder="1" applyAlignment="1">
      <alignment horizontal="center" vertical="center"/>
    </xf>
    <xf numFmtId="0" fontId="56" fillId="22" borderId="0" xfId="0" applyFont="1" applyFill="1" applyBorder="1" applyAlignment="1">
      <alignment horizontal="center" vertical="center"/>
    </xf>
    <xf numFmtId="0" fontId="56" fillId="22" borderId="48" xfId="0" applyFont="1" applyFill="1" applyBorder="1" applyAlignment="1">
      <alignment horizontal="center" vertical="center"/>
    </xf>
    <xf numFmtId="0" fontId="56" fillId="22" borderId="17" xfId="0" applyFont="1" applyFill="1" applyBorder="1" applyAlignment="1">
      <alignment horizontal="center" vertical="center"/>
    </xf>
    <xf numFmtId="0" fontId="56" fillId="22" borderId="45" xfId="0" applyFont="1" applyFill="1" applyBorder="1" applyAlignment="1">
      <alignment horizontal="center" vertical="center"/>
    </xf>
    <xf numFmtId="0" fontId="59" fillId="23" borderId="42" xfId="0" applyFont="1" applyFill="1" applyBorder="1" applyAlignment="1">
      <alignment horizontal="center" vertical="center" wrapText="1"/>
    </xf>
    <xf numFmtId="0" fontId="59" fillId="23" borderId="43" xfId="0" applyFont="1" applyFill="1" applyBorder="1" applyAlignment="1">
      <alignment horizontal="center" vertical="center" wrapText="1"/>
    </xf>
    <xf numFmtId="0" fontId="59" fillId="23" borderId="44" xfId="0" applyFont="1" applyFill="1" applyBorder="1" applyAlignment="1">
      <alignment horizontal="center" vertical="center" wrapText="1"/>
    </xf>
    <xf numFmtId="0" fontId="59" fillId="23" borderId="45" xfId="0" applyFont="1" applyFill="1" applyBorder="1" applyAlignment="1">
      <alignment horizontal="center" vertical="center" wrapText="1"/>
    </xf>
    <xf numFmtId="0" fontId="59" fillId="23" borderId="51" xfId="0" applyFont="1" applyFill="1" applyBorder="1" applyAlignment="1">
      <alignment horizontal="center" vertical="center" wrapText="1"/>
    </xf>
    <xf numFmtId="0" fontId="59" fillId="23" borderId="48" xfId="0" applyFont="1" applyFill="1" applyBorder="1" applyAlignment="1">
      <alignment horizontal="center" vertical="center" wrapText="1"/>
    </xf>
    <xf numFmtId="0" fontId="59" fillId="23" borderId="3" xfId="0" applyFont="1" applyFill="1" applyBorder="1" applyAlignment="1">
      <alignment horizontal="center" vertical="center" wrapText="1"/>
    </xf>
    <xf numFmtId="0" fontId="59" fillId="23" borderId="29" xfId="0" applyFont="1" applyFill="1" applyBorder="1" applyAlignment="1">
      <alignment horizontal="center" vertical="center" wrapText="1"/>
    </xf>
    <xf numFmtId="0" fontId="57" fillId="14" borderId="47" xfId="0" applyFont="1" applyFill="1" applyBorder="1" applyAlignment="1">
      <alignment horizontal="center" vertical="center" wrapText="1"/>
    </xf>
    <xf numFmtId="0" fontId="56" fillId="14" borderId="131" xfId="0" applyFont="1" applyFill="1" applyBorder="1" applyAlignment="1">
      <alignment horizontal="center" vertical="center"/>
    </xf>
    <xf numFmtId="0" fontId="14" fillId="0" borderId="54" xfId="2" applyFont="1" applyBorder="1" applyAlignment="1">
      <alignment horizontal="left" vertical="center" wrapText="1"/>
    </xf>
    <xf numFmtId="0" fontId="14" fillId="0" borderId="25" xfId="2" applyFont="1" applyBorder="1" applyAlignment="1">
      <alignment horizontal="left" vertical="center" wrapText="1"/>
    </xf>
    <xf numFmtId="0" fontId="14" fillId="0" borderId="56" xfId="2" applyFont="1" applyBorder="1" applyAlignment="1">
      <alignment horizontal="left" vertical="center" wrapText="1"/>
    </xf>
    <xf numFmtId="0" fontId="14" fillId="0" borderId="26" xfId="2" applyFont="1" applyBorder="1" applyAlignment="1">
      <alignment horizontal="left" vertical="center" wrapText="1"/>
    </xf>
    <xf numFmtId="0" fontId="29" fillId="0" borderId="72" xfId="2" applyFont="1" applyBorder="1" applyAlignment="1">
      <alignment horizontal="left" vertical="center" wrapText="1"/>
    </xf>
    <xf numFmtId="0" fontId="29" fillId="0" borderId="70" xfId="2" applyFont="1" applyBorder="1" applyAlignment="1">
      <alignment horizontal="left" vertical="center" wrapText="1"/>
    </xf>
    <xf numFmtId="0" fontId="14" fillId="0" borderId="70" xfId="2" applyFont="1" applyBorder="1" applyAlignment="1">
      <alignment horizontal="center" vertical="center" wrapText="1"/>
    </xf>
    <xf numFmtId="0" fontId="14" fillId="0" borderId="71" xfId="2" applyFont="1" applyBorder="1" applyAlignment="1">
      <alignment horizontal="center" vertical="center" wrapText="1"/>
    </xf>
    <xf numFmtId="3" fontId="31" fillId="5" borderId="60" xfId="2" applyNumberFormat="1" applyFont="1" applyFill="1" applyBorder="1" applyAlignment="1">
      <alignment horizontal="left" wrapText="1"/>
    </xf>
    <xf numFmtId="0" fontId="32" fillId="5" borderId="61" xfId="2" applyFont="1" applyFill="1" applyBorder="1" applyAlignment="1">
      <alignment horizontal="left" wrapText="1"/>
    </xf>
    <xf numFmtId="0" fontId="13" fillId="0" borderId="67" xfId="2" applyFont="1" applyBorder="1" applyAlignment="1">
      <alignment horizontal="center" vertical="center" wrapText="1"/>
    </xf>
    <xf numFmtId="0" fontId="13" fillId="0" borderId="68" xfId="2" applyFont="1" applyBorder="1" applyAlignment="1">
      <alignment horizontal="center" vertical="center" wrapText="1"/>
    </xf>
    <xf numFmtId="0" fontId="13" fillId="0" borderId="69" xfId="2" applyFont="1" applyBorder="1" applyAlignment="1">
      <alignment horizontal="center" vertical="center" wrapText="1"/>
    </xf>
    <xf numFmtId="0" fontId="16" fillId="0" borderId="81" xfId="2" applyFont="1" applyBorder="1" applyAlignment="1">
      <alignment horizontal="left" vertical="center" wrapText="1"/>
    </xf>
    <xf numFmtId="0" fontId="16" fillId="0" borderId="1" xfId="2" applyFont="1" applyBorder="1" applyAlignment="1">
      <alignment horizontal="left" vertical="center" wrapText="1"/>
    </xf>
    <xf numFmtId="0" fontId="13" fillId="0" borderId="56" xfId="2" applyFont="1" applyBorder="1" applyAlignment="1">
      <alignment horizontal="right" vertical="center" wrapText="1"/>
    </xf>
    <xf numFmtId="0" fontId="13" fillId="0" borderId="26" xfId="2" applyFont="1" applyBorder="1" applyAlignment="1">
      <alignment horizontal="right" vertical="center" wrapText="1"/>
    </xf>
    <xf numFmtId="0" fontId="16" fillId="0" borderId="57" xfId="2" applyFont="1" applyBorder="1" applyAlignment="1">
      <alignment wrapText="1"/>
    </xf>
    <xf numFmtId="0" fontId="13" fillId="0" borderId="72" xfId="2" applyFont="1" applyBorder="1" applyAlignment="1">
      <alignment horizontal="right" vertical="center" wrapText="1"/>
    </xf>
    <xf numFmtId="0" fontId="13" fillId="0" borderId="70" xfId="2" applyFont="1" applyBorder="1" applyAlignment="1">
      <alignment horizontal="right" vertical="center" wrapText="1"/>
    </xf>
    <xf numFmtId="0" fontId="29" fillId="0" borderId="79" xfId="2" applyFont="1" applyBorder="1" applyAlignment="1">
      <alignment horizontal="left" vertical="center" wrapText="1"/>
    </xf>
    <xf numFmtId="0" fontId="29" fillId="0" borderId="28" xfId="2" applyFont="1" applyBorder="1" applyAlignment="1">
      <alignment horizontal="left" vertical="center" wrapText="1"/>
    </xf>
    <xf numFmtId="0" fontId="13" fillId="2" borderId="67" xfId="2" applyFont="1" applyFill="1" applyBorder="1" applyAlignment="1">
      <alignment horizontal="center" vertical="center" wrapText="1"/>
    </xf>
    <xf numFmtId="0" fontId="13" fillId="2" borderId="68" xfId="2" applyFont="1" applyFill="1" applyBorder="1" applyAlignment="1">
      <alignment horizontal="center" vertical="center" wrapText="1"/>
    </xf>
    <xf numFmtId="0" fontId="13" fillId="2" borderId="69" xfId="2" applyFont="1" applyFill="1" applyBorder="1" applyAlignment="1">
      <alignment horizontal="center" vertical="center" wrapText="1"/>
    </xf>
    <xf numFmtId="0" fontId="16" fillId="2" borderId="81" xfId="2" applyFont="1" applyFill="1" applyBorder="1" applyAlignment="1">
      <alignment horizontal="left" vertical="center" wrapText="1"/>
    </xf>
    <xf numFmtId="0" fontId="16" fillId="2" borderId="1" xfId="2" applyFont="1" applyFill="1" applyBorder="1" applyAlignment="1">
      <alignment horizontal="left" vertical="center" wrapText="1"/>
    </xf>
    <xf numFmtId="0" fontId="5" fillId="2" borderId="73" xfId="2" applyFont="1" applyFill="1" applyBorder="1" applyAlignment="1">
      <alignment horizontal="center" vertical="center" wrapText="1"/>
    </xf>
    <xf numFmtId="0" fontId="5" fillId="2" borderId="74" xfId="2" applyFont="1" applyFill="1" applyBorder="1" applyAlignment="1">
      <alignment horizontal="center" vertical="center" wrapText="1"/>
    </xf>
    <xf numFmtId="0" fontId="5" fillId="2" borderId="54" xfId="2" applyFont="1" applyFill="1" applyBorder="1" applyAlignment="1">
      <alignment horizontal="center" vertical="center" wrapText="1"/>
    </xf>
    <xf numFmtId="0" fontId="5" fillId="2" borderId="25" xfId="2" applyFont="1" applyFill="1" applyBorder="1" applyAlignment="1">
      <alignment horizontal="center" vertical="center" wrapText="1"/>
    </xf>
    <xf numFmtId="0" fontId="5" fillId="2" borderId="55" xfId="2" applyFont="1" applyFill="1" applyBorder="1" applyAlignment="1">
      <alignment horizontal="center" vertical="center" wrapText="1"/>
    </xf>
    <xf numFmtId="0" fontId="15" fillId="2" borderId="76" xfId="2" applyFont="1" applyFill="1" applyBorder="1" applyAlignment="1">
      <alignment horizontal="center" vertical="center" wrapText="1"/>
    </xf>
    <xf numFmtId="0" fontId="15" fillId="2" borderId="77" xfId="2" applyFont="1" applyFill="1" applyBorder="1" applyAlignment="1">
      <alignment horizontal="center" vertical="center" wrapText="1"/>
    </xf>
    <xf numFmtId="0" fontId="15" fillId="2" borderId="78" xfId="2" applyFont="1" applyFill="1" applyBorder="1" applyAlignment="1">
      <alignment horizontal="center" vertical="center" wrapText="1"/>
    </xf>
    <xf numFmtId="0" fontId="31" fillId="2" borderId="60" xfId="2" applyFont="1" applyFill="1" applyBorder="1" applyAlignment="1">
      <alignment horizontal="left" wrapText="1"/>
    </xf>
    <xf numFmtId="0" fontId="32" fillId="2" borderId="61" xfId="2" applyFont="1" applyFill="1" applyBorder="1" applyAlignment="1">
      <alignment horizontal="left" wrapText="1"/>
    </xf>
    <xf numFmtId="0" fontId="14" fillId="2" borderId="56"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29" fillId="2" borderId="72" xfId="2" applyFont="1" applyFill="1" applyBorder="1" applyAlignment="1">
      <alignment horizontal="left" vertical="center" wrapText="1"/>
    </xf>
    <xf numFmtId="0" fontId="29" fillId="2" borderId="70" xfId="2" applyFont="1" applyFill="1" applyBorder="1" applyAlignment="1">
      <alignment horizontal="left" vertical="center" wrapText="1"/>
    </xf>
    <xf numFmtId="0" fontId="14" fillId="2" borderId="70" xfId="2" applyFont="1" applyFill="1" applyBorder="1" applyAlignment="1">
      <alignment horizontal="center" vertical="center" wrapText="1"/>
    </xf>
    <xf numFmtId="0" fontId="14" fillId="2" borderId="71" xfId="2" applyFont="1" applyFill="1" applyBorder="1" applyAlignment="1">
      <alignment horizontal="center" vertical="center" wrapText="1"/>
    </xf>
    <xf numFmtId="0" fontId="13" fillId="2" borderId="56" xfId="2" applyFont="1" applyFill="1" applyBorder="1" applyAlignment="1">
      <alignment horizontal="right" vertical="center" wrapText="1"/>
    </xf>
    <xf numFmtId="0" fontId="13" fillId="2" borderId="26" xfId="2" applyFont="1" applyFill="1" applyBorder="1" applyAlignment="1">
      <alignment horizontal="right" vertical="center" wrapText="1"/>
    </xf>
    <xf numFmtId="0" fontId="16" fillId="2" borderId="57" xfId="2" applyFont="1" applyFill="1" applyBorder="1" applyAlignment="1">
      <alignment wrapText="1"/>
    </xf>
    <xf numFmtId="0" fontId="13" fillId="2" borderId="72" xfId="2" applyFont="1" applyFill="1" applyBorder="1" applyAlignment="1">
      <alignment horizontal="right" vertical="center" wrapText="1"/>
    </xf>
    <xf numFmtId="0" fontId="13" fillId="2" borderId="70" xfId="2" applyFont="1" applyFill="1" applyBorder="1" applyAlignment="1">
      <alignment horizontal="right" vertical="center" wrapText="1"/>
    </xf>
    <xf numFmtId="0" fontId="29" fillId="2" borderId="79" xfId="2" applyFont="1" applyFill="1" applyBorder="1" applyAlignment="1">
      <alignment horizontal="left" vertical="center" wrapText="1"/>
    </xf>
    <xf numFmtId="0" fontId="29" fillId="2" borderId="28" xfId="2" applyFont="1" applyFill="1" applyBorder="1" applyAlignment="1">
      <alignment horizontal="left" vertical="center" wrapText="1"/>
    </xf>
    <xf numFmtId="0" fontId="14" fillId="2" borderId="54" xfId="2" applyFont="1" applyFill="1" applyBorder="1" applyAlignment="1">
      <alignment horizontal="left" vertical="center" wrapText="1"/>
    </xf>
    <xf numFmtId="0" fontId="14" fillId="2" borderId="25" xfId="2" applyFont="1" applyFill="1" applyBorder="1" applyAlignment="1">
      <alignment horizontal="left" vertical="center" wrapText="1"/>
    </xf>
    <xf numFmtId="0" fontId="14" fillId="0" borderId="24" xfId="2" applyFont="1" applyBorder="1" applyAlignment="1">
      <alignment horizontal="left" vertical="center"/>
    </xf>
    <xf numFmtId="0" fontId="14" fillId="0" borderId="1" xfId="2" applyFont="1" applyBorder="1" applyAlignment="1">
      <alignment horizontal="left" vertical="center"/>
    </xf>
    <xf numFmtId="0" fontId="14" fillId="0" borderId="4" xfId="2" applyFont="1" applyBorder="1" applyAlignment="1">
      <alignment horizontal="left" vertical="center"/>
    </xf>
    <xf numFmtId="0" fontId="28" fillId="0" borderId="25" xfId="2" applyFont="1" applyBorder="1" applyAlignment="1">
      <alignment horizontal="center"/>
    </xf>
    <xf numFmtId="0" fontId="14" fillId="0" borderId="25" xfId="2" applyFont="1" applyBorder="1" applyAlignment="1">
      <alignment horizontal="center" vertical="center"/>
    </xf>
    <xf numFmtId="0" fontId="29" fillId="0" borderId="24" xfId="2" applyFont="1" applyBorder="1" applyAlignment="1">
      <alignment horizontal="left" vertical="center"/>
    </xf>
    <xf numFmtId="0" fontId="29" fillId="0" borderId="1" xfId="2" applyFont="1" applyBorder="1" applyAlignment="1">
      <alignment horizontal="left" vertical="center"/>
    </xf>
    <xf numFmtId="0" fontId="29" fillId="0" borderId="4" xfId="2" applyFont="1" applyBorder="1" applyAlignment="1">
      <alignment horizontal="left" vertical="center"/>
    </xf>
    <xf numFmtId="0" fontId="16" fillId="0" borderId="19" xfId="2" applyFont="1" applyBorder="1" applyAlignment="1">
      <alignment vertical="center"/>
    </xf>
    <xf numFmtId="0" fontId="16" fillId="0" borderId="20" xfId="2" applyFont="1" applyBorder="1" applyAlignment="1"/>
    <xf numFmtId="0" fontId="16" fillId="0" borderId="21" xfId="2" applyFont="1" applyBorder="1" applyAlignment="1"/>
    <xf numFmtId="0" fontId="16" fillId="0" borderId="0" xfId="2" applyFont="1" applyBorder="1" applyAlignment="1"/>
    <xf numFmtId="0" fontId="13" fillId="0" borderId="1" xfId="2" applyFont="1" applyBorder="1" applyAlignment="1">
      <alignment horizontal="right" vertical="center"/>
    </xf>
    <xf numFmtId="0" fontId="13" fillId="0" borderId="24" xfId="2" applyFont="1" applyBorder="1" applyAlignment="1">
      <alignment horizontal="right" vertical="center"/>
    </xf>
    <xf numFmtId="0" fontId="29" fillId="0" borderId="25" xfId="2" applyFont="1" applyBorder="1" applyAlignment="1">
      <alignment vertical="center"/>
    </xf>
    <xf numFmtId="0" fontId="16" fillId="0" borderId="1" xfId="2" applyFont="1" applyBorder="1" applyAlignment="1"/>
    <xf numFmtId="0" fontId="13" fillId="0" borderId="25" xfId="2" applyFont="1" applyBorder="1" applyAlignment="1">
      <alignment vertical="center"/>
    </xf>
    <xf numFmtId="0" fontId="16" fillId="0" borderId="25" xfId="2" applyFont="1" applyBorder="1" applyAlignment="1"/>
    <xf numFmtId="0" fontId="16" fillId="0" borderId="27" xfId="2" applyFont="1" applyBorder="1" applyAlignment="1"/>
    <xf numFmtId="0" fontId="16" fillId="0" borderId="28" xfId="2" applyFont="1" applyBorder="1" applyAlignment="1"/>
    <xf numFmtId="0" fontId="13" fillId="0" borderId="24" xfId="2" applyFont="1" applyBorder="1" applyAlignment="1">
      <alignment vertical="center" wrapText="1"/>
    </xf>
    <xf numFmtId="0" fontId="13" fillId="0" borderId="1" xfId="2" applyFont="1" applyBorder="1" applyAlignment="1">
      <alignment vertical="center" wrapText="1"/>
    </xf>
    <xf numFmtId="0" fontId="13" fillId="0" borderId="4" xfId="2" applyFont="1" applyBorder="1" applyAlignment="1">
      <alignment vertical="center" wrapText="1"/>
    </xf>
    <xf numFmtId="0" fontId="16" fillId="0" borderId="19" xfId="2" applyFont="1" applyBorder="1" applyAlignment="1">
      <alignment vertical="center" wrapText="1"/>
    </xf>
    <xf numFmtId="0" fontId="16" fillId="0" borderId="20" xfId="2" applyFont="1" applyBorder="1" applyAlignment="1">
      <alignment wrapText="1"/>
    </xf>
    <xf numFmtId="0" fontId="16" fillId="0" borderId="20" xfId="2" applyFont="1" applyBorder="1" applyAlignment="1">
      <alignment vertical="center"/>
    </xf>
    <xf numFmtId="0" fontId="14" fillId="0" borderId="25" xfId="2" applyFont="1" applyBorder="1" applyAlignment="1">
      <alignment horizontal="left" vertical="center"/>
    </xf>
    <xf numFmtId="0" fontId="29" fillId="0" borderId="25" xfId="2" applyFont="1" applyBorder="1" applyAlignment="1">
      <alignment horizontal="left" vertical="center"/>
    </xf>
    <xf numFmtId="0" fontId="16" fillId="0" borderId="1" xfId="2" applyFont="1" applyBorder="1" applyAlignment="1">
      <alignment vertical="center" wrapText="1"/>
    </xf>
    <xf numFmtId="0" fontId="16" fillId="0" borderId="4" xfId="2" applyFont="1" applyBorder="1" applyAlignment="1">
      <alignment vertical="center" wrapText="1"/>
    </xf>
    <xf numFmtId="0" fontId="13" fillId="0" borderId="25" xfId="2" applyFont="1" applyBorder="1" applyAlignment="1">
      <alignment horizontal="right" vertical="center"/>
    </xf>
    <xf numFmtId="0" fontId="41" fillId="0" borderId="24" xfId="47" applyFont="1" applyBorder="1" applyAlignment="1">
      <alignment horizontal="center"/>
    </xf>
    <xf numFmtId="0" fontId="41" fillId="0" borderId="1" xfId="47" applyFont="1" applyBorder="1" applyAlignment="1">
      <alignment horizontal="center"/>
    </xf>
    <xf numFmtId="0" fontId="41" fillId="0" borderId="4" xfId="47" applyFont="1" applyBorder="1" applyAlignment="1">
      <alignment horizontal="center"/>
    </xf>
    <xf numFmtId="4" fontId="34" fillId="0" borderId="25" xfId="47" applyNumberFormat="1" applyFont="1" applyBorder="1" applyAlignment="1">
      <alignment horizontal="center" vertical="center"/>
    </xf>
    <xf numFmtId="0" fontId="41" fillId="0" borderId="25" xfId="47" applyFont="1" applyBorder="1" applyAlignment="1">
      <alignment horizontal="left" vertical="center"/>
    </xf>
    <xf numFmtId="41" fontId="41" fillId="0" borderId="25" xfId="47" applyNumberFormat="1" applyFont="1" applyBorder="1" applyAlignment="1">
      <alignment horizontal="center" vertical="center" wrapText="1"/>
    </xf>
    <xf numFmtId="0" fontId="41" fillId="0" borderId="25" xfId="47" applyFont="1" applyBorder="1" applyAlignment="1">
      <alignment horizontal="center" vertical="center" wrapText="1"/>
    </xf>
    <xf numFmtId="0" fontId="41" fillId="0" borderId="25" xfId="47" applyFont="1" applyBorder="1" applyAlignment="1">
      <alignment horizontal="left"/>
    </xf>
    <xf numFmtId="0" fontId="41" fillId="0" borderId="25" xfId="47" applyFont="1" applyBorder="1" applyAlignment="1">
      <alignment horizontal="center"/>
    </xf>
    <xf numFmtId="0" fontId="41" fillId="10" borderId="25" xfId="47" applyFont="1" applyFill="1" applyBorder="1" applyAlignment="1">
      <alignment horizontal="center" vertical="center"/>
    </xf>
    <xf numFmtId="0" fontId="41" fillId="10" borderId="25" xfId="47" applyFont="1" applyFill="1" applyBorder="1" applyAlignment="1">
      <alignment horizontal="center" vertical="center" wrapText="1"/>
    </xf>
    <xf numFmtId="0" fontId="41" fillId="10" borderId="25" xfId="47" applyFont="1" applyFill="1" applyBorder="1" applyAlignment="1">
      <alignment horizontal="left" vertical="center" wrapText="1"/>
    </xf>
    <xf numFmtId="41" fontId="41" fillId="0" borderId="25" xfId="45" applyFont="1" applyBorder="1" applyAlignment="1">
      <alignment horizontal="center"/>
    </xf>
    <xf numFmtId="4" fontId="41" fillId="0" borderId="25" xfId="47" applyNumberFormat="1" applyFont="1" applyBorder="1" applyAlignment="1">
      <alignment horizontal="left"/>
    </xf>
    <xf numFmtId="0" fontId="42" fillId="0" borderId="25" xfId="0" applyFont="1" applyBorder="1" applyAlignment="1">
      <alignment horizontal="left" vertical="center"/>
    </xf>
    <xf numFmtId="0" fontId="34" fillId="10" borderId="25" xfId="47" applyFont="1" applyFill="1" applyBorder="1" applyAlignment="1">
      <alignment horizontal="center" vertical="center" wrapText="1"/>
    </xf>
    <xf numFmtId="0" fontId="41" fillId="0" borderId="24" xfId="47" applyFont="1" applyBorder="1" applyAlignment="1">
      <alignment horizontal="left" vertical="center" wrapText="1"/>
    </xf>
    <xf numFmtId="0" fontId="41" fillId="0" borderId="1" xfId="47" applyFont="1" applyBorder="1" applyAlignment="1">
      <alignment horizontal="left" vertical="center" wrapText="1"/>
    </xf>
    <xf numFmtId="0" fontId="41" fillId="0" borderId="4" xfId="47" applyFont="1" applyBorder="1" applyAlignment="1">
      <alignment horizontal="left" vertical="center" wrapText="1"/>
    </xf>
    <xf numFmtId="0" fontId="34" fillId="12" borderId="24" xfId="47" applyFont="1" applyFill="1" applyBorder="1" applyAlignment="1">
      <alignment horizontal="left" vertical="center" wrapText="1"/>
    </xf>
    <xf numFmtId="0" fontId="34" fillId="12" borderId="1" xfId="47" applyFont="1" applyFill="1" applyBorder="1" applyAlignment="1">
      <alignment horizontal="left" vertical="center" wrapText="1"/>
    </xf>
    <xf numFmtId="0" fontId="34" fillId="12" borderId="4" xfId="47" applyFont="1" applyFill="1" applyBorder="1" applyAlignment="1">
      <alignment horizontal="left" vertical="center" wrapText="1"/>
    </xf>
    <xf numFmtId="0" fontId="42" fillId="0" borderId="24" xfId="0" applyFont="1" applyBorder="1" applyAlignment="1">
      <alignment horizontal="left" vertical="center"/>
    </xf>
    <xf numFmtId="0" fontId="42" fillId="0" borderId="1" xfId="0" applyFont="1" applyBorder="1" applyAlignment="1">
      <alignment horizontal="left" vertical="center"/>
    </xf>
    <xf numFmtId="0" fontId="42" fillId="0" borderId="4" xfId="0" applyFont="1" applyBorder="1" applyAlignment="1">
      <alignment horizontal="left" vertical="center"/>
    </xf>
    <xf numFmtId="0" fontId="40" fillId="0" borderId="25" xfId="47" applyFont="1" applyBorder="1" applyAlignment="1">
      <alignment horizontal="center" vertical="center" wrapText="1"/>
    </xf>
    <xf numFmtId="0" fontId="34" fillId="0" borderId="25" xfId="47" applyFont="1" applyBorder="1" applyAlignment="1">
      <alignment horizontal="center" vertical="center"/>
    </xf>
    <xf numFmtId="0" fontId="34" fillId="0" borderId="25" xfId="45" applyNumberFormat="1" applyFont="1" applyBorder="1" applyAlignment="1">
      <alignment horizontal="center" vertical="center" wrapText="1"/>
    </xf>
    <xf numFmtId="0" fontId="34" fillId="9" borderId="25" xfId="47" applyFont="1" applyFill="1" applyBorder="1" applyAlignment="1">
      <alignment horizontal="center" vertical="center" wrapText="1"/>
    </xf>
    <xf numFmtId="0" fontId="34" fillId="9" borderId="25" xfId="47" applyFont="1" applyFill="1" applyBorder="1" applyAlignment="1">
      <alignment horizontal="center"/>
    </xf>
    <xf numFmtId="0" fontId="34" fillId="7" borderId="82" xfId="47" applyFont="1" applyFill="1" applyBorder="1" applyAlignment="1">
      <alignment horizontal="center" vertical="center" wrapText="1"/>
    </xf>
    <xf numFmtId="0" fontId="34" fillId="7" borderId="83" xfId="47" applyFont="1" applyFill="1" applyBorder="1" applyAlignment="1">
      <alignment horizontal="center" vertical="center" wrapText="1"/>
    </xf>
    <xf numFmtId="0" fontId="34" fillId="7" borderId="84" xfId="47" applyFont="1" applyFill="1" applyBorder="1" applyAlignment="1">
      <alignment horizontal="center" vertical="center" wrapText="1"/>
    </xf>
    <xf numFmtId="0" fontId="35" fillId="0" borderId="85" xfId="47" applyFont="1" applyBorder="1" applyAlignment="1">
      <alignment horizontal="center" vertical="center"/>
    </xf>
    <xf numFmtId="0" fontId="35" fillId="0" borderId="2" xfId="47" applyFont="1" applyBorder="1" applyAlignment="1">
      <alignment horizontal="center" vertical="center"/>
    </xf>
    <xf numFmtId="0" fontId="35" fillId="0" borderId="86" xfId="47" applyFont="1" applyBorder="1" applyAlignment="1">
      <alignment horizontal="center" vertical="center"/>
    </xf>
    <xf numFmtId="0" fontId="41" fillId="0" borderId="24" xfId="47" applyFont="1" applyBorder="1" applyAlignment="1">
      <alignment horizontal="center" vertical="center" wrapText="1"/>
    </xf>
    <xf numFmtId="0" fontId="41" fillId="0" borderId="1" xfId="47" applyFont="1" applyBorder="1" applyAlignment="1">
      <alignment horizontal="center" vertical="center" wrapText="1"/>
    </xf>
    <xf numFmtId="0" fontId="41" fillId="0" borderId="4" xfId="47" applyFont="1" applyBorder="1" applyAlignment="1">
      <alignment horizontal="center" vertical="center" wrapText="1"/>
    </xf>
    <xf numFmtId="0" fontId="44" fillId="0" borderId="24" xfId="0" applyFont="1" applyBorder="1" applyAlignment="1">
      <alignment horizontal="left" vertical="center"/>
    </xf>
    <xf numFmtId="0" fontId="44" fillId="0" borderId="1" xfId="0" applyFont="1" applyBorder="1" applyAlignment="1">
      <alignment horizontal="left" vertical="center"/>
    </xf>
    <xf numFmtId="0" fontId="44" fillId="0" borderId="112" xfId="0" applyFont="1" applyBorder="1" applyAlignment="1">
      <alignment horizontal="left" vertical="center"/>
    </xf>
    <xf numFmtId="39" fontId="34" fillId="9" borderId="25" xfId="47" applyNumberFormat="1" applyFont="1" applyFill="1" applyBorder="1" applyAlignment="1">
      <alignment horizontal="center" vertical="center" wrapText="1"/>
    </xf>
    <xf numFmtId="0" fontId="42" fillId="0" borderId="49" xfId="0" applyFont="1" applyBorder="1" applyAlignment="1">
      <alignment horizontal="left" vertical="center"/>
    </xf>
    <xf numFmtId="0" fontId="42" fillId="0" borderId="23" xfId="0" applyFont="1" applyBorder="1" applyAlignment="1">
      <alignment horizontal="left" vertical="center"/>
    </xf>
    <xf numFmtId="0" fontId="42" fillId="0" borderId="5" xfId="0" applyFont="1" applyBorder="1" applyAlignment="1">
      <alignment horizontal="left" vertical="center"/>
    </xf>
    <xf numFmtId="0" fontId="42" fillId="0" borderId="7" xfId="0" applyFont="1" applyBorder="1" applyAlignment="1">
      <alignment horizontal="left" vertical="center"/>
    </xf>
    <xf numFmtId="0" fontId="44" fillId="0" borderId="49" xfId="0" applyFont="1" applyBorder="1" applyAlignment="1">
      <alignment horizontal="left" vertical="center"/>
    </xf>
    <xf numFmtId="0" fontId="45" fillId="0" borderId="3" xfId="0" applyFont="1" applyBorder="1" applyAlignment="1">
      <alignment horizontal="left" vertical="center" wrapText="1"/>
    </xf>
    <xf numFmtId="0" fontId="45" fillId="0" borderId="2" xfId="0" applyFont="1" applyBorder="1" applyAlignment="1">
      <alignment horizontal="left" vertical="center" wrapText="1"/>
    </xf>
    <xf numFmtId="0" fontId="45" fillId="0" borderId="29" xfId="0" applyFont="1" applyBorder="1" applyAlignment="1">
      <alignment horizontal="left" vertical="center" wrapText="1"/>
    </xf>
    <xf numFmtId="4" fontId="35" fillId="0" borderId="108" xfId="47" applyNumberFormat="1" applyFont="1" applyBorder="1" applyAlignment="1">
      <alignment horizontal="center" vertical="center"/>
    </xf>
    <xf numFmtId="4" fontId="35" fillId="0" borderId="109" xfId="47" applyNumberFormat="1" applyFont="1" applyBorder="1" applyAlignment="1">
      <alignment horizontal="center" vertical="center"/>
    </xf>
    <xf numFmtId="4" fontId="35" fillId="0" borderId="110" xfId="47" applyNumberFormat="1" applyFont="1" applyBorder="1" applyAlignment="1">
      <alignment horizontal="center" vertical="center"/>
    </xf>
    <xf numFmtId="0" fontId="39" fillId="0" borderId="85" xfId="47" applyFont="1" applyBorder="1" applyAlignment="1">
      <alignment horizontal="left" vertical="center"/>
    </xf>
    <xf numFmtId="0" fontId="39" fillId="0" borderId="29" xfId="47" applyFont="1" applyBorder="1" applyAlignment="1">
      <alignment horizontal="left" vertical="center"/>
    </xf>
    <xf numFmtId="41" fontId="39" fillId="0" borderId="3" xfId="47" applyNumberFormat="1" applyFont="1" applyBorder="1" applyAlignment="1">
      <alignment horizontal="center" vertical="center" wrapText="1"/>
    </xf>
    <xf numFmtId="0" fontId="39" fillId="0" borderId="29" xfId="47" applyFont="1" applyBorder="1" applyAlignment="1">
      <alignment horizontal="center" vertical="center" wrapText="1"/>
    </xf>
    <xf numFmtId="0" fontId="39" fillId="0" borderId="106" xfId="47" applyFont="1" applyBorder="1" applyAlignment="1">
      <alignment horizontal="left"/>
    </xf>
    <xf numFmtId="0" fontId="39" fillId="0" borderId="40" xfId="47" applyFont="1" applyBorder="1" applyAlignment="1">
      <alignment horizontal="left"/>
    </xf>
    <xf numFmtId="0" fontId="39" fillId="0" borderId="41" xfId="47" applyFont="1" applyBorder="1" applyAlignment="1">
      <alignment horizontal="center"/>
    </xf>
    <xf numFmtId="0" fontId="39" fillId="0" borderId="40" xfId="47" applyFont="1" applyBorder="1" applyAlignment="1">
      <alignment horizontal="center"/>
    </xf>
    <xf numFmtId="0" fontId="39" fillId="0" borderId="106" xfId="47" applyFont="1" applyBorder="1" applyAlignment="1">
      <alignment horizontal="center"/>
    </xf>
    <xf numFmtId="0" fontId="39" fillId="0" borderId="93" xfId="47" applyFont="1" applyBorder="1" applyAlignment="1">
      <alignment horizontal="center"/>
    </xf>
    <xf numFmtId="0" fontId="39" fillId="10" borderId="97" xfId="47" applyFont="1" applyFill="1" applyBorder="1" applyAlignment="1">
      <alignment horizontal="center" vertical="center"/>
    </xf>
    <xf numFmtId="0" fontId="39" fillId="10" borderId="36" xfId="47" applyFont="1" applyFill="1" applyBorder="1" applyAlignment="1">
      <alignment horizontal="center" vertical="center"/>
    </xf>
    <xf numFmtId="0" fontId="39" fillId="10" borderId="38" xfId="47" applyFont="1" applyFill="1" applyBorder="1" applyAlignment="1">
      <alignment horizontal="center" vertical="center" wrapText="1"/>
    </xf>
    <xf numFmtId="0" fontId="39" fillId="10" borderId="36" xfId="47" applyFont="1" applyFill="1" applyBorder="1" applyAlignment="1">
      <alignment horizontal="center" vertical="center" wrapText="1"/>
    </xf>
    <xf numFmtId="4" fontId="39" fillId="0" borderId="85" xfId="47" applyNumberFormat="1" applyFont="1" applyBorder="1" applyAlignment="1">
      <alignment horizontal="left"/>
    </xf>
    <xf numFmtId="4" fontId="39" fillId="0" borderId="2" xfId="47" applyNumberFormat="1" applyFont="1" applyBorder="1" applyAlignment="1">
      <alignment horizontal="left"/>
    </xf>
    <xf numFmtId="4" fontId="39" fillId="0" borderId="29" xfId="47" applyNumberFormat="1" applyFont="1" applyBorder="1" applyAlignment="1">
      <alignment horizontal="left"/>
    </xf>
    <xf numFmtId="41" fontId="39" fillId="0" borderId="3" xfId="45" applyFont="1" applyBorder="1" applyAlignment="1">
      <alignment horizontal="center"/>
    </xf>
    <xf numFmtId="41" fontId="39" fillId="0" borderId="29" xfId="45" applyFont="1" applyBorder="1" applyAlignment="1">
      <alignment horizontal="center"/>
    </xf>
    <xf numFmtId="0" fontId="39" fillId="0" borderId="85" xfId="47" applyFont="1" applyBorder="1" applyAlignment="1">
      <alignment horizontal="left"/>
    </xf>
    <xf numFmtId="0" fontId="39" fillId="0" borderId="2" xfId="47" applyFont="1" applyBorder="1" applyAlignment="1">
      <alignment horizontal="left"/>
    </xf>
    <xf numFmtId="0" fontId="39" fillId="0" borderId="29" xfId="47" applyFont="1" applyBorder="1" applyAlignment="1">
      <alignment horizontal="left"/>
    </xf>
    <xf numFmtId="0" fontId="39" fillId="0" borderId="85" xfId="47" applyFont="1" applyBorder="1" applyAlignment="1">
      <alignment vertical="center" wrapText="1"/>
    </xf>
    <xf numFmtId="0" fontId="39" fillId="0" borderId="2" xfId="47" applyFont="1" applyBorder="1" applyAlignment="1">
      <alignment vertical="center" wrapText="1"/>
    </xf>
    <xf numFmtId="0" fontId="39" fillId="0" borderId="29" xfId="47" applyFont="1" applyBorder="1" applyAlignment="1">
      <alignment vertical="center" wrapText="1"/>
    </xf>
    <xf numFmtId="0" fontId="39" fillId="0" borderId="85" xfId="47" applyFont="1" applyBorder="1" applyAlignment="1">
      <alignment horizontal="center" vertical="center" wrapText="1"/>
    </xf>
    <xf numFmtId="0" fontId="39" fillId="0" borderId="2" xfId="47" applyFont="1" applyBorder="1" applyAlignment="1">
      <alignment horizontal="center" vertical="center" wrapText="1"/>
    </xf>
    <xf numFmtId="0" fontId="39" fillId="0" borderId="99" xfId="47" applyFont="1" applyBorder="1" applyAlignment="1">
      <alignment horizontal="left"/>
    </xf>
    <xf numFmtId="0" fontId="39" fillId="0" borderId="100" xfId="47" applyFont="1" applyBorder="1" applyAlignment="1">
      <alignment horizontal="left"/>
    </xf>
    <xf numFmtId="0" fontId="39" fillId="10" borderId="34" xfId="47" applyFont="1" applyFill="1" applyBorder="1" applyAlignment="1">
      <alignment horizontal="left" vertical="center" wrapText="1"/>
    </xf>
    <xf numFmtId="0" fontId="39" fillId="10" borderId="35" xfId="47" applyFont="1" applyFill="1" applyBorder="1" applyAlignment="1">
      <alignment horizontal="left" vertical="center" wrapText="1"/>
    </xf>
    <xf numFmtId="0" fontId="39" fillId="10" borderId="37" xfId="47" applyFont="1" applyFill="1" applyBorder="1" applyAlignment="1">
      <alignment horizontal="left" vertical="center" wrapText="1"/>
    </xf>
    <xf numFmtId="0" fontId="39" fillId="0" borderId="16" xfId="47" applyFont="1" applyBorder="1" applyAlignment="1">
      <alignment horizontal="center"/>
    </xf>
    <xf numFmtId="0" fontId="39" fillId="0" borderId="49" xfId="47" applyFont="1" applyBorder="1" applyAlignment="1">
      <alignment horizontal="center"/>
    </xf>
    <xf numFmtId="0" fontId="35" fillId="10" borderId="34" xfId="47" applyFont="1" applyFill="1" applyBorder="1" applyAlignment="1">
      <alignment horizontal="center" vertical="center" wrapText="1"/>
    </xf>
    <xf numFmtId="0" fontId="35" fillId="10" borderId="35" xfId="47" applyFont="1" applyFill="1" applyBorder="1" applyAlignment="1">
      <alignment horizontal="center" vertical="center" wrapText="1"/>
    </xf>
    <xf numFmtId="0" fontId="39" fillId="0" borderId="34" xfId="47" applyFont="1" applyBorder="1" applyAlignment="1">
      <alignment vertical="center" wrapText="1"/>
    </xf>
    <xf numFmtId="0" fontId="39" fillId="0" borderId="35" xfId="47" applyFont="1" applyBorder="1" applyAlignment="1">
      <alignment vertical="center" wrapText="1"/>
    </xf>
    <xf numFmtId="0" fontId="39" fillId="0" borderId="37" xfId="47" applyFont="1" applyBorder="1" applyAlignment="1">
      <alignment vertical="center" wrapText="1"/>
    </xf>
    <xf numFmtId="0" fontId="39" fillId="0" borderId="97" xfId="47" applyFont="1" applyBorder="1" applyAlignment="1">
      <alignment vertical="center" wrapText="1"/>
    </xf>
    <xf numFmtId="0" fontId="39" fillId="0" borderId="98" xfId="47" applyFont="1" applyBorder="1" applyAlignment="1">
      <alignment vertical="center" wrapText="1"/>
    </xf>
    <xf numFmtId="0" fontId="39" fillId="0" borderId="36" xfId="47" applyFont="1" applyBorder="1" applyAlignment="1">
      <alignment vertical="center" wrapText="1"/>
    </xf>
    <xf numFmtId="0" fontId="36" fillId="0" borderId="87" xfId="47" applyFont="1" applyBorder="1" applyAlignment="1">
      <alignment horizontal="center" vertical="center" wrapText="1"/>
    </xf>
    <xf numFmtId="0" fontId="36" fillId="0" borderId="30" xfId="47" applyFont="1" applyBorder="1" applyAlignment="1">
      <alignment horizontal="center" vertical="center" wrapText="1"/>
    </xf>
    <xf numFmtId="0" fontId="36" fillId="0" borderId="88" xfId="47" applyFont="1" applyBorder="1" applyAlignment="1">
      <alignment horizontal="center" vertical="center" wrapText="1"/>
    </xf>
    <xf numFmtId="0" fontId="36" fillId="0" borderId="11" xfId="47" applyFont="1" applyBorder="1" applyAlignment="1">
      <alignment horizontal="center" vertical="center" wrapText="1"/>
    </xf>
    <xf numFmtId="0" fontId="36" fillId="0" borderId="0" xfId="47" applyFont="1" applyAlignment="1">
      <alignment horizontal="center" vertical="center" wrapText="1"/>
    </xf>
    <xf numFmtId="0" fontId="36" fillId="0" borderId="90" xfId="47" applyFont="1" applyBorder="1" applyAlignment="1">
      <alignment horizontal="center" vertical="center" wrapText="1"/>
    </xf>
    <xf numFmtId="0" fontId="36" fillId="0" borderId="32" xfId="47" applyFont="1" applyBorder="1" applyAlignment="1">
      <alignment horizontal="center" vertical="center" wrapText="1"/>
    </xf>
    <xf numFmtId="0" fontId="36" fillId="0" borderId="33" xfId="47" applyFont="1" applyBorder="1" applyAlignment="1">
      <alignment horizontal="center" vertical="center" wrapText="1"/>
    </xf>
    <xf numFmtId="0" fontId="36" fillId="0" borderId="91" xfId="47" applyFont="1" applyBorder="1" applyAlignment="1">
      <alignment horizontal="center" vertical="center" wrapText="1"/>
    </xf>
    <xf numFmtId="0" fontId="37" fillId="0" borderId="89" xfId="47" applyFont="1" applyBorder="1" applyAlignment="1">
      <alignment horizontal="center" vertical="center"/>
    </xf>
    <xf numFmtId="0" fontId="37" fillId="0" borderId="0" xfId="47" applyFont="1" applyAlignment="1">
      <alignment horizontal="center" vertical="center"/>
    </xf>
    <xf numFmtId="0" fontId="37" fillId="0" borderId="12" xfId="47" applyFont="1" applyBorder="1" applyAlignment="1">
      <alignment horizontal="center" vertical="center"/>
    </xf>
    <xf numFmtId="0" fontId="35" fillId="0" borderId="2" xfId="45" applyNumberFormat="1" applyFont="1" applyBorder="1" applyAlignment="1">
      <alignment horizontal="center" vertical="center" wrapText="1"/>
    </xf>
    <xf numFmtId="0" fontId="35" fillId="0" borderId="86" xfId="45" applyNumberFormat="1" applyFont="1" applyBorder="1" applyAlignment="1">
      <alignment horizontal="center" vertical="center" wrapText="1"/>
    </xf>
    <xf numFmtId="39" fontId="34" fillId="9" borderId="92" xfId="47" applyNumberFormat="1" applyFont="1" applyFill="1" applyBorder="1" applyAlignment="1">
      <alignment horizontal="center" vertical="center" wrapText="1"/>
    </xf>
    <xf numFmtId="0" fontId="34" fillId="9" borderId="93" xfId="47" applyFont="1" applyFill="1" applyBorder="1" applyAlignment="1">
      <alignment horizontal="center"/>
    </xf>
    <xf numFmtId="0" fontId="34" fillId="9" borderId="94" xfId="47" applyFont="1" applyFill="1" applyBorder="1" applyAlignment="1">
      <alignment horizontal="center"/>
    </xf>
    <xf numFmtId="3" fontId="31" fillId="5" borderId="60" xfId="2" applyNumberFormat="1" applyFont="1" applyFill="1" applyBorder="1" applyAlignment="1">
      <alignment horizontal="left" vertical="center" wrapText="1"/>
    </xf>
    <xf numFmtId="0" fontId="32" fillId="5" borderId="61" xfId="2" applyFont="1" applyFill="1" applyBorder="1" applyAlignment="1">
      <alignment horizontal="left" vertical="center" wrapText="1"/>
    </xf>
    <xf numFmtId="0" fontId="16" fillId="0" borderId="0" xfId="2" applyFont="1" applyBorder="1" applyAlignment="1">
      <alignment vertical="center"/>
    </xf>
    <xf numFmtId="0" fontId="16" fillId="0" borderId="22" xfId="2" applyFont="1" applyBorder="1" applyAlignment="1"/>
    <xf numFmtId="0" fontId="16" fillId="0" borderId="0" xfId="2" applyFont="1" applyAlignment="1"/>
    <xf numFmtId="0" fontId="13" fillId="5" borderId="24" xfId="2" applyFont="1" applyFill="1" applyBorder="1" applyAlignment="1">
      <alignment vertical="center" wrapText="1"/>
    </xf>
    <xf numFmtId="0" fontId="27" fillId="5" borderId="1" xfId="2" applyFont="1" applyFill="1" applyBorder="1" applyAlignment="1">
      <alignment vertical="center" wrapText="1"/>
    </xf>
    <xf numFmtId="0" fontId="27" fillId="5" borderId="4" xfId="2" applyFont="1" applyFill="1" applyBorder="1" applyAlignment="1">
      <alignment vertical="center" wrapText="1"/>
    </xf>
    <xf numFmtId="0" fontId="16" fillId="0" borderId="24" xfId="2" applyFont="1" applyBorder="1" applyAlignment="1"/>
    <xf numFmtId="0" fontId="16" fillId="0" borderId="4" xfId="2" applyFont="1" applyBorder="1" applyAlignment="1"/>
    <xf numFmtId="0" fontId="13" fillId="0" borderId="24" xfId="2" applyFont="1" applyBorder="1" applyAlignment="1">
      <alignment vertical="center"/>
    </xf>
    <xf numFmtId="0" fontId="13" fillId="0" borderId="4" xfId="2" applyFont="1" applyBorder="1" applyAlignment="1">
      <alignment vertical="center"/>
    </xf>
    <xf numFmtId="0" fontId="16" fillId="0" borderId="18" xfId="2" applyFont="1" applyBorder="1" applyAlignment="1"/>
    <xf numFmtId="0" fontId="13" fillId="5" borderId="24" xfId="2" applyFont="1" applyFill="1" applyBorder="1" applyAlignment="1">
      <alignment horizontal="justify" vertical="center"/>
    </xf>
    <xf numFmtId="0" fontId="16" fillId="5" borderId="1" xfId="2" applyFont="1" applyFill="1" applyBorder="1" applyAlignment="1">
      <alignment horizontal="justify" vertical="center"/>
    </xf>
    <xf numFmtId="0" fontId="16" fillId="5" borderId="4" xfId="2" applyFont="1" applyFill="1" applyBorder="1" applyAlignment="1">
      <alignment horizontal="justify" vertical="center"/>
    </xf>
    <xf numFmtId="0" fontId="15" fillId="0" borderId="23" xfId="2" applyFont="1" applyBorder="1" applyAlignment="1">
      <alignment horizontal="center" vertical="center"/>
    </xf>
    <xf numFmtId="0" fontId="15" fillId="0" borderId="5" xfId="2" applyFont="1" applyBorder="1" applyAlignment="1">
      <alignment horizontal="center" vertical="center"/>
    </xf>
    <xf numFmtId="0" fontId="5" fillId="0" borderId="18" xfId="2" applyFont="1" applyBorder="1" applyAlignment="1">
      <alignment horizontal="center" vertical="center"/>
    </xf>
    <xf numFmtId="0" fontId="5" fillId="0" borderId="19" xfId="2" applyFont="1" applyBorder="1" applyAlignment="1">
      <alignment horizontal="center" vertical="center"/>
    </xf>
    <xf numFmtId="0" fontId="5" fillId="0" borderId="20" xfId="2" applyFont="1" applyBorder="1" applyAlignment="1">
      <alignment horizontal="center" vertical="center"/>
    </xf>
    <xf numFmtId="0" fontId="5" fillId="0" borderId="21" xfId="2" applyFont="1" applyBorder="1" applyAlignment="1">
      <alignment horizontal="center" vertical="center"/>
    </xf>
    <xf numFmtId="0" fontId="5" fillId="0" borderId="0" xfId="2" applyFont="1" applyBorder="1" applyAlignment="1">
      <alignment horizontal="center" vertical="center"/>
    </xf>
    <xf numFmtId="0" fontId="5" fillId="0" borderId="22" xfId="2" applyFont="1" applyBorder="1" applyAlignment="1">
      <alignment horizontal="center" vertical="center"/>
    </xf>
    <xf numFmtId="0" fontId="16" fillId="0" borderId="19" xfId="2" applyFont="1" applyBorder="1" applyAlignment="1"/>
    <xf numFmtId="0" fontId="13" fillId="0" borderId="24" xfId="2" applyFont="1" applyBorder="1" applyAlignment="1">
      <alignment horizontal="justify" vertical="center"/>
    </xf>
    <xf numFmtId="0" fontId="16" fillId="0" borderId="1" xfId="2" applyFont="1" applyBorder="1" applyAlignment="1">
      <alignment horizontal="justify" vertical="center"/>
    </xf>
    <xf numFmtId="0" fontId="16" fillId="0" borderId="4" xfId="2" applyFont="1" applyBorder="1" applyAlignment="1">
      <alignment horizontal="justify" vertical="center"/>
    </xf>
    <xf numFmtId="0" fontId="16" fillId="0" borderId="26" xfId="2" applyFont="1" applyBorder="1" applyAlignment="1"/>
    <xf numFmtId="0" fontId="13" fillId="0" borderId="26" xfId="2" applyFont="1" applyBorder="1" applyAlignment="1">
      <alignment vertical="center"/>
    </xf>
    <xf numFmtId="0" fontId="13" fillId="0" borderId="27" xfId="2" applyFont="1" applyBorder="1" applyAlignment="1">
      <alignment vertical="center"/>
    </xf>
    <xf numFmtId="0" fontId="16" fillId="0" borderId="26" xfId="2" applyFont="1" applyBorder="1" applyAlignment="1">
      <alignment vertical="center" wrapText="1"/>
    </xf>
    <xf numFmtId="0" fontId="16" fillId="0" borderId="27" xfId="2" applyFont="1" applyBorder="1" applyAlignment="1">
      <alignment vertical="center" wrapText="1"/>
    </xf>
    <xf numFmtId="0" fontId="16" fillId="5" borderId="1" xfId="2" applyFont="1" applyFill="1" applyBorder="1" applyAlignment="1">
      <alignment vertical="center" wrapText="1"/>
    </xf>
    <xf numFmtId="0" fontId="16" fillId="5" borderId="4" xfId="2" applyFont="1" applyFill="1" applyBorder="1" applyAlignment="1">
      <alignment vertical="center" wrapText="1"/>
    </xf>
    <xf numFmtId="0" fontId="16" fillId="0" borderId="22" xfId="2" applyFont="1" applyBorder="1" applyAlignment="1">
      <alignment vertical="center"/>
    </xf>
    <xf numFmtId="0" fontId="13" fillId="0" borderId="24" xfId="2" applyFont="1" applyFill="1" applyBorder="1" applyAlignment="1">
      <alignment vertical="center" wrapText="1"/>
    </xf>
    <xf numFmtId="0" fontId="13" fillId="0" borderId="1" xfId="2" applyFont="1" applyFill="1" applyBorder="1" applyAlignment="1">
      <alignment vertical="center" wrapText="1"/>
    </xf>
    <xf numFmtId="0" fontId="13" fillId="0" borderId="4" xfId="2" applyFont="1" applyFill="1" applyBorder="1" applyAlignment="1">
      <alignment vertical="center" wrapText="1"/>
    </xf>
    <xf numFmtId="0" fontId="16" fillId="0" borderId="23" xfId="2" applyFont="1" applyBorder="1" applyAlignment="1"/>
    <xf numFmtId="0" fontId="16" fillId="0" borderId="7" xfId="2" applyFont="1" applyBorder="1" applyAlignment="1"/>
    <xf numFmtId="0" fontId="29" fillId="0" borderId="18" xfId="2" applyFont="1" applyBorder="1" applyAlignment="1">
      <alignment vertical="center"/>
    </xf>
    <xf numFmtId="0" fontId="29" fillId="0" borderId="20" xfId="2" applyFont="1" applyBorder="1" applyAlignment="1">
      <alignment vertical="center"/>
    </xf>
    <xf numFmtId="0" fontId="29" fillId="0" borderId="23" xfId="2" applyFont="1" applyBorder="1" applyAlignment="1">
      <alignment vertical="center"/>
    </xf>
    <xf numFmtId="0" fontId="29" fillId="0" borderId="7" xfId="2" applyFont="1" applyBorder="1" applyAlignment="1">
      <alignment vertical="center"/>
    </xf>
    <xf numFmtId="0" fontId="14" fillId="0" borderId="26" xfId="2" applyFont="1" applyBorder="1" applyAlignment="1">
      <alignment horizontal="center" vertical="center"/>
    </xf>
    <xf numFmtId="0" fontId="14" fillId="0" borderId="28" xfId="2" applyFont="1" applyBorder="1" applyAlignment="1">
      <alignment horizontal="center" vertical="center"/>
    </xf>
    <xf numFmtId="0" fontId="14" fillId="0" borderId="24" xfId="2" applyFont="1" applyBorder="1" applyAlignment="1">
      <alignment horizontal="center" vertical="center"/>
    </xf>
    <xf numFmtId="0" fontId="14" fillId="0" borderId="4" xfId="2" applyFont="1" applyBorder="1" applyAlignment="1">
      <alignment horizontal="center" vertical="center"/>
    </xf>
    <xf numFmtId="0" fontId="27" fillId="0" borderId="1" xfId="2" applyFont="1" applyBorder="1" applyAlignment="1">
      <alignment vertical="center" wrapText="1"/>
    </xf>
    <xf numFmtId="0" fontId="27" fillId="0" borderId="4" xfId="2" applyFont="1" applyBorder="1" applyAlignment="1">
      <alignment vertical="center" wrapText="1"/>
    </xf>
    <xf numFmtId="0" fontId="28" fillId="0" borderId="26" xfId="2" applyFont="1" applyBorder="1" applyAlignment="1">
      <alignment horizontal="center"/>
    </xf>
    <xf numFmtId="0" fontId="28" fillId="0" borderId="27" xfId="2" applyFont="1" applyBorder="1" applyAlignment="1">
      <alignment horizontal="center"/>
    </xf>
    <xf numFmtId="0" fontId="28" fillId="0" borderId="28" xfId="2" applyFont="1" applyBorder="1" applyAlignment="1">
      <alignment horizontal="center"/>
    </xf>
    <xf numFmtId="0" fontId="14" fillId="0" borderId="27" xfId="2" applyFont="1" applyBorder="1" applyAlignment="1">
      <alignment horizontal="center" vertical="center"/>
    </xf>
    <xf numFmtId="0" fontId="16" fillId="5" borderId="24" xfId="2" applyFont="1" applyFill="1" applyBorder="1" applyAlignment="1">
      <alignment vertical="center" wrapText="1"/>
    </xf>
  </cellXfs>
  <cellStyles count="75">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Millares" xfId="1" builtinId="3"/>
    <cellStyle name="Millares [0]" xfId="45" builtinId="6"/>
    <cellStyle name="Millares [0] 2" xfId="26"/>
    <cellStyle name="Millares [0] 3" xfId="55"/>
    <cellStyle name="Millares [0] 3 2" xfId="72"/>
    <cellStyle name="Millares [0] 4" xfId="62"/>
    <cellStyle name="Millares 15" xfId="59"/>
    <cellStyle name="Millares 2" xfId="6"/>
    <cellStyle name="Millares 2 2" xfId="4"/>
    <cellStyle name="Millares 2 2 2" xfId="8"/>
    <cellStyle name="Millares 2 3" xfId="56"/>
    <cellStyle name="Millares 3" xfId="52"/>
    <cellStyle name="Millares 3 2" xfId="69"/>
    <cellStyle name="Millares 4" xfId="68"/>
    <cellStyle name="Millares 4 2" xfId="74"/>
    <cellStyle name="Millares 5" xfId="61"/>
    <cellStyle name="Millares 5 2" xfId="49"/>
    <cellStyle name="Millares 5 2 2" xfId="63"/>
    <cellStyle name="Moneda [0]" xfId="51" builtinId="7"/>
    <cellStyle name="Moneda [0] 2" xfId="64"/>
    <cellStyle name="Moneda 2" xfId="58"/>
    <cellStyle name="Moneda 2 2" xfId="66"/>
    <cellStyle name="Moneda 3" xfId="53"/>
    <cellStyle name="Moneda 3 2" xfId="70"/>
    <cellStyle name="Moneda 4" xfId="73"/>
    <cellStyle name="Normal" xfId="0" builtinId="0"/>
    <cellStyle name="Normal 2" xfId="2"/>
    <cellStyle name="Normal 2 2" xfId="3"/>
    <cellStyle name="Normal 2 3" xfId="48"/>
    <cellStyle name="Normal 2 4" xfId="65"/>
    <cellStyle name="Normal 3" xfId="7"/>
    <cellStyle name="Normal 4" xfId="46"/>
    <cellStyle name="Normal 5" xfId="50"/>
    <cellStyle name="Normal 5 2" xfId="60"/>
    <cellStyle name="Normal 6" xfId="57"/>
    <cellStyle name="Normal_Ppto-Bucarasica Mayo 31" xfId="47"/>
    <cellStyle name="Porcentaje" xfId="5" builtinId="5"/>
    <cellStyle name="Porcentaje 2" xfId="54"/>
    <cellStyle name="Porcentaje 2 2" xfId="71"/>
    <cellStyle name="Porcentual 2" xfId="67"/>
  </cellStyles>
  <dxfs count="0"/>
  <tableStyles count="0" defaultTableStyle="TableStyleMedium9" defaultPivotStyle="PivotStyleLight16"/>
  <colors>
    <mruColors>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9" Type="http://schemas.openxmlformats.org/officeDocument/2006/relationships/externalLink" Target="externalLinks/externalLink15.xml"/><Relationship Id="rId21" Type="http://schemas.openxmlformats.org/officeDocument/2006/relationships/worksheet" Target="worksheets/sheet21.xml"/><Relationship Id="rId34" Type="http://schemas.openxmlformats.org/officeDocument/2006/relationships/externalLink" Target="externalLinks/externalLink10.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8.xml"/><Relationship Id="rId37" Type="http://schemas.openxmlformats.org/officeDocument/2006/relationships/externalLink" Target="externalLinks/externalLink13.xml"/><Relationship Id="rId40" Type="http://schemas.openxmlformats.org/officeDocument/2006/relationships/externalLink" Target="externalLinks/externalLink16.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36" Type="http://schemas.openxmlformats.org/officeDocument/2006/relationships/externalLink" Target="externalLinks/externalLink1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7.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externalLink" Target="externalLinks/externalLink11.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externalLink" Target="externalLinks/externalLink9.xml"/><Relationship Id="rId38" Type="http://schemas.openxmlformats.org/officeDocument/2006/relationships/externalLink" Target="externalLinks/externalLink14.xml"/><Relationship Id="rId46" Type="http://schemas.microsoft.com/office/2006/relationships/vbaProject" Target="vbaProject.bin"/><Relationship Id="rId20" Type="http://schemas.openxmlformats.org/officeDocument/2006/relationships/worksheet" Target="worksheets/sheet20.xml"/><Relationship Id="rId41" Type="http://schemas.openxmlformats.org/officeDocument/2006/relationships/externalLink" Target="externalLinks/externalLink17.xml"/></Relationships>
</file>

<file path=xl/drawings/_rels/drawing1.xml.rels><?xml version="1.0" encoding="UTF-8" standalone="yes"?>
<Relationships xmlns="http://schemas.openxmlformats.org/package/2006/relationships"><Relationship Id="rId1" Type="http://schemas.openxmlformats.org/officeDocument/2006/relationships/image" Target="../media/image3.emf"/></Relationships>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241</xdr:row>
      <xdr:rowOff>0</xdr:rowOff>
    </xdr:from>
    <xdr:to>
      <xdr:col>2</xdr:col>
      <xdr:colOff>63500</xdr:colOff>
      <xdr:row>242</xdr:row>
      <xdr:rowOff>63500</xdr:rowOff>
    </xdr:to>
    <xdr:sp macro="" textlink="">
      <xdr:nvSpPr>
        <xdr:cNvPr id="93185" name="TempCombo" hidden="1">
          <a:extLst>
            <a:ext uri="{63B3BB69-23CF-44E3-9099-C40C66FF867C}">
              <a14:compatExt xmlns:a14="http://schemas.microsoft.com/office/drawing/2010/main" spid="_x0000_s93185"/>
            </a:ext>
            <a:ext uri="{FF2B5EF4-FFF2-40B4-BE49-F238E27FC236}">
              <a16:creationId xmlns:a16="http://schemas.microsoft.com/office/drawing/2014/main" id="{00000000-0008-0000-0B00-0000016C01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0</xdr:colOff>
      <xdr:row>241</xdr:row>
      <xdr:rowOff>0</xdr:rowOff>
    </xdr:from>
    <xdr:to>
      <xdr:col>2</xdr:col>
      <xdr:colOff>63500</xdr:colOff>
      <xdr:row>242</xdr:row>
      <xdr:rowOff>63500</xdr:rowOff>
    </xdr:to>
    <xdr:pic>
      <xdr:nvPicPr>
        <xdr:cNvPr id="2" name="TempCombo" hidden="1">
          <a:extLst>
            <a:ext uri="{FF2B5EF4-FFF2-40B4-BE49-F238E27FC236}">
              <a16:creationId xmlns:a16="http://schemas.microsoft.com/office/drawing/2014/main" id="{DA3E44BA-DDD1-F047-814A-5E32382127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7200" y="46824900"/>
          <a:ext cx="2019300" cy="241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2684</xdr:row>
      <xdr:rowOff>0</xdr:rowOff>
    </xdr:from>
    <xdr:to>
      <xdr:col>2</xdr:col>
      <xdr:colOff>63500</xdr:colOff>
      <xdr:row>2685</xdr:row>
      <xdr:rowOff>63500</xdr:rowOff>
    </xdr:to>
    <xdr:sp macro="" textlink="">
      <xdr:nvSpPr>
        <xdr:cNvPr id="78854" name="TempCombo" hidden="1">
          <a:extLst>
            <a:ext uri="{63B3BB69-23CF-44E3-9099-C40C66FF867C}">
              <a14:compatExt xmlns:a14="http://schemas.microsoft.com/office/drawing/2010/main" spid="_x0000_s78854"/>
            </a:ext>
            <a:ext uri="{FF2B5EF4-FFF2-40B4-BE49-F238E27FC236}">
              <a16:creationId xmlns:a16="http://schemas.microsoft.com/office/drawing/2014/main" id="{00000000-0008-0000-0C00-0000063401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0</xdr:colOff>
      <xdr:row>2684</xdr:row>
      <xdr:rowOff>0</xdr:rowOff>
    </xdr:from>
    <xdr:to>
      <xdr:col>2</xdr:col>
      <xdr:colOff>63500</xdr:colOff>
      <xdr:row>2685</xdr:row>
      <xdr:rowOff>63500</xdr:rowOff>
    </xdr:to>
    <xdr:pic>
      <xdr:nvPicPr>
        <xdr:cNvPr id="2" name="TempCombo" hidden="1">
          <a:extLst>
            <a:ext uri="{FF2B5EF4-FFF2-40B4-BE49-F238E27FC236}">
              <a16:creationId xmlns:a16="http://schemas.microsoft.com/office/drawing/2014/main" id="{8DFD5334-C48A-7A47-B830-E16B6CD849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7200" y="546341300"/>
          <a:ext cx="2019300" cy="5588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6.Electricos/Evaluacion%20Economica%20Terminacion%20UI%20Cara&#241;o%20%20%202020-MAY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LCALDIA%20QUIBDO\Aeroparque%20Quibdo\8.%20Evaluacion%20Economica\Evaluacion%20Economica%20Aeroparque%20Quibdo%20V1%20Julio%202019%20COMPLET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c6\d\Mis%20documentos\MPS%202005\Licitaciones\Presentadas\Bucarasica\Propuesta\Ppto-Bucarasica%20Mayo%203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C:\Pc6\d\Mis%20documentos\MPS%202005\Licitaciones\Presentadas\Bucarasica\Propuesta\Ppto-Bucarasica%20Mayo%203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Usuario\Documents\TODO%20D\Documents\CORVEZ\COTIZACIONES\COSTOS%20CONCRETO%20PREMEZCLAD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Users\Usuario\Documents\TODO%20D\Documents\CORVEZ\COTIZACIONES\COSTOS%20CONCRETO%20PREMEZCLAD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D:\Users\Usuario\Documents\TODO%20D\Documents\CORVEZ\COTIZACIONES\COSTOS%20CONCRETO%20PREMEZCLAD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E:\D:\Users\Usuario\Documents\TODO%20D\Documents\CORVEZ\COTIZACIONES\COSTOS%20CONCRETO%20PREMEZCLAD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Pc6\d\Documents%20and%20Settings\Personal\Mis%20documentos\TRABAJO\PPTOS%20%20-%20CENS%20-%202005\Materiales%20-%20Matriz-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C:\Pc6\d\Documents%20and%20Settings\Personal\Mis%20documentos\TRABAJO\PPTOS%20%20-%20CENS%20-%202005\Materiales%20-%20Matriz-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ALCALDIA%20QUIBDO\Viviendas%20resguardo%20Indigena%20el%2090\ANALISIS-DE-PRECIOS-UNITARIOS%20-RED%20DE%20M.TY%20B.T-EL%20NOVENTA.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E:\D:\ALCALDIA%20QUIBDO\Viviendas%20resguardo%20Indigena%20el%2090\ANALISIS-DE-PRECIOS-UNITARIOS%20-RED%20DE%20M.TY%20B.T-EL%20NOVENTA.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usuario\Downloads\HArold.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LCALDIA%20QUIBDO\Unidad%20Intermedia%20el%20Cara&#241;o\Terminacion%20Unidad%20Intermedia%20el%20Cara&#241;o%202020\4.%20Presupuesto%20y%20programacion\erminacion%20UI%20Cara&#241;o%20FINAL%20FINAL%20%202020-1.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Corvez\Desktop\MURO%20BUCHADO%2020-4.5\PROPUESTA%20BUCHADO%20MURO%20CONCRET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CANTIDADES%20ACER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E:\E:\ALCALDIA%20QUIBDO\Informes%20Contraloria%20JUEGOS%20NACIONALES\OBSERVACIONES%20CONTARLORIA%20JDN\Observacion%207\ACAND&#205;\PROYECTO%20HIDROSANITARIO\PRESUPUESTO\Precios%202015%20-%20Actualizados%20Acand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on Economica DEFINI (2)"/>
      <sheetName val="Evaluacion Economica DEFINITIVO"/>
      <sheetName val="A.P.U Electricos"/>
      <sheetName val="Hoja2"/>
    </sheetNames>
    <sheetDataSet>
      <sheetData sheetId="0" refreshError="1"/>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PRECIOS"/>
      <sheetName val="JORNALES"/>
      <sheetName val="PRESTACIONES SOCIALES"/>
      <sheetName val="PRESUPUESTO DE OBRA"/>
      <sheetName val="A.P.Us. Aux"/>
      <sheetName val="A.P.Us. Civiles"/>
      <sheetName val="A.P.Us. Electricos"/>
      <sheetName val="Memorias Cantidades"/>
      <sheetName val="Movimiento de Tierras"/>
      <sheetName val="APUs MUNICIPIO DE QUIBDO2019"/>
      <sheetName val="Programacion"/>
      <sheetName val="Interventoria"/>
      <sheetName val="Factor Multiplicador"/>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ituradora"/>
      <sheetName val="CONSUMOS"/>
      <sheetName val="COSTOS"/>
      <sheetName val="BASES"/>
      <sheetName val="Precios de Venta"/>
      <sheetName val="Dif. Precios Historicos"/>
      <sheetName val="MANO DE OBRA DIRECTA"/>
      <sheetName val="MANO OBRA INDIRECTA"/>
      <sheetName val="DATOS BASICOS PERSONAL %"/>
    </sheetNames>
    <sheetDataSet>
      <sheetData sheetId="0"/>
      <sheetData sheetId="1"/>
      <sheetData sheetId="2">
        <row r="3">
          <cell r="E3">
            <v>2500</v>
          </cell>
        </row>
        <row r="4">
          <cell r="E4">
            <v>8250</v>
          </cell>
        </row>
      </sheetData>
      <sheetData sheetId="3">
        <row r="14">
          <cell r="D14">
            <v>318586.04866768658</v>
          </cell>
        </row>
      </sheetData>
      <sheetData sheetId="4"/>
      <sheetData sheetId="5"/>
      <sheetData sheetId="6"/>
      <sheetData sheetId="7"/>
      <sheetData sheetId="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ituradora"/>
      <sheetName val="CONSUMOS"/>
      <sheetName val="COSTOS"/>
      <sheetName val="BASES"/>
      <sheetName val="Precios de Venta"/>
      <sheetName val="Dif. Precios Historicos"/>
      <sheetName val="MANO DE OBRA DIRECTA"/>
      <sheetName val="MANO OBRA INDIRECTA"/>
      <sheetName val="DATOS BASICOS PERSONAL %"/>
    </sheetNames>
    <sheetDataSet>
      <sheetData sheetId="0"/>
      <sheetData sheetId="1"/>
      <sheetData sheetId="2">
        <row r="3">
          <cell r="E3">
            <v>2500</v>
          </cell>
        </row>
        <row r="4">
          <cell r="E4">
            <v>8250</v>
          </cell>
        </row>
      </sheetData>
      <sheetData sheetId="3">
        <row r="14">
          <cell r="D14">
            <v>318586.04866768658</v>
          </cell>
        </row>
      </sheetData>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ituradora"/>
      <sheetName val="CONSUMOS"/>
      <sheetName val="COSTOS"/>
      <sheetName val="BASES"/>
      <sheetName val="Precios de Venta"/>
      <sheetName val="Dif. Precios Historicos"/>
      <sheetName val="MANO DE OBRA DIRECTA"/>
      <sheetName val="MANO OBRA INDIRECTA"/>
      <sheetName val="DATOS BASICOS PERSONAL %"/>
    </sheetNames>
    <sheetDataSet>
      <sheetData sheetId="0"/>
      <sheetData sheetId="1"/>
      <sheetData sheetId="2">
        <row r="3">
          <cell r="E3">
            <v>2500</v>
          </cell>
        </row>
        <row r="4">
          <cell r="E4">
            <v>8250</v>
          </cell>
        </row>
      </sheetData>
      <sheetData sheetId="3">
        <row r="14">
          <cell r="D14">
            <v>318586.04866768658</v>
          </cell>
        </row>
      </sheetData>
      <sheetData sheetId="4"/>
      <sheetData sheetId="5"/>
      <sheetData sheetId="6"/>
      <sheetData sheetId="7"/>
      <sheetData sheetId="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ituradora"/>
      <sheetName val="CONSUMOS"/>
      <sheetName val="COSTOS"/>
      <sheetName val="BASES"/>
      <sheetName val="Precios de Venta"/>
      <sheetName val="Dif. Precios Historicos"/>
      <sheetName val="MANO DE OBRA DIRECTA"/>
      <sheetName val="MANO OBRA INDIRECTA"/>
      <sheetName val="DATOS BASICOS PERSONAL %"/>
    </sheetNames>
    <sheetDataSet>
      <sheetData sheetId="0"/>
      <sheetData sheetId="1"/>
      <sheetData sheetId="2">
        <row r="3">
          <cell r="E3">
            <v>2500</v>
          </cell>
        </row>
        <row r="4">
          <cell r="E4">
            <v>8250</v>
          </cell>
        </row>
      </sheetData>
      <sheetData sheetId="3">
        <row r="14">
          <cell r="D14">
            <v>318586.04866768658</v>
          </cell>
        </row>
      </sheetData>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o a punto"/>
      <sheetName val="Recursos"/>
      <sheetName val="PRESUPUESTO1"/>
      <sheetName val="Presupuest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s>
    <sheetDataSet>
      <sheetData sheetId="0" refreshError="1"/>
      <sheetData sheetId="1">
        <row r="7">
          <cell r="A7" t="str">
            <v>Abrazadera Metálica de 8"</v>
          </cell>
          <cell r="B7" t="str">
            <v>Un</v>
          </cell>
          <cell r="C7">
            <v>13334.76144</v>
          </cell>
          <cell r="D7">
            <v>15468.323270399998</v>
          </cell>
          <cell r="E7">
            <v>1.8</v>
          </cell>
        </row>
        <row r="8">
          <cell r="A8" t="str">
            <v>Accesorios para puesta a tierra, Unión EMT de 1/2", Entrada a caja  para tubo EMT de 1/2 ", Chazos, Cinta vinilo y  demás elementos de fijación.</v>
          </cell>
          <cell r="B8" t="str">
            <v>Un</v>
          </cell>
          <cell r="C8">
            <v>8000</v>
          </cell>
          <cell r="D8">
            <v>9280</v>
          </cell>
          <cell r="E8">
            <v>0.25</v>
          </cell>
        </row>
        <row r="9">
          <cell r="A9" t="str">
            <v>Aislador carrete de 81 mm</v>
          </cell>
          <cell r="B9" t="str">
            <v>Un</v>
          </cell>
          <cell r="C9">
            <v>3158.1231999999995</v>
          </cell>
          <cell r="D9">
            <v>3663.4229119999991</v>
          </cell>
          <cell r="E9">
            <v>0.56000000000000005</v>
          </cell>
        </row>
        <row r="10">
          <cell r="A10" t="str">
            <v>Aislador de porcelana tipo carrete de 81 mm</v>
          </cell>
          <cell r="B10" t="str">
            <v>Un</v>
          </cell>
          <cell r="C10">
            <v>2307.2399999999998</v>
          </cell>
          <cell r="D10">
            <v>2676.3983999999996</v>
          </cell>
          <cell r="E10">
            <v>0.56000000000000005</v>
          </cell>
        </row>
        <row r="11">
          <cell r="A11" t="str">
            <v>Aislador de suspension polimerico de cadena</v>
          </cell>
          <cell r="B11" t="str">
            <v>Un</v>
          </cell>
          <cell r="C11">
            <v>18480</v>
          </cell>
          <cell r="D11">
            <v>21436.799999999999</v>
          </cell>
          <cell r="E11">
            <v>1.66</v>
          </cell>
        </row>
        <row r="12">
          <cell r="A12" t="str">
            <v>Aislador de suspensión 165 mm (6 1/2")</v>
          </cell>
          <cell r="B12" t="str">
            <v>Un</v>
          </cell>
          <cell r="C12">
            <v>22478.247999999996</v>
          </cell>
          <cell r="D12">
            <v>26074.767679999994</v>
          </cell>
          <cell r="E12">
            <v>2.66</v>
          </cell>
        </row>
        <row r="13">
          <cell r="A13" t="str">
            <v>Aislador Pin para 15 KV</v>
          </cell>
          <cell r="B13" t="str">
            <v>Un</v>
          </cell>
          <cell r="C13">
            <v>21458</v>
          </cell>
          <cell r="D13">
            <v>24891.279999999999</v>
          </cell>
          <cell r="E13">
            <v>1.85</v>
          </cell>
        </row>
        <row r="14">
          <cell r="A14" t="str">
            <v>Aislador Pin line post para 15 KV</v>
          </cell>
          <cell r="B14" t="str">
            <v>Un</v>
          </cell>
          <cell r="C14">
            <v>36900</v>
          </cell>
          <cell r="D14">
            <v>42804</v>
          </cell>
          <cell r="E14">
            <v>2.2999999999999998</v>
          </cell>
        </row>
        <row r="15">
          <cell r="A15" t="str">
            <v>Aislador Pin para neutro (3 KV)</v>
          </cell>
          <cell r="B15" t="str">
            <v>Un</v>
          </cell>
          <cell r="C15">
            <v>15478.436799999998</v>
          </cell>
          <cell r="D15">
            <v>17954.986687999997</v>
          </cell>
          <cell r="E15">
            <v>1</v>
          </cell>
        </row>
        <row r="16">
          <cell r="A16" t="str">
            <v>Aislador tensor de 4 1/4"</v>
          </cell>
          <cell r="B16" t="str">
            <v>Un</v>
          </cell>
          <cell r="C16">
            <v>11893.758399999999</v>
          </cell>
          <cell r="D16">
            <v>13796.759743999997</v>
          </cell>
          <cell r="E16">
            <v>1.5</v>
          </cell>
        </row>
        <row r="17">
          <cell r="A17" t="str">
            <v>Alambre de cobre desnudo #4 AWG (mt)</v>
          </cell>
          <cell r="B17" t="str">
            <v>m</v>
          </cell>
          <cell r="C17">
            <v>4450</v>
          </cell>
          <cell r="D17">
            <v>5162</v>
          </cell>
          <cell r="E17">
            <v>0.2</v>
          </cell>
        </row>
        <row r="18">
          <cell r="A18" t="str">
            <v>Alambre de cobre desnudo No.6 AWG</v>
          </cell>
          <cell r="B18" t="str">
            <v>m</v>
          </cell>
          <cell r="C18">
            <v>2980</v>
          </cell>
          <cell r="D18">
            <v>3456.7999999999997</v>
          </cell>
          <cell r="E18">
            <v>0.08</v>
          </cell>
        </row>
        <row r="19">
          <cell r="A19" t="str">
            <v>Alambre de cobre desnudo No.8 AWG</v>
          </cell>
          <cell r="B19" t="str">
            <v>m</v>
          </cell>
          <cell r="C19">
            <v>1777.0498199999995</v>
          </cell>
          <cell r="D19">
            <v>2061.3777911999991</v>
          </cell>
          <cell r="E19">
            <v>0.08</v>
          </cell>
        </row>
        <row r="20">
          <cell r="A20" t="str">
            <v>Alambre de acero recubierto de cobre cubierto con polietileno</v>
          </cell>
          <cell r="B20" t="str">
            <v>m</v>
          </cell>
          <cell r="C20">
            <v>2350</v>
          </cell>
          <cell r="D20">
            <v>2726</v>
          </cell>
          <cell r="E20">
            <v>0.25</v>
          </cell>
        </row>
        <row r="21">
          <cell r="A21" t="str">
            <v>Alambre galvanizado No.10</v>
          </cell>
          <cell r="B21" t="str">
            <v>kg</v>
          </cell>
          <cell r="C21">
            <v>1628.64</v>
          </cell>
          <cell r="D21">
            <v>1889.2223999999999</v>
          </cell>
          <cell r="E21">
            <v>1</v>
          </cell>
        </row>
        <row r="22">
          <cell r="A22" t="str">
            <v xml:space="preserve">Amarre Plastico </v>
          </cell>
          <cell r="B22" t="str">
            <v>Un</v>
          </cell>
          <cell r="C22">
            <v>99.574399999999997</v>
          </cell>
          <cell r="D22">
            <v>115.50630399999999</v>
          </cell>
          <cell r="E22">
            <v>0.15</v>
          </cell>
        </row>
        <row r="23">
          <cell r="A23" t="str">
            <v>Amortiguador para cable #2 AWG</v>
          </cell>
          <cell r="B23" t="str">
            <v>Un</v>
          </cell>
          <cell r="C23">
            <v>12122.510399999999</v>
          </cell>
          <cell r="D23">
            <v>14062.112063999999</v>
          </cell>
          <cell r="E23">
            <v>1000</v>
          </cell>
        </row>
        <row r="24">
          <cell r="A24" t="str">
            <v>Amortiguador para cable #2, 1/0 AWG</v>
          </cell>
          <cell r="B24" t="str">
            <v>Un</v>
          </cell>
          <cell r="C24">
            <v>18884.352239999997</v>
          </cell>
          <cell r="D24">
            <v>21905.848598399996</v>
          </cell>
          <cell r="E24">
            <v>1.8</v>
          </cell>
        </row>
        <row r="25">
          <cell r="A25" t="str">
            <v>Anillo 9" (Abrazadera metálica)</v>
          </cell>
          <cell r="B25" t="str">
            <v>Un</v>
          </cell>
          <cell r="C25">
            <v>3500</v>
          </cell>
          <cell r="D25">
            <v>4059.9999999999995</v>
          </cell>
          <cell r="E25">
            <v>0.85</v>
          </cell>
        </row>
        <row r="26">
          <cell r="A26" t="str">
            <v>Arandela cuadrada 4"x4" para anclaje</v>
          </cell>
          <cell r="B26" t="str">
            <v>Un</v>
          </cell>
          <cell r="C26">
            <v>3713.8559999999998</v>
          </cell>
          <cell r="D26">
            <v>4308.0729599999995</v>
          </cell>
          <cell r="E26">
            <v>0.35</v>
          </cell>
        </row>
        <row r="27">
          <cell r="A27" t="str">
            <v>Arena</v>
          </cell>
          <cell r="B27" t="str">
            <v>m3</v>
          </cell>
          <cell r="C27">
            <v>22690</v>
          </cell>
          <cell r="D27">
            <v>26320.399999999998</v>
          </cell>
          <cell r="E27">
            <v>1550</v>
          </cell>
        </row>
        <row r="28">
          <cell r="A28" t="str">
            <v>Barraje premoldeado para BT sumergible 4 puertos</v>
          </cell>
          <cell r="B28" t="str">
            <v>Un</v>
          </cell>
          <cell r="C28">
            <v>67070</v>
          </cell>
          <cell r="D28">
            <v>77801.2</v>
          </cell>
          <cell r="E28">
            <v>0.5</v>
          </cell>
        </row>
        <row r="29">
          <cell r="A29" t="str">
            <v>Barraje premoldeado para BT sumergible 6 puertos</v>
          </cell>
          <cell r="B29" t="str">
            <v>Un</v>
          </cell>
          <cell r="C29">
            <v>91850</v>
          </cell>
          <cell r="D29">
            <v>106545.99999999999</v>
          </cell>
          <cell r="E29">
            <v>0.55000000000000004</v>
          </cell>
        </row>
        <row r="30">
          <cell r="A30" t="str">
            <v>Bayoneta doble de 1500 mm (3"x3"x1/4")</v>
          </cell>
          <cell r="B30" t="str">
            <v>Un</v>
          </cell>
          <cell r="C30">
            <v>147220.75039999999</v>
          </cell>
          <cell r="D30">
            <v>170776.07046399999</v>
          </cell>
          <cell r="E30">
            <v>21.6</v>
          </cell>
        </row>
        <row r="31">
          <cell r="A31" t="str">
            <v>Bayoneta sencilla de 1500 mm (3"x3"x1/4")</v>
          </cell>
          <cell r="B31" t="str">
            <v>Un</v>
          </cell>
          <cell r="C31">
            <v>65335.608</v>
          </cell>
          <cell r="D31">
            <v>75789.30528</v>
          </cell>
          <cell r="E31">
            <v>10.8</v>
          </cell>
        </row>
        <row r="32">
          <cell r="A32" t="str">
            <v>Blindaje para cable ACSR #2 ó 1/0</v>
          </cell>
          <cell r="B32" t="str">
            <v>Un</v>
          </cell>
          <cell r="C32">
            <v>7464.6</v>
          </cell>
          <cell r="D32">
            <v>8658.9359999999997</v>
          </cell>
          <cell r="E32">
            <v>0.5</v>
          </cell>
        </row>
        <row r="33">
          <cell r="A33" t="str">
            <v>Bloque de Anclaje</v>
          </cell>
          <cell r="B33" t="str">
            <v>Un</v>
          </cell>
          <cell r="C33">
            <v>11000</v>
          </cell>
          <cell r="D33">
            <v>12760</v>
          </cell>
          <cell r="E33">
            <v>15</v>
          </cell>
        </row>
        <row r="34">
          <cell r="A34" t="str">
            <v>Brazo Angular tipo C</v>
          </cell>
          <cell r="B34" t="str">
            <v>Un</v>
          </cell>
          <cell r="C34">
            <v>77850</v>
          </cell>
          <cell r="D34">
            <v>90306</v>
          </cell>
          <cell r="E34">
            <v>5.8</v>
          </cell>
        </row>
        <row r="35">
          <cell r="A35" t="str">
            <v>Brazo para viento en farol</v>
          </cell>
          <cell r="B35" t="str">
            <v>Un</v>
          </cell>
          <cell r="C35">
            <v>48253.215999999993</v>
          </cell>
          <cell r="D35">
            <v>55973.730559999989</v>
          </cell>
          <cell r="E35">
            <v>12</v>
          </cell>
        </row>
        <row r="36">
          <cell r="A36" t="str">
            <v>Cable THW( 600 V) 2/0</v>
          </cell>
          <cell r="B36" t="str">
            <v>m</v>
          </cell>
          <cell r="C36">
            <v>4100</v>
          </cell>
          <cell r="D36">
            <v>4756</v>
          </cell>
          <cell r="E36">
            <v>0.625</v>
          </cell>
        </row>
        <row r="37">
          <cell r="A37" t="str">
            <v>Cable SGX 1/4"</v>
          </cell>
          <cell r="B37" t="str">
            <v>m</v>
          </cell>
          <cell r="C37">
            <v>909</v>
          </cell>
          <cell r="D37">
            <v>1054.4399999999998</v>
          </cell>
          <cell r="E37">
            <v>0.17799999999999999</v>
          </cell>
        </row>
        <row r="38">
          <cell r="A38" t="str">
            <v>Cable SGX 3/8"</v>
          </cell>
          <cell r="B38" t="str">
            <v>m</v>
          </cell>
          <cell r="C38">
            <v>1050</v>
          </cell>
          <cell r="D38">
            <v>1218</v>
          </cell>
          <cell r="E38">
            <v>0.25</v>
          </cell>
        </row>
        <row r="39">
          <cell r="A39" t="str">
            <v>Cable ACSR No. 1/0 AWG</v>
          </cell>
          <cell r="B39" t="str">
            <v>m</v>
          </cell>
          <cell r="C39">
            <v>2010</v>
          </cell>
          <cell r="D39">
            <v>2331.6</v>
          </cell>
          <cell r="E39">
            <v>0.216</v>
          </cell>
        </row>
        <row r="40">
          <cell r="A40" t="str">
            <v>Cable ACSR No. 2 AWG</v>
          </cell>
          <cell r="B40" t="str">
            <v>m</v>
          </cell>
          <cell r="C40">
            <v>1295</v>
          </cell>
          <cell r="D40">
            <v>1502.1999999999998</v>
          </cell>
          <cell r="E40">
            <v>0.13600000000000001</v>
          </cell>
        </row>
        <row r="41">
          <cell r="A41" t="str">
            <v>Cable ACSR No. 2/0 AWG</v>
          </cell>
          <cell r="B41" t="str">
            <v>m</v>
          </cell>
          <cell r="C41">
            <v>2510</v>
          </cell>
          <cell r="D41">
            <v>2911.6</v>
          </cell>
          <cell r="E41">
            <v>0.27210884353741499</v>
          </cell>
        </row>
        <row r="42">
          <cell r="A42" t="str">
            <v>Cable ACSR No. 4 AWG</v>
          </cell>
          <cell r="B42" t="str">
            <v>m</v>
          </cell>
          <cell r="C42">
            <v>1259.3084212799997</v>
          </cell>
          <cell r="D42">
            <v>1460.7977686847996</v>
          </cell>
          <cell r="E42">
            <v>8.5000000000000006E-2</v>
          </cell>
        </row>
        <row r="43">
          <cell r="A43" t="str">
            <v>Cable ACSR No. 4/0 AWG</v>
          </cell>
          <cell r="B43" t="str">
            <v>m</v>
          </cell>
          <cell r="C43">
            <v>4965.4519199999995</v>
          </cell>
          <cell r="D43">
            <v>5759.9242271999992</v>
          </cell>
          <cell r="E43">
            <v>0.43252595155709345</v>
          </cell>
        </row>
        <row r="44">
          <cell r="A44" t="str">
            <v>Cable de acero galvanizado grado 5 (EHS) 6.5 mm (1/4") mm</v>
          </cell>
          <cell r="B44" t="str">
            <v>m</v>
          </cell>
          <cell r="C44">
            <v>1485.5424</v>
          </cell>
          <cell r="D44">
            <v>1723.229184</v>
          </cell>
          <cell r="E44">
            <v>0.17799999999999999</v>
          </cell>
        </row>
        <row r="45">
          <cell r="A45" t="str">
            <v>Cable de Cobre Concéntrico 1x8+8 AWG</v>
          </cell>
          <cell r="B45" t="str">
            <v>m</v>
          </cell>
          <cell r="C45">
            <v>4086</v>
          </cell>
          <cell r="D45">
            <v>4739.7599999999993</v>
          </cell>
          <cell r="E45">
            <v>0.27</v>
          </cell>
        </row>
        <row r="46">
          <cell r="A46" t="str">
            <v>Cable de Cobre desnudo No. 8</v>
          </cell>
          <cell r="B46" t="str">
            <v>Un</v>
          </cell>
          <cell r="C46">
            <v>9316.9344000000001</v>
          </cell>
          <cell r="D46">
            <v>10807.643903999999</v>
          </cell>
          <cell r="E46">
            <v>0.36</v>
          </cell>
        </row>
        <row r="47">
          <cell r="A47" t="str">
            <v>Cable de Cobre aislado No.1/0</v>
          </cell>
          <cell r="B47" t="str">
            <v>m</v>
          </cell>
          <cell r="C47">
            <v>16201.023999999998</v>
          </cell>
          <cell r="D47">
            <v>18793.187839999995</v>
          </cell>
          <cell r="E47">
            <v>0.56000000000000005</v>
          </cell>
        </row>
        <row r="48">
          <cell r="A48" t="str">
            <v>Cable de Cobre aislado No.2</v>
          </cell>
          <cell r="B48" t="str">
            <v>m</v>
          </cell>
          <cell r="C48">
            <v>11368</v>
          </cell>
          <cell r="D48">
            <v>13186.88</v>
          </cell>
          <cell r="E48">
            <v>0.35799999999999998</v>
          </cell>
        </row>
        <row r="49">
          <cell r="A49" t="str">
            <v>Cable de Cobre aislado No.2/0</v>
          </cell>
          <cell r="B49" t="str">
            <v>m</v>
          </cell>
          <cell r="C49">
            <v>20259.353599999999</v>
          </cell>
          <cell r="D49">
            <v>23500.850175999996</v>
          </cell>
          <cell r="E49">
            <v>0.69499999999999995</v>
          </cell>
        </row>
        <row r="50">
          <cell r="A50" t="str">
            <v>Cable de Cobre aislado No.4/0</v>
          </cell>
          <cell r="B50" t="str">
            <v>m</v>
          </cell>
          <cell r="C50">
            <v>31746.7408</v>
          </cell>
          <cell r="D50">
            <v>36826.219327999999</v>
          </cell>
          <cell r="E50">
            <v>1.077</v>
          </cell>
        </row>
        <row r="51">
          <cell r="A51" t="str">
            <v>Cable de de cobre trenzado para derivaciones 2 No.4 + 1 No. 6 xlp o xlpe, o pvc</v>
          </cell>
          <cell r="B51" t="str">
            <v>m</v>
          </cell>
          <cell r="C51">
            <v>16147.2</v>
          </cell>
          <cell r="D51">
            <v>18730.752</v>
          </cell>
          <cell r="E51">
            <v>0.52</v>
          </cell>
        </row>
        <row r="52">
          <cell r="A52" t="str">
            <v>Cable de de cobre trenzado para derivaciones 3 No.2 + 1 No. 4 AWG</v>
          </cell>
          <cell r="B52" t="str">
            <v>m</v>
          </cell>
          <cell r="C52">
            <v>35712.224000000002</v>
          </cell>
          <cell r="D52">
            <v>41426.179839999997</v>
          </cell>
          <cell r="E52">
            <v>0.53800000000000003</v>
          </cell>
        </row>
        <row r="53">
          <cell r="A53" t="str">
            <v>Cable ecologico ACSR N° 1/0</v>
          </cell>
          <cell r="B53" t="str">
            <v>m</v>
          </cell>
          <cell r="C53">
            <v>7243</v>
          </cell>
          <cell r="D53">
            <v>8401.8799999999992</v>
          </cell>
          <cell r="E53">
            <v>0.27100000000000002</v>
          </cell>
        </row>
        <row r="54">
          <cell r="A54" t="str">
            <v>Cable ecologico ACSR N° 2/0</v>
          </cell>
          <cell r="B54" t="str">
            <v>m</v>
          </cell>
          <cell r="C54">
            <v>9622</v>
          </cell>
          <cell r="D54">
            <v>11161.519999999999</v>
          </cell>
          <cell r="E54">
            <v>0.32600000000000001</v>
          </cell>
        </row>
        <row r="55">
          <cell r="A55" t="str">
            <v xml:space="preserve">Cable tipo cuádruplex AL 600V, 90°C   (3 N° 1/0 XLPE + 
1 N° 1/0 ACSR aislado)  </v>
          </cell>
          <cell r="B55" t="str">
            <v>m</v>
          </cell>
          <cell r="C55">
            <v>14220</v>
          </cell>
          <cell r="D55">
            <v>16495.199999999997</v>
          </cell>
          <cell r="E55">
            <v>0.85099999999999998</v>
          </cell>
        </row>
        <row r="56">
          <cell r="A56" t="str">
            <v>Cable tipo cuádruplex AL 600V, 90°C  (3 N° 4/0 XLPE + 
1 N° 4/0 ACSR aislado)</v>
          </cell>
          <cell r="B56" t="str">
            <v>m</v>
          </cell>
          <cell r="C56">
            <v>23000</v>
          </cell>
          <cell r="D56">
            <v>26679.999999999996</v>
          </cell>
          <cell r="E56">
            <v>1.593</v>
          </cell>
        </row>
        <row r="57">
          <cell r="A57" t="str">
            <v>Cable tipo cuádruplex AL 600V, 90°C (3 N° 2/0 XLPE + 
1 N° 2/0 ACSR aislado)</v>
          </cell>
          <cell r="B57" t="str">
            <v>m</v>
          </cell>
          <cell r="C57">
            <v>16662.5648</v>
          </cell>
          <cell r="D57">
            <v>19328.575167999999</v>
          </cell>
          <cell r="E57">
            <v>1.046</v>
          </cell>
        </row>
        <row r="58">
          <cell r="A58" t="str">
            <v>Cable tipo cuádruplex ALl 600V, 90°C  (3 N° 2 XLPE + 
1 N° 2 ACSR aislado)</v>
          </cell>
          <cell r="B58" t="str">
            <v>m</v>
          </cell>
          <cell r="C58">
            <v>8746</v>
          </cell>
          <cell r="D58">
            <v>10145.359999999999</v>
          </cell>
          <cell r="E58">
            <v>0.53800000000000003</v>
          </cell>
        </row>
        <row r="59">
          <cell r="A59" t="str">
            <v>Cable tipo triplex AL 600V, 90°C  (2 N° 1/0 XLPE + 
1 N° 1/0 ACSR aislado)</v>
          </cell>
          <cell r="B59" t="str">
            <v>m</v>
          </cell>
          <cell r="C59">
            <v>9945</v>
          </cell>
          <cell r="D59">
            <v>11536.199999999999</v>
          </cell>
          <cell r="E59">
            <v>0.43</v>
          </cell>
        </row>
        <row r="60">
          <cell r="A60" t="str">
            <v>Cable tipo triplex AL 600V, 90°C  (2 N° 2 XLPE + 
1 N° 2 ACSR aislado)</v>
          </cell>
          <cell r="B60" t="str">
            <v>m</v>
          </cell>
          <cell r="C60">
            <v>5712</v>
          </cell>
          <cell r="D60">
            <v>6625.9199999999992</v>
          </cell>
          <cell r="E60">
            <v>0.27200000000000002</v>
          </cell>
        </row>
        <row r="61">
          <cell r="A61" t="str">
            <v>Cable tipo triplex AL 600V, 90°C  (2 N° 2/0 XLPE + 
1 N° 2/0 ACSR aislado)</v>
          </cell>
          <cell r="B61" t="str">
            <v>m</v>
          </cell>
          <cell r="C61">
            <v>11300</v>
          </cell>
          <cell r="D61">
            <v>13108</v>
          </cell>
          <cell r="E61">
            <v>0.53</v>
          </cell>
        </row>
        <row r="62">
          <cell r="A62" t="str">
            <v>Cable tipo triplex AL 600V, 90°C  (2 N° 4 XLPE + 
1 N° 4 ACSR aislado)</v>
          </cell>
          <cell r="B62" t="str">
            <v>m</v>
          </cell>
          <cell r="C62">
            <v>6050</v>
          </cell>
          <cell r="D62">
            <v>7017.9999999999991</v>
          </cell>
          <cell r="E62">
            <v>0.27</v>
          </cell>
        </row>
        <row r="63">
          <cell r="A63" t="str">
            <v>Cable tipo triplex AL 600V, 90°C  (2 N° 4 XLPE + 
1 N° 6 XLPE aislado)</v>
          </cell>
          <cell r="B63" t="str">
            <v>m</v>
          </cell>
          <cell r="C63">
            <v>23445</v>
          </cell>
          <cell r="D63">
            <v>27196.199999999997</v>
          </cell>
          <cell r="E63">
            <v>0.27</v>
          </cell>
        </row>
        <row r="64">
          <cell r="A64" t="str">
            <v>Cable tipo triplex AL 600V, 90°C  (2 N° 4/0 XLPE + 
1 N° 4/0 ACSR aislado)</v>
          </cell>
          <cell r="B64" t="str">
            <v>m</v>
          </cell>
          <cell r="C64">
            <v>45570.089599999992</v>
          </cell>
          <cell r="D64">
            <v>52861.303935999989</v>
          </cell>
          <cell r="E64">
            <v>0.81200000000000006</v>
          </cell>
        </row>
        <row r="65">
          <cell r="A65" t="str">
            <v>Caja metálica para medidor Monofásico Bifilar o
Trifilar con espacio para interruptor.</v>
          </cell>
          <cell r="B65" t="str">
            <v>Un</v>
          </cell>
          <cell r="C65">
            <v>25000</v>
          </cell>
          <cell r="D65">
            <v>28999.999999999996</v>
          </cell>
          <cell r="E65">
            <v>1.5</v>
          </cell>
        </row>
        <row r="66">
          <cell r="A66" t="str">
            <v>Caja trifásica tipo intemperie para acometidas</v>
          </cell>
          <cell r="B66" t="str">
            <v>Un</v>
          </cell>
          <cell r="C66">
            <v>290868.93279999995</v>
          </cell>
          <cell r="D66">
            <v>337407.9620479999</v>
          </cell>
          <cell r="E66">
            <v>5</v>
          </cell>
        </row>
        <row r="67">
          <cell r="A67" t="str">
            <v>Caja trifilar tipo intemperie para acometidas</v>
          </cell>
          <cell r="B67" t="str">
            <v>Un</v>
          </cell>
          <cell r="C67">
            <v>106720</v>
          </cell>
          <cell r="D67">
            <v>123795.2</v>
          </cell>
          <cell r="E67">
            <v>4</v>
          </cell>
        </row>
        <row r="68">
          <cell r="A68" t="str">
            <v>Caja portabornera</v>
          </cell>
          <cell r="B68" t="str">
            <v>Un</v>
          </cell>
          <cell r="C68">
            <v>110000</v>
          </cell>
          <cell r="D68">
            <v>127599.99999999999</v>
          </cell>
          <cell r="E68">
            <v>1.6</v>
          </cell>
        </row>
        <row r="69">
          <cell r="A69" t="str">
            <v>Caja portabornera 8 abonados</v>
          </cell>
          <cell r="B69" t="str">
            <v>Un</v>
          </cell>
          <cell r="C69">
            <v>162520</v>
          </cell>
          <cell r="D69">
            <v>188523.19999999998</v>
          </cell>
          <cell r="E69">
            <v>1.6</v>
          </cell>
        </row>
        <row r="70">
          <cell r="A70" t="str">
            <v>caja portabornera 6 abonados</v>
          </cell>
          <cell r="B70" t="str">
            <v>Un</v>
          </cell>
          <cell r="C70">
            <v>124088</v>
          </cell>
          <cell r="D70">
            <v>143942.07999999999</v>
          </cell>
          <cell r="E70">
            <v>1.5</v>
          </cell>
        </row>
        <row r="71">
          <cell r="A71" t="str">
            <v>caja portabornera 4 abonados</v>
          </cell>
          <cell r="B71" t="str">
            <v>Un</v>
          </cell>
          <cell r="C71">
            <v>96676</v>
          </cell>
          <cell r="D71">
            <v>112144.15999999999</v>
          </cell>
          <cell r="E71">
            <v>1.4</v>
          </cell>
        </row>
        <row r="72">
          <cell r="A72" t="str">
            <v>Camisa Protectora</v>
          </cell>
          <cell r="B72" t="str">
            <v>Un</v>
          </cell>
          <cell r="C72">
            <v>49995.767999999996</v>
          </cell>
          <cell r="D72">
            <v>57995.090879999989</v>
          </cell>
          <cell r="E72">
            <v>1.2</v>
          </cell>
        </row>
        <row r="73">
          <cell r="A73" t="str">
            <v>Cemento</v>
          </cell>
          <cell r="B73" t="str">
            <v>Kg</v>
          </cell>
          <cell r="C73">
            <v>459</v>
          </cell>
          <cell r="D73">
            <v>532.43999999999994</v>
          </cell>
          <cell r="E73">
            <v>1</v>
          </cell>
        </row>
        <row r="74">
          <cell r="A74" t="str">
            <v>Cimentación Tipo 1</v>
          </cell>
          <cell r="B74" t="str">
            <v>Un</v>
          </cell>
          <cell r="C74">
            <v>243600</v>
          </cell>
          <cell r="D74">
            <v>282576</v>
          </cell>
        </row>
        <row r="75">
          <cell r="A75" t="str">
            <v>Cinta Autofundente</v>
          </cell>
          <cell r="B75" t="str">
            <v>Un</v>
          </cell>
          <cell r="C75">
            <v>8700</v>
          </cell>
          <cell r="D75">
            <v>10092</v>
          </cell>
          <cell r="E75">
            <v>0.01</v>
          </cell>
        </row>
        <row r="76">
          <cell r="A76" t="str">
            <v>Cinta Autofundente para alta tension hasta 69 kV (3/4 9mt)</v>
          </cell>
          <cell r="B76" t="str">
            <v>Un</v>
          </cell>
          <cell r="C76">
            <v>21746</v>
          </cell>
          <cell r="D76">
            <v>25225.359999999997</v>
          </cell>
          <cell r="E76">
            <v>0.125</v>
          </cell>
        </row>
        <row r="77">
          <cell r="A77" t="str">
            <v>Cinta de acero inoxidable  de 5/8 "</v>
          </cell>
          <cell r="B77" t="str">
            <v>m</v>
          </cell>
          <cell r="C77">
            <v>4678.6512000000002</v>
          </cell>
          <cell r="D77">
            <v>5427.2353919999996</v>
          </cell>
          <cell r="E77">
            <v>0.15</v>
          </cell>
        </row>
        <row r="78">
          <cell r="A78" t="str">
            <v>Cinta de acero inoxidable de 12.7x750 mm (1/2"x3") con hebilla</v>
          </cell>
          <cell r="B78" t="str">
            <v>Un</v>
          </cell>
          <cell r="C78">
            <v>2872.8559999999998</v>
          </cell>
          <cell r="D78">
            <v>3332.5129599999996</v>
          </cell>
          <cell r="E78">
            <v>0.15</v>
          </cell>
        </row>
        <row r="79">
          <cell r="A79" t="str">
            <v>Cinta plástica</v>
          </cell>
          <cell r="B79" t="str">
            <v>Un</v>
          </cell>
          <cell r="C79">
            <v>1103.3920000000001</v>
          </cell>
          <cell r="D79">
            <v>1279.93472</v>
          </cell>
          <cell r="E79">
            <v>0.01</v>
          </cell>
        </row>
        <row r="80">
          <cell r="A80" t="str">
            <v>Cinta Vinilo</v>
          </cell>
          <cell r="B80" t="str">
            <v>m</v>
          </cell>
          <cell r="C80">
            <v>2000</v>
          </cell>
          <cell r="D80">
            <v>2320</v>
          </cell>
          <cell r="E80">
            <v>0.01</v>
          </cell>
        </row>
        <row r="81">
          <cell r="A81" t="str">
            <v>Collarín de 180 mm (7" a 9")</v>
          </cell>
          <cell r="B81" t="str">
            <v>Un</v>
          </cell>
          <cell r="C81">
            <v>12752.251199999999</v>
          </cell>
          <cell r="D81">
            <v>14792.611391999997</v>
          </cell>
          <cell r="E81">
            <v>1.7</v>
          </cell>
        </row>
        <row r="82">
          <cell r="A82" t="str">
            <v>Collarín para transformador</v>
          </cell>
          <cell r="B82" t="str">
            <v>Un</v>
          </cell>
          <cell r="C82">
            <v>19629.612799999999</v>
          </cell>
          <cell r="D82">
            <v>22770.350847999998</v>
          </cell>
          <cell r="E82">
            <v>1.8</v>
          </cell>
        </row>
        <row r="83">
          <cell r="A83" t="str">
            <v>Concreto 2500 PSI (1:2:3.5)</v>
          </cell>
          <cell r="B83" t="str">
            <v>m3</v>
          </cell>
          <cell r="C83">
            <v>475950.32</v>
          </cell>
          <cell r="D83">
            <v>552102.37119999994</v>
          </cell>
        </row>
        <row r="84">
          <cell r="A84" t="str">
            <v>Concreto 3000 PSI (1:2:3)</v>
          </cell>
          <cell r="B84" t="str">
            <v>m3</v>
          </cell>
          <cell r="C84">
            <v>540303.64</v>
          </cell>
          <cell r="D84">
            <v>626752.22239999997</v>
          </cell>
        </row>
        <row r="85">
          <cell r="A85" t="str">
            <v>Conector de compresión tipo derivación de aluminio (para cable #2,1/0, 2/0)</v>
          </cell>
          <cell r="B85" t="str">
            <v>Un</v>
          </cell>
          <cell r="C85">
            <v>4260</v>
          </cell>
          <cell r="D85">
            <v>4941.5999999999995</v>
          </cell>
          <cell r="E85">
            <v>0.3</v>
          </cell>
        </row>
        <row r="86">
          <cell r="A86" t="str">
            <v>Conector de compresión universal (DBH para cable 2 a 4/0)</v>
          </cell>
          <cell r="B86" t="str">
            <v>Un</v>
          </cell>
          <cell r="C86">
            <v>4348</v>
          </cell>
          <cell r="D86">
            <v>5043.6799999999994</v>
          </cell>
          <cell r="E86">
            <v>0.3</v>
          </cell>
        </row>
        <row r="87">
          <cell r="A87" t="str">
            <v>Conector de perforación aislado para cable principal y derivación 2 - 4/0 AWG</v>
          </cell>
          <cell r="B87" t="str">
            <v>Un</v>
          </cell>
          <cell r="C87">
            <v>14042.6816</v>
          </cell>
          <cell r="D87">
            <v>16289.510655999999</v>
          </cell>
          <cell r="E87">
            <v>0.2</v>
          </cell>
        </row>
        <row r="88">
          <cell r="A88" t="str">
            <v>Conector de tornillo con chaqueta aislante</v>
          </cell>
          <cell r="B88" t="str">
            <v>Un</v>
          </cell>
          <cell r="C88">
            <v>15312</v>
          </cell>
          <cell r="D88">
            <v>17761.919999999998</v>
          </cell>
          <cell r="E88">
            <v>0.1</v>
          </cell>
        </row>
        <row r="89">
          <cell r="A89" t="str">
            <v>Conector transversal universal</v>
          </cell>
          <cell r="B89" t="str">
            <v>Un</v>
          </cell>
          <cell r="C89">
            <v>3500</v>
          </cell>
          <cell r="D89">
            <v>4059.9999999999995</v>
          </cell>
          <cell r="E89">
            <v>0.02</v>
          </cell>
        </row>
        <row r="90">
          <cell r="A90" t="str">
            <v xml:space="preserve">Conector para equipotencializar cruceta metalica </v>
          </cell>
          <cell r="B90" t="str">
            <v>Un</v>
          </cell>
          <cell r="C90">
            <v>3500</v>
          </cell>
          <cell r="D90">
            <v>4059.9999999999995</v>
          </cell>
          <cell r="E90">
            <v>0.02</v>
          </cell>
        </row>
        <row r="91">
          <cell r="A91" t="str">
            <v>Conector transversal universal (Grapa para conectar en caliente)</v>
          </cell>
          <cell r="B91" t="str">
            <v>Un</v>
          </cell>
          <cell r="C91">
            <v>19784.356799999998</v>
          </cell>
          <cell r="D91">
            <v>22949.853887999994</v>
          </cell>
          <cell r="E91">
            <v>0.4</v>
          </cell>
        </row>
        <row r="92">
          <cell r="A92" t="str">
            <v xml:space="preserve">Cortacircuito primario 100 A  - 15 Kv - 20 Ka </v>
          </cell>
          <cell r="B92" t="str">
            <v>Un</v>
          </cell>
          <cell r="C92">
            <v>147728</v>
          </cell>
          <cell r="D92">
            <v>171364.47999999998</v>
          </cell>
          <cell r="E92">
            <v>5</v>
          </cell>
        </row>
        <row r="93">
          <cell r="A93" t="str">
            <v>Cortacircuito primario 100Amp-15KV (20KA) (con herrajes)</v>
          </cell>
          <cell r="B93" t="str">
            <v>Un</v>
          </cell>
          <cell r="C93">
            <v>188712.32639999999</v>
          </cell>
          <cell r="D93">
            <v>218906.29862399999</v>
          </cell>
          <cell r="E93">
            <v>10</v>
          </cell>
        </row>
        <row r="94">
          <cell r="A94" t="str">
            <v>Cruceta metálica de 600 mm</v>
          </cell>
          <cell r="B94" t="str">
            <v>Un</v>
          </cell>
          <cell r="C94">
            <v>49700</v>
          </cell>
          <cell r="D94">
            <v>57651.999999999993</v>
          </cell>
          <cell r="E94">
            <v>7.8</v>
          </cell>
        </row>
        <row r="95">
          <cell r="A95" t="str">
            <v>Cruceta metálica de 1500 mm (3"x3"x1/4")</v>
          </cell>
          <cell r="B95" t="str">
            <v>Un</v>
          </cell>
          <cell r="C95">
            <v>82702.896000000008</v>
          </cell>
          <cell r="D95">
            <v>95935.359360000002</v>
          </cell>
          <cell r="E95">
            <v>13</v>
          </cell>
        </row>
        <row r="96">
          <cell r="A96" t="str">
            <v>Cruceta metálica de 2400 mm (3"x3"x1/4")</v>
          </cell>
          <cell r="B96" t="str">
            <v>Un</v>
          </cell>
          <cell r="C96">
            <v>93150</v>
          </cell>
          <cell r="D96">
            <v>108053.99999999999</v>
          </cell>
          <cell r="E96">
            <v>17.8</v>
          </cell>
        </row>
        <row r="97">
          <cell r="A97" t="str">
            <v>Cruceta metálica de 4500 mm (3"x3"x1/4")</v>
          </cell>
          <cell r="B97" t="str">
            <v>Un</v>
          </cell>
          <cell r="C97">
            <v>154500</v>
          </cell>
          <cell r="D97">
            <v>179220</v>
          </cell>
          <cell r="E97">
            <v>33.6</v>
          </cell>
        </row>
        <row r="98">
          <cell r="A98" t="str">
            <v>Diagonal en V con doblez 920 mm (36")</v>
          </cell>
          <cell r="B98" t="str">
            <v>Un</v>
          </cell>
          <cell r="C98">
            <v>20624.011199999997</v>
          </cell>
          <cell r="D98">
            <v>23923.852991999996</v>
          </cell>
          <cell r="E98">
            <v>3.1</v>
          </cell>
        </row>
        <row r="99">
          <cell r="A99" t="str">
            <v>Eslabón en U de 12.7 mm (1/2")</v>
          </cell>
          <cell r="B99" t="str">
            <v>Un</v>
          </cell>
          <cell r="C99">
            <v>7556.8895999999995</v>
          </cell>
          <cell r="D99">
            <v>8765.9919359999985</v>
          </cell>
          <cell r="E99">
            <v>0.49</v>
          </cell>
        </row>
        <row r="100">
          <cell r="A100" t="str">
            <v>Eslabón en U de 15.9 mm (5/8")</v>
          </cell>
          <cell r="B100" t="str">
            <v>Un</v>
          </cell>
          <cell r="C100">
            <v>8750</v>
          </cell>
          <cell r="D100">
            <v>10150</v>
          </cell>
          <cell r="E100">
            <v>0.49</v>
          </cell>
        </row>
        <row r="101">
          <cell r="A101" t="str">
            <v>Espaciador para redes compactas</v>
          </cell>
          <cell r="B101" t="str">
            <v>Un</v>
          </cell>
          <cell r="C101">
            <v>47826</v>
          </cell>
          <cell r="D101">
            <v>55478.159999999996</v>
          </cell>
          <cell r="E101">
            <v>0.53500000000000003</v>
          </cell>
        </row>
        <row r="102">
          <cell r="A102" t="str">
            <v>Espiga de barra (extremo poste de 5/8")</v>
          </cell>
          <cell r="B102" t="str">
            <v>Un</v>
          </cell>
          <cell r="C102">
            <v>9583</v>
          </cell>
          <cell r="D102">
            <v>11116.279999999999</v>
          </cell>
          <cell r="E102">
            <v>1.8</v>
          </cell>
        </row>
        <row r="103">
          <cell r="A103" t="str">
            <v>Espiga para aislador 15KV en cruceta metálica</v>
          </cell>
          <cell r="B103" t="str">
            <v>Un</v>
          </cell>
          <cell r="C103">
            <v>12011</v>
          </cell>
          <cell r="D103">
            <v>13932.759999999998</v>
          </cell>
          <cell r="E103">
            <v>0.39</v>
          </cell>
        </row>
        <row r="104">
          <cell r="A104" t="str">
            <v>Espiga para aislador 15KV en poste</v>
          </cell>
          <cell r="B104" t="str">
            <v>Un</v>
          </cell>
          <cell r="C104">
            <v>8501.5007999999998</v>
          </cell>
          <cell r="D104">
            <v>9861.7409279999993</v>
          </cell>
          <cell r="E104">
            <v>2.9</v>
          </cell>
        </row>
        <row r="105">
          <cell r="A105" t="str">
            <v>Estribo de línea para media tensión</v>
          </cell>
          <cell r="B105" t="str">
            <v>Un</v>
          </cell>
          <cell r="C105">
            <v>26481.407999999996</v>
          </cell>
          <cell r="D105">
            <v>30718.433279999994</v>
          </cell>
          <cell r="E105">
            <v>0.15</v>
          </cell>
        </row>
        <row r="106">
          <cell r="A106" t="str">
            <v>Estribo de línea para media tensión (Incluye grapa de operar en caliente)</v>
          </cell>
          <cell r="B106" t="str">
            <v>Un</v>
          </cell>
          <cell r="C106">
            <v>26481.407999999996</v>
          </cell>
          <cell r="D106">
            <v>30718.433279999994</v>
          </cell>
          <cell r="E106">
            <v>0.15</v>
          </cell>
        </row>
        <row r="107">
          <cell r="A107" t="str">
            <v>Estribo terminal para media tensión</v>
          </cell>
          <cell r="B107" t="str">
            <v>Un</v>
          </cell>
          <cell r="C107">
            <v>7793.0424000000003</v>
          </cell>
          <cell r="D107">
            <v>9039.9291840000005</v>
          </cell>
          <cell r="E107">
            <v>0.15</v>
          </cell>
        </row>
        <row r="108">
          <cell r="A108" t="str">
            <v>Estructura baja tensión</v>
          </cell>
          <cell r="B108" t="str">
            <v>Un</v>
          </cell>
          <cell r="D108">
            <v>0</v>
          </cell>
          <cell r="E108">
            <v>15</v>
          </cell>
        </row>
        <row r="109">
          <cell r="A109" t="str">
            <v>Estructura media tensión</v>
          </cell>
          <cell r="B109" t="str">
            <v>Un</v>
          </cell>
          <cell r="D109">
            <v>0</v>
          </cell>
          <cell r="E109">
            <v>25</v>
          </cell>
        </row>
        <row r="110">
          <cell r="A110" t="str">
            <v>Fusible tipo T</v>
          </cell>
          <cell r="B110" t="str">
            <v>Un</v>
          </cell>
          <cell r="C110">
            <v>5382.4</v>
          </cell>
          <cell r="D110">
            <v>6243.5839999999989</v>
          </cell>
          <cell r="E110">
            <v>0.1</v>
          </cell>
        </row>
        <row r="111">
          <cell r="A111" t="str">
            <v>Grapa (de alambrar) metálica galvanizada</v>
          </cell>
          <cell r="B111" t="str">
            <v>Un</v>
          </cell>
          <cell r="C111">
            <v>16965</v>
          </cell>
          <cell r="D111">
            <v>19679.399999999998</v>
          </cell>
          <cell r="E111">
            <v>1</v>
          </cell>
        </row>
        <row r="112">
          <cell r="A112" t="str">
            <v>Grapa de operar en caliente</v>
          </cell>
          <cell r="B112" t="str">
            <v>Un</v>
          </cell>
          <cell r="C112">
            <v>13854.2976</v>
          </cell>
          <cell r="D112">
            <v>16070.985215999999</v>
          </cell>
          <cell r="E112">
            <v>0.5</v>
          </cell>
        </row>
        <row r="113">
          <cell r="A113" t="str">
            <v>Grapa de retención de aluminio tipo pistola cable 2 a1/0 AWG</v>
          </cell>
          <cell r="B113" t="str">
            <v>Un</v>
          </cell>
          <cell r="C113">
            <v>16423</v>
          </cell>
          <cell r="D113">
            <v>19050.68</v>
          </cell>
          <cell r="E113">
            <v>2.95</v>
          </cell>
        </row>
        <row r="114">
          <cell r="A114" t="str">
            <v>Grapa de retención para cable de guarda de 1/4"</v>
          </cell>
          <cell r="B114" t="str">
            <v>Un</v>
          </cell>
          <cell r="C114">
            <v>24200.938943999994</v>
          </cell>
          <cell r="D114">
            <v>28073.08917503999</v>
          </cell>
          <cell r="E114">
            <v>3.6</v>
          </cell>
        </row>
        <row r="115">
          <cell r="A115" t="str">
            <v>Grapa de retención tipo recta para cable 2 a 1/0 AWG</v>
          </cell>
          <cell r="B115" t="str">
            <v>Un</v>
          </cell>
          <cell r="C115">
            <v>16946</v>
          </cell>
          <cell r="D115">
            <v>19657.359999999997</v>
          </cell>
          <cell r="E115">
            <v>3.8</v>
          </cell>
        </row>
        <row r="116">
          <cell r="A116" t="str">
            <v>Grapa de retención tipo recta para cable 1/0 a 4/0 AWG</v>
          </cell>
          <cell r="B116" t="str">
            <v>Un</v>
          </cell>
          <cell r="C116">
            <v>20184</v>
          </cell>
          <cell r="D116">
            <v>23413.439999999999</v>
          </cell>
          <cell r="E116">
            <v>1.98</v>
          </cell>
        </row>
        <row r="117">
          <cell r="A117" t="str">
            <v>Grapa de suspensión de aluminio para cable #1/0 a 2/0 AWG</v>
          </cell>
          <cell r="B117" t="str">
            <v>Un</v>
          </cell>
          <cell r="C117">
            <v>20184</v>
          </cell>
          <cell r="D117">
            <v>23413.439999999999</v>
          </cell>
          <cell r="E117">
            <v>1.98</v>
          </cell>
        </row>
        <row r="118">
          <cell r="A118" t="str">
            <v>Grapa de suspensión de aluminio para cable #2 a 1/0 AWG</v>
          </cell>
          <cell r="B118" t="str">
            <v>Un</v>
          </cell>
          <cell r="C118">
            <v>22875.200000000001</v>
          </cell>
          <cell r="D118">
            <v>26535.232</v>
          </cell>
          <cell r="E118">
            <v>0.6</v>
          </cell>
        </row>
        <row r="119">
          <cell r="A119" t="str">
            <v>Grapa de suspensión para cable de guarda de 1/4"</v>
          </cell>
          <cell r="B119" t="str">
            <v>Un</v>
          </cell>
          <cell r="C119">
            <v>33640</v>
          </cell>
          <cell r="D119">
            <v>39022.399999999994</v>
          </cell>
          <cell r="E119">
            <v>3.42</v>
          </cell>
        </row>
        <row r="120">
          <cell r="A120" t="str">
            <v>Grapa de suspensión para cable SGX 3/8"</v>
          </cell>
          <cell r="B120" t="str">
            <v>Un</v>
          </cell>
          <cell r="C120">
            <v>22450</v>
          </cell>
          <cell r="D120">
            <v>26042</v>
          </cell>
          <cell r="E120">
            <v>3.6</v>
          </cell>
        </row>
        <row r="121">
          <cell r="A121" t="str">
            <v>Grapa prensahilos de 3/8"x6" tres pernos</v>
          </cell>
          <cell r="B121" t="str">
            <v>Un</v>
          </cell>
          <cell r="C121">
            <v>8139.3998399999982</v>
          </cell>
          <cell r="D121">
            <v>9441.703814399998</v>
          </cell>
          <cell r="E121">
            <v>1.75</v>
          </cell>
        </row>
        <row r="122">
          <cell r="A122" t="str">
            <v>Grapa tipo mordaza prensora</v>
          </cell>
          <cell r="B122" t="str">
            <v>Un</v>
          </cell>
          <cell r="C122">
            <v>8139.3998399999982</v>
          </cell>
          <cell r="D122">
            <v>9441.703814399998</v>
          </cell>
          <cell r="E122">
            <v>0.7</v>
          </cell>
        </row>
        <row r="123">
          <cell r="D123">
            <v>0</v>
          </cell>
        </row>
        <row r="124">
          <cell r="A124" t="str">
            <v>Guardacabo para cable de 1/2"</v>
          </cell>
          <cell r="B124" t="str">
            <v>Un</v>
          </cell>
          <cell r="C124">
            <v>1345.6</v>
          </cell>
          <cell r="D124">
            <v>1560.8959999999997</v>
          </cell>
          <cell r="E124">
            <v>0.09</v>
          </cell>
        </row>
        <row r="125">
          <cell r="A125" t="str">
            <v>Hebillas acero inoxidable de 5/8 "</v>
          </cell>
          <cell r="B125" t="str">
            <v>Un</v>
          </cell>
          <cell r="C125">
            <v>941.92</v>
          </cell>
          <cell r="D125">
            <v>1092.6271999999999</v>
          </cell>
          <cell r="E125">
            <v>0.15</v>
          </cell>
        </row>
        <row r="126">
          <cell r="A126" t="str">
            <v>Interruptor 1x40 A, para montaje en perfil
Omega</v>
          </cell>
          <cell r="B126" t="str">
            <v>Un</v>
          </cell>
          <cell r="C126">
            <v>13000</v>
          </cell>
          <cell r="D126">
            <v>15079.999999999998</v>
          </cell>
        </row>
        <row r="127">
          <cell r="A127" t="str">
            <v>Jabalina</v>
          </cell>
          <cell r="B127" t="str">
            <v>Un</v>
          </cell>
          <cell r="C127">
            <v>80685.539999999994</v>
          </cell>
          <cell r="D127">
            <v>93595.226399999985</v>
          </cell>
          <cell r="E127">
            <v>14.3</v>
          </cell>
        </row>
        <row r="128">
          <cell r="A128" t="str">
            <v>Luminaria horizontal cerrada de 150/250/400 W Na ó MH, 240 VAC con base incorporada para fotocontrol</v>
          </cell>
          <cell r="B128" t="str">
            <v>Un</v>
          </cell>
          <cell r="C128">
            <v>149544</v>
          </cell>
          <cell r="D128">
            <v>173471.03999999998</v>
          </cell>
          <cell r="E128">
            <v>7.5</v>
          </cell>
        </row>
        <row r="129">
          <cell r="A129" t="str">
            <v>Material de sub-base de vías de la región</v>
          </cell>
          <cell r="B129" t="str">
            <v>m3</v>
          </cell>
          <cell r="C129">
            <v>27144</v>
          </cell>
          <cell r="D129">
            <v>31487.039999999997</v>
          </cell>
          <cell r="E129">
            <v>50</v>
          </cell>
        </row>
        <row r="130">
          <cell r="A130" t="str">
            <v>Material de acometida</v>
          </cell>
          <cell r="B130" t="str">
            <v>Un</v>
          </cell>
          <cell r="D130">
            <v>0</v>
          </cell>
          <cell r="E130">
            <v>15</v>
          </cell>
        </row>
        <row r="131">
          <cell r="A131" t="str">
            <v>Medidor de Inducción Monofásico Bifilar, 15(60) A, 120 V, 60 Hz, Clase 2</v>
          </cell>
          <cell r="B131" t="str">
            <v>Un</v>
          </cell>
          <cell r="C131">
            <v>50000</v>
          </cell>
          <cell r="D131">
            <v>57999.999999999993</v>
          </cell>
          <cell r="E131">
            <v>3.5</v>
          </cell>
        </row>
        <row r="132">
          <cell r="A132" t="str">
            <v>Medidor 1 Fase - 2 Hilos</v>
          </cell>
          <cell r="B132" t="str">
            <v>Un</v>
          </cell>
          <cell r="C132">
            <v>62218</v>
          </cell>
          <cell r="D132">
            <v>72172.87999999999</v>
          </cell>
          <cell r="E132">
            <v>3.5</v>
          </cell>
        </row>
        <row r="133">
          <cell r="A133" t="str">
            <v>Medidor 1Fase - 3 Hilos</v>
          </cell>
          <cell r="B133" t="str">
            <v>Un</v>
          </cell>
          <cell r="C133">
            <v>71009</v>
          </cell>
          <cell r="D133">
            <v>82370.439999999988</v>
          </cell>
          <cell r="E133">
            <v>3.5</v>
          </cell>
        </row>
        <row r="134">
          <cell r="A134" t="str">
            <v>Medidor 2 Fases- 3 Hilos</v>
          </cell>
          <cell r="B134" t="str">
            <v>Un</v>
          </cell>
          <cell r="C134">
            <v>147311</v>
          </cell>
          <cell r="D134">
            <v>170880.75999999998</v>
          </cell>
          <cell r="E134">
            <v>3.5</v>
          </cell>
        </row>
        <row r="135">
          <cell r="A135" t="str">
            <v>Medidor 3 Fases - 4 Hilos</v>
          </cell>
          <cell r="B135" t="str">
            <v>Un</v>
          </cell>
          <cell r="C135">
            <v>193841</v>
          </cell>
          <cell r="D135">
            <v>224855.56</v>
          </cell>
          <cell r="E135">
            <v>3.5</v>
          </cell>
        </row>
        <row r="136">
          <cell r="A136" t="str">
            <v>Ojal de suspensión</v>
          </cell>
          <cell r="B136" t="str">
            <v>Un</v>
          </cell>
          <cell r="C136">
            <v>8816.3711999999996</v>
          </cell>
          <cell r="D136">
            <v>10226.990591999998</v>
          </cell>
          <cell r="E136">
            <v>0.39</v>
          </cell>
        </row>
        <row r="137">
          <cell r="A137" t="str">
            <v>Pararrayos de 10 KV-10 KA</v>
          </cell>
          <cell r="B137" t="str">
            <v>Un</v>
          </cell>
          <cell r="C137">
            <v>104956.8</v>
          </cell>
          <cell r="D137">
            <v>121749.88799999999</v>
          </cell>
          <cell r="E137">
            <v>5.5</v>
          </cell>
        </row>
        <row r="138">
          <cell r="A138" t="str">
            <v>Percha de 1 puesto (3 1/4")</v>
          </cell>
          <cell r="B138" t="str">
            <v>Un</v>
          </cell>
          <cell r="C138">
            <v>5030</v>
          </cell>
          <cell r="D138">
            <v>5834.7999999999993</v>
          </cell>
          <cell r="E138">
            <v>1.8</v>
          </cell>
        </row>
        <row r="139">
          <cell r="A139" t="str">
            <v>Percha porta aislador de 1 puesto</v>
          </cell>
          <cell r="B139" t="str">
            <v>Un</v>
          </cell>
          <cell r="C139">
            <v>8268.48</v>
          </cell>
          <cell r="D139">
            <v>9591.4367999999995</v>
          </cell>
          <cell r="E139">
            <v>1.8</v>
          </cell>
        </row>
        <row r="140">
          <cell r="A140" t="str">
            <v>Perno de carruaje 5/8 x 2 con guaza</v>
          </cell>
          <cell r="B140" t="str">
            <v>Un</v>
          </cell>
          <cell r="C140">
            <v>2021.0911999999998</v>
          </cell>
          <cell r="D140">
            <v>2344.4657919999995</v>
          </cell>
          <cell r="E140">
            <v>0.02</v>
          </cell>
        </row>
        <row r="141">
          <cell r="A141" t="str">
            <v>Piamigo angular de 1200 mm (cruceta de 1000 mm)</v>
          </cell>
          <cell r="B141" t="str">
            <v>Un</v>
          </cell>
          <cell r="C141">
            <v>20000</v>
          </cell>
          <cell r="D141">
            <v>23200</v>
          </cell>
          <cell r="E141">
            <v>3.8</v>
          </cell>
        </row>
        <row r="142">
          <cell r="A142" t="str">
            <v>Piamigo angular de 1361 mm (cruceta de 1500 mm)</v>
          </cell>
          <cell r="B142" t="str">
            <v>Un</v>
          </cell>
          <cell r="C142">
            <v>27330.750719999996</v>
          </cell>
          <cell r="D142">
            <v>31703.670835199995</v>
          </cell>
          <cell r="E142">
            <v>4.05</v>
          </cell>
        </row>
        <row r="143">
          <cell r="A143" t="str">
            <v>Piamigo angular de 2134 mm (cruceta de 2400 mm)</v>
          </cell>
          <cell r="B143" t="str">
            <v>Un</v>
          </cell>
          <cell r="C143">
            <v>44696.7952</v>
          </cell>
          <cell r="D143">
            <v>51848.282432</v>
          </cell>
          <cell r="E143">
            <v>5.8</v>
          </cell>
        </row>
        <row r="144">
          <cell r="A144" t="str">
            <v>Piamigo angular de 923 mm</v>
          </cell>
          <cell r="B144" t="str">
            <v>Un</v>
          </cell>
          <cell r="C144">
            <v>23583.792959999995</v>
          </cell>
          <cell r="D144">
            <v>27357.199833599992</v>
          </cell>
          <cell r="E144">
            <v>3.1</v>
          </cell>
        </row>
        <row r="145">
          <cell r="A145" t="str">
            <v>Platina de aluminio en Z + 2 pernos</v>
          </cell>
          <cell r="B145" t="str">
            <v>Un</v>
          </cell>
          <cell r="C145">
            <v>2000</v>
          </cell>
          <cell r="D145">
            <v>2320</v>
          </cell>
          <cell r="E145">
            <v>0.05</v>
          </cell>
        </row>
        <row r="146">
          <cell r="A146" t="str">
            <v>Poste de concreto 12 m 1050 kgf</v>
          </cell>
          <cell r="B146" t="str">
            <v>Un</v>
          </cell>
          <cell r="C146">
            <v>1066064</v>
          </cell>
          <cell r="D146">
            <v>1236634.24</v>
          </cell>
          <cell r="E146">
            <v>1385</v>
          </cell>
        </row>
        <row r="147">
          <cell r="A147" t="str">
            <v>Poste de concreto 12 m 510 kgf</v>
          </cell>
          <cell r="B147" t="str">
            <v>Un</v>
          </cell>
          <cell r="C147">
            <v>570545.95197599998</v>
          </cell>
          <cell r="D147">
            <v>661833.30429215997</v>
          </cell>
          <cell r="E147">
            <v>900</v>
          </cell>
        </row>
        <row r="148">
          <cell r="A148" t="str">
            <v>Poste de concreto 12 m 750 kgf</v>
          </cell>
          <cell r="B148" t="str">
            <v>Un</v>
          </cell>
          <cell r="C148">
            <v>842411</v>
          </cell>
          <cell r="D148">
            <v>977196.75999999989</v>
          </cell>
          <cell r="E148">
            <v>1200</v>
          </cell>
        </row>
        <row r="149">
          <cell r="A149" t="str">
            <v>Poste de concreto 14 m 1050 kgf</v>
          </cell>
          <cell r="B149" t="str">
            <v>Un</v>
          </cell>
          <cell r="C149">
            <v>1222830.4139999999</v>
          </cell>
          <cell r="D149">
            <v>1418483.2802399998</v>
          </cell>
          <cell r="E149">
            <v>1550</v>
          </cell>
        </row>
        <row r="150">
          <cell r="A150" t="str">
            <v>Poste de concreto 14 m 750 kgf</v>
          </cell>
          <cell r="B150" t="str">
            <v>Un</v>
          </cell>
          <cell r="C150">
            <v>1015398.6803999998</v>
          </cell>
          <cell r="D150">
            <v>1177862.4692639997</v>
          </cell>
          <cell r="E150">
            <v>1450</v>
          </cell>
        </row>
        <row r="151">
          <cell r="A151" t="str">
            <v>Poste de concreto 8 m 510 kgf</v>
          </cell>
          <cell r="B151" t="str">
            <v>Un</v>
          </cell>
          <cell r="C151">
            <v>392074</v>
          </cell>
          <cell r="D151">
            <v>454805.83999999997</v>
          </cell>
          <cell r="E151">
            <v>500</v>
          </cell>
        </row>
        <row r="152">
          <cell r="A152" t="str">
            <v>Poste de concreto 8 m 750 kgf</v>
          </cell>
          <cell r="B152" t="str">
            <v>Un</v>
          </cell>
          <cell r="C152">
            <v>686383</v>
          </cell>
          <cell r="D152">
            <v>796204.27999999991</v>
          </cell>
          <cell r="E152">
            <v>800</v>
          </cell>
        </row>
        <row r="153">
          <cell r="A153" t="str">
            <v>Poste de concreto 9 m 510 kgf</v>
          </cell>
          <cell r="C153">
            <v>378184</v>
          </cell>
          <cell r="D153">
            <v>438693.43999999994</v>
          </cell>
        </row>
        <row r="154">
          <cell r="A154" t="str">
            <v>Poste de concreto 9 m 750 kgf</v>
          </cell>
          <cell r="D154">
            <v>0</v>
          </cell>
        </row>
        <row r="155">
          <cell r="A155" t="str">
            <v>Poste de fibra de vidrio 8 m 510 kgf</v>
          </cell>
          <cell r="B155" t="str">
            <v>Un</v>
          </cell>
          <cell r="C155">
            <v>641600</v>
          </cell>
          <cell r="D155">
            <v>744256</v>
          </cell>
          <cell r="E155">
            <v>150</v>
          </cell>
        </row>
        <row r="156">
          <cell r="A156" t="str">
            <v>Poste de fibra de vidio 8 mts 750 Kgf</v>
          </cell>
          <cell r="B156" t="str">
            <v>Un</v>
          </cell>
          <cell r="C156">
            <v>766700</v>
          </cell>
          <cell r="D156">
            <v>889371.99999999988</v>
          </cell>
          <cell r="E156">
            <v>62</v>
          </cell>
        </row>
        <row r="157">
          <cell r="A157" t="str">
            <v>Poste de fibra de vidio 10 mts 750 Kgf</v>
          </cell>
          <cell r="B157" t="str">
            <v>Un</v>
          </cell>
          <cell r="C157">
            <v>1021700</v>
          </cell>
          <cell r="D157">
            <v>1185172</v>
          </cell>
          <cell r="E157">
            <v>75</v>
          </cell>
        </row>
        <row r="158">
          <cell r="A158" t="str">
            <v>Poste de fibra de vidrio 12 m 510 kgf</v>
          </cell>
          <cell r="B158" t="str">
            <v>Un</v>
          </cell>
          <cell r="C158">
            <v>1600000</v>
          </cell>
          <cell r="D158">
            <v>1855999.9999999998</v>
          </cell>
          <cell r="E158">
            <v>230</v>
          </cell>
        </row>
        <row r="159">
          <cell r="A159" t="str">
            <v>Poste de fibra de vidrio 12 m 750 kgf</v>
          </cell>
          <cell r="B159" t="str">
            <v>Un</v>
          </cell>
          <cell r="C159">
            <v>1138700</v>
          </cell>
          <cell r="D159">
            <v>1320892</v>
          </cell>
          <cell r="E159">
            <v>95</v>
          </cell>
        </row>
        <row r="160">
          <cell r="A160" t="str">
            <v>Poste de fibra de vidrio 12 m 1050 kgf</v>
          </cell>
          <cell r="B160" t="str">
            <v>Un</v>
          </cell>
          <cell r="C160">
            <v>1204700</v>
          </cell>
          <cell r="D160">
            <v>1397452</v>
          </cell>
          <cell r="E160">
            <v>98</v>
          </cell>
        </row>
        <row r="161">
          <cell r="A161" t="str">
            <v>Poste de fibra de vidrio 14 m 750 kgf</v>
          </cell>
          <cell r="B161" t="str">
            <v>Un</v>
          </cell>
          <cell r="C161">
            <v>1525800</v>
          </cell>
          <cell r="D161">
            <v>1769927.9999999998</v>
          </cell>
          <cell r="E161">
            <v>100</v>
          </cell>
        </row>
        <row r="162">
          <cell r="A162" t="str">
            <v>Poste de fibra de vidrio 16 m 750 kgf</v>
          </cell>
          <cell r="B162" t="str">
            <v>Un</v>
          </cell>
          <cell r="C162">
            <v>1650000</v>
          </cell>
          <cell r="D162">
            <v>1913999.9999999998</v>
          </cell>
          <cell r="E162">
            <v>120</v>
          </cell>
        </row>
        <row r="163">
          <cell r="A163" t="str">
            <v>Poste de madera 8 m</v>
          </cell>
          <cell r="B163" t="str">
            <v>Un</v>
          </cell>
          <cell r="C163">
            <v>1150000</v>
          </cell>
          <cell r="D163">
            <v>1334000</v>
          </cell>
          <cell r="E163">
            <v>90</v>
          </cell>
        </row>
        <row r="164">
          <cell r="A164" t="str">
            <v>Poste de madera 12 m</v>
          </cell>
          <cell r="B164" t="str">
            <v>Un</v>
          </cell>
          <cell r="C164">
            <v>1250000</v>
          </cell>
          <cell r="D164">
            <v>1450000</v>
          </cell>
          <cell r="E164">
            <v>95</v>
          </cell>
        </row>
        <row r="165">
          <cell r="A165" t="str">
            <v xml:space="preserve">Poste tipo tubo de  12 m </v>
          </cell>
          <cell r="B165" t="str">
            <v>Un</v>
          </cell>
          <cell r="C165">
            <v>294815</v>
          </cell>
          <cell r="D165">
            <v>341985.39999999997</v>
          </cell>
          <cell r="E165">
            <v>80</v>
          </cell>
        </row>
        <row r="166">
          <cell r="A166" t="str">
            <v>Punta de cable de aluminio de 0.40 m (para cable No.2 a 4/0)</v>
          </cell>
          <cell r="B166" t="str">
            <v>Un</v>
          </cell>
          <cell r="C166">
            <v>2030</v>
          </cell>
          <cell r="D166">
            <v>2354.7999999999997</v>
          </cell>
          <cell r="E166">
            <v>0.15</v>
          </cell>
        </row>
        <row r="167">
          <cell r="A167" t="str">
            <v>Riosta para cable de guarda</v>
          </cell>
          <cell r="B167" t="str">
            <v>Un</v>
          </cell>
          <cell r="C167">
            <v>225525.92399999997</v>
          </cell>
          <cell r="D167">
            <v>261610.07183999996</v>
          </cell>
          <cell r="E167">
            <v>35</v>
          </cell>
        </row>
        <row r="168">
          <cell r="A168" t="str">
            <v>Riosta para cable de guarda estructura retención</v>
          </cell>
          <cell r="B168" t="str">
            <v>Un</v>
          </cell>
          <cell r="C168">
            <v>0</v>
          </cell>
          <cell r="D168">
            <v>0</v>
          </cell>
        </row>
        <row r="169">
          <cell r="A169" t="str">
            <v>Soporte en L cortacircuitos y pararrayos</v>
          </cell>
          <cell r="B169" t="str">
            <v>Un</v>
          </cell>
          <cell r="C169">
            <v>3950</v>
          </cell>
          <cell r="D169">
            <v>4582</v>
          </cell>
          <cell r="E169">
            <v>0.18</v>
          </cell>
        </row>
        <row r="170">
          <cell r="A170" t="str">
            <v>Tensor de Acometidas</v>
          </cell>
          <cell r="B170" t="str">
            <v>Un</v>
          </cell>
          <cell r="C170">
            <v>4402.2</v>
          </cell>
          <cell r="D170">
            <v>5106.5519999999997</v>
          </cell>
          <cell r="E170">
            <v>0.2</v>
          </cell>
        </row>
        <row r="171">
          <cell r="A171" t="str">
            <v>Tiranta en V con doblez 1220 mm (48") (cruceta 2400mm)</v>
          </cell>
          <cell r="B171" t="str">
            <v>Un</v>
          </cell>
          <cell r="C171">
            <v>29576.287999999997</v>
          </cell>
          <cell r="D171">
            <v>34308.494079999997</v>
          </cell>
          <cell r="E171">
            <v>4.0999999999999996</v>
          </cell>
        </row>
        <row r="172">
          <cell r="A172" t="str">
            <v>Tiranta metálica (cruceta de 1500mm)</v>
          </cell>
          <cell r="B172" t="str">
            <v>Un</v>
          </cell>
          <cell r="C172">
            <v>22680.087999999996</v>
          </cell>
          <cell r="D172">
            <v>26308.902079999993</v>
          </cell>
          <cell r="E172">
            <v>1.8</v>
          </cell>
        </row>
        <row r="173">
          <cell r="A173" t="str">
            <v>Tornillo carruaje para cajas primarias (1/2" x 4 1/2"  )</v>
          </cell>
          <cell r="B173" t="str">
            <v>Un</v>
          </cell>
          <cell r="C173">
            <v>3050</v>
          </cell>
          <cell r="D173">
            <v>3537.9999999999995</v>
          </cell>
          <cell r="E173">
            <v>0.13</v>
          </cell>
        </row>
        <row r="174">
          <cell r="A174" t="str">
            <v>Tornillo de 1/2"x1 1/2"</v>
          </cell>
          <cell r="B174" t="str">
            <v>Un</v>
          </cell>
          <cell r="C174">
            <v>834.4065599999999</v>
          </cell>
          <cell r="D174">
            <v>967.91160959999979</v>
          </cell>
          <cell r="E174">
            <v>0.12</v>
          </cell>
        </row>
        <row r="175">
          <cell r="A175" t="str">
            <v>Tornillo de 15.9 x 38 mm (5/8"x1 1/2")</v>
          </cell>
          <cell r="B175" t="str">
            <v>Un</v>
          </cell>
          <cell r="C175">
            <v>1250</v>
          </cell>
          <cell r="D175">
            <v>1450</v>
          </cell>
          <cell r="E175">
            <v>0.14299999999999999</v>
          </cell>
        </row>
        <row r="176">
          <cell r="A176" t="str">
            <v>Tornillo de 15.9 x 51 mm (5/8"x2")</v>
          </cell>
          <cell r="B176" t="str">
            <v>Un</v>
          </cell>
          <cell r="C176">
            <v>3960</v>
          </cell>
          <cell r="D176">
            <v>4593.5999999999995</v>
          </cell>
          <cell r="E176">
            <v>0.17799999999999999</v>
          </cell>
        </row>
        <row r="177">
          <cell r="A177" t="str">
            <v>Tornillo espaciador de 15.9 x 305 mm (5/8"x12")</v>
          </cell>
          <cell r="B177" t="str">
            <v>Un</v>
          </cell>
          <cell r="C177">
            <v>5179.2143999999998</v>
          </cell>
          <cell r="D177">
            <v>6007.8887039999991</v>
          </cell>
          <cell r="E177">
            <v>0.48499999999999999</v>
          </cell>
        </row>
        <row r="178">
          <cell r="A178" t="str">
            <v>Tornillo espaciador de 15.9x200 mm (5/8"x8")</v>
          </cell>
          <cell r="B178" t="str">
            <v>Un</v>
          </cell>
          <cell r="C178">
            <v>2739.3724799999995</v>
          </cell>
          <cell r="D178">
            <v>3177.6720767999991</v>
          </cell>
          <cell r="E178">
            <v>0.35</v>
          </cell>
        </row>
        <row r="179">
          <cell r="A179" t="str">
            <v>Tornillo espaciador de 15.9x200 mm (espárrago 5/8"x8")</v>
          </cell>
          <cell r="B179" t="str">
            <v>Un</v>
          </cell>
          <cell r="C179">
            <v>5156.3391999999994</v>
          </cell>
          <cell r="D179">
            <v>5981.3534719999989</v>
          </cell>
          <cell r="E179">
            <v>0.495</v>
          </cell>
        </row>
        <row r="180">
          <cell r="A180" t="str">
            <v>Tornillo espaciador de 15.9x250 mm (5/8"x10")</v>
          </cell>
          <cell r="B180" t="str">
            <v>Un</v>
          </cell>
          <cell r="C180">
            <v>3400</v>
          </cell>
          <cell r="D180">
            <v>3943.9999999999995</v>
          </cell>
          <cell r="E180">
            <v>0.42499999999999999</v>
          </cell>
        </row>
        <row r="181">
          <cell r="A181" t="str">
            <v>Tornillo espaciador de 15.9x250 mm (espárrago 5/8"x10")</v>
          </cell>
          <cell r="B181" t="str">
            <v>Un</v>
          </cell>
          <cell r="C181">
            <v>3400</v>
          </cell>
          <cell r="D181">
            <v>3943.9999999999995</v>
          </cell>
          <cell r="E181">
            <v>0.56000000000000005</v>
          </cell>
        </row>
        <row r="182">
          <cell r="A182" t="str">
            <v>Tornillo espaciador de 15.9x38 mm (5/8"x1 1/2")</v>
          </cell>
          <cell r="B182" t="str">
            <v>Un</v>
          </cell>
          <cell r="C182">
            <v>1216.8399999999999</v>
          </cell>
          <cell r="D182">
            <v>1411.5343999999998</v>
          </cell>
          <cell r="E182">
            <v>0.14299999999999999</v>
          </cell>
        </row>
        <row r="183">
          <cell r="A183" t="str">
            <v>Tornillo para aislador carrete de 315 mm</v>
          </cell>
          <cell r="B183" t="str">
            <v>Un</v>
          </cell>
          <cell r="C183">
            <v>5069.4134399999984</v>
          </cell>
          <cell r="D183">
            <v>5880.5195903999975</v>
          </cell>
          <cell r="E183">
            <v>0.52</v>
          </cell>
        </row>
        <row r="184">
          <cell r="A184" t="str">
            <v>Tornillo para aislador tipo carrete de 81 mm</v>
          </cell>
          <cell r="B184" t="str">
            <v>Un</v>
          </cell>
          <cell r="C184">
            <v>6896.2</v>
          </cell>
          <cell r="D184">
            <v>7999.5919999999996</v>
          </cell>
          <cell r="E184">
            <v>0.52</v>
          </cell>
        </row>
        <row r="185">
          <cell r="A185" t="str">
            <v>Torrecilla metálica 12 m tipo tripoide 350 Kgf en punta</v>
          </cell>
          <cell r="B185" t="str">
            <v>Un</v>
          </cell>
          <cell r="C185">
            <v>1678676.4352799996</v>
          </cell>
          <cell r="D185">
            <v>1947264.6649247995</v>
          </cell>
          <cell r="E185">
            <v>300</v>
          </cell>
        </row>
        <row r="186">
          <cell r="A186" t="str">
            <v>Torrecilla metálica 12 m tipo tripoide 500 Kgf en punta</v>
          </cell>
          <cell r="B186" t="str">
            <v>Un</v>
          </cell>
          <cell r="C186">
            <v>1678676.4352799996</v>
          </cell>
          <cell r="D186">
            <v>1947264.6649247995</v>
          </cell>
          <cell r="E186">
            <v>375</v>
          </cell>
        </row>
        <row r="187">
          <cell r="A187" t="str">
            <v>Torrecilla metálica 14 m tipo tripoide 500 Kg en punta</v>
          </cell>
          <cell r="B187" t="str">
            <v>Un</v>
          </cell>
          <cell r="C187">
            <v>1775003.1623999998</v>
          </cell>
          <cell r="D187">
            <v>2059003.6683839997</v>
          </cell>
          <cell r="E187">
            <v>480</v>
          </cell>
        </row>
        <row r="188">
          <cell r="A188" t="str">
            <v>Torrecilla metálica 16 m tipo cuadrada 750 Kg en punta</v>
          </cell>
          <cell r="B188" t="str">
            <v>Un</v>
          </cell>
          <cell r="C188">
            <v>2314297.44</v>
          </cell>
          <cell r="D188">
            <v>2684585.0303999996</v>
          </cell>
          <cell r="E188">
            <v>550</v>
          </cell>
        </row>
        <row r="189">
          <cell r="A189" t="str">
            <v>Torrecilla metálica 8 m</v>
          </cell>
          <cell r="B189" t="str">
            <v>Un</v>
          </cell>
          <cell r="C189">
            <v>1373681.3263999999</v>
          </cell>
          <cell r="D189">
            <v>1593470.3386239999</v>
          </cell>
          <cell r="E189">
            <v>200</v>
          </cell>
        </row>
        <row r="190">
          <cell r="A190" t="str">
            <v>Transformador monofásico 3 kVA, 13.2/0,22 kV</v>
          </cell>
          <cell r="B190" t="str">
            <v>Un</v>
          </cell>
          <cell r="C190">
            <v>1220000</v>
          </cell>
          <cell r="D190">
            <v>1415200</v>
          </cell>
          <cell r="E190">
            <v>110</v>
          </cell>
        </row>
        <row r="191">
          <cell r="A191" t="str">
            <v>Transformador monofásico 5 kVA, 13.2/0,22 kV</v>
          </cell>
          <cell r="B191" t="str">
            <v>Un</v>
          </cell>
          <cell r="C191">
            <v>1320000</v>
          </cell>
          <cell r="D191">
            <v>1531200</v>
          </cell>
          <cell r="E191">
            <v>130</v>
          </cell>
        </row>
        <row r="192">
          <cell r="A192" t="str">
            <v>Transformador monofásico 10 kVA, 13.2/0,22 kV</v>
          </cell>
          <cell r="B192" t="str">
            <v>Un</v>
          </cell>
          <cell r="C192">
            <v>1514700</v>
          </cell>
          <cell r="D192">
            <v>1757051.9999999998</v>
          </cell>
          <cell r="E192">
            <v>145</v>
          </cell>
        </row>
        <row r="193">
          <cell r="A193" t="str">
            <v>Transformador monofásico 15 kVA, 13.2/0.22 kV</v>
          </cell>
          <cell r="B193" t="str">
            <v>Un</v>
          </cell>
          <cell r="C193">
            <v>3357985.1679999996</v>
          </cell>
          <cell r="D193">
            <v>3895262.7948799995</v>
          </cell>
          <cell r="E193">
            <v>145</v>
          </cell>
        </row>
        <row r="194">
          <cell r="A194" t="str">
            <v>Transformador monofásico 25 kVA, 13.2/0.22 kV</v>
          </cell>
          <cell r="B194" t="str">
            <v>Un</v>
          </cell>
          <cell r="C194">
            <v>4235800.784</v>
          </cell>
          <cell r="D194">
            <v>4913528.9094399996</v>
          </cell>
          <cell r="E194">
            <v>173</v>
          </cell>
        </row>
        <row r="195">
          <cell r="A195" t="str">
            <v>Transformador monofásico 37,5 kVA, 13.2/0.22 kV</v>
          </cell>
          <cell r="B195" t="str">
            <v>Un</v>
          </cell>
          <cell r="C195">
            <v>3345000</v>
          </cell>
          <cell r="D195">
            <v>3880199.9999999995</v>
          </cell>
          <cell r="E195">
            <v>235</v>
          </cell>
        </row>
        <row r="196">
          <cell r="A196" t="str">
            <v>Transformador monofásico 50 kVA, 13.2/0.22 kV</v>
          </cell>
          <cell r="B196" t="str">
            <v>Un</v>
          </cell>
          <cell r="C196">
            <v>3982000</v>
          </cell>
          <cell r="D196">
            <v>4619120</v>
          </cell>
          <cell r="E196">
            <v>289</v>
          </cell>
        </row>
        <row r="197">
          <cell r="A197" t="str">
            <v>Transformador monofásico 75 kVA, 13.2/0.22 kV</v>
          </cell>
          <cell r="B197" t="str">
            <v>Un</v>
          </cell>
          <cell r="C197">
            <v>5251000</v>
          </cell>
          <cell r="D197">
            <v>6091160</v>
          </cell>
          <cell r="E197">
            <v>396</v>
          </cell>
        </row>
        <row r="198">
          <cell r="A198" t="str">
            <v>Transformador trifásico 13200/240/120 V de 100 kVA</v>
          </cell>
          <cell r="B198" t="str">
            <v>Un</v>
          </cell>
          <cell r="C198">
            <v>0</v>
          </cell>
          <cell r="D198">
            <v>0</v>
          </cell>
        </row>
        <row r="199">
          <cell r="A199" t="str">
            <v>Transformador trifásico 13200/240/120 V de 112.5 kVA</v>
          </cell>
          <cell r="B199" t="str">
            <v>Un</v>
          </cell>
          <cell r="C199">
            <v>13498776.624</v>
          </cell>
          <cell r="D199">
            <v>15658580.883839998</v>
          </cell>
          <cell r="E199">
            <v>1050</v>
          </cell>
        </row>
        <row r="200">
          <cell r="A200" t="str">
            <v>Transformador trifásico 13200/240/120 V de 15 kVA</v>
          </cell>
          <cell r="B200" t="str">
            <v>Un</v>
          </cell>
          <cell r="C200">
            <v>5958316.7999999998</v>
          </cell>
          <cell r="D200">
            <v>6911647.487999999</v>
          </cell>
          <cell r="E200">
            <v>217</v>
          </cell>
        </row>
        <row r="201">
          <cell r="A201" t="str">
            <v>Transformador trifásico 13200/240/120 V de 150 kVA</v>
          </cell>
          <cell r="B201" t="str">
            <v>Un</v>
          </cell>
          <cell r="C201">
            <v>7886956</v>
          </cell>
          <cell r="D201">
            <v>9148868.959999999</v>
          </cell>
          <cell r="E201">
            <v>1347</v>
          </cell>
        </row>
        <row r="202">
          <cell r="A202" t="str">
            <v>Transformador trifásico 13200/240/120 V de 160 kVA</v>
          </cell>
          <cell r="B202" t="str">
            <v>Un</v>
          </cell>
          <cell r="C202">
            <v>0</v>
          </cell>
          <cell r="D202">
            <v>0</v>
          </cell>
        </row>
        <row r="203">
          <cell r="A203" t="str">
            <v>Transformador trifásico 13200/240/120 V de 200 kVA</v>
          </cell>
          <cell r="B203" t="str">
            <v>Un</v>
          </cell>
          <cell r="C203">
            <v>0</v>
          </cell>
          <cell r="D203">
            <v>0</v>
          </cell>
        </row>
        <row r="204">
          <cell r="A204" t="str">
            <v>Transformador trifásico 13200/240/120 V de 225 kVA</v>
          </cell>
          <cell r="B204" t="str">
            <v>Un</v>
          </cell>
          <cell r="C204">
            <v>0</v>
          </cell>
          <cell r="D204">
            <v>0</v>
          </cell>
        </row>
        <row r="205">
          <cell r="A205" t="str">
            <v>Transformador trifásico 13200/240/120 V de 30 kVA</v>
          </cell>
          <cell r="B205" t="str">
            <v>Un</v>
          </cell>
          <cell r="C205">
            <v>6773602.3839999987</v>
          </cell>
          <cell r="D205">
            <v>7857378.7654399984</v>
          </cell>
          <cell r="E205">
            <v>355</v>
          </cell>
        </row>
        <row r="206">
          <cell r="A206" t="str">
            <v>Transformador trifásico 13200/240/120 V de 45 kVA</v>
          </cell>
          <cell r="B206" t="str">
            <v>Un</v>
          </cell>
          <cell r="C206">
            <v>4588000</v>
          </cell>
          <cell r="D206">
            <v>5322080</v>
          </cell>
          <cell r="E206">
            <v>450</v>
          </cell>
        </row>
        <row r="207">
          <cell r="A207" t="str">
            <v>Transformador trifásico 13200/240/120 V de 50 kVA</v>
          </cell>
          <cell r="B207" t="str">
            <v>Un</v>
          </cell>
          <cell r="C207">
            <v>0</v>
          </cell>
          <cell r="D207">
            <v>0</v>
          </cell>
        </row>
        <row r="208">
          <cell r="A208" t="str">
            <v>Transformador trifásico 13200/208/120 V de 75 kVA</v>
          </cell>
          <cell r="B208" t="str">
            <v>Un</v>
          </cell>
          <cell r="C208">
            <v>5742000</v>
          </cell>
          <cell r="D208">
            <v>6660720</v>
          </cell>
          <cell r="E208">
            <v>700</v>
          </cell>
        </row>
        <row r="209">
          <cell r="A209" t="str">
            <v>Triturado</v>
          </cell>
          <cell r="B209" t="str">
            <v>m3</v>
          </cell>
          <cell r="C209">
            <v>40000</v>
          </cell>
          <cell r="D209">
            <v>46400</v>
          </cell>
        </row>
        <row r="210">
          <cell r="A210" t="str">
            <v>Tubo metálico galvanizado de 1/2"</v>
          </cell>
          <cell r="B210" t="str">
            <v>Un</v>
          </cell>
          <cell r="C210">
            <v>24071.842079999999</v>
          </cell>
          <cell r="D210">
            <v>27923.336812799997</v>
          </cell>
          <cell r="E210">
            <v>2</v>
          </cell>
        </row>
        <row r="211">
          <cell r="A211" t="str">
            <v>Tuerca de ojo de 12.7 mm (1/2")</v>
          </cell>
          <cell r="B211" t="str">
            <v>Un</v>
          </cell>
          <cell r="C211">
            <v>4880.4911999999995</v>
          </cell>
          <cell r="D211">
            <v>5661.3697919999986</v>
          </cell>
          <cell r="E211">
            <v>0.5</v>
          </cell>
        </row>
        <row r="212">
          <cell r="A212" t="str">
            <v>Tuerca de ojo de 15.9 mm (5/8")</v>
          </cell>
          <cell r="B212" t="str">
            <v>Un</v>
          </cell>
          <cell r="C212">
            <v>6100.9503999999988</v>
          </cell>
          <cell r="D212">
            <v>7077.1024639999978</v>
          </cell>
          <cell r="E212">
            <v>0.5</v>
          </cell>
        </row>
        <row r="213">
          <cell r="A213" t="str">
            <v>U de acero de R=100 (para poste)</v>
          </cell>
          <cell r="B213" t="str">
            <v>Un</v>
          </cell>
          <cell r="C213">
            <v>11177.8992</v>
          </cell>
          <cell r="D213">
            <v>12966.363071999998</v>
          </cell>
          <cell r="E213">
            <v>1.86</v>
          </cell>
        </row>
        <row r="214">
          <cell r="A214" t="str">
            <v>Varilla de anclaje de 5/8"x1,8 mts</v>
          </cell>
          <cell r="B214" t="str">
            <v>Un</v>
          </cell>
          <cell r="C214">
            <v>16848</v>
          </cell>
          <cell r="D214">
            <v>19543.68</v>
          </cell>
          <cell r="E214">
            <v>3</v>
          </cell>
        </row>
        <row r="215">
          <cell r="A215" t="str">
            <v>Varilla sólida de cobre con grapa para puesta a tierra de 5/8"x1.8 mts</v>
          </cell>
          <cell r="B215" t="str">
            <v>Un</v>
          </cell>
          <cell r="C215">
            <v>57778.718399999991</v>
          </cell>
          <cell r="D215">
            <v>67023.31334399998</v>
          </cell>
          <cell r="E215">
            <v>3.55</v>
          </cell>
        </row>
        <row r="216">
          <cell r="A216" t="str">
            <v>Varilla sólida de cobre con grapa para puesta a tierra de 5/8"x2.4 mts</v>
          </cell>
          <cell r="B216" t="str">
            <v>Un</v>
          </cell>
          <cell r="C216">
            <v>40000</v>
          </cell>
          <cell r="D216">
            <v>46400</v>
          </cell>
          <cell r="E216">
            <v>4.0999999999999996</v>
          </cell>
        </row>
        <row r="219">
          <cell r="A219" t="str">
            <v>EQUIPOS</v>
          </cell>
          <cell r="B219" t="str">
            <v>Unidad de medida</v>
          </cell>
          <cell r="C219" t="str">
            <v>Valor
Unitario ($/día)</v>
          </cell>
        </row>
        <row r="220">
          <cell r="A220" t="str">
            <v>Grua</v>
          </cell>
          <cell r="B220" t="str">
            <v>Dia</v>
          </cell>
          <cell r="C220">
            <v>1000000</v>
          </cell>
        </row>
        <row r="221">
          <cell r="A221" t="str">
            <v>Camión de 3 Toneladas</v>
          </cell>
          <cell r="B221" t="str">
            <v>Dia</v>
          </cell>
          <cell r="C221">
            <v>193050</v>
          </cell>
        </row>
        <row r="222">
          <cell r="A222" t="str">
            <v>Pluma</v>
          </cell>
          <cell r="B222" t="str">
            <v>Dia</v>
          </cell>
          <cell r="C222">
            <v>12870</v>
          </cell>
        </row>
        <row r="223">
          <cell r="A223" t="str">
            <v>Carroloco</v>
          </cell>
          <cell r="B223" t="str">
            <v>Dia</v>
          </cell>
          <cell r="C223">
            <v>12870</v>
          </cell>
        </row>
        <row r="224">
          <cell r="A224" t="str">
            <v>Tilfor</v>
          </cell>
          <cell r="B224" t="str">
            <v>Dia</v>
          </cell>
          <cell r="C224">
            <v>12870</v>
          </cell>
        </row>
        <row r="225">
          <cell r="A225" t="str">
            <v>Diferencial de 3/4 de tonelada</v>
          </cell>
          <cell r="B225" t="str">
            <v>Dia</v>
          </cell>
          <cell r="C225">
            <v>6435</v>
          </cell>
        </row>
        <row r="226">
          <cell r="A226" t="str">
            <v>Agarradora</v>
          </cell>
          <cell r="B226" t="str">
            <v>Dia</v>
          </cell>
          <cell r="C226">
            <v>3217.5</v>
          </cell>
        </row>
        <row r="227">
          <cell r="A227" t="str">
            <v>Paladraga y barretón</v>
          </cell>
          <cell r="B227" t="str">
            <v>Dia</v>
          </cell>
          <cell r="C227">
            <v>1930.5</v>
          </cell>
        </row>
        <row r="228">
          <cell r="A228" t="str">
            <v>Cinturon de seguridad y pretales</v>
          </cell>
          <cell r="B228" t="str">
            <v>Dia</v>
          </cell>
          <cell r="C228">
            <v>6435</v>
          </cell>
        </row>
        <row r="229">
          <cell r="A229" t="str">
            <v>Equipo menor de liniero</v>
          </cell>
          <cell r="B229" t="str">
            <v>Dia</v>
          </cell>
          <cell r="C229">
            <v>6435</v>
          </cell>
        </row>
        <row r="230">
          <cell r="A230" t="str">
            <v>Equipo de topografía</v>
          </cell>
          <cell r="B230" t="str">
            <v>Dia</v>
          </cell>
          <cell r="C230">
            <v>19305</v>
          </cell>
        </row>
        <row r="231">
          <cell r="A231" t="str">
            <v>Equipo GPS</v>
          </cell>
          <cell r="B231" t="str">
            <v>Dia</v>
          </cell>
          <cell r="C231">
            <v>50000</v>
          </cell>
        </row>
        <row r="232">
          <cell r="A232" t="str">
            <v>Herramientas para limpieza de trocha</v>
          </cell>
          <cell r="B232" t="str">
            <v>Dia</v>
          </cell>
          <cell r="C232">
            <v>12870</v>
          </cell>
        </row>
        <row r="233">
          <cell r="A233" t="str">
            <v>Trompo para 2 Bultos de cemento</v>
          </cell>
          <cell r="B233" t="str">
            <v>Dia</v>
          </cell>
          <cell r="C233">
            <v>25740</v>
          </cell>
        </row>
        <row r="234">
          <cell r="A234" t="str">
            <v>Antenallas</v>
          </cell>
          <cell r="B234" t="str">
            <v>Dia</v>
          </cell>
          <cell r="C234">
            <v>2662</v>
          </cell>
        </row>
        <row r="235">
          <cell r="A235" t="str">
            <v>Aparejo doble</v>
          </cell>
          <cell r="B235" t="str">
            <v>Dia</v>
          </cell>
          <cell r="C235">
            <v>2662</v>
          </cell>
        </row>
        <row r="236">
          <cell r="A236" t="str">
            <v>Manilas</v>
          </cell>
          <cell r="B236" t="str">
            <v>Dia</v>
          </cell>
          <cell r="C236">
            <v>3327.5</v>
          </cell>
        </row>
        <row r="239">
          <cell r="A239" t="str">
            <v>MANO DE OBRA</v>
          </cell>
          <cell r="B239" t="str">
            <v>Unidad de medida</v>
          </cell>
          <cell r="C239" t="str">
            <v>Valor
Unitario ($/día)</v>
          </cell>
        </row>
        <row r="240">
          <cell r="A240" t="str">
            <v>Cuadrilla de redes (1 Capataz, 4 Linieros,5 Ayudantes)</v>
          </cell>
          <cell r="B240" t="str">
            <v>Dia</v>
          </cell>
          <cell r="C240">
            <v>564166.66666666663</v>
          </cell>
        </row>
        <row r="241">
          <cell r="A241" t="str">
            <v>Cuadrilla de topografía (1 Topógrafo, 1 Capataz, 3 Cadeneros, 2 Vaquianos)</v>
          </cell>
          <cell r="B241" t="str">
            <v>Dia</v>
          </cell>
          <cell r="C241">
            <v>470297.33333333331</v>
          </cell>
        </row>
        <row r="244">
          <cell r="A244" t="str">
            <v>TRANSPORTE</v>
          </cell>
          <cell r="B244" t="str">
            <v>Unidad de medida</v>
          </cell>
          <cell r="C244" t="str">
            <v>Valor
unitario ($/kg)</v>
          </cell>
        </row>
        <row r="245">
          <cell r="A245" t="str">
            <v>Transporte de material a Quibdó</v>
          </cell>
          <cell r="B245" t="str">
            <v>kg</v>
          </cell>
          <cell r="C245">
            <v>300</v>
          </cell>
        </row>
        <row r="246">
          <cell r="A246" t="str">
            <v>Transporte de postería a Quibdó</v>
          </cell>
          <cell r="B246" t="str">
            <v>kg</v>
          </cell>
          <cell r="C246">
            <v>170</v>
          </cell>
        </row>
        <row r="247">
          <cell r="A247" t="str">
            <v>Transporte de material a Istmina</v>
          </cell>
          <cell r="B247" t="str">
            <v>kg</v>
          </cell>
          <cell r="C247">
            <v>400</v>
          </cell>
        </row>
        <row r="248">
          <cell r="A248" t="str">
            <v>Transporte de postería a Istmina</v>
          </cell>
          <cell r="B248" t="str">
            <v>kg</v>
          </cell>
          <cell r="C248">
            <v>300</v>
          </cell>
        </row>
        <row r="249">
          <cell r="A249" t="str">
            <v>Transporte de material a Tadó</v>
          </cell>
          <cell r="B249" t="str">
            <v>kg</v>
          </cell>
          <cell r="C249">
            <v>320</v>
          </cell>
        </row>
        <row r="250">
          <cell r="A250" t="str">
            <v>Transporte de postería a Tadó</v>
          </cell>
          <cell r="B250" t="str">
            <v>kg</v>
          </cell>
          <cell r="C250">
            <v>190</v>
          </cell>
        </row>
        <row r="251">
          <cell r="A251" t="str">
            <v>Transporte de material a Condoto</v>
          </cell>
          <cell r="B251" t="str">
            <v>kg</v>
          </cell>
          <cell r="C251">
            <v>500</v>
          </cell>
        </row>
        <row r="252">
          <cell r="A252" t="str">
            <v>Transporte de postería a Condoto</v>
          </cell>
          <cell r="B252" t="str">
            <v>kg</v>
          </cell>
          <cell r="C252">
            <v>400</v>
          </cell>
        </row>
        <row r="253">
          <cell r="A253" t="str">
            <v>Transporte</v>
          </cell>
          <cell r="B253" t="str">
            <v>kg</v>
          </cell>
          <cell r="C253">
            <v>500</v>
          </cell>
        </row>
        <row r="256">
          <cell r="A256" t="str">
            <v>Mano de obra por cargo</v>
          </cell>
          <cell r="B256" t="str">
            <v>Unidad de medida</v>
          </cell>
          <cell r="C256" t="str">
            <v>Valor
unitario ($/día)</v>
          </cell>
        </row>
        <row r="257">
          <cell r="A257" t="str">
            <v>Topógrafo</v>
          </cell>
          <cell r="B257" t="str">
            <v>Día</v>
          </cell>
          <cell r="C257">
            <v>186666.66666666666</v>
          </cell>
        </row>
        <row r="258">
          <cell r="A258" t="str">
            <v>Capataz</v>
          </cell>
          <cell r="B258" t="str">
            <v>Día</v>
          </cell>
          <cell r="C258">
            <v>72000</v>
          </cell>
        </row>
        <row r="259">
          <cell r="A259" t="str">
            <v>Liniero</v>
          </cell>
          <cell r="B259" t="str">
            <v>Día</v>
          </cell>
          <cell r="C259">
            <v>58666.666666666664</v>
          </cell>
        </row>
        <row r="260">
          <cell r="A260" t="str">
            <v>Ayudante / Cadenero</v>
          </cell>
          <cell r="B260" t="str">
            <v>Día</v>
          </cell>
          <cell r="C260">
            <v>51500</v>
          </cell>
        </row>
      </sheetData>
      <sheetData sheetId="2" refreshError="1"/>
      <sheetData sheetId="3">
        <row r="2">
          <cell r="B2" t="str">
            <v>Replanteo,Localizacion y elaboracion de planosRECORD DE REDES</v>
          </cell>
        </row>
      </sheetData>
      <sheetData sheetId="4"/>
      <sheetData sheetId="5"/>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sheetData sheetId="17"/>
      <sheetData sheetId="18"/>
      <sheetData sheetId="19"/>
      <sheetData sheetId="20"/>
      <sheetData sheetId="21"/>
      <sheetData sheetId="22" refreshError="1"/>
      <sheetData sheetId="23"/>
      <sheetData sheetId="24"/>
      <sheetData sheetId="25"/>
      <sheetData sheetId="26"/>
      <sheetData sheetId="27"/>
      <sheetData sheetId="28"/>
      <sheetData sheetId="29" refreshError="1"/>
      <sheetData sheetId="3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o a punto"/>
      <sheetName val="Recursos"/>
      <sheetName val="PRESUPUESTO1"/>
      <sheetName val="Presupuest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s>
    <sheetDataSet>
      <sheetData sheetId="0" refreshError="1"/>
      <sheetData sheetId="1">
        <row r="7">
          <cell r="A7" t="str">
            <v>Abrazadera Metálica de 8"</v>
          </cell>
          <cell r="B7" t="str">
            <v>Un</v>
          </cell>
          <cell r="C7">
            <v>13334.76144</v>
          </cell>
          <cell r="D7">
            <v>15468.323270399998</v>
          </cell>
          <cell r="E7">
            <v>1.8</v>
          </cell>
        </row>
        <row r="8">
          <cell r="A8" t="str">
            <v>Accesorios para puesta a tierra, Unión EMT de 1/2", Entrada a caja  para tubo EMT de 1/2 ", Chazos, Cinta vinilo y  demás elementos de fijación.</v>
          </cell>
          <cell r="B8" t="str">
            <v>Un</v>
          </cell>
          <cell r="C8">
            <v>8000</v>
          </cell>
          <cell r="D8">
            <v>9280</v>
          </cell>
          <cell r="E8">
            <v>0.25</v>
          </cell>
        </row>
        <row r="9">
          <cell r="A9" t="str">
            <v>Aislador carrete de 81 mm</v>
          </cell>
          <cell r="B9" t="str">
            <v>Un</v>
          </cell>
          <cell r="C9">
            <v>3158.1231999999995</v>
          </cell>
          <cell r="D9">
            <v>3663.4229119999991</v>
          </cell>
          <cell r="E9">
            <v>0.56000000000000005</v>
          </cell>
        </row>
        <row r="10">
          <cell r="A10" t="str">
            <v>Aislador de porcelana tipo carrete de 81 mm</v>
          </cell>
          <cell r="B10" t="str">
            <v>Un</v>
          </cell>
          <cell r="C10">
            <v>2307.2399999999998</v>
          </cell>
          <cell r="D10">
            <v>2676.3983999999996</v>
          </cell>
          <cell r="E10">
            <v>0.56000000000000005</v>
          </cell>
        </row>
        <row r="11">
          <cell r="A11" t="str">
            <v>Aislador de suspension polimerico de cadena</v>
          </cell>
          <cell r="B11" t="str">
            <v>Un</v>
          </cell>
          <cell r="C11">
            <v>18480</v>
          </cell>
          <cell r="D11">
            <v>21436.799999999999</v>
          </cell>
          <cell r="E11">
            <v>1.66</v>
          </cell>
        </row>
        <row r="12">
          <cell r="A12" t="str">
            <v>Aislador de suspensión 165 mm (6 1/2")</v>
          </cell>
          <cell r="B12" t="str">
            <v>Un</v>
          </cell>
          <cell r="C12">
            <v>22478.247999999996</v>
          </cell>
          <cell r="D12">
            <v>26074.767679999994</v>
          </cell>
          <cell r="E12">
            <v>2.66</v>
          </cell>
        </row>
        <row r="13">
          <cell r="A13" t="str">
            <v>Aislador Pin para 15 KV</v>
          </cell>
          <cell r="B13" t="str">
            <v>Un</v>
          </cell>
          <cell r="C13">
            <v>21458</v>
          </cell>
          <cell r="D13">
            <v>24891.279999999999</v>
          </cell>
          <cell r="E13">
            <v>1.85</v>
          </cell>
        </row>
        <row r="14">
          <cell r="A14" t="str">
            <v>Aislador Pin line post para 15 KV</v>
          </cell>
          <cell r="B14" t="str">
            <v>Un</v>
          </cell>
          <cell r="C14">
            <v>36900</v>
          </cell>
          <cell r="D14">
            <v>42804</v>
          </cell>
          <cell r="E14">
            <v>2.2999999999999998</v>
          </cell>
        </row>
        <row r="15">
          <cell r="A15" t="str">
            <v>Aislador Pin para neutro (3 KV)</v>
          </cell>
          <cell r="B15" t="str">
            <v>Un</v>
          </cell>
          <cell r="C15">
            <v>15478.436799999998</v>
          </cell>
          <cell r="D15">
            <v>17954.986687999997</v>
          </cell>
          <cell r="E15">
            <v>1</v>
          </cell>
        </row>
        <row r="16">
          <cell r="A16" t="str">
            <v>Aislador tensor de 4 1/4"</v>
          </cell>
          <cell r="B16" t="str">
            <v>Un</v>
          </cell>
          <cell r="C16">
            <v>11893.758399999999</v>
          </cell>
          <cell r="D16">
            <v>13796.759743999997</v>
          </cell>
          <cell r="E16">
            <v>1.5</v>
          </cell>
        </row>
        <row r="17">
          <cell r="A17" t="str">
            <v>Alambre de cobre desnudo #4 AWG (mt)</v>
          </cell>
          <cell r="B17" t="str">
            <v>m</v>
          </cell>
          <cell r="C17">
            <v>4450</v>
          </cell>
          <cell r="D17">
            <v>5162</v>
          </cell>
          <cell r="E17">
            <v>0.2</v>
          </cell>
        </row>
        <row r="18">
          <cell r="A18" t="str">
            <v>Alambre de cobre desnudo No.6 AWG</v>
          </cell>
          <cell r="B18" t="str">
            <v>m</v>
          </cell>
          <cell r="C18">
            <v>2980</v>
          </cell>
          <cell r="D18">
            <v>3456.7999999999997</v>
          </cell>
          <cell r="E18">
            <v>0.08</v>
          </cell>
        </row>
        <row r="19">
          <cell r="A19" t="str">
            <v>Alambre de cobre desnudo No.8 AWG</v>
          </cell>
          <cell r="B19" t="str">
            <v>m</v>
          </cell>
          <cell r="C19">
            <v>1777.0498199999995</v>
          </cell>
          <cell r="D19">
            <v>2061.3777911999991</v>
          </cell>
          <cell r="E19">
            <v>0.08</v>
          </cell>
        </row>
        <row r="20">
          <cell r="A20" t="str">
            <v>Alambre de acero recubierto de cobre cubierto con polietileno</v>
          </cell>
          <cell r="B20" t="str">
            <v>m</v>
          </cell>
          <cell r="C20">
            <v>2350</v>
          </cell>
          <cell r="D20">
            <v>2726</v>
          </cell>
          <cell r="E20">
            <v>0.25</v>
          </cell>
        </row>
        <row r="21">
          <cell r="A21" t="str">
            <v>Alambre galvanizado No.10</v>
          </cell>
          <cell r="B21" t="str">
            <v>kg</v>
          </cell>
          <cell r="C21">
            <v>1628.64</v>
          </cell>
          <cell r="D21">
            <v>1889.2223999999999</v>
          </cell>
          <cell r="E21">
            <v>1</v>
          </cell>
        </row>
        <row r="22">
          <cell r="A22" t="str">
            <v xml:space="preserve">Amarre Plastico </v>
          </cell>
          <cell r="B22" t="str">
            <v>Un</v>
          </cell>
          <cell r="C22">
            <v>99.574399999999997</v>
          </cell>
          <cell r="D22">
            <v>115.50630399999999</v>
          </cell>
          <cell r="E22">
            <v>0.15</v>
          </cell>
        </row>
        <row r="23">
          <cell r="A23" t="str">
            <v>Amortiguador para cable #2 AWG</v>
          </cell>
          <cell r="B23" t="str">
            <v>Un</v>
          </cell>
          <cell r="C23">
            <v>12122.510399999999</v>
          </cell>
          <cell r="D23">
            <v>14062.112063999999</v>
          </cell>
          <cell r="E23">
            <v>1000</v>
          </cell>
        </row>
        <row r="24">
          <cell r="A24" t="str">
            <v>Amortiguador para cable #2, 1/0 AWG</v>
          </cell>
          <cell r="B24" t="str">
            <v>Un</v>
          </cell>
          <cell r="C24">
            <v>18884.352239999997</v>
          </cell>
          <cell r="D24">
            <v>21905.848598399996</v>
          </cell>
          <cell r="E24">
            <v>1.8</v>
          </cell>
        </row>
        <row r="25">
          <cell r="A25" t="str">
            <v>Anillo 9" (Abrazadera metálica)</v>
          </cell>
          <cell r="B25" t="str">
            <v>Un</v>
          </cell>
          <cell r="C25">
            <v>3500</v>
          </cell>
          <cell r="D25">
            <v>4059.9999999999995</v>
          </cell>
          <cell r="E25">
            <v>0.85</v>
          </cell>
        </row>
        <row r="26">
          <cell r="A26" t="str">
            <v>Arandela cuadrada 4"x4" para anclaje</v>
          </cell>
          <cell r="B26" t="str">
            <v>Un</v>
          </cell>
          <cell r="C26">
            <v>3713.8559999999998</v>
          </cell>
          <cell r="D26">
            <v>4308.0729599999995</v>
          </cell>
          <cell r="E26">
            <v>0.35</v>
          </cell>
        </row>
        <row r="27">
          <cell r="A27" t="str">
            <v>Arena</v>
          </cell>
          <cell r="B27" t="str">
            <v>m3</v>
          </cell>
          <cell r="C27">
            <v>22690</v>
          </cell>
          <cell r="D27">
            <v>26320.399999999998</v>
          </cell>
          <cell r="E27">
            <v>1550</v>
          </cell>
        </row>
        <row r="28">
          <cell r="A28" t="str">
            <v>Barraje premoldeado para BT sumergible 4 puertos</v>
          </cell>
          <cell r="B28" t="str">
            <v>Un</v>
          </cell>
          <cell r="C28">
            <v>67070</v>
          </cell>
          <cell r="D28">
            <v>77801.2</v>
          </cell>
          <cell r="E28">
            <v>0.5</v>
          </cell>
        </row>
        <row r="29">
          <cell r="A29" t="str">
            <v>Barraje premoldeado para BT sumergible 6 puertos</v>
          </cell>
          <cell r="B29" t="str">
            <v>Un</v>
          </cell>
          <cell r="C29">
            <v>91850</v>
          </cell>
          <cell r="D29">
            <v>106545.99999999999</v>
          </cell>
          <cell r="E29">
            <v>0.55000000000000004</v>
          </cell>
        </row>
        <row r="30">
          <cell r="A30" t="str">
            <v>Bayoneta doble de 1500 mm (3"x3"x1/4")</v>
          </cell>
          <cell r="B30" t="str">
            <v>Un</v>
          </cell>
          <cell r="C30">
            <v>147220.75039999999</v>
          </cell>
          <cell r="D30">
            <v>170776.07046399999</v>
          </cell>
          <cell r="E30">
            <v>21.6</v>
          </cell>
        </row>
        <row r="31">
          <cell r="A31" t="str">
            <v>Bayoneta sencilla de 1500 mm (3"x3"x1/4")</v>
          </cell>
          <cell r="B31" t="str">
            <v>Un</v>
          </cell>
          <cell r="C31">
            <v>65335.608</v>
          </cell>
          <cell r="D31">
            <v>75789.30528</v>
          </cell>
          <cell r="E31">
            <v>10.8</v>
          </cell>
        </row>
        <row r="32">
          <cell r="A32" t="str">
            <v>Blindaje para cable ACSR #2 ó 1/0</v>
          </cell>
          <cell r="B32" t="str">
            <v>Un</v>
          </cell>
          <cell r="C32">
            <v>7464.6</v>
          </cell>
          <cell r="D32">
            <v>8658.9359999999997</v>
          </cell>
          <cell r="E32">
            <v>0.5</v>
          </cell>
        </row>
        <row r="33">
          <cell r="A33" t="str">
            <v>Bloque de Anclaje</v>
          </cell>
          <cell r="B33" t="str">
            <v>Un</v>
          </cell>
          <cell r="C33">
            <v>11000</v>
          </cell>
          <cell r="D33">
            <v>12760</v>
          </cell>
          <cell r="E33">
            <v>15</v>
          </cell>
        </row>
        <row r="34">
          <cell r="A34" t="str">
            <v>Brazo Angular tipo C</v>
          </cell>
          <cell r="B34" t="str">
            <v>Un</v>
          </cell>
          <cell r="C34">
            <v>77850</v>
          </cell>
          <cell r="D34">
            <v>90306</v>
          </cell>
          <cell r="E34">
            <v>5.8</v>
          </cell>
        </row>
        <row r="35">
          <cell r="A35" t="str">
            <v>Brazo para viento en farol</v>
          </cell>
          <cell r="B35" t="str">
            <v>Un</v>
          </cell>
          <cell r="C35">
            <v>48253.215999999993</v>
          </cell>
          <cell r="D35">
            <v>55973.730559999989</v>
          </cell>
          <cell r="E35">
            <v>12</v>
          </cell>
        </row>
        <row r="36">
          <cell r="A36" t="str">
            <v>Cable THW( 600 V) 2/0</v>
          </cell>
          <cell r="B36" t="str">
            <v>m</v>
          </cell>
          <cell r="C36">
            <v>4100</v>
          </cell>
          <cell r="D36">
            <v>4756</v>
          </cell>
          <cell r="E36">
            <v>0.625</v>
          </cell>
        </row>
        <row r="37">
          <cell r="A37" t="str">
            <v>Cable SGX 1/4"</v>
          </cell>
          <cell r="B37" t="str">
            <v>m</v>
          </cell>
          <cell r="C37">
            <v>909</v>
          </cell>
          <cell r="D37">
            <v>1054.4399999999998</v>
          </cell>
          <cell r="E37">
            <v>0.17799999999999999</v>
          </cell>
        </row>
        <row r="38">
          <cell r="A38" t="str">
            <v>Cable SGX 3/8"</v>
          </cell>
          <cell r="B38" t="str">
            <v>m</v>
          </cell>
          <cell r="C38">
            <v>1050</v>
          </cell>
          <cell r="D38">
            <v>1218</v>
          </cell>
          <cell r="E38">
            <v>0.25</v>
          </cell>
        </row>
        <row r="39">
          <cell r="A39" t="str">
            <v>Cable ACSR No. 1/0 AWG</v>
          </cell>
          <cell r="B39" t="str">
            <v>m</v>
          </cell>
          <cell r="C39">
            <v>2010</v>
          </cell>
          <cell r="D39">
            <v>2331.6</v>
          </cell>
          <cell r="E39">
            <v>0.216</v>
          </cell>
        </row>
        <row r="40">
          <cell r="A40" t="str">
            <v>Cable ACSR No. 2 AWG</v>
          </cell>
          <cell r="B40" t="str">
            <v>m</v>
          </cell>
          <cell r="C40">
            <v>1295</v>
          </cell>
          <cell r="D40">
            <v>1502.1999999999998</v>
          </cell>
          <cell r="E40">
            <v>0.13600000000000001</v>
          </cell>
        </row>
        <row r="41">
          <cell r="A41" t="str">
            <v>Cable ACSR No. 2/0 AWG</v>
          </cell>
          <cell r="B41" t="str">
            <v>m</v>
          </cell>
          <cell r="C41">
            <v>2510</v>
          </cell>
          <cell r="D41">
            <v>2911.6</v>
          </cell>
          <cell r="E41">
            <v>0.27210884353741499</v>
          </cell>
        </row>
        <row r="42">
          <cell r="A42" t="str">
            <v>Cable ACSR No. 4 AWG</v>
          </cell>
          <cell r="B42" t="str">
            <v>m</v>
          </cell>
          <cell r="C42">
            <v>1259.3084212799997</v>
          </cell>
          <cell r="D42">
            <v>1460.7977686847996</v>
          </cell>
          <cell r="E42">
            <v>8.5000000000000006E-2</v>
          </cell>
        </row>
        <row r="43">
          <cell r="A43" t="str">
            <v>Cable ACSR No. 4/0 AWG</v>
          </cell>
          <cell r="B43" t="str">
            <v>m</v>
          </cell>
          <cell r="C43">
            <v>4965.4519199999995</v>
          </cell>
          <cell r="D43">
            <v>5759.9242271999992</v>
          </cell>
          <cell r="E43">
            <v>0.43252595155709345</v>
          </cell>
        </row>
        <row r="44">
          <cell r="A44" t="str">
            <v>Cable de acero galvanizado grado 5 (EHS) 6.5 mm (1/4") mm</v>
          </cell>
          <cell r="B44" t="str">
            <v>m</v>
          </cell>
          <cell r="C44">
            <v>1485.5424</v>
          </cell>
          <cell r="D44">
            <v>1723.229184</v>
          </cell>
          <cell r="E44">
            <v>0.17799999999999999</v>
          </cell>
        </row>
        <row r="45">
          <cell r="A45" t="str">
            <v>Cable de Cobre Concéntrico 1x8+8 AWG</v>
          </cell>
          <cell r="B45" t="str">
            <v>m</v>
          </cell>
          <cell r="C45">
            <v>4086</v>
          </cell>
          <cell r="D45">
            <v>4739.7599999999993</v>
          </cell>
          <cell r="E45">
            <v>0.27</v>
          </cell>
        </row>
        <row r="46">
          <cell r="A46" t="str">
            <v>Cable de Cobre desnudo No. 8</v>
          </cell>
          <cell r="B46" t="str">
            <v>Un</v>
          </cell>
          <cell r="C46">
            <v>9316.9344000000001</v>
          </cell>
          <cell r="D46">
            <v>10807.643903999999</v>
          </cell>
          <cell r="E46">
            <v>0.36</v>
          </cell>
        </row>
        <row r="47">
          <cell r="A47" t="str">
            <v>Cable de Cobre aislado No.1/0</v>
          </cell>
          <cell r="B47" t="str">
            <v>m</v>
          </cell>
          <cell r="C47">
            <v>16201.023999999998</v>
          </cell>
          <cell r="D47">
            <v>18793.187839999995</v>
          </cell>
          <cell r="E47">
            <v>0.56000000000000005</v>
          </cell>
        </row>
        <row r="48">
          <cell r="A48" t="str">
            <v>Cable de Cobre aislado No.2</v>
          </cell>
          <cell r="B48" t="str">
            <v>m</v>
          </cell>
          <cell r="C48">
            <v>11368</v>
          </cell>
          <cell r="D48">
            <v>13186.88</v>
          </cell>
          <cell r="E48">
            <v>0.35799999999999998</v>
          </cell>
        </row>
        <row r="49">
          <cell r="A49" t="str">
            <v>Cable de Cobre aislado No.2/0</v>
          </cell>
          <cell r="B49" t="str">
            <v>m</v>
          </cell>
          <cell r="C49">
            <v>20259.353599999999</v>
          </cell>
          <cell r="D49">
            <v>23500.850175999996</v>
          </cell>
          <cell r="E49">
            <v>0.69499999999999995</v>
          </cell>
        </row>
        <row r="50">
          <cell r="A50" t="str">
            <v>Cable de Cobre aislado No.4/0</v>
          </cell>
          <cell r="B50" t="str">
            <v>m</v>
          </cell>
          <cell r="C50">
            <v>31746.7408</v>
          </cell>
          <cell r="D50">
            <v>36826.219327999999</v>
          </cell>
          <cell r="E50">
            <v>1.077</v>
          </cell>
        </row>
        <row r="51">
          <cell r="A51" t="str">
            <v>Cable de de cobre trenzado para derivaciones 2 No.4 + 1 No. 6 xlp o xlpe, o pvc</v>
          </cell>
          <cell r="B51" t="str">
            <v>m</v>
          </cell>
          <cell r="C51">
            <v>16147.2</v>
          </cell>
          <cell r="D51">
            <v>18730.752</v>
          </cell>
          <cell r="E51">
            <v>0.52</v>
          </cell>
        </row>
        <row r="52">
          <cell r="A52" t="str">
            <v>Cable de de cobre trenzado para derivaciones 3 No.2 + 1 No. 4 AWG</v>
          </cell>
          <cell r="B52" t="str">
            <v>m</v>
          </cell>
          <cell r="C52">
            <v>35712.224000000002</v>
          </cell>
          <cell r="D52">
            <v>41426.179839999997</v>
          </cell>
          <cell r="E52">
            <v>0.53800000000000003</v>
          </cell>
        </row>
        <row r="53">
          <cell r="A53" t="str">
            <v>Cable ecologico ACSR N° 1/0</v>
          </cell>
          <cell r="B53" t="str">
            <v>m</v>
          </cell>
          <cell r="C53">
            <v>7243</v>
          </cell>
          <cell r="D53">
            <v>8401.8799999999992</v>
          </cell>
          <cell r="E53">
            <v>0.27100000000000002</v>
          </cell>
        </row>
        <row r="54">
          <cell r="A54" t="str">
            <v>Cable ecologico ACSR N° 2/0</v>
          </cell>
          <cell r="B54" t="str">
            <v>m</v>
          </cell>
          <cell r="C54">
            <v>9622</v>
          </cell>
          <cell r="D54">
            <v>11161.519999999999</v>
          </cell>
          <cell r="E54">
            <v>0.32600000000000001</v>
          </cell>
        </row>
        <row r="55">
          <cell r="A55" t="str">
            <v xml:space="preserve">Cable tipo cuádruplex AL 600V, 90°C   (3 N° 1/0 XLPE + 
1 N° 1/0 ACSR aislado)  </v>
          </cell>
          <cell r="B55" t="str">
            <v>m</v>
          </cell>
          <cell r="C55">
            <v>14220</v>
          </cell>
          <cell r="D55">
            <v>16495.199999999997</v>
          </cell>
          <cell r="E55">
            <v>0.85099999999999998</v>
          </cell>
        </row>
        <row r="56">
          <cell r="A56" t="str">
            <v>Cable tipo cuádruplex AL 600V, 90°C  (3 N° 4/0 XLPE + 
1 N° 4/0 ACSR aislado)</v>
          </cell>
          <cell r="B56" t="str">
            <v>m</v>
          </cell>
          <cell r="C56">
            <v>23000</v>
          </cell>
          <cell r="D56">
            <v>26679.999999999996</v>
          </cell>
          <cell r="E56">
            <v>1.593</v>
          </cell>
        </row>
        <row r="57">
          <cell r="A57" t="str">
            <v>Cable tipo cuádruplex AL 600V, 90°C (3 N° 2/0 XLPE + 
1 N° 2/0 ACSR aislado)</v>
          </cell>
          <cell r="B57" t="str">
            <v>m</v>
          </cell>
          <cell r="C57">
            <v>16662.5648</v>
          </cell>
          <cell r="D57">
            <v>19328.575167999999</v>
          </cell>
          <cell r="E57">
            <v>1.046</v>
          </cell>
        </row>
        <row r="58">
          <cell r="A58" t="str">
            <v>Cable tipo cuádruplex ALl 600V, 90°C  (3 N° 2 XLPE + 
1 N° 2 ACSR aislado)</v>
          </cell>
          <cell r="B58" t="str">
            <v>m</v>
          </cell>
          <cell r="C58">
            <v>8746</v>
          </cell>
          <cell r="D58">
            <v>10145.359999999999</v>
          </cell>
          <cell r="E58">
            <v>0.53800000000000003</v>
          </cell>
        </row>
        <row r="59">
          <cell r="A59" t="str">
            <v>Cable tipo triplex AL 600V, 90°C  (2 N° 1/0 XLPE + 
1 N° 1/0 ACSR aislado)</v>
          </cell>
          <cell r="B59" t="str">
            <v>m</v>
          </cell>
          <cell r="C59">
            <v>9945</v>
          </cell>
          <cell r="D59">
            <v>11536.199999999999</v>
          </cell>
          <cell r="E59">
            <v>0.43</v>
          </cell>
        </row>
        <row r="60">
          <cell r="A60" t="str">
            <v>Cable tipo triplex AL 600V, 90°C  (2 N° 2 XLPE + 
1 N° 2 ACSR aislado)</v>
          </cell>
          <cell r="B60" t="str">
            <v>m</v>
          </cell>
          <cell r="C60">
            <v>5712</v>
          </cell>
          <cell r="D60">
            <v>6625.9199999999992</v>
          </cell>
          <cell r="E60">
            <v>0.27200000000000002</v>
          </cell>
        </row>
        <row r="61">
          <cell r="A61" t="str">
            <v>Cable tipo triplex AL 600V, 90°C  (2 N° 2/0 XLPE + 
1 N° 2/0 ACSR aislado)</v>
          </cell>
          <cell r="B61" t="str">
            <v>m</v>
          </cell>
          <cell r="C61">
            <v>11300</v>
          </cell>
          <cell r="D61">
            <v>13108</v>
          </cell>
          <cell r="E61">
            <v>0.53</v>
          </cell>
        </row>
        <row r="62">
          <cell r="A62" t="str">
            <v>Cable tipo triplex AL 600V, 90°C  (2 N° 4 XLPE + 
1 N° 4 ACSR aislado)</v>
          </cell>
          <cell r="B62" t="str">
            <v>m</v>
          </cell>
          <cell r="C62">
            <v>6050</v>
          </cell>
          <cell r="D62">
            <v>7017.9999999999991</v>
          </cell>
          <cell r="E62">
            <v>0.27</v>
          </cell>
        </row>
        <row r="63">
          <cell r="A63" t="str">
            <v>Cable tipo triplex AL 600V, 90°C  (2 N° 4 XLPE + 
1 N° 6 XLPE aislado)</v>
          </cell>
          <cell r="B63" t="str">
            <v>m</v>
          </cell>
          <cell r="C63">
            <v>23445</v>
          </cell>
          <cell r="D63">
            <v>27196.199999999997</v>
          </cell>
          <cell r="E63">
            <v>0.27</v>
          </cell>
        </row>
        <row r="64">
          <cell r="A64" t="str">
            <v>Cable tipo triplex AL 600V, 90°C  (2 N° 4/0 XLPE + 
1 N° 4/0 ACSR aislado)</v>
          </cell>
          <cell r="B64" t="str">
            <v>m</v>
          </cell>
          <cell r="C64">
            <v>45570.089599999992</v>
          </cell>
          <cell r="D64">
            <v>52861.303935999989</v>
          </cell>
          <cell r="E64">
            <v>0.81200000000000006</v>
          </cell>
        </row>
        <row r="65">
          <cell r="A65" t="str">
            <v>Caja metálica para medidor Monofásico Bifilar o
Trifilar con espacio para interruptor.</v>
          </cell>
          <cell r="B65" t="str">
            <v>Un</v>
          </cell>
          <cell r="C65">
            <v>25000</v>
          </cell>
          <cell r="D65">
            <v>28999.999999999996</v>
          </cell>
          <cell r="E65">
            <v>1.5</v>
          </cell>
        </row>
        <row r="66">
          <cell r="A66" t="str">
            <v>Caja trifásica tipo intemperie para acometidas</v>
          </cell>
          <cell r="B66" t="str">
            <v>Un</v>
          </cell>
          <cell r="C66">
            <v>290868.93279999995</v>
          </cell>
          <cell r="D66">
            <v>337407.9620479999</v>
          </cell>
          <cell r="E66">
            <v>5</v>
          </cell>
        </row>
        <row r="67">
          <cell r="A67" t="str">
            <v>Caja trifilar tipo intemperie para acometidas</v>
          </cell>
          <cell r="B67" t="str">
            <v>Un</v>
          </cell>
          <cell r="C67">
            <v>106720</v>
          </cell>
          <cell r="D67">
            <v>123795.2</v>
          </cell>
          <cell r="E67">
            <v>4</v>
          </cell>
        </row>
        <row r="68">
          <cell r="A68" t="str">
            <v>Caja portabornera</v>
          </cell>
          <cell r="B68" t="str">
            <v>Un</v>
          </cell>
          <cell r="C68">
            <v>110000</v>
          </cell>
          <cell r="D68">
            <v>127599.99999999999</v>
          </cell>
          <cell r="E68">
            <v>1.6</v>
          </cell>
        </row>
        <row r="69">
          <cell r="A69" t="str">
            <v>Caja portabornera 8 abonados</v>
          </cell>
          <cell r="B69" t="str">
            <v>Un</v>
          </cell>
          <cell r="C69">
            <v>162520</v>
          </cell>
          <cell r="D69">
            <v>188523.19999999998</v>
          </cell>
          <cell r="E69">
            <v>1.6</v>
          </cell>
        </row>
        <row r="70">
          <cell r="A70" t="str">
            <v>caja portabornera 6 abonados</v>
          </cell>
          <cell r="B70" t="str">
            <v>Un</v>
          </cell>
          <cell r="C70">
            <v>124088</v>
          </cell>
          <cell r="D70">
            <v>143942.07999999999</v>
          </cell>
          <cell r="E70">
            <v>1.5</v>
          </cell>
        </row>
        <row r="71">
          <cell r="A71" t="str">
            <v>caja portabornera 4 abonados</v>
          </cell>
          <cell r="B71" t="str">
            <v>Un</v>
          </cell>
          <cell r="C71">
            <v>96676</v>
          </cell>
          <cell r="D71">
            <v>112144.15999999999</v>
          </cell>
          <cell r="E71">
            <v>1.4</v>
          </cell>
        </row>
        <row r="72">
          <cell r="A72" t="str">
            <v>Camisa Protectora</v>
          </cell>
          <cell r="B72" t="str">
            <v>Un</v>
          </cell>
          <cell r="C72">
            <v>49995.767999999996</v>
          </cell>
          <cell r="D72">
            <v>57995.090879999989</v>
          </cell>
          <cell r="E72">
            <v>1.2</v>
          </cell>
        </row>
        <row r="73">
          <cell r="A73" t="str">
            <v>Cemento</v>
          </cell>
          <cell r="B73" t="str">
            <v>Kg</v>
          </cell>
          <cell r="C73">
            <v>459</v>
          </cell>
          <cell r="D73">
            <v>532.43999999999994</v>
          </cell>
          <cell r="E73">
            <v>1</v>
          </cell>
        </row>
        <row r="74">
          <cell r="A74" t="str">
            <v>Cimentación Tipo 1</v>
          </cell>
          <cell r="B74" t="str">
            <v>Un</v>
          </cell>
          <cell r="C74">
            <v>243600</v>
          </cell>
          <cell r="D74">
            <v>282576</v>
          </cell>
        </row>
        <row r="75">
          <cell r="A75" t="str">
            <v>Cinta Autofundente</v>
          </cell>
          <cell r="B75" t="str">
            <v>Un</v>
          </cell>
          <cell r="C75">
            <v>8700</v>
          </cell>
          <cell r="D75">
            <v>10092</v>
          </cell>
          <cell r="E75">
            <v>0.01</v>
          </cell>
        </row>
        <row r="76">
          <cell r="A76" t="str">
            <v>Cinta Autofundente para alta tension hasta 69 kV (3/4 9mt)</v>
          </cell>
          <cell r="B76" t="str">
            <v>Un</v>
          </cell>
          <cell r="C76">
            <v>21746</v>
          </cell>
          <cell r="D76">
            <v>25225.359999999997</v>
          </cell>
          <cell r="E76">
            <v>0.125</v>
          </cell>
        </row>
        <row r="77">
          <cell r="A77" t="str">
            <v>Cinta de acero inoxidable  de 5/8 "</v>
          </cell>
          <cell r="B77" t="str">
            <v>m</v>
          </cell>
          <cell r="C77">
            <v>4678.6512000000002</v>
          </cell>
          <cell r="D77">
            <v>5427.2353919999996</v>
          </cell>
          <cell r="E77">
            <v>0.15</v>
          </cell>
        </row>
        <row r="78">
          <cell r="A78" t="str">
            <v>Cinta de acero inoxidable de 12.7x750 mm (1/2"x3") con hebilla</v>
          </cell>
          <cell r="B78" t="str">
            <v>Un</v>
          </cell>
          <cell r="C78">
            <v>2872.8559999999998</v>
          </cell>
          <cell r="D78">
            <v>3332.5129599999996</v>
          </cell>
          <cell r="E78">
            <v>0.15</v>
          </cell>
        </row>
        <row r="79">
          <cell r="A79" t="str">
            <v>Cinta plástica</v>
          </cell>
          <cell r="B79" t="str">
            <v>Un</v>
          </cell>
          <cell r="C79">
            <v>1103.3920000000001</v>
          </cell>
          <cell r="D79">
            <v>1279.93472</v>
          </cell>
          <cell r="E79">
            <v>0.01</v>
          </cell>
        </row>
        <row r="80">
          <cell r="A80" t="str">
            <v>Cinta Vinilo</v>
          </cell>
          <cell r="B80" t="str">
            <v>m</v>
          </cell>
          <cell r="C80">
            <v>2000</v>
          </cell>
          <cell r="D80">
            <v>2320</v>
          </cell>
          <cell r="E80">
            <v>0.01</v>
          </cell>
        </row>
        <row r="81">
          <cell r="A81" t="str">
            <v>Collarín de 180 mm (7" a 9")</v>
          </cell>
          <cell r="B81" t="str">
            <v>Un</v>
          </cell>
          <cell r="C81">
            <v>12752.251199999999</v>
          </cell>
          <cell r="D81">
            <v>14792.611391999997</v>
          </cell>
          <cell r="E81">
            <v>1.7</v>
          </cell>
        </row>
        <row r="82">
          <cell r="A82" t="str">
            <v>Collarín para transformador</v>
          </cell>
          <cell r="B82" t="str">
            <v>Un</v>
          </cell>
          <cell r="C82">
            <v>19629.612799999999</v>
          </cell>
          <cell r="D82">
            <v>22770.350847999998</v>
          </cell>
          <cell r="E82">
            <v>1.8</v>
          </cell>
        </row>
        <row r="83">
          <cell r="A83" t="str">
            <v>Concreto 2500 PSI (1:2:3.5)</v>
          </cell>
          <cell r="B83" t="str">
            <v>m3</v>
          </cell>
          <cell r="C83">
            <v>475950.32</v>
          </cell>
          <cell r="D83">
            <v>552102.37119999994</v>
          </cell>
        </row>
        <row r="84">
          <cell r="A84" t="str">
            <v>Concreto 3000 PSI (1:2:3)</v>
          </cell>
          <cell r="B84" t="str">
            <v>m3</v>
          </cell>
          <cell r="C84">
            <v>540303.64</v>
          </cell>
          <cell r="D84">
            <v>626752.22239999997</v>
          </cell>
        </row>
        <row r="85">
          <cell r="A85" t="str">
            <v>Conector de compresión tipo derivación de aluminio (para cable #2,1/0, 2/0)</v>
          </cell>
          <cell r="B85" t="str">
            <v>Un</v>
          </cell>
          <cell r="C85">
            <v>4260</v>
          </cell>
          <cell r="D85">
            <v>4941.5999999999995</v>
          </cell>
          <cell r="E85">
            <v>0.3</v>
          </cell>
        </row>
        <row r="86">
          <cell r="A86" t="str">
            <v>Conector de compresión universal (DBH para cable 2 a 4/0)</v>
          </cell>
          <cell r="B86" t="str">
            <v>Un</v>
          </cell>
          <cell r="C86">
            <v>4348</v>
          </cell>
          <cell r="D86">
            <v>5043.6799999999994</v>
          </cell>
          <cell r="E86">
            <v>0.3</v>
          </cell>
        </row>
        <row r="87">
          <cell r="A87" t="str">
            <v>Conector de perforación aislado para cable principal y derivación 2 - 4/0 AWG</v>
          </cell>
          <cell r="B87" t="str">
            <v>Un</v>
          </cell>
          <cell r="C87">
            <v>14042.6816</v>
          </cell>
          <cell r="D87">
            <v>16289.510655999999</v>
          </cell>
          <cell r="E87">
            <v>0.2</v>
          </cell>
        </row>
        <row r="88">
          <cell r="A88" t="str">
            <v>Conector de tornillo con chaqueta aislante</v>
          </cell>
          <cell r="B88" t="str">
            <v>Un</v>
          </cell>
          <cell r="C88">
            <v>15312</v>
          </cell>
          <cell r="D88">
            <v>17761.919999999998</v>
          </cell>
          <cell r="E88">
            <v>0.1</v>
          </cell>
        </row>
        <row r="89">
          <cell r="A89" t="str">
            <v>Conector transversal universal</v>
          </cell>
          <cell r="B89" t="str">
            <v>Un</v>
          </cell>
          <cell r="C89">
            <v>3500</v>
          </cell>
          <cell r="D89">
            <v>4059.9999999999995</v>
          </cell>
          <cell r="E89">
            <v>0.02</v>
          </cell>
        </row>
        <row r="90">
          <cell r="A90" t="str">
            <v xml:space="preserve">Conector para equipotencializar cruceta metalica </v>
          </cell>
          <cell r="B90" t="str">
            <v>Un</v>
          </cell>
          <cell r="C90">
            <v>3500</v>
          </cell>
          <cell r="D90">
            <v>4059.9999999999995</v>
          </cell>
          <cell r="E90">
            <v>0.02</v>
          </cell>
        </row>
        <row r="91">
          <cell r="A91" t="str">
            <v>Conector transversal universal (Grapa para conectar en caliente)</v>
          </cell>
          <cell r="B91" t="str">
            <v>Un</v>
          </cell>
          <cell r="C91">
            <v>19784.356799999998</v>
          </cell>
          <cell r="D91">
            <v>22949.853887999994</v>
          </cell>
          <cell r="E91">
            <v>0.4</v>
          </cell>
        </row>
        <row r="92">
          <cell r="A92" t="str">
            <v xml:space="preserve">Cortacircuito primario 100 A  - 15 Kv - 20 Ka </v>
          </cell>
          <cell r="B92" t="str">
            <v>Un</v>
          </cell>
          <cell r="C92">
            <v>147728</v>
          </cell>
          <cell r="D92">
            <v>171364.47999999998</v>
          </cell>
          <cell r="E92">
            <v>5</v>
          </cell>
        </row>
        <row r="93">
          <cell r="A93" t="str">
            <v>Cortacircuito primario 100Amp-15KV (20KA) (con herrajes)</v>
          </cell>
          <cell r="B93" t="str">
            <v>Un</v>
          </cell>
          <cell r="C93">
            <v>188712.32639999999</v>
          </cell>
          <cell r="D93">
            <v>218906.29862399999</v>
          </cell>
          <cell r="E93">
            <v>10</v>
          </cell>
        </row>
        <row r="94">
          <cell r="A94" t="str">
            <v>Cruceta metálica de 600 mm</v>
          </cell>
          <cell r="B94" t="str">
            <v>Un</v>
          </cell>
          <cell r="C94">
            <v>49700</v>
          </cell>
          <cell r="D94">
            <v>57651.999999999993</v>
          </cell>
          <cell r="E94">
            <v>7.8</v>
          </cell>
        </row>
        <row r="95">
          <cell r="A95" t="str">
            <v>Cruceta metálica de 1500 mm (3"x3"x1/4")</v>
          </cell>
          <cell r="B95" t="str">
            <v>Un</v>
          </cell>
          <cell r="C95">
            <v>82702.896000000008</v>
          </cell>
          <cell r="D95">
            <v>95935.359360000002</v>
          </cell>
          <cell r="E95">
            <v>13</v>
          </cell>
        </row>
        <row r="96">
          <cell r="A96" t="str">
            <v>Cruceta metálica de 2400 mm (3"x3"x1/4")</v>
          </cell>
          <cell r="B96" t="str">
            <v>Un</v>
          </cell>
          <cell r="C96">
            <v>93150</v>
          </cell>
          <cell r="D96">
            <v>108053.99999999999</v>
          </cell>
          <cell r="E96">
            <v>17.8</v>
          </cell>
        </row>
        <row r="97">
          <cell r="A97" t="str">
            <v>Cruceta metálica de 4500 mm (3"x3"x1/4")</v>
          </cell>
          <cell r="B97" t="str">
            <v>Un</v>
          </cell>
          <cell r="C97">
            <v>154500</v>
          </cell>
          <cell r="D97">
            <v>179220</v>
          </cell>
          <cell r="E97">
            <v>33.6</v>
          </cell>
        </row>
        <row r="98">
          <cell r="A98" t="str">
            <v>Diagonal en V con doblez 920 mm (36")</v>
          </cell>
          <cell r="B98" t="str">
            <v>Un</v>
          </cell>
          <cell r="C98">
            <v>20624.011199999997</v>
          </cell>
          <cell r="D98">
            <v>23923.852991999996</v>
          </cell>
          <cell r="E98">
            <v>3.1</v>
          </cell>
        </row>
        <row r="99">
          <cell r="A99" t="str">
            <v>Eslabón en U de 12.7 mm (1/2")</v>
          </cell>
          <cell r="B99" t="str">
            <v>Un</v>
          </cell>
          <cell r="C99">
            <v>7556.8895999999995</v>
          </cell>
          <cell r="D99">
            <v>8765.9919359999985</v>
          </cell>
          <cell r="E99">
            <v>0.49</v>
          </cell>
        </row>
        <row r="100">
          <cell r="A100" t="str">
            <v>Eslabón en U de 15.9 mm (5/8")</v>
          </cell>
          <cell r="B100" t="str">
            <v>Un</v>
          </cell>
          <cell r="C100">
            <v>8750</v>
          </cell>
          <cell r="D100">
            <v>10150</v>
          </cell>
          <cell r="E100">
            <v>0.49</v>
          </cell>
        </row>
        <row r="101">
          <cell r="A101" t="str">
            <v>Espaciador para redes compactas</v>
          </cell>
          <cell r="B101" t="str">
            <v>Un</v>
          </cell>
          <cell r="C101">
            <v>47826</v>
          </cell>
          <cell r="D101">
            <v>55478.159999999996</v>
          </cell>
          <cell r="E101">
            <v>0.53500000000000003</v>
          </cell>
        </row>
        <row r="102">
          <cell r="A102" t="str">
            <v>Espiga de barra (extremo poste de 5/8")</v>
          </cell>
          <cell r="B102" t="str">
            <v>Un</v>
          </cell>
          <cell r="C102">
            <v>9583</v>
          </cell>
          <cell r="D102">
            <v>11116.279999999999</v>
          </cell>
          <cell r="E102">
            <v>1.8</v>
          </cell>
        </row>
        <row r="103">
          <cell r="A103" t="str">
            <v>Espiga para aislador 15KV en cruceta metálica</v>
          </cell>
          <cell r="B103" t="str">
            <v>Un</v>
          </cell>
          <cell r="C103">
            <v>12011</v>
          </cell>
          <cell r="D103">
            <v>13932.759999999998</v>
          </cell>
          <cell r="E103">
            <v>0.39</v>
          </cell>
        </row>
        <row r="104">
          <cell r="A104" t="str">
            <v>Espiga para aislador 15KV en poste</v>
          </cell>
          <cell r="B104" t="str">
            <v>Un</v>
          </cell>
          <cell r="C104">
            <v>8501.5007999999998</v>
          </cell>
          <cell r="D104">
            <v>9861.7409279999993</v>
          </cell>
          <cell r="E104">
            <v>2.9</v>
          </cell>
        </row>
        <row r="105">
          <cell r="A105" t="str">
            <v>Estribo de línea para media tensión</v>
          </cell>
          <cell r="B105" t="str">
            <v>Un</v>
          </cell>
          <cell r="C105">
            <v>26481.407999999996</v>
          </cell>
          <cell r="D105">
            <v>30718.433279999994</v>
          </cell>
          <cell r="E105">
            <v>0.15</v>
          </cell>
        </row>
        <row r="106">
          <cell r="A106" t="str">
            <v>Estribo de línea para media tensión (Incluye grapa de operar en caliente)</v>
          </cell>
          <cell r="B106" t="str">
            <v>Un</v>
          </cell>
          <cell r="C106">
            <v>26481.407999999996</v>
          </cell>
          <cell r="D106">
            <v>30718.433279999994</v>
          </cell>
          <cell r="E106">
            <v>0.15</v>
          </cell>
        </row>
        <row r="107">
          <cell r="A107" t="str">
            <v>Estribo terminal para media tensión</v>
          </cell>
          <cell r="B107" t="str">
            <v>Un</v>
          </cell>
          <cell r="C107">
            <v>7793.0424000000003</v>
          </cell>
          <cell r="D107">
            <v>9039.9291840000005</v>
          </cell>
          <cell r="E107">
            <v>0.15</v>
          </cell>
        </row>
        <row r="108">
          <cell r="A108" t="str">
            <v>Estructura baja tensión</v>
          </cell>
          <cell r="B108" t="str">
            <v>Un</v>
          </cell>
          <cell r="D108">
            <v>0</v>
          </cell>
          <cell r="E108">
            <v>15</v>
          </cell>
        </row>
        <row r="109">
          <cell r="A109" t="str">
            <v>Estructura media tensión</v>
          </cell>
          <cell r="B109" t="str">
            <v>Un</v>
          </cell>
          <cell r="D109">
            <v>0</v>
          </cell>
          <cell r="E109">
            <v>25</v>
          </cell>
        </row>
        <row r="110">
          <cell r="A110" t="str">
            <v>Fusible tipo T</v>
          </cell>
          <cell r="B110" t="str">
            <v>Un</v>
          </cell>
          <cell r="C110">
            <v>5382.4</v>
          </cell>
          <cell r="D110">
            <v>6243.5839999999989</v>
          </cell>
          <cell r="E110">
            <v>0.1</v>
          </cell>
        </row>
        <row r="111">
          <cell r="A111" t="str">
            <v>Grapa (de alambrar) metálica galvanizada</v>
          </cell>
          <cell r="B111" t="str">
            <v>Un</v>
          </cell>
          <cell r="C111">
            <v>16965</v>
          </cell>
          <cell r="D111">
            <v>19679.399999999998</v>
          </cell>
          <cell r="E111">
            <v>1</v>
          </cell>
        </row>
        <row r="112">
          <cell r="A112" t="str">
            <v>Grapa de operar en caliente</v>
          </cell>
          <cell r="B112" t="str">
            <v>Un</v>
          </cell>
          <cell r="C112">
            <v>13854.2976</v>
          </cell>
          <cell r="D112">
            <v>16070.985215999999</v>
          </cell>
          <cell r="E112">
            <v>0.5</v>
          </cell>
        </row>
        <row r="113">
          <cell r="A113" t="str">
            <v>Grapa de retención de aluminio tipo pistola cable 2 a1/0 AWG</v>
          </cell>
          <cell r="B113" t="str">
            <v>Un</v>
          </cell>
          <cell r="C113">
            <v>16423</v>
          </cell>
          <cell r="D113">
            <v>19050.68</v>
          </cell>
          <cell r="E113">
            <v>2.95</v>
          </cell>
        </row>
        <row r="114">
          <cell r="A114" t="str">
            <v>Grapa de retención para cable de guarda de 1/4"</v>
          </cell>
          <cell r="B114" t="str">
            <v>Un</v>
          </cell>
          <cell r="C114">
            <v>24200.938943999994</v>
          </cell>
          <cell r="D114">
            <v>28073.08917503999</v>
          </cell>
          <cell r="E114">
            <v>3.6</v>
          </cell>
        </row>
        <row r="115">
          <cell r="A115" t="str">
            <v>Grapa de retención tipo recta para cable 2 a 1/0 AWG</v>
          </cell>
          <cell r="B115" t="str">
            <v>Un</v>
          </cell>
          <cell r="C115">
            <v>16946</v>
          </cell>
          <cell r="D115">
            <v>19657.359999999997</v>
          </cell>
          <cell r="E115">
            <v>3.8</v>
          </cell>
        </row>
        <row r="116">
          <cell r="A116" t="str">
            <v>Grapa de retención tipo recta para cable 1/0 a 4/0 AWG</v>
          </cell>
          <cell r="B116" t="str">
            <v>Un</v>
          </cell>
          <cell r="C116">
            <v>20184</v>
          </cell>
          <cell r="D116">
            <v>23413.439999999999</v>
          </cell>
          <cell r="E116">
            <v>1.98</v>
          </cell>
        </row>
        <row r="117">
          <cell r="A117" t="str">
            <v>Grapa de suspensión de aluminio para cable #1/0 a 2/0 AWG</v>
          </cell>
          <cell r="B117" t="str">
            <v>Un</v>
          </cell>
          <cell r="C117">
            <v>20184</v>
          </cell>
          <cell r="D117">
            <v>23413.439999999999</v>
          </cell>
          <cell r="E117">
            <v>1.98</v>
          </cell>
        </row>
        <row r="118">
          <cell r="A118" t="str">
            <v>Grapa de suspensión de aluminio para cable #2 a 1/0 AWG</v>
          </cell>
          <cell r="B118" t="str">
            <v>Un</v>
          </cell>
          <cell r="C118">
            <v>22875.200000000001</v>
          </cell>
          <cell r="D118">
            <v>26535.232</v>
          </cell>
          <cell r="E118">
            <v>0.6</v>
          </cell>
        </row>
        <row r="119">
          <cell r="A119" t="str">
            <v>Grapa de suspensión para cable de guarda de 1/4"</v>
          </cell>
          <cell r="B119" t="str">
            <v>Un</v>
          </cell>
          <cell r="C119">
            <v>33640</v>
          </cell>
          <cell r="D119">
            <v>39022.399999999994</v>
          </cell>
          <cell r="E119">
            <v>3.42</v>
          </cell>
        </row>
        <row r="120">
          <cell r="A120" t="str">
            <v>Grapa de suspensión para cable SGX 3/8"</v>
          </cell>
          <cell r="B120" t="str">
            <v>Un</v>
          </cell>
          <cell r="C120">
            <v>22450</v>
          </cell>
          <cell r="D120">
            <v>26042</v>
          </cell>
          <cell r="E120">
            <v>3.6</v>
          </cell>
        </row>
        <row r="121">
          <cell r="A121" t="str">
            <v>Grapa prensahilos de 3/8"x6" tres pernos</v>
          </cell>
          <cell r="B121" t="str">
            <v>Un</v>
          </cell>
          <cell r="C121">
            <v>8139.3998399999982</v>
          </cell>
          <cell r="D121">
            <v>9441.703814399998</v>
          </cell>
          <cell r="E121">
            <v>1.75</v>
          </cell>
        </row>
        <row r="122">
          <cell r="A122" t="str">
            <v>Grapa tipo mordaza prensora</v>
          </cell>
          <cell r="B122" t="str">
            <v>Un</v>
          </cell>
          <cell r="C122">
            <v>8139.3998399999982</v>
          </cell>
          <cell r="D122">
            <v>9441.703814399998</v>
          </cell>
          <cell r="E122">
            <v>0.7</v>
          </cell>
        </row>
        <row r="123">
          <cell r="D123">
            <v>0</v>
          </cell>
        </row>
        <row r="124">
          <cell r="A124" t="str">
            <v>Guardacabo para cable de 1/2"</v>
          </cell>
          <cell r="B124" t="str">
            <v>Un</v>
          </cell>
          <cell r="C124">
            <v>1345.6</v>
          </cell>
          <cell r="D124">
            <v>1560.8959999999997</v>
          </cell>
          <cell r="E124">
            <v>0.09</v>
          </cell>
        </row>
        <row r="125">
          <cell r="A125" t="str">
            <v>Hebillas acero inoxidable de 5/8 "</v>
          </cell>
          <cell r="B125" t="str">
            <v>Un</v>
          </cell>
          <cell r="C125">
            <v>941.92</v>
          </cell>
          <cell r="D125">
            <v>1092.6271999999999</v>
          </cell>
          <cell r="E125">
            <v>0.15</v>
          </cell>
        </row>
        <row r="126">
          <cell r="A126" t="str">
            <v>Interruptor 1x40 A, para montaje en perfil
Omega</v>
          </cell>
          <cell r="B126" t="str">
            <v>Un</v>
          </cell>
          <cell r="C126">
            <v>13000</v>
          </cell>
          <cell r="D126">
            <v>15079.999999999998</v>
          </cell>
        </row>
        <row r="127">
          <cell r="A127" t="str">
            <v>Jabalina</v>
          </cell>
          <cell r="B127" t="str">
            <v>Un</v>
          </cell>
          <cell r="C127">
            <v>80685.539999999994</v>
          </cell>
          <cell r="D127">
            <v>93595.226399999985</v>
          </cell>
          <cell r="E127">
            <v>14.3</v>
          </cell>
        </row>
        <row r="128">
          <cell r="A128" t="str">
            <v>Luminaria horizontal cerrada de 150/250/400 W Na ó MH, 240 VAC con base incorporada para fotocontrol</v>
          </cell>
          <cell r="B128" t="str">
            <v>Un</v>
          </cell>
          <cell r="C128">
            <v>149544</v>
          </cell>
          <cell r="D128">
            <v>173471.03999999998</v>
          </cell>
          <cell r="E128">
            <v>7.5</v>
          </cell>
        </row>
        <row r="129">
          <cell r="A129" t="str">
            <v>Material de sub-base de vías de la región</v>
          </cell>
          <cell r="B129" t="str">
            <v>m3</v>
          </cell>
          <cell r="C129">
            <v>27144</v>
          </cell>
          <cell r="D129">
            <v>31487.039999999997</v>
          </cell>
          <cell r="E129">
            <v>50</v>
          </cell>
        </row>
        <row r="130">
          <cell r="A130" t="str">
            <v>Material de acometida</v>
          </cell>
          <cell r="B130" t="str">
            <v>Un</v>
          </cell>
          <cell r="D130">
            <v>0</v>
          </cell>
          <cell r="E130">
            <v>15</v>
          </cell>
        </row>
        <row r="131">
          <cell r="A131" t="str">
            <v>Medidor de Inducción Monofásico Bifilar, 15(60) A, 120 V, 60 Hz, Clase 2</v>
          </cell>
          <cell r="B131" t="str">
            <v>Un</v>
          </cell>
          <cell r="C131">
            <v>50000</v>
          </cell>
          <cell r="D131">
            <v>57999.999999999993</v>
          </cell>
          <cell r="E131">
            <v>3.5</v>
          </cell>
        </row>
        <row r="132">
          <cell r="A132" t="str">
            <v>Medidor 1 Fase - 2 Hilos</v>
          </cell>
          <cell r="B132" t="str">
            <v>Un</v>
          </cell>
          <cell r="C132">
            <v>62218</v>
          </cell>
          <cell r="D132">
            <v>72172.87999999999</v>
          </cell>
          <cell r="E132">
            <v>3.5</v>
          </cell>
        </row>
        <row r="133">
          <cell r="A133" t="str">
            <v>Medidor 1Fase - 3 Hilos</v>
          </cell>
          <cell r="B133" t="str">
            <v>Un</v>
          </cell>
          <cell r="C133">
            <v>71009</v>
          </cell>
          <cell r="D133">
            <v>82370.439999999988</v>
          </cell>
          <cell r="E133">
            <v>3.5</v>
          </cell>
        </row>
        <row r="134">
          <cell r="A134" t="str">
            <v>Medidor 2 Fases- 3 Hilos</v>
          </cell>
          <cell r="B134" t="str">
            <v>Un</v>
          </cell>
          <cell r="C134">
            <v>147311</v>
          </cell>
          <cell r="D134">
            <v>170880.75999999998</v>
          </cell>
          <cell r="E134">
            <v>3.5</v>
          </cell>
        </row>
        <row r="135">
          <cell r="A135" t="str">
            <v>Medidor 3 Fases - 4 Hilos</v>
          </cell>
          <cell r="B135" t="str">
            <v>Un</v>
          </cell>
          <cell r="C135">
            <v>193841</v>
          </cell>
          <cell r="D135">
            <v>224855.56</v>
          </cell>
          <cell r="E135">
            <v>3.5</v>
          </cell>
        </row>
        <row r="136">
          <cell r="A136" t="str">
            <v>Ojal de suspensión</v>
          </cell>
          <cell r="B136" t="str">
            <v>Un</v>
          </cell>
          <cell r="C136">
            <v>8816.3711999999996</v>
          </cell>
          <cell r="D136">
            <v>10226.990591999998</v>
          </cell>
          <cell r="E136">
            <v>0.39</v>
          </cell>
        </row>
        <row r="137">
          <cell r="A137" t="str">
            <v>Pararrayos de 10 KV-10 KA</v>
          </cell>
          <cell r="B137" t="str">
            <v>Un</v>
          </cell>
          <cell r="C137">
            <v>104956.8</v>
          </cell>
          <cell r="D137">
            <v>121749.88799999999</v>
          </cell>
          <cell r="E137">
            <v>5.5</v>
          </cell>
        </row>
        <row r="138">
          <cell r="A138" t="str">
            <v>Percha de 1 puesto (3 1/4")</v>
          </cell>
          <cell r="B138" t="str">
            <v>Un</v>
          </cell>
          <cell r="C138">
            <v>5030</v>
          </cell>
          <cell r="D138">
            <v>5834.7999999999993</v>
          </cell>
          <cell r="E138">
            <v>1.8</v>
          </cell>
        </row>
        <row r="139">
          <cell r="A139" t="str">
            <v>Percha porta aislador de 1 puesto</v>
          </cell>
          <cell r="B139" t="str">
            <v>Un</v>
          </cell>
          <cell r="C139">
            <v>8268.48</v>
          </cell>
          <cell r="D139">
            <v>9591.4367999999995</v>
          </cell>
          <cell r="E139">
            <v>1.8</v>
          </cell>
        </row>
        <row r="140">
          <cell r="A140" t="str">
            <v>Perno de carruaje 5/8 x 2 con guaza</v>
          </cell>
          <cell r="B140" t="str">
            <v>Un</v>
          </cell>
          <cell r="C140">
            <v>2021.0911999999998</v>
          </cell>
          <cell r="D140">
            <v>2344.4657919999995</v>
          </cell>
          <cell r="E140">
            <v>0.02</v>
          </cell>
        </row>
        <row r="141">
          <cell r="A141" t="str">
            <v>Piamigo angular de 1200 mm (cruceta de 1000 mm)</v>
          </cell>
          <cell r="B141" t="str">
            <v>Un</v>
          </cell>
          <cell r="C141">
            <v>20000</v>
          </cell>
          <cell r="D141">
            <v>23200</v>
          </cell>
          <cell r="E141">
            <v>3.8</v>
          </cell>
        </row>
        <row r="142">
          <cell r="A142" t="str">
            <v>Piamigo angular de 1361 mm (cruceta de 1500 mm)</v>
          </cell>
          <cell r="B142" t="str">
            <v>Un</v>
          </cell>
          <cell r="C142">
            <v>27330.750719999996</v>
          </cell>
          <cell r="D142">
            <v>31703.670835199995</v>
          </cell>
          <cell r="E142">
            <v>4.05</v>
          </cell>
        </row>
        <row r="143">
          <cell r="A143" t="str">
            <v>Piamigo angular de 2134 mm (cruceta de 2400 mm)</v>
          </cell>
          <cell r="B143" t="str">
            <v>Un</v>
          </cell>
          <cell r="C143">
            <v>44696.7952</v>
          </cell>
          <cell r="D143">
            <v>51848.282432</v>
          </cell>
          <cell r="E143">
            <v>5.8</v>
          </cell>
        </row>
        <row r="144">
          <cell r="A144" t="str">
            <v>Piamigo angular de 923 mm</v>
          </cell>
          <cell r="B144" t="str">
            <v>Un</v>
          </cell>
          <cell r="C144">
            <v>23583.792959999995</v>
          </cell>
          <cell r="D144">
            <v>27357.199833599992</v>
          </cell>
          <cell r="E144">
            <v>3.1</v>
          </cell>
        </row>
        <row r="145">
          <cell r="A145" t="str">
            <v>Platina de aluminio en Z + 2 pernos</v>
          </cell>
          <cell r="B145" t="str">
            <v>Un</v>
          </cell>
          <cell r="C145">
            <v>2000</v>
          </cell>
          <cell r="D145">
            <v>2320</v>
          </cell>
          <cell r="E145">
            <v>0.05</v>
          </cell>
        </row>
        <row r="146">
          <cell r="A146" t="str">
            <v>Poste de concreto 12 m 1050 kgf</v>
          </cell>
          <cell r="B146" t="str">
            <v>Un</v>
          </cell>
          <cell r="C146">
            <v>1066064</v>
          </cell>
          <cell r="D146">
            <v>1236634.24</v>
          </cell>
          <cell r="E146">
            <v>1385</v>
          </cell>
        </row>
        <row r="147">
          <cell r="A147" t="str">
            <v>Poste de concreto 12 m 510 kgf</v>
          </cell>
          <cell r="B147" t="str">
            <v>Un</v>
          </cell>
          <cell r="C147">
            <v>570545.95197599998</v>
          </cell>
          <cell r="D147">
            <v>661833.30429215997</v>
          </cell>
          <cell r="E147">
            <v>900</v>
          </cell>
        </row>
        <row r="148">
          <cell r="A148" t="str">
            <v>Poste de concreto 12 m 750 kgf</v>
          </cell>
          <cell r="B148" t="str">
            <v>Un</v>
          </cell>
          <cell r="C148">
            <v>842411</v>
          </cell>
          <cell r="D148">
            <v>977196.75999999989</v>
          </cell>
          <cell r="E148">
            <v>1200</v>
          </cell>
        </row>
        <row r="149">
          <cell r="A149" t="str">
            <v>Poste de concreto 14 m 1050 kgf</v>
          </cell>
          <cell r="B149" t="str">
            <v>Un</v>
          </cell>
          <cell r="C149">
            <v>1222830.4139999999</v>
          </cell>
          <cell r="D149">
            <v>1418483.2802399998</v>
          </cell>
          <cell r="E149">
            <v>1550</v>
          </cell>
        </row>
        <row r="150">
          <cell r="A150" t="str">
            <v>Poste de concreto 14 m 750 kgf</v>
          </cell>
          <cell r="B150" t="str">
            <v>Un</v>
          </cell>
          <cell r="C150">
            <v>1015398.6803999998</v>
          </cell>
          <cell r="D150">
            <v>1177862.4692639997</v>
          </cell>
          <cell r="E150">
            <v>1450</v>
          </cell>
        </row>
        <row r="151">
          <cell r="A151" t="str">
            <v>Poste de concreto 8 m 510 kgf</v>
          </cell>
          <cell r="B151" t="str">
            <v>Un</v>
          </cell>
          <cell r="C151">
            <v>392074</v>
          </cell>
          <cell r="D151">
            <v>454805.83999999997</v>
          </cell>
          <cell r="E151">
            <v>500</v>
          </cell>
        </row>
        <row r="152">
          <cell r="A152" t="str">
            <v>Poste de concreto 8 m 750 kgf</v>
          </cell>
          <cell r="B152" t="str">
            <v>Un</v>
          </cell>
          <cell r="C152">
            <v>686383</v>
          </cell>
          <cell r="D152">
            <v>796204.27999999991</v>
          </cell>
          <cell r="E152">
            <v>800</v>
          </cell>
        </row>
        <row r="153">
          <cell r="A153" t="str">
            <v>Poste de concreto 9 m 510 kgf</v>
          </cell>
          <cell r="C153">
            <v>378184</v>
          </cell>
          <cell r="D153">
            <v>438693.43999999994</v>
          </cell>
        </row>
        <row r="154">
          <cell r="A154" t="str">
            <v>Poste de concreto 9 m 750 kgf</v>
          </cell>
          <cell r="D154">
            <v>0</v>
          </cell>
        </row>
        <row r="155">
          <cell r="A155" t="str">
            <v>Poste de fibra de vidrio 8 m 510 kgf</v>
          </cell>
          <cell r="B155" t="str">
            <v>Un</v>
          </cell>
          <cell r="C155">
            <v>641600</v>
          </cell>
          <cell r="D155">
            <v>744256</v>
          </cell>
          <cell r="E155">
            <v>150</v>
          </cell>
        </row>
        <row r="156">
          <cell r="A156" t="str">
            <v>Poste de fibra de vidio 8 mts 750 Kgf</v>
          </cell>
          <cell r="B156" t="str">
            <v>Un</v>
          </cell>
          <cell r="C156">
            <v>766700</v>
          </cell>
          <cell r="D156">
            <v>889371.99999999988</v>
          </cell>
          <cell r="E156">
            <v>62</v>
          </cell>
        </row>
        <row r="157">
          <cell r="A157" t="str">
            <v>Poste de fibra de vidio 10 mts 750 Kgf</v>
          </cell>
          <cell r="B157" t="str">
            <v>Un</v>
          </cell>
          <cell r="C157">
            <v>1021700</v>
          </cell>
          <cell r="D157">
            <v>1185172</v>
          </cell>
          <cell r="E157">
            <v>75</v>
          </cell>
        </row>
        <row r="158">
          <cell r="A158" t="str">
            <v>Poste de fibra de vidrio 12 m 510 kgf</v>
          </cell>
          <cell r="B158" t="str">
            <v>Un</v>
          </cell>
          <cell r="C158">
            <v>1600000</v>
          </cell>
          <cell r="D158">
            <v>1855999.9999999998</v>
          </cell>
          <cell r="E158">
            <v>230</v>
          </cell>
        </row>
        <row r="159">
          <cell r="A159" t="str">
            <v>Poste de fibra de vidrio 12 m 750 kgf</v>
          </cell>
          <cell r="B159" t="str">
            <v>Un</v>
          </cell>
          <cell r="C159">
            <v>1138700</v>
          </cell>
          <cell r="D159">
            <v>1320892</v>
          </cell>
          <cell r="E159">
            <v>95</v>
          </cell>
        </row>
        <row r="160">
          <cell r="A160" t="str">
            <v>Poste de fibra de vidrio 12 m 1050 kgf</v>
          </cell>
          <cell r="B160" t="str">
            <v>Un</v>
          </cell>
          <cell r="C160">
            <v>1204700</v>
          </cell>
          <cell r="D160">
            <v>1397452</v>
          </cell>
          <cell r="E160">
            <v>98</v>
          </cell>
        </row>
        <row r="161">
          <cell r="A161" t="str">
            <v>Poste de fibra de vidrio 14 m 750 kgf</v>
          </cell>
          <cell r="B161" t="str">
            <v>Un</v>
          </cell>
          <cell r="C161">
            <v>1525800</v>
          </cell>
          <cell r="D161">
            <v>1769927.9999999998</v>
          </cell>
          <cell r="E161">
            <v>100</v>
          </cell>
        </row>
        <row r="162">
          <cell r="A162" t="str">
            <v>Poste de fibra de vidrio 16 m 750 kgf</v>
          </cell>
          <cell r="B162" t="str">
            <v>Un</v>
          </cell>
          <cell r="C162">
            <v>1650000</v>
          </cell>
          <cell r="D162">
            <v>1913999.9999999998</v>
          </cell>
          <cell r="E162">
            <v>120</v>
          </cell>
        </row>
        <row r="163">
          <cell r="A163" t="str">
            <v>Poste de madera 8 m</v>
          </cell>
          <cell r="B163" t="str">
            <v>Un</v>
          </cell>
          <cell r="C163">
            <v>1150000</v>
          </cell>
          <cell r="D163">
            <v>1334000</v>
          </cell>
          <cell r="E163">
            <v>90</v>
          </cell>
        </row>
        <row r="164">
          <cell r="A164" t="str">
            <v>Poste de madera 12 m</v>
          </cell>
          <cell r="B164" t="str">
            <v>Un</v>
          </cell>
          <cell r="C164">
            <v>1250000</v>
          </cell>
          <cell r="D164">
            <v>1450000</v>
          </cell>
          <cell r="E164">
            <v>95</v>
          </cell>
        </row>
        <row r="165">
          <cell r="A165" t="str">
            <v xml:space="preserve">Poste tipo tubo de  12 m </v>
          </cell>
          <cell r="B165" t="str">
            <v>Un</v>
          </cell>
          <cell r="C165">
            <v>294815</v>
          </cell>
          <cell r="D165">
            <v>341985.39999999997</v>
          </cell>
          <cell r="E165">
            <v>80</v>
          </cell>
        </row>
        <row r="166">
          <cell r="A166" t="str">
            <v>Punta de cable de aluminio de 0.40 m (para cable No.2 a 4/0)</v>
          </cell>
          <cell r="B166" t="str">
            <v>Un</v>
          </cell>
          <cell r="C166">
            <v>2030</v>
          </cell>
          <cell r="D166">
            <v>2354.7999999999997</v>
          </cell>
          <cell r="E166">
            <v>0.15</v>
          </cell>
        </row>
        <row r="167">
          <cell r="A167" t="str">
            <v>Riosta para cable de guarda</v>
          </cell>
          <cell r="B167" t="str">
            <v>Un</v>
          </cell>
          <cell r="C167">
            <v>225525.92399999997</v>
          </cell>
          <cell r="D167">
            <v>261610.07183999996</v>
          </cell>
          <cell r="E167">
            <v>35</v>
          </cell>
        </row>
        <row r="168">
          <cell r="A168" t="str">
            <v>Riosta para cable de guarda estructura retención</v>
          </cell>
          <cell r="B168" t="str">
            <v>Un</v>
          </cell>
          <cell r="C168">
            <v>0</v>
          </cell>
          <cell r="D168">
            <v>0</v>
          </cell>
        </row>
        <row r="169">
          <cell r="A169" t="str">
            <v>Soporte en L cortacircuitos y pararrayos</v>
          </cell>
          <cell r="B169" t="str">
            <v>Un</v>
          </cell>
          <cell r="C169">
            <v>3950</v>
          </cell>
          <cell r="D169">
            <v>4582</v>
          </cell>
          <cell r="E169">
            <v>0.18</v>
          </cell>
        </row>
        <row r="170">
          <cell r="A170" t="str">
            <v>Tensor de Acometidas</v>
          </cell>
          <cell r="B170" t="str">
            <v>Un</v>
          </cell>
          <cell r="C170">
            <v>4402.2</v>
          </cell>
          <cell r="D170">
            <v>5106.5519999999997</v>
          </cell>
          <cell r="E170">
            <v>0.2</v>
          </cell>
        </row>
        <row r="171">
          <cell r="A171" t="str">
            <v>Tiranta en V con doblez 1220 mm (48") (cruceta 2400mm)</v>
          </cell>
          <cell r="B171" t="str">
            <v>Un</v>
          </cell>
          <cell r="C171">
            <v>29576.287999999997</v>
          </cell>
          <cell r="D171">
            <v>34308.494079999997</v>
          </cell>
          <cell r="E171">
            <v>4.0999999999999996</v>
          </cell>
        </row>
        <row r="172">
          <cell r="A172" t="str">
            <v>Tiranta metálica (cruceta de 1500mm)</v>
          </cell>
          <cell r="B172" t="str">
            <v>Un</v>
          </cell>
          <cell r="C172">
            <v>22680.087999999996</v>
          </cell>
          <cell r="D172">
            <v>26308.902079999993</v>
          </cell>
          <cell r="E172">
            <v>1.8</v>
          </cell>
        </row>
        <row r="173">
          <cell r="A173" t="str">
            <v>Tornillo carruaje para cajas primarias (1/2" x 4 1/2"  )</v>
          </cell>
          <cell r="B173" t="str">
            <v>Un</v>
          </cell>
          <cell r="C173">
            <v>3050</v>
          </cell>
          <cell r="D173">
            <v>3537.9999999999995</v>
          </cell>
          <cell r="E173">
            <v>0.13</v>
          </cell>
        </row>
        <row r="174">
          <cell r="A174" t="str">
            <v>Tornillo de 1/2"x1 1/2"</v>
          </cell>
          <cell r="B174" t="str">
            <v>Un</v>
          </cell>
          <cell r="C174">
            <v>834.4065599999999</v>
          </cell>
          <cell r="D174">
            <v>967.91160959999979</v>
          </cell>
          <cell r="E174">
            <v>0.12</v>
          </cell>
        </row>
        <row r="175">
          <cell r="A175" t="str">
            <v>Tornillo de 15.9 x 38 mm (5/8"x1 1/2")</v>
          </cell>
          <cell r="B175" t="str">
            <v>Un</v>
          </cell>
          <cell r="C175">
            <v>1250</v>
          </cell>
          <cell r="D175">
            <v>1450</v>
          </cell>
          <cell r="E175">
            <v>0.14299999999999999</v>
          </cell>
        </row>
        <row r="176">
          <cell r="A176" t="str">
            <v>Tornillo de 15.9 x 51 mm (5/8"x2")</v>
          </cell>
          <cell r="B176" t="str">
            <v>Un</v>
          </cell>
          <cell r="C176">
            <v>3960</v>
          </cell>
          <cell r="D176">
            <v>4593.5999999999995</v>
          </cell>
          <cell r="E176">
            <v>0.17799999999999999</v>
          </cell>
        </row>
        <row r="177">
          <cell r="A177" t="str">
            <v>Tornillo espaciador de 15.9 x 305 mm (5/8"x12")</v>
          </cell>
          <cell r="B177" t="str">
            <v>Un</v>
          </cell>
          <cell r="C177">
            <v>5179.2143999999998</v>
          </cell>
          <cell r="D177">
            <v>6007.8887039999991</v>
          </cell>
          <cell r="E177">
            <v>0.48499999999999999</v>
          </cell>
        </row>
        <row r="178">
          <cell r="A178" t="str">
            <v>Tornillo espaciador de 15.9x200 mm (5/8"x8")</v>
          </cell>
          <cell r="B178" t="str">
            <v>Un</v>
          </cell>
          <cell r="C178">
            <v>2739.3724799999995</v>
          </cell>
          <cell r="D178">
            <v>3177.6720767999991</v>
          </cell>
          <cell r="E178">
            <v>0.35</v>
          </cell>
        </row>
        <row r="179">
          <cell r="A179" t="str">
            <v>Tornillo espaciador de 15.9x200 mm (espárrago 5/8"x8")</v>
          </cell>
          <cell r="B179" t="str">
            <v>Un</v>
          </cell>
          <cell r="C179">
            <v>5156.3391999999994</v>
          </cell>
          <cell r="D179">
            <v>5981.3534719999989</v>
          </cell>
          <cell r="E179">
            <v>0.495</v>
          </cell>
        </row>
        <row r="180">
          <cell r="A180" t="str">
            <v>Tornillo espaciador de 15.9x250 mm (5/8"x10")</v>
          </cell>
          <cell r="B180" t="str">
            <v>Un</v>
          </cell>
          <cell r="C180">
            <v>3400</v>
          </cell>
          <cell r="D180">
            <v>3943.9999999999995</v>
          </cell>
          <cell r="E180">
            <v>0.42499999999999999</v>
          </cell>
        </row>
        <row r="181">
          <cell r="A181" t="str">
            <v>Tornillo espaciador de 15.9x250 mm (espárrago 5/8"x10")</v>
          </cell>
          <cell r="B181" t="str">
            <v>Un</v>
          </cell>
          <cell r="C181">
            <v>3400</v>
          </cell>
          <cell r="D181">
            <v>3943.9999999999995</v>
          </cell>
          <cell r="E181">
            <v>0.56000000000000005</v>
          </cell>
        </row>
        <row r="182">
          <cell r="A182" t="str">
            <v>Tornillo espaciador de 15.9x38 mm (5/8"x1 1/2")</v>
          </cell>
          <cell r="B182" t="str">
            <v>Un</v>
          </cell>
          <cell r="C182">
            <v>1216.8399999999999</v>
          </cell>
          <cell r="D182">
            <v>1411.5343999999998</v>
          </cell>
          <cell r="E182">
            <v>0.14299999999999999</v>
          </cell>
        </row>
        <row r="183">
          <cell r="A183" t="str">
            <v>Tornillo para aislador carrete de 315 mm</v>
          </cell>
          <cell r="B183" t="str">
            <v>Un</v>
          </cell>
          <cell r="C183">
            <v>5069.4134399999984</v>
          </cell>
          <cell r="D183">
            <v>5880.5195903999975</v>
          </cell>
          <cell r="E183">
            <v>0.52</v>
          </cell>
        </row>
        <row r="184">
          <cell r="A184" t="str">
            <v>Tornillo para aislador tipo carrete de 81 mm</v>
          </cell>
          <cell r="B184" t="str">
            <v>Un</v>
          </cell>
          <cell r="C184">
            <v>6896.2</v>
          </cell>
          <cell r="D184">
            <v>7999.5919999999996</v>
          </cell>
          <cell r="E184">
            <v>0.52</v>
          </cell>
        </row>
        <row r="185">
          <cell r="A185" t="str">
            <v>Torrecilla metálica 12 m tipo tripoide 350 Kgf en punta</v>
          </cell>
          <cell r="B185" t="str">
            <v>Un</v>
          </cell>
          <cell r="C185">
            <v>1678676.4352799996</v>
          </cell>
          <cell r="D185">
            <v>1947264.6649247995</v>
          </cell>
          <cell r="E185">
            <v>300</v>
          </cell>
        </row>
        <row r="186">
          <cell r="A186" t="str">
            <v>Torrecilla metálica 12 m tipo tripoide 500 Kgf en punta</v>
          </cell>
          <cell r="B186" t="str">
            <v>Un</v>
          </cell>
          <cell r="C186">
            <v>1678676.4352799996</v>
          </cell>
          <cell r="D186">
            <v>1947264.6649247995</v>
          </cell>
          <cell r="E186">
            <v>375</v>
          </cell>
        </row>
        <row r="187">
          <cell r="A187" t="str">
            <v>Torrecilla metálica 14 m tipo tripoide 500 Kg en punta</v>
          </cell>
          <cell r="B187" t="str">
            <v>Un</v>
          </cell>
          <cell r="C187">
            <v>1775003.1623999998</v>
          </cell>
          <cell r="D187">
            <v>2059003.6683839997</v>
          </cell>
          <cell r="E187">
            <v>480</v>
          </cell>
        </row>
        <row r="188">
          <cell r="A188" t="str">
            <v>Torrecilla metálica 16 m tipo cuadrada 750 Kg en punta</v>
          </cell>
          <cell r="B188" t="str">
            <v>Un</v>
          </cell>
          <cell r="C188">
            <v>2314297.44</v>
          </cell>
          <cell r="D188">
            <v>2684585.0303999996</v>
          </cell>
          <cell r="E188">
            <v>550</v>
          </cell>
        </row>
        <row r="189">
          <cell r="A189" t="str">
            <v>Torrecilla metálica 8 m</v>
          </cell>
          <cell r="B189" t="str">
            <v>Un</v>
          </cell>
          <cell r="C189">
            <v>1373681.3263999999</v>
          </cell>
          <cell r="D189">
            <v>1593470.3386239999</v>
          </cell>
          <cell r="E189">
            <v>200</v>
          </cell>
        </row>
        <row r="190">
          <cell r="A190" t="str">
            <v>Transformador monofásico 3 kVA, 13.2/0,22 kV</v>
          </cell>
          <cell r="B190" t="str">
            <v>Un</v>
          </cell>
          <cell r="C190">
            <v>1220000</v>
          </cell>
          <cell r="D190">
            <v>1415200</v>
          </cell>
          <cell r="E190">
            <v>110</v>
          </cell>
        </row>
        <row r="191">
          <cell r="A191" t="str">
            <v>Transformador monofásico 5 kVA, 13.2/0,22 kV</v>
          </cell>
          <cell r="B191" t="str">
            <v>Un</v>
          </cell>
          <cell r="C191">
            <v>1320000</v>
          </cell>
          <cell r="D191">
            <v>1531200</v>
          </cell>
          <cell r="E191">
            <v>130</v>
          </cell>
        </row>
        <row r="192">
          <cell r="A192" t="str">
            <v>Transformador monofásico 10 kVA, 13.2/0,22 kV</v>
          </cell>
          <cell r="B192" t="str">
            <v>Un</v>
          </cell>
          <cell r="C192">
            <v>1514700</v>
          </cell>
          <cell r="D192">
            <v>1757051.9999999998</v>
          </cell>
          <cell r="E192">
            <v>145</v>
          </cell>
        </row>
        <row r="193">
          <cell r="A193" t="str">
            <v>Transformador monofásico 15 kVA, 13.2/0.22 kV</v>
          </cell>
          <cell r="B193" t="str">
            <v>Un</v>
          </cell>
          <cell r="C193">
            <v>3357985.1679999996</v>
          </cell>
          <cell r="D193">
            <v>3895262.7948799995</v>
          </cell>
          <cell r="E193">
            <v>145</v>
          </cell>
        </row>
        <row r="194">
          <cell r="A194" t="str">
            <v>Transformador monofásico 25 kVA, 13.2/0.22 kV</v>
          </cell>
          <cell r="B194" t="str">
            <v>Un</v>
          </cell>
          <cell r="C194">
            <v>4235800.784</v>
          </cell>
          <cell r="D194">
            <v>4913528.9094399996</v>
          </cell>
          <cell r="E194">
            <v>173</v>
          </cell>
        </row>
        <row r="195">
          <cell r="A195" t="str">
            <v>Transformador monofásico 37,5 kVA, 13.2/0.22 kV</v>
          </cell>
          <cell r="B195" t="str">
            <v>Un</v>
          </cell>
          <cell r="C195">
            <v>3345000</v>
          </cell>
          <cell r="D195">
            <v>3880199.9999999995</v>
          </cell>
          <cell r="E195">
            <v>235</v>
          </cell>
        </row>
        <row r="196">
          <cell r="A196" t="str">
            <v>Transformador monofásico 50 kVA, 13.2/0.22 kV</v>
          </cell>
          <cell r="B196" t="str">
            <v>Un</v>
          </cell>
          <cell r="C196">
            <v>3982000</v>
          </cell>
          <cell r="D196">
            <v>4619120</v>
          </cell>
          <cell r="E196">
            <v>289</v>
          </cell>
        </row>
        <row r="197">
          <cell r="A197" t="str">
            <v>Transformador monofásico 75 kVA, 13.2/0.22 kV</v>
          </cell>
          <cell r="B197" t="str">
            <v>Un</v>
          </cell>
          <cell r="C197">
            <v>5251000</v>
          </cell>
          <cell r="D197">
            <v>6091160</v>
          </cell>
          <cell r="E197">
            <v>396</v>
          </cell>
        </row>
        <row r="198">
          <cell r="A198" t="str">
            <v>Transformador trifásico 13200/240/120 V de 100 kVA</v>
          </cell>
          <cell r="B198" t="str">
            <v>Un</v>
          </cell>
          <cell r="C198">
            <v>0</v>
          </cell>
          <cell r="D198">
            <v>0</v>
          </cell>
        </row>
        <row r="199">
          <cell r="A199" t="str">
            <v>Transformador trifásico 13200/240/120 V de 112.5 kVA</v>
          </cell>
          <cell r="B199" t="str">
            <v>Un</v>
          </cell>
          <cell r="C199">
            <v>13498776.624</v>
          </cell>
          <cell r="D199">
            <v>15658580.883839998</v>
          </cell>
          <cell r="E199">
            <v>1050</v>
          </cell>
        </row>
        <row r="200">
          <cell r="A200" t="str">
            <v>Transformador trifásico 13200/240/120 V de 15 kVA</v>
          </cell>
          <cell r="B200" t="str">
            <v>Un</v>
          </cell>
          <cell r="C200">
            <v>5958316.7999999998</v>
          </cell>
          <cell r="D200">
            <v>6911647.487999999</v>
          </cell>
          <cell r="E200">
            <v>217</v>
          </cell>
        </row>
        <row r="201">
          <cell r="A201" t="str">
            <v>Transformador trifásico 13200/240/120 V de 150 kVA</v>
          </cell>
          <cell r="B201" t="str">
            <v>Un</v>
          </cell>
          <cell r="C201">
            <v>7886956</v>
          </cell>
          <cell r="D201">
            <v>9148868.959999999</v>
          </cell>
          <cell r="E201">
            <v>1347</v>
          </cell>
        </row>
        <row r="202">
          <cell r="A202" t="str">
            <v>Transformador trifásico 13200/240/120 V de 160 kVA</v>
          </cell>
          <cell r="B202" t="str">
            <v>Un</v>
          </cell>
          <cell r="C202">
            <v>0</v>
          </cell>
          <cell r="D202">
            <v>0</v>
          </cell>
        </row>
        <row r="203">
          <cell r="A203" t="str">
            <v>Transformador trifásico 13200/240/120 V de 200 kVA</v>
          </cell>
          <cell r="B203" t="str">
            <v>Un</v>
          </cell>
          <cell r="C203">
            <v>0</v>
          </cell>
          <cell r="D203">
            <v>0</v>
          </cell>
        </row>
        <row r="204">
          <cell r="A204" t="str">
            <v>Transformador trifásico 13200/240/120 V de 225 kVA</v>
          </cell>
          <cell r="B204" t="str">
            <v>Un</v>
          </cell>
          <cell r="C204">
            <v>0</v>
          </cell>
          <cell r="D204">
            <v>0</v>
          </cell>
        </row>
        <row r="205">
          <cell r="A205" t="str">
            <v>Transformador trifásico 13200/240/120 V de 30 kVA</v>
          </cell>
          <cell r="B205" t="str">
            <v>Un</v>
          </cell>
          <cell r="C205">
            <v>6773602.3839999987</v>
          </cell>
          <cell r="D205">
            <v>7857378.7654399984</v>
          </cell>
          <cell r="E205">
            <v>355</v>
          </cell>
        </row>
        <row r="206">
          <cell r="A206" t="str">
            <v>Transformador trifásico 13200/240/120 V de 45 kVA</v>
          </cell>
          <cell r="B206" t="str">
            <v>Un</v>
          </cell>
          <cell r="C206">
            <v>4588000</v>
          </cell>
          <cell r="D206">
            <v>5322080</v>
          </cell>
          <cell r="E206">
            <v>450</v>
          </cell>
        </row>
        <row r="207">
          <cell r="A207" t="str">
            <v>Transformador trifásico 13200/240/120 V de 50 kVA</v>
          </cell>
          <cell r="B207" t="str">
            <v>Un</v>
          </cell>
          <cell r="C207">
            <v>0</v>
          </cell>
          <cell r="D207">
            <v>0</v>
          </cell>
        </row>
        <row r="208">
          <cell r="A208" t="str">
            <v>Transformador trifásico 13200/208/120 V de 75 kVA</v>
          </cell>
          <cell r="B208" t="str">
            <v>Un</v>
          </cell>
          <cell r="C208">
            <v>5742000</v>
          </cell>
          <cell r="D208">
            <v>6660720</v>
          </cell>
          <cell r="E208">
            <v>700</v>
          </cell>
        </row>
        <row r="209">
          <cell r="A209" t="str">
            <v>Triturado</v>
          </cell>
          <cell r="B209" t="str">
            <v>m3</v>
          </cell>
          <cell r="C209">
            <v>40000</v>
          </cell>
          <cell r="D209">
            <v>46400</v>
          </cell>
        </row>
        <row r="210">
          <cell r="A210" t="str">
            <v>Tubo metálico galvanizado de 1/2"</v>
          </cell>
          <cell r="B210" t="str">
            <v>Un</v>
          </cell>
          <cell r="C210">
            <v>24071.842079999999</v>
          </cell>
          <cell r="D210">
            <v>27923.336812799997</v>
          </cell>
          <cell r="E210">
            <v>2</v>
          </cell>
        </row>
        <row r="211">
          <cell r="A211" t="str">
            <v>Tuerca de ojo de 12.7 mm (1/2")</v>
          </cell>
          <cell r="B211" t="str">
            <v>Un</v>
          </cell>
          <cell r="C211">
            <v>4880.4911999999995</v>
          </cell>
          <cell r="D211">
            <v>5661.3697919999986</v>
          </cell>
          <cell r="E211">
            <v>0.5</v>
          </cell>
        </row>
        <row r="212">
          <cell r="A212" t="str">
            <v>Tuerca de ojo de 15.9 mm (5/8")</v>
          </cell>
          <cell r="B212" t="str">
            <v>Un</v>
          </cell>
          <cell r="C212">
            <v>6100.9503999999988</v>
          </cell>
          <cell r="D212">
            <v>7077.1024639999978</v>
          </cell>
          <cell r="E212">
            <v>0.5</v>
          </cell>
        </row>
        <row r="213">
          <cell r="A213" t="str">
            <v>U de acero de R=100 (para poste)</v>
          </cell>
          <cell r="B213" t="str">
            <v>Un</v>
          </cell>
          <cell r="C213">
            <v>11177.8992</v>
          </cell>
          <cell r="D213">
            <v>12966.363071999998</v>
          </cell>
          <cell r="E213">
            <v>1.86</v>
          </cell>
        </row>
        <row r="214">
          <cell r="A214" t="str">
            <v>Varilla de anclaje de 5/8"x1,8 mts</v>
          </cell>
          <cell r="B214" t="str">
            <v>Un</v>
          </cell>
          <cell r="C214">
            <v>16848</v>
          </cell>
          <cell r="D214">
            <v>19543.68</v>
          </cell>
          <cell r="E214">
            <v>3</v>
          </cell>
        </row>
        <row r="215">
          <cell r="A215" t="str">
            <v>Varilla sólida de cobre con grapa para puesta a tierra de 5/8"x1.8 mts</v>
          </cell>
          <cell r="B215" t="str">
            <v>Un</v>
          </cell>
          <cell r="C215">
            <v>57778.718399999991</v>
          </cell>
          <cell r="D215">
            <v>67023.31334399998</v>
          </cell>
          <cell r="E215">
            <v>3.55</v>
          </cell>
        </row>
        <row r="216">
          <cell r="A216" t="str">
            <v>Varilla sólida de cobre con grapa para puesta a tierra de 5/8"x2.4 mts</v>
          </cell>
          <cell r="B216" t="str">
            <v>Un</v>
          </cell>
          <cell r="C216">
            <v>40000</v>
          </cell>
          <cell r="D216">
            <v>46400</v>
          </cell>
          <cell r="E216">
            <v>4.0999999999999996</v>
          </cell>
        </row>
        <row r="219">
          <cell r="A219" t="str">
            <v>EQUIPOS</v>
          </cell>
          <cell r="B219" t="str">
            <v>Unidad de medida</v>
          </cell>
          <cell r="C219" t="str">
            <v>Valor
Unitario ($/día)</v>
          </cell>
        </row>
        <row r="220">
          <cell r="A220" t="str">
            <v>Grua</v>
          </cell>
          <cell r="B220" t="str">
            <v>Dia</v>
          </cell>
          <cell r="C220">
            <v>1000000</v>
          </cell>
        </row>
        <row r="221">
          <cell r="A221" t="str">
            <v>Camión de 3 Toneladas</v>
          </cell>
          <cell r="B221" t="str">
            <v>Dia</v>
          </cell>
          <cell r="C221">
            <v>193050</v>
          </cell>
        </row>
        <row r="222">
          <cell r="A222" t="str">
            <v>Pluma</v>
          </cell>
          <cell r="B222" t="str">
            <v>Dia</v>
          </cell>
          <cell r="C222">
            <v>12870</v>
          </cell>
        </row>
        <row r="223">
          <cell r="A223" t="str">
            <v>Carroloco</v>
          </cell>
          <cell r="B223" t="str">
            <v>Dia</v>
          </cell>
          <cell r="C223">
            <v>12870</v>
          </cell>
        </row>
        <row r="224">
          <cell r="A224" t="str">
            <v>Tilfor</v>
          </cell>
          <cell r="B224" t="str">
            <v>Dia</v>
          </cell>
          <cell r="C224">
            <v>12870</v>
          </cell>
        </row>
        <row r="225">
          <cell r="A225" t="str">
            <v>Diferencial de 3/4 de tonelada</v>
          </cell>
          <cell r="B225" t="str">
            <v>Dia</v>
          </cell>
          <cell r="C225">
            <v>6435</v>
          </cell>
        </row>
        <row r="226">
          <cell r="A226" t="str">
            <v>Agarradora</v>
          </cell>
          <cell r="B226" t="str">
            <v>Dia</v>
          </cell>
          <cell r="C226">
            <v>3217.5</v>
          </cell>
        </row>
        <row r="227">
          <cell r="A227" t="str">
            <v>Paladraga y barretón</v>
          </cell>
          <cell r="B227" t="str">
            <v>Dia</v>
          </cell>
          <cell r="C227">
            <v>1930.5</v>
          </cell>
        </row>
        <row r="228">
          <cell r="A228" t="str">
            <v>Cinturon de seguridad y pretales</v>
          </cell>
          <cell r="B228" t="str">
            <v>Dia</v>
          </cell>
          <cell r="C228">
            <v>6435</v>
          </cell>
        </row>
        <row r="229">
          <cell r="A229" t="str">
            <v>Equipo menor de liniero</v>
          </cell>
          <cell r="B229" t="str">
            <v>Dia</v>
          </cell>
          <cell r="C229">
            <v>6435</v>
          </cell>
        </row>
        <row r="230">
          <cell r="A230" t="str">
            <v>Equipo de topografía</v>
          </cell>
          <cell r="B230" t="str">
            <v>Dia</v>
          </cell>
          <cell r="C230">
            <v>19305</v>
          </cell>
        </row>
        <row r="231">
          <cell r="A231" t="str">
            <v>Equipo GPS</v>
          </cell>
          <cell r="B231" t="str">
            <v>Dia</v>
          </cell>
          <cell r="C231">
            <v>50000</v>
          </cell>
        </row>
        <row r="232">
          <cell r="A232" t="str">
            <v>Herramientas para limpieza de trocha</v>
          </cell>
          <cell r="B232" t="str">
            <v>Dia</v>
          </cell>
          <cell r="C232">
            <v>12870</v>
          </cell>
        </row>
        <row r="233">
          <cell r="A233" t="str">
            <v>Trompo para 2 Bultos de cemento</v>
          </cell>
          <cell r="B233" t="str">
            <v>Dia</v>
          </cell>
          <cell r="C233">
            <v>25740</v>
          </cell>
        </row>
        <row r="234">
          <cell r="A234" t="str">
            <v>Antenallas</v>
          </cell>
          <cell r="B234" t="str">
            <v>Dia</v>
          </cell>
          <cell r="C234">
            <v>2662</v>
          </cell>
        </row>
        <row r="235">
          <cell r="A235" t="str">
            <v>Aparejo doble</v>
          </cell>
          <cell r="B235" t="str">
            <v>Dia</v>
          </cell>
          <cell r="C235">
            <v>2662</v>
          </cell>
        </row>
        <row r="236">
          <cell r="A236" t="str">
            <v>Manilas</v>
          </cell>
          <cell r="B236" t="str">
            <v>Dia</v>
          </cell>
          <cell r="C236">
            <v>3327.5</v>
          </cell>
        </row>
        <row r="239">
          <cell r="A239" t="str">
            <v>MANO DE OBRA</v>
          </cell>
          <cell r="B239" t="str">
            <v>Unidad de medida</v>
          </cell>
          <cell r="C239" t="str">
            <v>Valor
Unitario ($/día)</v>
          </cell>
        </row>
        <row r="240">
          <cell r="A240" t="str">
            <v>Cuadrilla de redes (1 Capataz, 4 Linieros,5 Ayudantes)</v>
          </cell>
          <cell r="B240" t="str">
            <v>Dia</v>
          </cell>
          <cell r="C240">
            <v>564166.66666666663</v>
          </cell>
        </row>
        <row r="241">
          <cell r="A241" t="str">
            <v>Cuadrilla de topografía (1 Topógrafo, 1 Capataz, 3 Cadeneros, 2 Vaquianos)</v>
          </cell>
          <cell r="B241" t="str">
            <v>Dia</v>
          </cell>
          <cell r="C241">
            <v>470297.33333333331</v>
          </cell>
        </row>
        <row r="244">
          <cell r="A244" t="str">
            <v>TRANSPORTE</v>
          </cell>
          <cell r="B244" t="str">
            <v>Unidad de medida</v>
          </cell>
          <cell r="C244" t="str">
            <v>Valor
unitario ($/kg)</v>
          </cell>
        </row>
        <row r="245">
          <cell r="A245" t="str">
            <v>Transporte de material a Quibdó</v>
          </cell>
          <cell r="B245" t="str">
            <v>kg</v>
          </cell>
          <cell r="C245">
            <v>300</v>
          </cell>
        </row>
        <row r="246">
          <cell r="A246" t="str">
            <v>Transporte de postería a Quibdó</v>
          </cell>
          <cell r="B246" t="str">
            <v>kg</v>
          </cell>
          <cell r="C246">
            <v>170</v>
          </cell>
        </row>
        <row r="247">
          <cell r="A247" t="str">
            <v>Transporte de material a Istmina</v>
          </cell>
          <cell r="B247" t="str">
            <v>kg</v>
          </cell>
          <cell r="C247">
            <v>400</v>
          </cell>
        </row>
        <row r="248">
          <cell r="A248" t="str">
            <v>Transporte de postería a Istmina</v>
          </cell>
          <cell r="B248" t="str">
            <v>kg</v>
          </cell>
          <cell r="C248">
            <v>300</v>
          </cell>
        </row>
        <row r="249">
          <cell r="A249" t="str">
            <v>Transporte de material a Tadó</v>
          </cell>
          <cell r="B249" t="str">
            <v>kg</v>
          </cell>
          <cell r="C249">
            <v>320</v>
          </cell>
        </row>
        <row r="250">
          <cell r="A250" t="str">
            <v>Transporte de postería a Tadó</v>
          </cell>
          <cell r="B250" t="str">
            <v>kg</v>
          </cell>
          <cell r="C250">
            <v>190</v>
          </cell>
        </row>
        <row r="251">
          <cell r="A251" t="str">
            <v>Transporte de material a Condoto</v>
          </cell>
          <cell r="B251" t="str">
            <v>kg</v>
          </cell>
          <cell r="C251">
            <v>500</v>
          </cell>
        </row>
        <row r="252">
          <cell r="A252" t="str">
            <v>Transporte de postería a Condoto</v>
          </cell>
          <cell r="B252" t="str">
            <v>kg</v>
          </cell>
          <cell r="C252">
            <v>400</v>
          </cell>
        </row>
        <row r="253">
          <cell r="A253" t="str">
            <v>Transporte</v>
          </cell>
          <cell r="B253" t="str">
            <v>kg</v>
          </cell>
          <cell r="C253">
            <v>500</v>
          </cell>
        </row>
        <row r="256">
          <cell r="A256" t="str">
            <v>Mano de obra por cargo</v>
          </cell>
          <cell r="B256" t="str">
            <v>Unidad de medida</v>
          </cell>
          <cell r="C256" t="str">
            <v>Valor
unitario ($/día)</v>
          </cell>
        </row>
        <row r="257">
          <cell r="A257" t="str">
            <v>Topógrafo</v>
          </cell>
          <cell r="B257" t="str">
            <v>Día</v>
          </cell>
          <cell r="C257">
            <v>186666.66666666666</v>
          </cell>
        </row>
        <row r="258">
          <cell r="A258" t="str">
            <v>Capataz</v>
          </cell>
          <cell r="B258" t="str">
            <v>Día</v>
          </cell>
          <cell r="C258">
            <v>72000</v>
          </cell>
        </row>
        <row r="259">
          <cell r="A259" t="str">
            <v>Liniero</v>
          </cell>
          <cell r="B259" t="str">
            <v>Día</v>
          </cell>
          <cell r="C259">
            <v>58666.666666666664</v>
          </cell>
        </row>
        <row r="260">
          <cell r="A260" t="str">
            <v>Ayudante / Cadenero</v>
          </cell>
          <cell r="B260" t="str">
            <v>Día</v>
          </cell>
          <cell r="C260">
            <v>51500</v>
          </cell>
        </row>
      </sheetData>
      <sheetData sheetId="2" refreshError="1"/>
      <sheetData sheetId="3">
        <row r="2">
          <cell r="B2" t="str">
            <v>Replanteo,Localizacion y elaboracion de planosRECORD DE REDES</v>
          </cell>
        </row>
      </sheetData>
      <sheetData sheetId="4"/>
      <sheetData sheetId="5"/>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sheetData sheetId="17"/>
      <sheetData sheetId="18"/>
      <sheetData sheetId="19"/>
      <sheetData sheetId="20"/>
      <sheetData sheetId="21"/>
      <sheetData sheetId="22" refreshError="1"/>
      <sheetData sheetId="23"/>
      <sheetData sheetId="24"/>
      <sheetData sheetId="25"/>
      <sheetData sheetId="26"/>
      <sheetData sheetId="27"/>
      <sheetData sheetId="28"/>
      <sheetData sheetId="29" refreshError="1"/>
      <sheetData sheetId="3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2)"/>
      <sheetName val="Hoja3 (2)"/>
      <sheetName val="PRECIOS"/>
      <sheetName val="JORNALES"/>
      <sheetName val="PRESTACIONES SOCIALES"/>
      <sheetName val="PRESUPUESTO DE OBRA INICIAL"/>
      <sheetName val="Memorias Cantidades"/>
      <sheetName val="PDT Y FLUJO x CAP INICIAL"/>
      <sheetName val="Hoja3"/>
      <sheetName val="A.P.Us. Aux"/>
      <sheetName val="A.P.Us. Civiles"/>
      <sheetName val="A.P.Us. Electricos"/>
      <sheetName val="Movimiento de Tierras"/>
      <sheetName val="APUs MUNICIPIO DE QUIBDO2019"/>
    </sheetNames>
    <sheetDataSet>
      <sheetData sheetId="0"/>
      <sheetData sheetId="1"/>
      <sheetData sheetId="2"/>
      <sheetData sheetId="3"/>
      <sheetData sheetId="4"/>
      <sheetData sheetId="5"/>
      <sheetData sheetId="6">
        <row r="11">
          <cell r="T11">
            <v>1909.7600000000002</v>
          </cell>
        </row>
      </sheetData>
      <sheetData sheetId="7"/>
      <sheetData sheetId="8"/>
      <sheetData sheetId="9"/>
      <sheetData sheetId="10"/>
      <sheetData sheetId="11"/>
      <sheetData sheetId="12"/>
      <sheetData sheetId="1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IA"/>
      <sheetName val="Cálculo AIU"/>
      <sheetName val="Evaluacion Economica DEFINITIVO"/>
      <sheetName val="Memorias De Calculos"/>
      <sheetName val="Cantidades"/>
      <sheetName val="Cuadro comparativo"/>
      <sheetName val="Programacion"/>
      <sheetName val="Balance fisico-financiero inici"/>
      <sheetName val="A.P.U Aux"/>
      <sheetName val="A.P.U Civiles"/>
      <sheetName val="A.P.U HidroSan"/>
      <sheetName val="A.P.U Electricos"/>
    </sheetNames>
    <sheetDataSet>
      <sheetData sheetId="0"/>
      <sheetData sheetId="1" refreshError="1"/>
      <sheetData sheetId="2">
        <row r="169">
          <cell r="B169" t="str">
            <v>SUMINISTRO EQUIPOS INDUSTRIALES</v>
          </cell>
        </row>
      </sheetData>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BARANDAS EN TUBO"/>
      <sheetName val="PERFIL METALICO"/>
      <sheetName val="TABLESTACA"/>
      <sheetName val="CONCRETO ANCLAJE"/>
      <sheetName val="CONTROL"/>
      <sheetName val="EXCAVACION BAJO AGUA MURO"/>
      <sheetName val="EXCAVACION"/>
      <sheetName val="PILOTE HINCADO"/>
      <sheetName val="PILOTES (B)"/>
      <sheetName val="SOLADO"/>
      <sheetName val="MURO"/>
      <sheetName val="ACERO REF. MURO"/>
      <sheetName val="TUBERIA"/>
      <sheetName val="GEOTEXTIL"/>
      <sheetName val="LLENO"/>
      <sheetName val="-----"/>
      <sheetName val="PRESUPUESTO DEF"/>
      <sheetName val="LOCALIZACIÓN"/>
      <sheetName val="PILOTE HINCADO (2)"/>
      <sheetName val="PILOTES"/>
      <sheetName val="EXCAVACION COMUN"/>
      <sheetName val="EXCAVACION BAJO AGUA ESCALERA"/>
      <sheetName val="LLENOS"/>
      <sheetName val="PLAZOLETA"/>
      <sheetName val="ACERO"/>
      <sheetName val="VIGA AEREA"/>
      <sheetName val="VIGA 40X40"/>
      <sheetName val="FORMALETA PARA VIGA"/>
      <sheetName val="VIGA 30X45"/>
      <sheetName val="VIGA 30X30"/>
      <sheetName val="COLUMNAS"/>
      <sheetName val="CONCRETO CLASE F"/>
      <sheetName val="VIGA 3000 PSI"/>
      <sheetName val="CONCRETO CLASE D"/>
      <sheetName val="aux concreto 3000 psi"/>
      <sheetName val="FORMALETA COLUMNA"/>
      <sheetName val="ZAPATA COLUMNA"/>
      <sheetName val="ZAPATA MURO"/>
      <sheetName val="CABEZAL ESCALERA"/>
      <sheetName val="MURO (2)"/>
      <sheetName val="FORMALETA PARA MURO"/>
      <sheetName val="CAJAS"/>
      <sheetName val="FILTRO"/>
      <sheetName val="aiu"/>
      <sheetName val="fact. prestac"/>
      <sheetName val="ACTA 1"/>
      <sheetName val="LISTA MATERIALES"/>
      <sheetName val="JORNAL DIA"/>
      <sheetName val="DESMONTE Y LIMPIEZA"/>
      <sheetName val="CERRAMIENTO"/>
      <sheetName val="EXCAVACION PILOTE 0-2"/>
      <sheetName val="EXCAVACION PILOTE 2-4"/>
      <sheetName val="EXCAVACION PILOTE 4-6"/>
      <sheetName val="ESCALERAS "/>
      <sheetName val="RAMPA"/>
      <sheetName val="Aux. conctreto clase F"/>
      <sheetName val="CONCRETO CLASE G"/>
      <sheetName val="FORMALETA PARA ESCALERA"/>
      <sheetName val="ESTABILIZACION"/>
      <sheetName val="BARANDA"/>
      <sheetName val="TUBO REFORZADO "/>
    </sheetNames>
    <sheetDataSet>
      <sheetData sheetId="0">
        <row r="15">
          <cell r="B15" t="str">
            <v>ESTRUCTURAS EN CONCRETO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
      <sheetName val="METALICO"/>
      <sheetName val="Hoja2"/>
    </sheetNames>
    <sheetDataSet>
      <sheetData sheetId="0">
        <row r="4">
          <cell r="C4" t="str">
            <v xml:space="preserve">TERMINACION DE LA CONSTRUCCION DE LA UNIDAD INTERMEDIA EL CARAÑO EN EL MUNICIPIO DE QUIBDÓ, DEPARTAMENTO DEL CHOCÓ </v>
          </cell>
        </row>
      </sheetData>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
      <sheetName val="Jornal día"/>
      <sheetName val="Cálculo Prestaciones"/>
      <sheetName val="factor AIU"/>
      <sheetName val="A.Aux. a P. U."/>
      <sheetName val="Análisis P. U.  (2)"/>
      <sheetName val="Acandi"/>
    </sheetNames>
    <sheetDataSet>
      <sheetData sheetId="0" refreshError="1">
        <row r="8">
          <cell r="H8">
            <v>1756.7550000000003</v>
          </cell>
        </row>
        <row r="46">
          <cell r="H46">
            <v>12892.75</v>
          </cell>
        </row>
        <row r="47">
          <cell r="H47">
            <v>19175</v>
          </cell>
        </row>
        <row r="48">
          <cell r="H48">
            <v>26837.200000000001</v>
          </cell>
        </row>
        <row r="49">
          <cell r="H49">
            <v>56832.316666666673</v>
          </cell>
        </row>
        <row r="54">
          <cell r="I54">
            <v>19937.219251950002</v>
          </cell>
        </row>
        <row r="60">
          <cell r="E60">
            <v>3452.0235750000011</v>
          </cell>
        </row>
        <row r="64">
          <cell r="E64">
            <v>9310.8015000000014</v>
          </cell>
        </row>
        <row r="65">
          <cell r="I65">
            <v>12490.844265900003</v>
          </cell>
        </row>
        <row r="72">
          <cell r="I72">
            <v>14677.793430300002</v>
          </cell>
        </row>
        <row r="75">
          <cell r="E75">
            <v>9948.5035650000009</v>
          </cell>
          <cell r="I75">
            <v>11341.2940641</v>
          </cell>
        </row>
        <row r="83">
          <cell r="E83">
            <v>43620.226650000011</v>
          </cell>
        </row>
        <row r="90">
          <cell r="I90">
            <v>4214.9033333333327</v>
          </cell>
        </row>
        <row r="91">
          <cell r="I91">
            <v>5916.2133333333331</v>
          </cell>
        </row>
        <row r="92">
          <cell r="I92">
            <v>13914.463333333331</v>
          </cell>
        </row>
        <row r="93">
          <cell r="G93">
            <v>18554.033333333333</v>
          </cell>
        </row>
        <row r="94">
          <cell r="I94">
            <v>34579.848333333335</v>
          </cell>
        </row>
        <row r="95">
          <cell r="I95">
            <v>46169.088333333326</v>
          </cell>
        </row>
        <row r="97">
          <cell r="E97">
            <v>829.18836000000022</v>
          </cell>
        </row>
        <row r="107">
          <cell r="E107">
            <v>1851.6197700000005</v>
          </cell>
        </row>
        <row r="115">
          <cell r="E115">
            <v>3624.1855650000002</v>
          </cell>
        </row>
        <row r="123">
          <cell r="E123">
            <v>12216.474270000004</v>
          </cell>
          <cell r="I123">
            <v>14048.945410500004</v>
          </cell>
        </row>
        <row r="129">
          <cell r="E129">
            <v>15304.849560000002</v>
          </cell>
        </row>
        <row r="130">
          <cell r="E130">
            <v>16778.767005000002</v>
          </cell>
        </row>
        <row r="131">
          <cell r="E131">
            <v>19559.710170000002</v>
          </cell>
          <cell r="I131">
            <v>21515.681187000006</v>
          </cell>
        </row>
        <row r="137">
          <cell r="E137">
            <v>52324.94767500001</v>
          </cell>
          <cell r="I137">
            <v>60173.689826250011</v>
          </cell>
        </row>
        <row r="138">
          <cell r="E138">
            <v>108520.02661500004</v>
          </cell>
          <cell r="I138">
            <v>124798.03060725004</v>
          </cell>
        </row>
        <row r="139">
          <cell r="E139">
            <v>3250</v>
          </cell>
          <cell r="I139">
            <v>3014.5915800000007</v>
          </cell>
        </row>
        <row r="145">
          <cell r="E145">
            <v>27210.3</v>
          </cell>
        </row>
        <row r="146">
          <cell r="E146">
            <v>40964.300000000003</v>
          </cell>
        </row>
        <row r="147">
          <cell r="E147">
            <v>45500</v>
          </cell>
        </row>
        <row r="148">
          <cell r="E148">
            <v>16116.1</v>
          </cell>
        </row>
        <row r="149">
          <cell r="E149">
            <v>75400</v>
          </cell>
        </row>
        <row r="150">
          <cell r="E150">
            <v>1054.0530000000001</v>
          </cell>
        </row>
        <row r="160">
          <cell r="I160">
            <v>3014.5915800000007</v>
          </cell>
        </row>
        <row r="162">
          <cell r="I162">
            <v>644435</v>
          </cell>
        </row>
        <row r="166">
          <cell r="I166">
            <v>47274.277049999997</v>
          </cell>
        </row>
        <row r="168">
          <cell r="E168">
            <v>25350</v>
          </cell>
        </row>
        <row r="171">
          <cell r="E171">
            <v>4816500</v>
          </cell>
        </row>
        <row r="175">
          <cell r="E175">
            <v>369687.5</v>
          </cell>
        </row>
        <row r="197">
          <cell r="I197">
            <v>6447.8764350000019</v>
          </cell>
        </row>
        <row r="270">
          <cell r="H270">
            <v>8043.7500000000018</v>
          </cell>
        </row>
      </sheetData>
      <sheetData sheetId="1" refreshError="1">
        <row r="36">
          <cell r="B36">
            <v>44000</v>
          </cell>
        </row>
        <row r="37">
          <cell r="B37">
            <v>27500.000000000004</v>
          </cell>
        </row>
        <row r="43">
          <cell r="B43">
            <v>44000</v>
          </cell>
        </row>
        <row r="44">
          <cell r="B44">
            <v>27500.000000000004</v>
          </cell>
        </row>
        <row r="51">
          <cell r="D51">
            <v>1.9</v>
          </cell>
        </row>
        <row r="52">
          <cell r="D52">
            <v>1.8</v>
          </cell>
        </row>
      </sheetData>
      <sheetData sheetId="2" refreshError="1"/>
      <sheetData sheetId="3" refreshError="1"/>
      <sheetData sheetId="4" refreshError="1">
        <row r="84">
          <cell r="G84">
            <v>417943.34640000004</v>
          </cell>
        </row>
        <row r="333">
          <cell r="G333">
            <v>5305.0979555702925</v>
          </cell>
        </row>
        <row r="582">
          <cell r="G582">
            <v>26037.655492750004</v>
          </cell>
        </row>
      </sheetData>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pageSetUpPr fitToPage="1"/>
  </sheetPr>
  <dimension ref="A1:O18"/>
  <sheetViews>
    <sheetView topLeftCell="E5" zoomScale="125" zoomScaleNormal="90" zoomScaleSheetLayoutView="90" workbookViewId="0">
      <selection activeCell="L9" sqref="L9:M9"/>
    </sheetView>
  </sheetViews>
  <sheetFormatPr baseColWidth="10" defaultColWidth="9.140625" defaultRowHeight="12" x14ac:dyDescent="0.25"/>
  <cols>
    <col min="1" max="1" width="6.28515625" style="707" bestFit="1" customWidth="1"/>
    <col min="2" max="2" width="32.42578125" style="707" customWidth="1"/>
    <col min="3" max="3" width="11.28515625" style="715" bestFit="1" customWidth="1"/>
    <col min="4" max="4" width="23" style="715" customWidth="1"/>
    <col min="5" max="5" width="11.28515625" style="715" customWidth="1"/>
    <col min="6" max="6" width="28" style="707" customWidth="1"/>
    <col min="7" max="7" width="11.28515625" style="715" bestFit="1" customWidth="1"/>
    <col min="8" max="8" width="21" style="707" hidden="1" customWidth="1"/>
    <col min="9" max="9" width="11.28515625" style="715" hidden="1" customWidth="1"/>
    <col min="10" max="10" width="25" style="707" hidden="1" customWidth="1"/>
    <col min="11" max="11" width="10.42578125" style="715" hidden="1" customWidth="1"/>
    <col min="12" max="12" width="24.7109375" style="707" bestFit="1" customWidth="1"/>
    <col min="13" max="13" width="13.140625" style="715" bestFit="1" customWidth="1"/>
    <col min="14" max="14" width="13.85546875" style="707" customWidth="1"/>
    <col min="15" max="15" width="16.140625" style="707" customWidth="1"/>
    <col min="16" max="16384" width="9.140625" style="707"/>
  </cols>
  <sheetData>
    <row r="1" spans="1:15" s="706" customFormat="1" ht="24.75" customHeight="1" x14ac:dyDescent="0.25">
      <c r="A1" s="942" t="s">
        <v>2235</v>
      </c>
      <c r="B1" s="942"/>
      <c r="C1" s="942"/>
      <c r="D1" s="942"/>
      <c r="E1" s="942"/>
      <c r="F1" s="942"/>
      <c r="G1" s="942"/>
      <c r="H1" s="942"/>
      <c r="I1" s="942"/>
      <c r="J1" s="942"/>
      <c r="K1" s="942"/>
      <c r="L1" s="942"/>
      <c r="M1" s="942"/>
    </row>
    <row r="2" spans="1:15" ht="21.75" customHeight="1" x14ac:dyDescent="0.25">
      <c r="A2" s="943" t="s">
        <v>2236</v>
      </c>
      <c r="B2" s="943"/>
      <c r="C2" s="943"/>
      <c r="D2" s="943"/>
      <c r="E2" s="943"/>
      <c r="F2" s="943"/>
      <c r="G2" s="943"/>
      <c r="H2" s="943"/>
      <c r="I2" s="943"/>
      <c r="J2" s="943"/>
      <c r="K2" s="943"/>
      <c r="L2" s="943"/>
      <c r="M2" s="943"/>
    </row>
    <row r="3" spans="1:15" ht="21.75" customHeight="1" x14ac:dyDescent="0.25">
      <c r="A3" s="944" t="s">
        <v>2237</v>
      </c>
      <c r="B3" s="944"/>
      <c r="C3" s="944"/>
      <c r="D3" s="944"/>
      <c r="E3" s="944"/>
      <c r="F3" s="944"/>
      <c r="G3" s="944"/>
      <c r="H3" s="944"/>
      <c r="I3" s="944"/>
      <c r="J3" s="944"/>
      <c r="K3" s="944"/>
      <c r="L3" s="944"/>
      <c r="M3" s="944"/>
    </row>
    <row r="4" spans="1:15" s="709" customFormat="1" ht="16.5" customHeight="1" x14ac:dyDescent="0.25">
      <c r="A4" s="854"/>
      <c r="B4" s="944" t="s">
        <v>2355</v>
      </c>
      <c r="C4" s="944"/>
      <c r="D4" s="945" t="s">
        <v>2348</v>
      </c>
      <c r="E4" s="946"/>
      <c r="F4" s="944" t="s">
        <v>2356</v>
      </c>
      <c r="G4" s="944"/>
      <c r="H4" s="944" t="s">
        <v>2239</v>
      </c>
      <c r="I4" s="944"/>
      <c r="J4" s="944" t="s">
        <v>2240</v>
      </c>
      <c r="K4" s="944"/>
      <c r="L4" s="944" t="s">
        <v>2357</v>
      </c>
      <c r="M4" s="944"/>
    </row>
    <row r="5" spans="1:15" s="706" customFormat="1" ht="24" x14ac:dyDescent="0.25">
      <c r="A5" s="710" t="s">
        <v>2242</v>
      </c>
      <c r="B5" s="710" t="s">
        <v>1204</v>
      </c>
      <c r="C5" s="711" t="s">
        <v>2243</v>
      </c>
      <c r="D5" s="710" t="s">
        <v>1204</v>
      </c>
      <c r="E5" s="711" t="s">
        <v>2243</v>
      </c>
      <c r="F5" s="710" t="s">
        <v>1204</v>
      </c>
      <c r="G5" s="711" t="s">
        <v>2243</v>
      </c>
      <c r="H5" s="710" t="s">
        <v>1204</v>
      </c>
      <c r="I5" s="711" t="s">
        <v>2243</v>
      </c>
      <c r="J5" s="710" t="s">
        <v>1204</v>
      </c>
      <c r="K5" s="711" t="s">
        <v>2243</v>
      </c>
      <c r="L5" s="710" t="s">
        <v>1204</v>
      </c>
      <c r="M5" s="711" t="s">
        <v>2243</v>
      </c>
      <c r="N5" s="710" t="s">
        <v>2260</v>
      </c>
      <c r="O5" s="710" t="s">
        <v>2261</v>
      </c>
    </row>
    <row r="6" spans="1:15" s="714" customFormat="1" ht="67.5" hidden="1" customHeight="1" x14ac:dyDescent="0.25">
      <c r="A6" s="710">
        <v>1</v>
      </c>
      <c r="B6" s="712" t="s">
        <v>2244</v>
      </c>
      <c r="C6" s="713">
        <v>58476600</v>
      </c>
      <c r="D6" s="713"/>
      <c r="E6" s="713"/>
      <c r="F6" s="712" t="s">
        <v>2245</v>
      </c>
      <c r="G6" s="713">
        <f>48900000*1.19</f>
        <v>58191000</v>
      </c>
      <c r="H6" s="712"/>
      <c r="I6" s="713"/>
      <c r="J6" s="712"/>
      <c r="K6" s="713"/>
      <c r="L6" s="712" t="s">
        <v>2245</v>
      </c>
      <c r="M6" s="713">
        <v>59370000</v>
      </c>
      <c r="N6" s="712"/>
      <c r="O6" s="712"/>
    </row>
    <row r="7" spans="1:15" s="714" customFormat="1" ht="36" hidden="1" x14ac:dyDescent="0.25">
      <c r="A7" s="710">
        <v>2</v>
      </c>
      <c r="B7" s="712" t="s">
        <v>2246</v>
      </c>
      <c r="C7" s="713">
        <v>3921050</v>
      </c>
      <c r="D7" s="713"/>
      <c r="E7" s="713"/>
      <c r="F7" s="712" t="s">
        <v>2247</v>
      </c>
      <c r="G7" s="713">
        <f>3150000*1.19</f>
        <v>3748500</v>
      </c>
      <c r="H7" s="712"/>
      <c r="I7" s="713"/>
      <c r="J7" s="712"/>
      <c r="K7" s="713"/>
      <c r="L7" s="712" t="s">
        <v>2247</v>
      </c>
      <c r="M7" s="713">
        <v>4150000</v>
      </c>
      <c r="N7" s="712"/>
      <c r="O7" s="712"/>
    </row>
    <row r="8" spans="1:15" s="714" customFormat="1" ht="36" x14ac:dyDescent="0.25">
      <c r="A8" s="717">
        <v>1</v>
      </c>
      <c r="B8" s="712" t="s">
        <v>2248</v>
      </c>
      <c r="C8" s="713">
        <v>9758000</v>
      </c>
      <c r="D8" s="712" t="s">
        <v>2361</v>
      </c>
      <c r="E8" s="713">
        <v>9500000</v>
      </c>
      <c r="F8" s="712"/>
      <c r="G8" s="713"/>
      <c r="H8" s="712"/>
      <c r="I8" s="713"/>
      <c r="J8" s="712"/>
      <c r="K8" s="713"/>
      <c r="L8" s="712" t="s">
        <v>2249</v>
      </c>
      <c r="M8" s="713">
        <v>9758000</v>
      </c>
      <c r="N8" s="712" t="s">
        <v>2362</v>
      </c>
      <c r="O8" s="712" t="s">
        <v>2262</v>
      </c>
    </row>
    <row r="9" spans="1:15" s="714" customFormat="1" ht="132" x14ac:dyDescent="0.25">
      <c r="A9" s="717">
        <v>2</v>
      </c>
      <c r="B9" s="712" t="s">
        <v>2347</v>
      </c>
      <c r="C9" s="713">
        <v>4522000</v>
      </c>
      <c r="D9" s="852" t="s">
        <v>2351</v>
      </c>
      <c r="E9" s="713">
        <v>5100000</v>
      </c>
      <c r="F9" s="712" t="s">
        <v>2359</v>
      </c>
      <c r="G9" s="713">
        <v>10504202</v>
      </c>
      <c r="H9" s="712"/>
      <c r="I9" s="713"/>
      <c r="J9" s="712"/>
      <c r="K9" s="713"/>
      <c r="L9" s="712" t="s">
        <v>2346</v>
      </c>
      <c r="M9" s="713">
        <v>5110000</v>
      </c>
      <c r="N9" s="714" t="s">
        <v>2355</v>
      </c>
      <c r="O9" s="712" t="s">
        <v>2262</v>
      </c>
    </row>
    <row r="10" spans="1:15" s="714" customFormat="1" ht="48" hidden="1" x14ac:dyDescent="0.25">
      <c r="A10" s="710">
        <v>5</v>
      </c>
      <c r="B10" s="712"/>
      <c r="C10" s="713"/>
      <c r="D10" s="713"/>
      <c r="E10" s="713"/>
      <c r="F10" s="712" t="s">
        <v>2252</v>
      </c>
      <c r="G10" s="713">
        <f>5714000*1.19</f>
        <v>6799660</v>
      </c>
      <c r="H10" s="712"/>
      <c r="I10" s="713"/>
      <c r="J10" s="712" t="s">
        <v>2253</v>
      </c>
      <c r="K10" s="713">
        <f>4000000*1.19</f>
        <v>4760000</v>
      </c>
      <c r="L10" s="712" t="s">
        <v>2252</v>
      </c>
      <c r="M10" s="713">
        <v>7280000</v>
      </c>
    </row>
    <row r="11" spans="1:15" s="714" customFormat="1" ht="36" hidden="1" x14ac:dyDescent="0.25">
      <c r="A11" s="710">
        <v>6</v>
      </c>
      <c r="B11" s="712"/>
      <c r="C11" s="713"/>
      <c r="D11" s="713"/>
      <c r="E11" s="713"/>
      <c r="F11" s="712" t="s">
        <v>2254</v>
      </c>
      <c r="G11" s="713">
        <f>1850000*1.19</f>
        <v>2201500</v>
      </c>
      <c r="H11" s="712"/>
      <c r="I11" s="713"/>
      <c r="J11" s="712" t="s">
        <v>2255</v>
      </c>
      <c r="K11" s="713">
        <f>1178000*1.19</f>
        <v>1401820</v>
      </c>
      <c r="L11" s="712" t="s">
        <v>2254</v>
      </c>
      <c r="M11" s="713">
        <v>2630000</v>
      </c>
    </row>
    <row r="12" spans="1:15" s="714" customFormat="1" ht="24" hidden="1" x14ac:dyDescent="0.25">
      <c r="A12" s="710">
        <v>7</v>
      </c>
      <c r="B12" s="712"/>
      <c r="C12" s="713"/>
      <c r="D12" s="713"/>
      <c r="E12" s="713"/>
      <c r="F12" s="712" t="s">
        <v>2256</v>
      </c>
      <c r="G12" s="713">
        <f>45000000*1.19</f>
        <v>53550000</v>
      </c>
      <c r="H12" s="712"/>
      <c r="I12" s="713"/>
      <c r="J12" s="712"/>
      <c r="K12" s="713"/>
      <c r="L12" s="712" t="s">
        <v>2257</v>
      </c>
      <c r="M12" s="713">
        <v>57000000</v>
      </c>
    </row>
    <row r="13" spans="1:15" s="714" customFormat="1" ht="96" hidden="1" x14ac:dyDescent="0.25">
      <c r="A13" s="710">
        <v>8</v>
      </c>
      <c r="B13" s="712"/>
      <c r="C13" s="713"/>
      <c r="D13" s="713"/>
      <c r="E13" s="713"/>
      <c r="F13" s="712" t="s">
        <v>2258</v>
      </c>
      <c r="G13" s="713">
        <f>81000000*1.19</f>
        <v>96390000</v>
      </c>
      <c r="H13" s="712" t="s">
        <v>2259</v>
      </c>
      <c r="I13" s="713">
        <f>52360000+23800000</f>
        <v>76160000</v>
      </c>
      <c r="J13" s="712"/>
      <c r="K13" s="713"/>
      <c r="L13" s="712"/>
      <c r="M13" s="713"/>
    </row>
    <row r="14" spans="1:15" s="714" customFormat="1" hidden="1" x14ac:dyDescent="0.25">
      <c r="A14" s="710">
        <v>9</v>
      </c>
      <c r="B14" s="712"/>
      <c r="C14" s="713"/>
      <c r="D14" s="713"/>
      <c r="E14" s="713"/>
      <c r="F14" s="712"/>
      <c r="G14" s="713"/>
      <c r="H14" s="712"/>
      <c r="I14" s="713"/>
      <c r="J14" s="712"/>
      <c r="K14" s="713"/>
      <c r="L14" s="712"/>
      <c r="M14" s="713"/>
    </row>
    <row r="15" spans="1:15" s="714" customFormat="1" hidden="1" x14ac:dyDescent="0.25">
      <c r="A15" s="846">
        <v>10</v>
      </c>
      <c r="B15" s="847"/>
      <c r="C15" s="848"/>
      <c r="D15" s="848"/>
      <c r="E15" s="848"/>
      <c r="F15" s="847"/>
      <c r="G15" s="848"/>
      <c r="H15" s="847"/>
      <c r="I15" s="848"/>
      <c r="J15" s="847"/>
      <c r="K15" s="848"/>
      <c r="L15" s="847"/>
      <c r="M15" s="848"/>
    </row>
    <row r="16" spans="1:15" s="714" customFormat="1" ht="33.950000000000003" customHeight="1" x14ac:dyDescent="0.25">
      <c r="A16" s="849">
        <v>3</v>
      </c>
      <c r="B16" s="867"/>
      <c r="C16" s="868"/>
      <c r="D16" s="852" t="s">
        <v>2352</v>
      </c>
      <c r="E16" s="713">
        <v>6300000</v>
      </c>
      <c r="F16" s="850"/>
      <c r="G16" s="713"/>
      <c r="H16" s="712"/>
      <c r="I16" s="713"/>
      <c r="J16" s="712"/>
      <c r="K16" s="713"/>
      <c r="L16" s="850"/>
      <c r="M16" s="713"/>
      <c r="N16" s="712"/>
      <c r="O16" s="712"/>
    </row>
    <row r="17" spans="1:15" s="714" customFormat="1" ht="132" x14ac:dyDescent="0.25">
      <c r="A17" s="707">
        <v>4</v>
      </c>
      <c r="B17" s="869" t="s">
        <v>2360</v>
      </c>
      <c r="C17" s="715">
        <v>27300000</v>
      </c>
      <c r="D17" s="870" t="s">
        <v>2350</v>
      </c>
      <c r="E17" s="848">
        <v>27350000</v>
      </c>
      <c r="F17" s="714" t="s">
        <v>2358</v>
      </c>
      <c r="G17" s="715">
        <v>39843750</v>
      </c>
      <c r="I17" s="715"/>
      <c r="K17" s="715"/>
      <c r="L17" s="869" t="s">
        <v>2360</v>
      </c>
      <c r="M17" s="715">
        <v>27490000</v>
      </c>
      <c r="N17" s="714" t="s">
        <v>2355</v>
      </c>
      <c r="O17" s="847" t="s">
        <v>2262</v>
      </c>
    </row>
    <row r="18" spans="1:15" s="714" customFormat="1" ht="84" x14ac:dyDescent="0.25">
      <c r="A18" s="849">
        <v>5</v>
      </c>
      <c r="B18" s="869" t="s">
        <v>2346</v>
      </c>
      <c r="C18" s="713">
        <v>5110000</v>
      </c>
      <c r="D18" s="713"/>
      <c r="E18" s="713"/>
      <c r="F18" s="712"/>
      <c r="G18" s="713"/>
      <c r="H18" s="712"/>
      <c r="I18" s="713"/>
      <c r="J18" s="712"/>
      <c r="K18" s="713"/>
      <c r="L18" s="712"/>
      <c r="M18" s="713"/>
      <c r="N18" s="712"/>
      <c r="O18" s="712"/>
    </row>
  </sheetData>
  <mergeCells count="9">
    <mergeCell ref="A1:M1"/>
    <mergeCell ref="A2:M2"/>
    <mergeCell ref="A3:M3"/>
    <mergeCell ref="B4:C4"/>
    <mergeCell ref="D4:E4"/>
    <mergeCell ref="F4:G4"/>
    <mergeCell ref="H4:I4"/>
    <mergeCell ref="J4:K4"/>
    <mergeCell ref="L4:M4"/>
  </mergeCells>
  <pageMargins left="0.7" right="0.7" top="0.75" bottom="0.75" header="0.3" footer="0.3"/>
  <pageSetup paperSize="9"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pageSetUpPr fitToPage="1"/>
  </sheetPr>
  <dimension ref="A1:M8"/>
  <sheetViews>
    <sheetView zoomScale="125" zoomScaleNormal="90" zoomScaleSheetLayoutView="90" workbookViewId="0">
      <selection activeCell="A8" sqref="A8"/>
    </sheetView>
  </sheetViews>
  <sheetFormatPr baseColWidth="10" defaultColWidth="9.140625" defaultRowHeight="12" x14ac:dyDescent="0.25"/>
  <cols>
    <col min="1" max="1" width="6.28515625" style="707" bestFit="1" customWidth="1"/>
    <col min="2" max="2" width="32.42578125" style="707" customWidth="1"/>
    <col min="3" max="3" width="11.28515625" style="715" bestFit="1" customWidth="1"/>
    <col min="4" max="4" width="23" style="715" customWidth="1"/>
    <col min="5" max="5" width="11.28515625" style="715" customWidth="1"/>
    <col min="6" max="6" width="28" style="707" customWidth="1"/>
    <col min="7" max="7" width="11.28515625" style="715" bestFit="1" customWidth="1"/>
    <col min="8" max="8" width="21" style="707" hidden="1" customWidth="1"/>
    <col min="9" max="9" width="11.28515625" style="715" hidden="1" customWidth="1"/>
    <col min="10" max="10" width="25" style="707" hidden="1" customWidth="1"/>
    <col min="11" max="11" width="10.42578125" style="715" hidden="1" customWidth="1"/>
    <col min="12" max="12" width="13.85546875" style="707" customWidth="1"/>
    <col min="13" max="13" width="16.140625" style="707" customWidth="1"/>
    <col min="14" max="16384" width="9.140625" style="707"/>
  </cols>
  <sheetData>
    <row r="1" spans="1:13" s="706" customFormat="1" ht="24.75" customHeight="1" x14ac:dyDescent="0.25">
      <c r="A1" s="947" t="s">
        <v>2235</v>
      </c>
      <c r="B1" s="948"/>
      <c r="C1" s="948"/>
      <c r="D1" s="948"/>
      <c r="E1" s="948"/>
      <c r="F1" s="948"/>
      <c r="G1" s="948"/>
      <c r="H1" s="948"/>
      <c r="I1" s="948"/>
      <c r="J1" s="948"/>
      <c r="K1" s="948"/>
      <c r="L1" s="948"/>
      <c r="M1" s="949"/>
    </row>
    <row r="2" spans="1:13" ht="21.75" customHeight="1" x14ac:dyDescent="0.25">
      <c r="A2" s="951" t="s">
        <v>2236</v>
      </c>
      <c r="B2" s="952"/>
      <c r="C2" s="952"/>
      <c r="D2" s="952"/>
      <c r="E2" s="952"/>
      <c r="F2" s="952"/>
      <c r="G2" s="952"/>
      <c r="H2" s="952"/>
      <c r="I2" s="952"/>
      <c r="J2" s="952"/>
      <c r="K2" s="952"/>
      <c r="L2" s="952"/>
      <c r="M2" s="953"/>
    </row>
    <row r="3" spans="1:13" ht="21.75" customHeight="1" x14ac:dyDescent="0.25">
      <c r="A3" s="945" t="s">
        <v>2237</v>
      </c>
      <c r="B3" s="950"/>
      <c r="C3" s="950"/>
      <c r="D3" s="950"/>
      <c r="E3" s="950"/>
      <c r="F3" s="950"/>
      <c r="G3" s="950"/>
      <c r="H3" s="950"/>
      <c r="I3" s="950"/>
      <c r="J3" s="950"/>
      <c r="K3" s="950"/>
      <c r="L3" s="950"/>
      <c r="M3" s="946"/>
    </row>
    <row r="4" spans="1:13" s="709" customFormat="1" ht="16.5" customHeight="1" x14ac:dyDescent="0.25">
      <c r="A4" s="854"/>
      <c r="B4" s="944" t="s">
        <v>2363</v>
      </c>
      <c r="C4" s="944"/>
      <c r="D4" s="945" t="s">
        <v>2365</v>
      </c>
      <c r="E4" s="946"/>
      <c r="F4" s="944" t="s">
        <v>2366</v>
      </c>
      <c r="G4" s="944"/>
      <c r="H4" s="944" t="s">
        <v>2239</v>
      </c>
      <c r="I4" s="944"/>
      <c r="J4" s="944" t="s">
        <v>2240</v>
      </c>
      <c r="K4" s="944"/>
      <c r="L4" s="855"/>
      <c r="M4" s="856"/>
    </row>
    <row r="5" spans="1:13" s="706" customFormat="1" ht="24" x14ac:dyDescent="0.25">
      <c r="A5" s="710" t="s">
        <v>2242</v>
      </c>
      <c r="B5" s="710" t="s">
        <v>1204</v>
      </c>
      <c r="C5" s="711" t="s">
        <v>2243</v>
      </c>
      <c r="D5" s="710" t="s">
        <v>1204</v>
      </c>
      <c r="E5" s="711" t="s">
        <v>2243</v>
      </c>
      <c r="F5" s="710" t="s">
        <v>1204</v>
      </c>
      <c r="G5" s="711" t="s">
        <v>2243</v>
      </c>
      <c r="H5" s="710" t="s">
        <v>1204</v>
      </c>
      <c r="I5" s="711" t="s">
        <v>2243</v>
      </c>
      <c r="J5" s="710" t="s">
        <v>1204</v>
      </c>
      <c r="K5" s="711" t="s">
        <v>2243</v>
      </c>
      <c r="L5" s="710" t="s">
        <v>2260</v>
      </c>
      <c r="M5" s="710" t="s">
        <v>2261</v>
      </c>
    </row>
    <row r="6" spans="1:13" s="714" customFormat="1" ht="67.5" hidden="1" customHeight="1" x14ac:dyDescent="0.25">
      <c r="A6" s="710">
        <v>1</v>
      </c>
      <c r="B6" s="712" t="s">
        <v>2244</v>
      </c>
      <c r="C6" s="713">
        <v>58476600</v>
      </c>
      <c r="D6" s="713"/>
      <c r="E6" s="713"/>
      <c r="F6" s="712" t="s">
        <v>2245</v>
      </c>
      <c r="G6" s="713">
        <f>48900000*1.19</f>
        <v>58191000</v>
      </c>
      <c r="H6" s="712"/>
      <c r="I6" s="713"/>
      <c r="J6" s="712"/>
      <c r="K6" s="713"/>
      <c r="L6" s="712"/>
      <c r="M6" s="712"/>
    </row>
    <row r="7" spans="1:13" s="714" customFormat="1" ht="24" hidden="1" x14ac:dyDescent="0.25">
      <c r="A7" s="710">
        <v>2</v>
      </c>
      <c r="B7" s="712" t="s">
        <v>2246</v>
      </c>
      <c r="C7" s="713">
        <v>3921050</v>
      </c>
      <c r="D7" s="713"/>
      <c r="E7" s="713"/>
      <c r="F7" s="712" t="s">
        <v>2247</v>
      </c>
      <c r="G7" s="713">
        <f>3150000*1.19</f>
        <v>3748500</v>
      </c>
      <c r="H7" s="712"/>
      <c r="I7" s="713"/>
      <c r="J7" s="712"/>
      <c r="K7" s="713"/>
      <c r="L7" s="712"/>
      <c r="M7" s="712"/>
    </row>
    <row r="8" spans="1:13" s="714" customFormat="1" ht="36" x14ac:dyDescent="0.25">
      <c r="A8" s="871">
        <v>1</v>
      </c>
      <c r="B8" s="712" t="s">
        <v>2364</v>
      </c>
      <c r="C8" s="713">
        <v>185450876</v>
      </c>
      <c r="D8" s="712" t="s">
        <v>2364</v>
      </c>
      <c r="E8" s="713">
        <v>210058800</v>
      </c>
      <c r="F8" s="712" t="s">
        <v>2364</v>
      </c>
      <c r="G8" s="713">
        <v>224650800</v>
      </c>
      <c r="H8" s="712"/>
      <c r="I8" s="713"/>
      <c r="J8" s="712"/>
      <c r="K8" s="713"/>
      <c r="L8" s="712" t="s">
        <v>2363</v>
      </c>
      <c r="M8" s="712" t="s">
        <v>2262</v>
      </c>
    </row>
  </sheetData>
  <mergeCells count="8">
    <mergeCell ref="A1:M1"/>
    <mergeCell ref="A3:M3"/>
    <mergeCell ref="B4:C4"/>
    <mergeCell ref="D4:E4"/>
    <mergeCell ref="F4:G4"/>
    <mergeCell ref="H4:I4"/>
    <mergeCell ref="J4:K4"/>
    <mergeCell ref="A2:M2"/>
  </mergeCells>
  <pageMargins left="0.70866141732283472" right="0.70866141732283472" top="1.7322834645669292" bottom="0.74803149606299213" header="0.31496062992125984" footer="0.31496062992125984"/>
  <pageSetup paperSize="9" scale="5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pageSetUpPr fitToPage="1"/>
  </sheetPr>
  <dimension ref="A1:O19"/>
  <sheetViews>
    <sheetView zoomScale="80" zoomScaleNormal="80" zoomScaleSheetLayoutView="90" workbookViewId="0">
      <selection activeCell="A9" sqref="A9"/>
    </sheetView>
  </sheetViews>
  <sheetFormatPr baseColWidth="10" defaultColWidth="9.140625" defaultRowHeight="12" x14ac:dyDescent="0.25"/>
  <cols>
    <col min="1" max="1" width="6.28515625" style="707" bestFit="1" customWidth="1"/>
    <col min="2" max="2" width="32.42578125" style="707" customWidth="1"/>
    <col min="3" max="3" width="11.28515625" style="715" bestFit="1" customWidth="1"/>
    <col min="4" max="4" width="23" style="715" customWidth="1"/>
    <col min="5" max="5" width="11.28515625" style="715" customWidth="1"/>
    <col min="6" max="6" width="28" style="707" customWidth="1"/>
    <col min="7" max="7" width="11.28515625" style="715" bestFit="1" customWidth="1"/>
    <col min="8" max="8" width="21" style="707" hidden="1" customWidth="1"/>
    <col min="9" max="9" width="11.28515625" style="715" hidden="1" customWidth="1"/>
    <col min="10" max="10" width="25" style="707" hidden="1" customWidth="1"/>
    <col min="11" max="11" width="10.42578125" style="715" hidden="1" customWidth="1"/>
    <col min="12" max="12" width="24.7109375" style="707" bestFit="1" customWidth="1"/>
    <col min="13" max="13" width="13.140625" style="715" bestFit="1" customWidth="1"/>
    <col min="14" max="14" width="13.85546875" style="707" customWidth="1"/>
    <col min="15" max="15" width="16.140625" style="707" customWidth="1"/>
    <col min="16" max="16384" width="9.140625" style="707"/>
  </cols>
  <sheetData>
    <row r="1" spans="1:15" s="706" customFormat="1" ht="24.75" customHeight="1" x14ac:dyDescent="0.25">
      <c r="A1" s="942" t="s">
        <v>2235</v>
      </c>
      <c r="B1" s="942"/>
      <c r="C1" s="942"/>
      <c r="D1" s="942"/>
      <c r="E1" s="942"/>
      <c r="F1" s="942"/>
      <c r="G1" s="942"/>
      <c r="H1" s="942"/>
      <c r="I1" s="942"/>
      <c r="J1" s="942"/>
      <c r="K1" s="942"/>
      <c r="L1" s="942"/>
      <c r="M1" s="942"/>
    </row>
    <row r="2" spans="1:15" ht="21.75" customHeight="1" x14ac:dyDescent="0.25">
      <c r="A2" s="943" t="s">
        <v>2236</v>
      </c>
      <c r="B2" s="943"/>
      <c r="C2" s="943"/>
      <c r="D2" s="943"/>
      <c r="E2" s="943"/>
      <c r="F2" s="943"/>
      <c r="G2" s="943"/>
      <c r="H2" s="943"/>
      <c r="I2" s="943"/>
      <c r="J2" s="943"/>
      <c r="K2" s="943"/>
      <c r="L2" s="943"/>
      <c r="M2" s="943"/>
    </row>
    <row r="3" spans="1:15" ht="21.75" customHeight="1" x14ac:dyDescent="0.25">
      <c r="A3" s="944" t="s">
        <v>2237</v>
      </c>
      <c r="B3" s="944"/>
      <c r="C3" s="944"/>
      <c r="D3" s="944"/>
      <c r="E3" s="944"/>
      <c r="F3" s="944"/>
      <c r="G3" s="944"/>
      <c r="H3" s="944"/>
      <c r="I3" s="944"/>
      <c r="J3" s="944"/>
      <c r="K3" s="944"/>
      <c r="L3" s="944"/>
      <c r="M3" s="944"/>
    </row>
    <row r="4" spans="1:15" s="709" customFormat="1" ht="16.5" customHeight="1" x14ac:dyDescent="0.25">
      <c r="A4" s="843"/>
      <c r="B4" s="944" t="s">
        <v>2355</v>
      </c>
      <c r="C4" s="944"/>
      <c r="D4" s="945" t="s">
        <v>2348</v>
      </c>
      <c r="E4" s="946"/>
      <c r="F4" s="944" t="s">
        <v>2238</v>
      </c>
      <c r="G4" s="944"/>
      <c r="H4" s="944" t="s">
        <v>2239</v>
      </c>
      <c r="I4" s="944"/>
      <c r="J4" s="944" t="s">
        <v>2240</v>
      </c>
      <c r="K4" s="944"/>
      <c r="L4" s="944" t="s">
        <v>2241</v>
      </c>
      <c r="M4" s="944"/>
    </row>
    <row r="5" spans="1:15" s="706" customFormat="1" ht="24" x14ac:dyDescent="0.25">
      <c r="A5" s="710" t="s">
        <v>2242</v>
      </c>
      <c r="B5" s="710" t="s">
        <v>1204</v>
      </c>
      <c r="C5" s="711" t="s">
        <v>2243</v>
      </c>
      <c r="D5" s="710" t="s">
        <v>1204</v>
      </c>
      <c r="E5" s="711" t="s">
        <v>2243</v>
      </c>
      <c r="F5" s="710" t="s">
        <v>1204</v>
      </c>
      <c r="G5" s="711" t="s">
        <v>2243</v>
      </c>
      <c r="H5" s="710" t="s">
        <v>1204</v>
      </c>
      <c r="I5" s="711" t="s">
        <v>2243</v>
      </c>
      <c r="J5" s="710" t="s">
        <v>1204</v>
      </c>
      <c r="K5" s="711" t="s">
        <v>2243</v>
      </c>
      <c r="L5" s="710" t="s">
        <v>1204</v>
      </c>
      <c r="M5" s="711" t="s">
        <v>2243</v>
      </c>
      <c r="N5" s="710" t="s">
        <v>2260</v>
      </c>
      <c r="O5" s="710" t="s">
        <v>2261</v>
      </c>
    </row>
    <row r="6" spans="1:15" s="714" customFormat="1" ht="67.5" hidden="1" customHeight="1" x14ac:dyDescent="0.25">
      <c r="A6" s="710">
        <v>1</v>
      </c>
      <c r="B6" s="712" t="s">
        <v>2244</v>
      </c>
      <c r="C6" s="713">
        <v>58476600</v>
      </c>
      <c r="D6" s="713"/>
      <c r="E6" s="713"/>
      <c r="F6" s="712" t="s">
        <v>2245</v>
      </c>
      <c r="G6" s="713">
        <f>48900000*1.19</f>
        <v>58191000</v>
      </c>
      <c r="H6" s="712"/>
      <c r="I6" s="713"/>
      <c r="J6" s="712"/>
      <c r="K6" s="713"/>
      <c r="L6" s="712" t="s">
        <v>2245</v>
      </c>
      <c r="M6" s="713">
        <v>59370000</v>
      </c>
      <c r="N6" s="712"/>
      <c r="O6" s="712"/>
    </row>
    <row r="7" spans="1:15" s="714" customFormat="1" ht="36" hidden="1" x14ac:dyDescent="0.25">
      <c r="A7" s="710">
        <v>2</v>
      </c>
      <c r="B7" s="712" t="s">
        <v>2246</v>
      </c>
      <c r="C7" s="713">
        <v>3921050</v>
      </c>
      <c r="D7" s="713"/>
      <c r="E7" s="713"/>
      <c r="F7" s="712" t="s">
        <v>2247</v>
      </c>
      <c r="G7" s="713">
        <f>3150000*1.19</f>
        <v>3748500</v>
      </c>
      <c r="H7" s="712"/>
      <c r="I7" s="713"/>
      <c r="J7" s="712"/>
      <c r="K7" s="713"/>
      <c r="L7" s="712" t="s">
        <v>2247</v>
      </c>
      <c r="M7" s="713">
        <v>4150000</v>
      </c>
      <c r="N7" s="712"/>
      <c r="O7" s="712"/>
    </row>
    <row r="8" spans="1:15" s="714" customFormat="1" ht="132" x14ac:dyDescent="0.25">
      <c r="A8" s="717">
        <v>1</v>
      </c>
      <c r="B8" s="712" t="s">
        <v>2248</v>
      </c>
      <c r="C8" s="713">
        <v>9758000</v>
      </c>
      <c r="D8" s="852" t="s">
        <v>2350</v>
      </c>
      <c r="E8" s="713">
        <v>27350000</v>
      </c>
      <c r="F8" s="712" t="s">
        <v>2249</v>
      </c>
      <c r="G8" s="713">
        <f>8100000*1.19</f>
        <v>9639000</v>
      </c>
      <c r="H8" s="712"/>
      <c r="I8" s="713"/>
      <c r="J8" s="712"/>
      <c r="K8" s="713"/>
      <c r="L8" s="712" t="s">
        <v>2249</v>
      </c>
      <c r="M8" s="713">
        <v>10120000</v>
      </c>
      <c r="N8" s="712" t="s">
        <v>2238</v>
      </c>
      <c r="O8" s="712" t="s">
        <v>2262</v>
      </c>
    </row>
    <row r="9" spans="1:15" s="714" customFormat="1" ht="84" x14ac:dyDescent="0.25">
      <c r="A9" s="717">
        <v>2</v>
      </c>
      <c r="B9" s="712" t="s">
        <v>2347</v>
      </c>
      <c r="C9" s="713">
        <v>4800000</v>
      </c>
      <c r="D9" s="852" t="s">
        <v>2351</v>
      </c>
      <c r="E9" s="713">
        <v>5100000</v>
      </c>
      <c r="F9" s="712" t="s">
        <v>2251</v>
      </c>
      <c r="G9" s="713">
        <f>3800000*1.19</f>
        <v>4522000</v>
      </c>
      <c r="H9" s="712"/>
      <c r="I9" s="713"/>
      <c r="J9" s="712"/>
      <c r="K9" s="713"/>
      <c r="L9" s="712" t="s">
        <v>2251</v>
      </c>
      <c r="M9" s="713">
        <v>4830000</v>
      </c>
      <c r="N9" s="712" t="s">
        <v>2238</v>
      </c>
      <c r="O9" s="712" t="s">
        <v>2262</v>
      </c>
    </row>
    <row r="10" spans="1:15" s="714" customFormat="1" ht="48" hidden="1" x14ac:dyDescent="0.25">
      <c r="A10" s="710">
        <v>5</v>
      </c>
      <c r="B10" s="712"/>
      <c r="C10" s="713"/>
      <c r="D10" s="713"/>
      <c r="E10" s="713"/>
      <c r="F10" s="712" t="s">
        <v>2252</v>
      </c>
      <c r="G10" s="713">
        <f>5714000*1.19</f>
        <v>6799660</v>
      </c>
      <c r="H10" s="712"/>
      <c r="I10" s="713"/>
      <c r="J10" s="712" t="s">
        <v>2253</v>
      </c>
      <c r="K10" s="713">
        <f>4000000*1.19</f>
        <v>4760000</v>
      </c>
      <c r="L10" s="712" t="s">
        <v>2252</v>
      </c>
      <c r="M10" s="713">
        <v>7280000</v>
      </c>
    </row>
    <row r="11" spans="1:15" s="714" customFormat="1" ht="36" hidden="1" x14ac:dyDescent="0.25">
      <c r="A11" s="710">
        <v>6</v>
      </c>
      <c r="B11" s="712"/>
      <c r="C11" s="713"/>
      <c r="D11" s="713"/>
      <c r="E11" s="713"/>
      <c r="F11" s="712" t="s">
        <v>2254</v>
      </c>
      <c r="G11" s="713">
        <f>1850000*1.19</f>
        <v>2201500</v>
      </c>
      <c r="H11" s="712"/>
      <c r="I11" s="713"/>
      <c r="J11" s="712" t="s">
        <v>2255</v>
      </c>
      <c r="K11" s="713">
        <f>1178000*1.19</f>
        <v>1401820</v>
      </c>
      <c r="L11" s="712" t="s">
        <v>2254</v>
      </c>
      <c r="M11" s="713">
        <v>2630000</v>
      </c>
    </row>
    <row r="12" spans="1:15" s="714" customFormat="1" ht="24" hidden="1" x14ac:dyDescent="0.25">
      <c r="A12" s="710">
        <v>7</v>
      </c>
      <c r="B12" s="712"/>
      <c r="C12" s="713"/>
      <c r="D12" s="713"/>
      <c r="E12" s="713"/>
      <c r="F12" s="712" t="s">
        <v>2256</v>
      </c>
      <c r="G12" s="713">
        <f>45000000*1.19</f>
        <v>53550000</v>
      </c>
      <c r="H12" s="712"/>
      <c r="I12" s="713"/>
      <c r="J12" s="712"/>
      <c r="K12" s="713"/>
      <c r="L12" s="712" t="s">
        <v>2257</v>
      </c>
      <c r="M12" s="713">
        <v>57000000</v>
      </c>
    </row>
    <row r="13" spans="1:15" s="714" customFormat="1" ht="96" hidden="1" x14ac:dyDescent="0.25">
      <c r="A13" s="710">
        <v>8</v>
      </c>
      <c r="B13" s="712"/>
      <c r="C13" s="713"/>
      <c r="D13" s="713"/>
      <c r="E13" s="713"/>
      <c r="F13" s="712" t="s">
        <v>2258</v>
      </c>
      <c r="G13" s="713">
        <f>81000000*1.19</f>
        <v>96390000</v>
      </c>
      <c r="H13" s="712" t="s">
        <v>2259</v>
      </c>
      <c r="I13" s="713">
        <f>52360000+23800000</f>
        <v>76160000</v>
      </c>
      <c r="J13" s="712"/>
      <c r="K13" s="713"/>
      <c r="L13" s="712"/>
      <c r="M13" s="713"/>
    </row>
    <row r="14" spans="1:15" s="714" customFormat="1" hidden="1" x14ac:dyDescent="0.25">
      <c r="A14" s="710">
        <v>9</v>
      </c>
      <c r="B14" s="712"/>
      <c r="C14" s="713"/>
      <c r="D14" s="713"/>
      <c r="E14" s="713"/>
      <c r="F14" s="712"/>
      <c r="G14" s="713"/>
      <c r="H14" s="712"/>
      <c r="I14" s="713"/>
      <c r="J14" s="712"/>
      <c r="K14" s="713"/>
      <c r="L14" s="712"/>
      <c r="M14" s="713"/>
    </row>
    <row r="15" spans="1:15" s="714" customFormat="1" hidden="1" x14ac:dyDescent="0.25">
      <c r="A15" s="846">
        <v>10</v>
      </c>
      <c r="B15" s="847"/>
      <c r="C15" s="848"/>
      <c r="D15" s="848"/>
      <c r="E15" s="848"/>
      <c r="F15" s="847"/>
      <c r="G15" s="848"/>
      <c r="H15" s="847"/>
      <c r="I15" s="848"/>
      <c r="J15" s="847"/>
      <c r="K15" s="848"/>
      <c r="L15" s="847"/>
      <c r="M15" s="848"/>
    </row>
    <row r="16" spans="1:15" s="714" customFormat="1" ht="33.950000000000003" customHeight="1" x14ac:dyDescent="0.25">
      <c r="A16" s="849">
        <v>3</v>
      </c>
      <c r="B16" s="853" t="s">
        <v>2342</v>
      </c>
      <c r="C16" s="864">
        <v>3100000</v>
      </c>
      <c r="D16" s="852" t="s">
        <v>2352</v>
      </c>
      <c r="E16" s="713">
        <v>6300000</v>
      </c>
      <c r="F16" s="850" t="s">
        <v>2342</v>
      </c>
      <c r="G16" s="713">
        <v>3748500</v>
      </c>
      <c r="H16" s="712"/>
      <c r="I16" s="713"/>
      <c r="J16" s="712"/>
      <c r="K16" s="713"/>
      <c r="L16" s="850" t="s">
        <v>2342</v>
      </c>
      <c r="M16" s="713">
        <v>4150000</v>
      </c>
      <c r="N16" s="712"/>
      <c r="O16" s="712"/>
    </row>
    <row r="17" spans="1:15" s="714" customFormat="1" ht="24" x14ac:dyDescent="0.25">
      <c r="A17" s="849">
        <v>4</v>
      </c>
      <c r="B17" s="850" t="s">
        <v>2343</v>
      </c>
      <c r="C17" s="713"/>
      <c r="D17" s="713"/>
      <c r="E17" s="713"/>
      <c r="F17" s="853" t="s">
        <v>2343</v>
      </c>
      <c r="G17" s="713">
        <v>53550000</v>
      </c>
      <c r="H17" s="712"/>
      <c r="I17" s="713"/>
      <c r="J17" s="712"/>
      <c r="K17" s="713"/>
      <c r="L17" s="853" t="s">
        <v>2343</v>
      </c>
      <c r="M17" s="713">
        <v>57000000</v>
      </c>
      <c r="N17" s="712"/>
      <c r="O17" s="712"/>
    </row>
    <row r="18" spans="1:15" s="714" customFormat="1" ht="96" x14ac:dyDescent="0.25">
      <c r="A18" s="707">
        <v>5</v>
      </c>
      <c r="B18" s="850" t="s">
        <v>2345</v>
      </c>
      <c r="C18" s="715">
        <v>27490000</v>
      </c>
      <c r="D18" s="865" t="s">
        <v>2349</v>
      </c>
      <c r="E18" s="866">
        <v>27000000</v>
      </c>
      <c r="G18" s="715"/>
      <c r="I18" s="715"/>
      <c r="K18" s="715"/>
      <c r="M18" s="715"/>
    </row>
    <row r="19" spans="1:15" s="714" customFormat="1" ht="135" x14ac:dyDescent="0.25">
      <c r="A19" s="707"/>
      <c r="B19" s="851" t="s">
        <v>2346</v>
      </c>
      <c r="C19" s="715">
        <v>5110000</v>
      </c>
      <c r="D19" s="715"/>
      <c r="E19" s="715"/>
      <c r="G19" s="715"/>
      <c r="I19" s="715"/>
      <c r="K19" s="715"/>
      <c r="M19" s="715"/>
    </row>
  </sheetData>
  <mergeCells count="9">
    <mergeCell ref="A1:M1"/>
    <mergeCell ref="A2:M2"/>
    <mergeCell ref="A3:M3"/>
    <mergeCell ref="B4:C4"/>
    <mergeCell ref="F4:G4"/>
    <mergeCell ref="H4:I4"/>
    <mergeCell ref="J4:K4"/>
    <mergeCell ref="L4:M4"/>
    <mergeCell ref="D4:E4"/>
  </mergeCells>
  <pageMargins left="0.7" right="0.7" top="0.75" bottom="0.75" header="0.3" footer="0.3"/>
  <pageSetup paperSize="9" scale="5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O23"/>
  <sheetViews>
    <sheetView zoomScale="110" zoomScaleNormal="110" zoomScaleSheetLayoutView="90" workbookViewId="0">
      <selection activeCell="B18" sqref="B18"/>
    </sheetView>
  </sheetViews>
  <sheetFormatPr baseColWidth="10" defaultColWidth="9.140625" defaultRowHeight="12" x14ac:dyDescent="0.25"/>
  <cols>
    <col min="1" max="1" width="6.28515625" style="707" bestFit="1" customWidth="1"/>
    <col min="2" max="2" width="32.42578125" style="707" customWidth="1"/>
    <col min="3" max="3" width="11.28515625" style="715" bestFit="1" customWidth="1"/>
    <col min="4" max="4" width="28" style="707" customWidth="1"/>
    <col min="5" max="5" width="11.28515625" style="715" bestFit="1" customWidth="1"/>
    <col min="6" max="6" width="21" style="707" hidden="1" customWidth="1"/>
    <col min="7" max="7" width="11.28515625" style="715" hidden="1" customWidth="1"/>
    <col min="8" max="8" width="25" style="707" hidden="1" customWidth="1"/>
    <col min="9" max="9" width="10.42578125" style="715" hidden="1" customWidth="1"/>
    <col min="10" max="10" width="25" style="707" customWidth="1"/>
    <col min="11" max="11" width="11.28515625" style="715" bestFit="1" customWidth="1"/>
    <col min="12" max="12" width="24.7109375" style="707" bestFit="1" customWidth="1"/>
    <col min="13" max="13" width="17.28515625" style="715" customWidth="1"/>
    <col min="14" max="14" width="13.85546875" style="707" customWidth="1"/>
    <col min="15" max="15" width="16.140625" style="707" customWidth="1"/>
    <col min="16" max="16384" width="9.140625" style="707"/>
  </cols>
  <sheetData>
    <row r="1" spans="1:15" s="706" customFormat="1" ht="24.75" customHeight="1" x14ac:dyDescent="0.25">
      <c r="A1" s="942" t="s">
        <v>2235</v>
      </c>
      <c r="B1" s="942"/>
      <c r="C1" s="942"/>
      <c r="D1" s="942"/>
      <c r="E1" s="942"/>
      <c r="F1" s="942"/>
      <c r="G1" s="942"/>
      <c r="H1" s="942"/>
      <c r="I1" s="942"/>
      <c r="J1" s="942"/>
      <c r="K1" s="942"/>
      <c r="L1" s="942"/>
      <c r="M1" s="942"/>
    </row>
    <row r="2" spans="1:15" ht="21.75" customHeight="1" x14ac:dyDescent="0.25">
      <c r="A2" s="943" t="s">
        <v>2236</v>
      </c>
      <c r="B2" s="943"/>
      <c r="C2" s="943"/>
      <c r="D2" s="943"/>
      <c r="E2" s="943"/>
      <c r="F2" s="943"/>
      <c r="G2" s="943"/>
      <c r="H2" s="943"/>
      <c r="I2" s="943"/>
      <c r="J2" s="943"/>
      <c r="K2" s="943"/>
      <c r="L2" s="943"/>
      <c r="M2" s="943"/>
    </row>
    <row r="3" spans="1:15" ht="21.75" customHeight="1" x14ac:dyDescent="0.25">
      <c r="A3" s="944" t="s">
        <v>2237</v>
      </c>
      <c r="B3" s="944"/>
      <c r="C3" s="944"/>
      <c r="D3" s="944"/>
      <c r="E3" s="944"/>
      <c r="F3" s="944"/>
      <c r="G3" s="944"/>
      <c r="H3" s="944"/>
      <c r="I3" s="944"/>
      <c r="J3" s="944"/>
      <c r="K3" s="944"/>
      <c r="L3" s="944"/>
      <c r="M3" s="944"/>
    </row>
    <row r="4" spans="1:15" s="709" customFormat="1" ht="16.5" customHeight="1" x14ac:dyDescent="0.25">
      <c r="A4" s="708"/>
      <c r="B4" s="944" t="s">
        <v>2355</v>
      </c>
      <c r="C4" s="944"/>
      <c r="D4" s="944" t="s">
        <v>2356</v>
      </c>
      <c r="E4" s="944"/>
      <c r="F4" s="944" t="s">
        <v>2239</v>
      </c>
      <c r="G4" s="944"/>
      <c r="H4" s="944" t="s">
        <v>2240</v>
      </c>
      <c r="I4" s="944"/>
      <c r="J4" s="944" t="s">
        <v>2348</v>
      </c>
      <c r="K4" s="944"/>
      <c r="L4" s="944" t="s">
        <v>2357</v>
      </c>
      <c r="M4" s="944"/>
    </row>
    <row r="5" spans="1:15" s="706" customFormat="1" ht="24" x14ac:dyDescent="0.25">
      <c r="A5" s="710" t="s">
        <v>2242</v>
      </c>
      <c r="B5" s="710" t="s">
        <v>1204</v>
      </c>
      <c r="C5" s="711" t="s">
        <v>2243</v>
      </c>
      <c r="D5" s="710" t="s">
        <v>1204</v>
      </c>
      <c r="E5" s="711" t="s">
        <v>2243</v>
      </c>
      <c r="F5" s="710" t="s">
        <v>1204</v>
      </c>
      <c r="G5" s="711" t="s">
        <v>2243</v>
      </c>
      <c r="H5" s="710" t="s">
        <v>1204</v>
      </c>
      <c r="I5" s="711" t="s">
        <v>2243</v>
      </c>
      <c r="J5" s="710" t="s">
        <v>1204</v>
      </c>
      <c r="K5" s="711" t="s">
        <v>2243</v>
      </c>
      <c r="L5" s="710" t="s">
        <v>1204</v>
      </c>
      <c r="M5" s="711" t="s">
        <v>2243</v>
      </c>
      <c r="N5" s="710" t="s">
        <v>2260</v>
      </c>
      <c r="O5" s="710" t="s">
        <v>2261</v>
      </c>
    </row>
    <row r="6" spans="1:15" s="714" customFormat="1" ht="67.5" hidden="1" customHeight="1" x14ac:dyDescent="0.25">
      <c r="A6" s="710">
        <v>1</v>
      </c>
      <c r="B6" s="712" t="s">
        <v>2244</v>
      </c>
      <c r="C6" s="713">
        <v>58476600</v>
      </c>
      <c r="D6" s="712" t="s">
        <v>2245</v>
      </c>
      <c r="E6" s="713">
        <f>48900000*1.19</f>
        <v>58191000</v>
      </c>
      <c r="F6" s="712"/>
      <c r="G6" s="713"/>
      <c r="H6" s="712"/>
      <c r="I6" s="713"/>
      <c r="J6" s="712" t="s">
        <v>2245</v>
      </c>
      <c r="K6" s="713">
        <v>58841000</v>
      </c>
      <c r="L6" s="712" t="s">
        <v>2245</v>
      </c>
      <c r="M6" s="713">
        <v>59370000</v>
      </c>
      <c r="N6" s="712"/>
      <c r="O6" s="712"/>
    </row>
    <row r="7" spans="1:15" s="714" customFormat="1" ht="36" hidden="1" x14ac:dyDescent="0.25">
      <c r="A7" s="710">
        <v>2</v>
      </c>
      <c r="B7" s="712" t="s">
        <v>2246</v>
      </c>
      <c r="C7" s="713">
        <v>3921050</v>
      </c>
      <c r="D7" s="712" t="s">
        <v>2247</v>
      </c>
      <c r="E7" s="713">
        <f>3150000*1.19</f>
        <v>3748500</v>
      </c>
      <c r="F7" s="712"/>
      <c r="G7" s="713"/>
      <c r="H7" s="712"/>
      <c r="I7" s="713"/>
      <c r="J7" s="712" t="s">
        <v>2247</v>
      </c>
      <c r="K7" s="713">
        <v>4398500</v>
      </c>
      <c r="L7" s="712" t="s">
        <v>2247</v>
      </c>
      <c r="M7" s="713">
        <v>4150000</v>
      </c>
      <c r="N7" s="712"/>
      <c r="O7" s="712"/>
    </row>
    <row r="8" spans="1:15" s="714" customFormat="1" ht="36" x14ac:dyDescent="0.25">
      <c r="A8" s="871">
        <v>1</v>
      </c>
      <c r="B8" s="712" t="s">
        <v>2408</v>
      </c>
      <c r="C8" s="713">
        <v>9750000</v>
      </c>
      <c r="D8" s="712"/>
      <c r="E8" s="713"/>
      <c r="F8" s="712"/>
      <c r="G8" s="713"/>
      <c r="H8" s="712"/>
      <c r="I8" s="713"/>
      <c r="J8" s="712" t="s">
        <v>2408</v>
      </c>
      <c r="K8" s="713">
        <v>9500000</v>
      </c>
      <c r="L8" s="712" t="s">
        <v>2408</v>
      </c>
      <c r="M8" s="713">
        <v>9758000</v>
      </c>
      <c r="N8" s="712" t="s">
        <v>2348</v>
      </c>
      <c r="O8" s="712" t="s">
        <v>2262</v>
      </c>
    </row>
    <row r="9" spans="1:15" s="714" customFormat="1" ht="96" hidden="1" x14ac:dyDescent="0.25">
      <c r="A9" s="871">
        <v>2</v>
      </c>
      <c r="B9" s="712" t="s">
        <v>2250</v>
      </c>
      <c r="C9" s="713">
        <f>4650008</f>
        <v>4650008</v>
      </c>
      <c r="D9" s="712" t="s">
        <v>2251</v>
      </c>
      <c r="E9" s="713">
        <f>3800000*1.19</f>
        <v>4522000</v>
      </c>
      <c r="F9" s="712"/>
      <c r="G9" s="713"/>
      <c r="H9" s="712"/>
      <c r="I9" s="713"/>
      <c r="J9" s="712" t="s">
        <v>2250</v>
      </c>
      <c r="K9" s="713">
        <v>5172000</v>
      </c>
      <c r="L9" s="712" t="s">
        <v>2250</v>
      </c>
      <c r="M9" s="713">
        <v>4830000</v>
      </c>
      <c r="N9" s="712" t="s">
        <v>2238</v>
      </c>
      <c r="O9" s="712" t="s">
        <v>2262</v>
      </c>
    </row>
    <row r="10" spans="1:15" s="714" customFormat="1" ht="48" hidden="1" x14ac:dyDescent="0.25">
      <c r="A10" s="849">
        <v>5</v>
      </c>
      <c r="B10" s="712"/>
      <c r="C10" s="713"/>
      <c r="D10" s="712" t="s">
        <v>2252</v>
      </c>
      <c r="E10" s="713">
        <f>5714000*1.19</f>
        <v>6799660</v>
      </c>
      <c r="F10" s="712"/>
      <c r="G10" s="713"/>
      <c r="H10" s="712" t="s">
        <v>2253</v>
      </c>
      <c r="I10" s="713">
        <f>4000000*1.19</f>
        <v>4760000</v>
      </c>
      <c r="J10" s="712"/>
      <c r="K10" s="713">
        <v>7449000</v>
      </c>
      <c r="L10" s="712"/>
      <c r="M10" s="713">
        <v>7280000</v>
      </c>
    </row>
    <row r="11" spans="1:15" s="714" customFormat="1" ht="36" hidden="1" x14ac:dyDescent="0.25">
      <c r="A11" s="849">
        <v>6</v>
      </c>
      <c r="B11" s="712"/>
      <c r="C11" s="713"/>
      <c r="D11" s="712" t="s">
        <v>2254</v>
      </c>
      <c r="E11" s="713">
        <f>1850000*1.19</f>
        <v>2201500</v>
      </c>
      <c r="F11" s="712"/>
      <c r="G11" s="713"/>
      <c r="H11" s="712" t="s">
        <v>2255</v>
      </c>
      <c r="I11" s="713">
        <f>1178000*1.19</f>
        <v>1401820</v>
      </c>
      <c r="J11" s="712"/>
      <c r="K11" s="713">
        <v>2860500</v>
      </c>
      <c r="L11" s="712"/>
      <c r="M11" s="713">
        <v>2630000</v>
      </c>
    </row>
    <row r="12" spans="1:15" s="714" customFormat="1" ht="24" hidden="1" x14ac:dyDescent="0.25">
      <c r="A12" s="849">
        <v>7</v>
      </c>
      <c r="B12" s="712"/>
      <c r="C12" s="713"/>
      <c r="D12" s="712" t="s">
        <v>2256</v>
      </c>
      <c r="E12" s="713">
        <f>45000000*1.19</f>
        <v>53550000</v>
      </c>
      <c r="F12" s="712"/>
      <c r="G12" s="713"/>
      <c r="H12" s="712"/>
      <c r="I12" s="713"/>
      <c r="J12" s="712"/>
      <c r="K12" s="713">
        <v>54210000</v>
      </c>
      <c r="L12" s="712"/>
      <c r="M12" s="713">
        <v>57000000</v>
      </c>
    </row>
    <row r="13" spans="1:15" s="714" customFormat="1" ht="96" hidden="1" x14ac:dyDescent="0.25">
      <c r="A13" s="849">
        <v>8</v>
      </c>
      <c r="B13" s="712"/>
      <c r="C13" s="713"/>
      <c r="D13" s="712" t="s">
        <v>2258</v>
      </c>
      <c r="E13" s="713">
        <f>81000000*1.19</f>
        <v>96390000</v>
      </c>
      <c r="F13" s="712" t="s">
        <v>2259</v>
      </c>
      <c r="G13" s="713">
        <f>52360000+23800000</f>
        <v>76160000</v>
      </c>
      <c r="H13" s="712"/>
      <c r="I13" s="713"/>
      <c r="J13" s="712"/>
      <c r="K13" s="713">
        <v>97040000</v>
      </c>
      <c r="L13" s="712"/>
      <c r="M13" s="713"/>
    </row>
    <row r="14" spans="1:15" s="714" customFormat="1" hidden="1" x14ac:dyDescent="0.25">
      <c r="A14" s="849">
        <v>9</v>
      </c>
      <c r="B14" s="712"/>
      <c r="C14" s="713"/>
      <c r="D14" s="712"/>
      <c r="E14" s="713"/>
      <c r="F14" s="712"/>
      <c r="G14" s="713"/>
      <c r="H14" s="712"/>
      <c r="I14" s="713"/>
      <c r="J14" s="712"/>
      <c r="K14" s="713">
        <v>7000000</v>
      </c>
      <c r="L14" s="712"/>
      <c r="M14" s="713"/>
    </row>
    <row r="15" spans="1:15" s="714" customFormat="1" hidden="1" x14ac:dyDescent="0.25">
      <c r="A15" s="895">
        <v>10</v>
      </c>
      <c r="B15" s="847"/>
      <c r="C15" s="848"/>
      <c r="D15" s="847"/>
      <c r="E15" s="848"/>
      <c r="F15" s="847"/>
      <c r="G15" s="848"/>
      <c r="H15" s="847"/>
      <c r="I15" s="848"/>
      <c r="J15" s="847"/>
      <c r="K15" s="848">
        <v>23513965</v>
      </c>
      <c r="L15" s="847"/>
      <c r="M15" s="848"/>
    </row>
    <row r="16" spans="1:15" s="714" customFormat="1" ht="33.950000000000003" customHeight="1" x14ac:dyDescent="0.25">
      <c r="A16" s="849">
        <v>2</v>
      </c>
      <c r="B16" s="850" t="s">
        <v>2407</v>
      </c>
      <c r="C16" s="713">
        <v>42811792.399999999</v>
      </c>
      <c r="D16" s="850" t="s">
        <v>2407</v>
      </c>
      <c r="E16" s="713">
        <v>57800510</v>
      </c>
      <c r="F16" s="712"/>
      <c r="G16" s="713"/>
      <c r="H16" s="712"/>
      <c r="I16" s="713"/>
      <c r="J16" s="850" t="s">
        <v>2407</v>
      </c>
      <c r="K16" s="713">
        <v>57350000</v>
      </c>
      <c r="L16" s="850" t="s">
        <v>2407</v>
      </c>
      <c r="M16" s="713">
        <v>57490000</v>
      </c>
      <c r="N16" s="712" t="s">
        <v>2355</v>
      </c>
      <c r="O16" s="712" t="s">
        <v>2262</v>
      </c>
    </row>
    <row r="17" spans="1:15" s="894" customFormat="1" ht="24" hidden="1" x14ac:dyDescent="0.25">
      <c r="A17" s="892">
        <v>4</v>
      </c>
      <c r="B17" s="853" t="s">
        <v>2343</v>
      </c>
      <c r="C17" s="864"/>
      <c r="D17" s="853" t="s">
        <v>2343</v>
      </c>
      <c r="E17" s="864">
        <v>53550000</v>
      </c>
      <c r="F17" s="893"/>
      <c r="G17" s="864"/>
      <c r="H17" s="893"/>
      <c r="I17" s="864"/>
      <c r="J17" s="853" t="s">
        <v>2343</v>
      </c>
      <c r="K17" s="864">
        <v>54210000</v>
      </c>
      <c r="L17" s="853" t="s">
        <v>2343</v>
      </c>
      <c r="M17" s="864">
        <v>57000000</v>
      </c>
      <c r="N17" s="893"/>
      <c r="O17" s="893"/>
    </row>
    <row r="18" spans="1:15" s="714" customFormat="1" ht="132" x14ac:dyDescent="0.25">
      <c r="A18" s="717">
        <v>3</v>
      </c>
      <c r="B18" s="712" t="s">
        <v>2464</v>
      </c>
      <c r="C18" s="713">
        <v>4522000</v>
      </c>
      <c r="D18" s="852" t="s">
        <v>2465</v>
      </c>
      <c r="E18" s="713">
        <v>12500000</v>
      </c>
      <c r="F18" s="712" t="s">
        <v>2359</v>
      </c>
      <c r="G18" s="713">
        <v>10504202</v>
      </c>
      <c r="H18" s="712"/>
      <c r="I18" s="713"/>
      <c r="J18" s="712" t="s">
        <v>2466</v>
      </c>
      <c r="K18" s="713">
        <v>5100000</v>
      </c>
      <c r="L18" s="712" t="s">
        <v>2346</v>
      </c>
      <c r="M18" s="713">
        <v>5110000</v>
      </c>
      <c r="N18" s="712" t="s">
        <v>2355</v>
      </c>
      <c r="O18" s="712" t="s">
        <v>2262</v>
      </c>
    </row>
    <row r="19" spans="1:15" s="714" customFormat="1" x14ac:dyDescent="0.25">
      <c r="A19" s="707"/>
      <c r="C19" s="715"/>
      <c r="E19" s="715"/>
      <c r="G19" s="715"/>
      <c r="I19" s="715"/>
      <c r="K19" s="715"/>
      <c r="M19" s="715"/>
    </row>
    <row r="20" spans="1:15" ht="12.75" x14ac:dyDescent="0.25">
      <c r="A20" s="945" t="s">
        <v>2237</v>
      </c>
      <c r="B20" s="950"/>
      <c r="C20" s="950"/>
      <c r="D20" s="950"/>
      <c r="E20" s="950"/>
      <c r="F20" s="950"/>
      <c r="G20" s="950"/>
      <c r="H20" s="950"/>
      <c r="I20" s="950"/>
      <c r="J20" s="950"/>
      <c r="K20" s="950"/>
      <c r="L20" s="950"/>
      <c r="M20" s="946"/>
    </row>
    <row r="21" spans="1:15" ht="12.75" x14ac:dyDescent="0.25">
      <c r="A21" s="915"/>
      <c r="B21" s="944" t="s">
        <v>2363</v>
      </c>
      <c r="C21" s="944"/>
      <c r="D21" s="945" t="s">
        <v>2365</v>
      </c>
      <c r="E21" s="946"/>
      <c r="F21" s="944" t="s">
        <v>2366</v>
      </c>
      <c r="G21" s="944"/>
      <c r="H21" s="944" t="s">
        <v>2239</v>
      </c>
      <c r="I21" s="944"/>
      <c r="J21" s="944" t="s">
        <v>2240</v>
      </c>
      <c r="K21" s="944"/>
      <c r="L21" s="916"/>
      <c r="M21" s="917"/>
    </row>
    <row r="22" spans="1:15" ht="24" x14ac:dyDescent="0.25">
      <c r="A22" s="710" t="s">
        <v>2242</v>
      </c>
      <c r="B22" s="710" t="s">
        <v>1204</v>
      </c>
      <c r="C22" s="711" t="s">
        <v>2243</v>
      </c>
      <c r="D22" s="710" t="s">
        <v>1204</v>
      </c>
      <c r="E22" s="711" t="s">
        <v>2243</v>
      </c>
      <c r="F22" s="710" t="s">
        <v>1204</v>
      </c>
      <c r="G22" s="711" t="s">
        <v>2243</v>
      </c>
      <c r="H22" s="710" t="s">
        <v>1204</v>
      </c>
      <c r="I22" s="711" t="s">
        <v>2243</v>
      </c>
      <c r="J22" s="710" t="s">
        <v>1204</v>
      </c>
      <c r="K22" s="711" t="s">
        <v>2243</v>
      </c>
      <c r="L22" s="710" t="s">
        <v>2260</v>
      </c>
      <c r="M22" s="710" t="s">
        <v>2261</v>
      </c>
    </row>
    <row r="23" spans="1:15" ht="36" x14ac:dyDescent="0.25">
      <c r="A23" s="871">
        <v>4</v>
      </c>
      <c r="B23" s="712" t="s">
        <v>2364</v>
      </c>
      <c r="C23" s="713">
        <v>185450876</v>
      </c>
      <c r="D23" s="712" t="s">
        <v>2364</v>
      </c>
      <c r="E23" s="713">
        <v>210058800</v>
      </c>
      <c r="F23" s="712" t="s">
        <v>2364</v>
      </c>
      <c r="G23" s="713">
        <v>224650800</v>
      </c>
      <c r="H23" s="712"/>
      <c r="I23" s="713"/>
      <c r="J23" s="712"/>
      <c r="K23" s="713"/>
      <c r="L23" s="712" t="s">
        <v>2363</v>
      </c>
      <c r="M23" s="712" t="s">
        <v>2262</v>
      </c>
    </row>
  </sheetData>
  <mergeCells count="15">
    <mergeCell ref="A1:M1"/>
    <mergeCell ref="A2:M2"/>
    <mergeCell ref="A3:M3"/>
    <mergeCell ref="B4:C4"/>
    <mergeCell ref="D4:E4"/>
    <mergeCell ref="F4:G4"/>
    <mergeCell ref="H4:I4"/>
    <mergeCell ref="J4:K4"/>
    <mergeCell ref="L4:M4"/>
    <mergeCell ref="A20:M20"/>
    <mergeCell ref="B21:C21"/>
    <mergeCell ref="D21:E21"/>
    <mergeCell ref="F21:G21"/>
    <mergeCell ref="H21:I21"/>
    <mergeCell ref="J21:K21"/>
  </mergeCells>
  <pageMargins left="0.7" right="0.7" top="0.75" bottom="0.75" header="0.3" footer="0.3"/>
  <pageSetup paperSize="9" scale="6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dimension ref="A1:P79"/>
  <sheetViews>
    <sheetView view="pageBreakPreview" topLeftCell="B5" zoomScale="175" zoomScaleNormal="130" zoomScaleSheetLayoutView="90" zoomScalePageLayoutView="130" workbookViewId="0">
      <selection activeCell="K11" sqref="K11"/>
    </sheetView>
  </sheetViews>
  <sheetFormatPr baseColWidth="10" defaultRowHeight="15" x14ac:dyDescent="0.25"/>
  <cols>
    <col min="1" max="1" width="7.28515625" style="774" customWidth="1"/>
    <col min="2" max="2" width="38" style="828" customWidth="1"/>
    <col min="3" max="3" width="6" style="774" customWidth="1"/>
    <col min="4" max="4" width="7" style="774" customWidth="1"/>
    <col min="5" max="5" width="8" style="776" customWidth="1"/>
    <col min="6" max="6" width="12.7109375" style="771" customWidth="1"/>
    <col min="7" max="7" width="8.7109375" style="777" customWidth="1"/>
    <col min="8" max="8" width="13.7109375" style="771" customWidth="1"/>
    <col min="9" max="9" width="9.140625" style="779" customWidth="1"/>
    <col min="10" max="10" width="8.85546875" style="779" bestFit="1" customWidth="1"/>
    <col min="11" max="11" width="21" style="771" customWidth="1"/>
    <col min="12" max="12" width="20.42578125" style="771" customWidth="1"/>
    <col min="13" max="13" width="16.42578125" style="771" bestFit="1" customWidth="1"/>
    <col min="14" max="14" width="17.7109375" style="771" bestFit="1" customWidth="1"/>
    <col min="15" max="15" width="11.42578125" style="771"/>
    <col min="16" max="16" width="14.85546875" style="771" bestFit="1" customWidth="1"/>
    <col min="17" max="254" width="11.42578125" style="771"/>
    <col min="255" max="255" width="7.28515625" style="771" customWidth="1"/>
    <col min="256" max="256" width="34" style="771" customWidth="1"/>
    <col min="257" max="258" width="0" style="771" hidden="1" customWidth="1"/>
    <col min="259" max="259" width="8.42578125" style="771" customWidth="1"/>
    <col min="260" max="260" width="7.42578125" style="771" customWidth="1"/>
    <col min="261" max="261" width="14.42578125" style="771" customWidth="1"/>
    <col min="262" max="262" width="12" style="771" customWidth="1"/>
    <col min="263" max="263" width="15.28515625" style="771" customWidth="1"/>
    <col min="264" max="265" width="8" style="771" bestFit="1" customWidth="1"/>
    <col min="266" max="266" width="15" style="771" bestFit="1" customWidth="1"/>
    <col min="267" max="267" width="11.42578125" style="771"/>
    <col min="268" max="268" width="18.42578125" style="771" customWidth="1"/>
    <col min="269" max="510" width="11.42578125" style="771"/>
    <col min="511" max="511" width="7.28515625" style="771" customWidth="1"/>
    <col min="512" max="512" width="34" style="771" customWidth="1"/>
    <col min="513" max="514" width="0" style="771" hidden="1" customWidth="1"/>
    <col min="515" max="515" width="8.42578125" style="771" customWidth="1"/>
    <col min="516" max="516" width="7.42578125" style="771" customWidth="1"/>
    <col min="517" max="517" width="14.42578125" style="771" customWidth="1"/>
    <col min="518" max="518" width="12" style="771" customWidth="1"/>
    <col min="519" max="519" width="15.28515625" style="771" customWidth="1"/>
    <col min="520" max="521" width="8" style="771" bestFit="1" customWidth="1"/>
    <col min="522" max="522" width="15" style="771" bestFit="1" customWidth="1"/>
    <col min="523" max="523" width="11.42578125" style="771"/>
    <col min="524" max="524" width="18.42578125" style="771" customWidth="1"/>
    <col min="525" max="766" width="11.42578125" style="771"/>
    <col min="767" max="767" width="7.28515625" style="771" customWidth="1"/>
    <col min="768" max="768" width="34" style="771" customWidth="1"/>
    <col min="769" max="770" width="0" style="771" hidden="1" customWidth="1"/>
    <col min="771" max="771" width="8.42578125" style="771" customWidth="1"/>
    <col min="772" max="772" width="7.42578125" style="771" customWidth="1"/>
    <col min="773" max="773" width="14.42578125" style="771" customWidth="1"/>
    <col min="774" max="774" width="12" style="771" customWidth="1"/>
    <col min="775" max="775" width="15.28515625" style="771" customWidth="1"/>
    <col min="776" max="777" width="8" style="771" bestFit="1" customWidth="1"/>
    <col min="778" max="778" width="15" style="771" bestFit="1" customWidth="1"/>
    <col min="779" max="779" width="11.42578125" style="771"/>
    <col min="780" max="780" width="18.42578125" style="771" customWidth="1"/>
    <col min="781" max="1022" width="11.42578125" style="771"/>
    <col min="1023" max="1023" width="7.28515625" style="771" customWidth="1"/>
    <col min="1024" max="1024" width="34" style="771" customWidth="1"/>
    <col min="1025" max="1026" width="0" style="771" hidden="1" customWidth="1"/>
    <col min="1027" max="1027" width="8.42578125" style="771" customWidth="1"/>
    <col min="1028" max="1028" width="7.42578125" style="771" customWidth="1"/>
    <col min="1029" max="1029" width="14.42578125" style="771" customWidth="1"/>
    <col min="1030" max="1030" width="12" style="771" customWidth="1"/>
    <col min="1031" max="1031" width="15.28515625" style="771" customWidth="1"/>
    <col min="1032" max="1033" width="8" style="771" bestFit="1" customWidth="1"/>
    <col min="1034" max="1034" width="15" style="771" bestFit="1" customWidth="1"/>
    <col min="1035" max="1035" width="11.42578125" style="771"/>
    <col min="1036" max="1036" width="18.42578125" style="771" customWidth="1"/>
    <col min="1037" max="1278" width="11.42578125" style="771"/>
    <col min="1279" max="1279" width="7.28515625" style="771" customWidth="1"/>
    <col min="1280" max="1280" width="34" style="771" customWidth="1"/>
    <col min="1281" max="1282" width="0" style="771" hidden="1" customWidth="1"/>
    <col min="1283" max="1283" width="8.42578125" style="771" customWidth="1"/>
    <col min="1284" max="1284" width="7.42578125" style="771" customWidth="1"/>
    <col min="1285" max="1285" width="14.42578125" style="771" customWidth="1"/>
    <col min="1286" max="1286" width="12" style="771" customWidth="1"/>
    <col min="1287" max="1287" width="15.28515625" style="771" customWidth="1"/>
    <col min="1288" max="1289" width="8" style="771" bestFit="1" customWidth="1"/>
    <col min="1290" max="1290" width="15" style="771" bestFit="1" customWidth="1"/>
    <col min="1291" max="1291" width="11.42578125" style="771"/>
    <col min="1292" max="1292" width="18.42578125" style="771" customWidth="1"/>
    <col min="1293" max="1534" width="11.42578125" style="771"/>
    <col min="1535" max="1535" width="7.28515625" style="771" customWidth="1"/>
    <col min="1536" max="1536" width="34" style="771" customWidth="1"/>
    <col min="1537" max="1538" width="0" style="771" hidden="1" customWidth="1"/>
    <col min="1539" max="1539" width="8.42578125" style="771" customWidth="1"/>
    <col min="1540" max="1540" width="7.42578125" style="771" customWidth="1"/>
    <col min="1541" max="1541" width="14.42578125" style="771" customWidth="1"/>
    <col min="1542" max="1542" width="12" style="771" customWidth="1"/>
    <col min="1543" max="1543" width="15.28515625" style="771" customWidth="1"/>
    <col min="1544" max="1545" width="8" style="771" bestFit="1" customWidth="1"/>
    <col min="1546" max="1546" width="15" style="771" bestFit="1" customWidth="1"/>
    <col min="1547" max="1547" width="11.42578125" style="771"/>
    <col min="1548" max="1548" width="18.42578125" style="771" customWidth="1"/>
    <col min="1549" max="1790" width="11.42578125" style="771"/>
    <col min="1791" max="1791" width="7.28515625" style="771" customWidth="1"/>
    <col min="1792" max="1792" width="34" style="771" customWidth="1"/>
    <col min="1793" max="1794" width="0" style="771" hidden="1" customWidth="1"/>
    <col min="1795" max="1795" width="8.42578125" style="771" customWidth="1"/>
    <col min="1796" max="1796" width="7.42578125" style="771" customWidth="1"/>
    <col min="1797" max="1797" width="14.42578125" style="771" customWidth="1"/>
    <col min="1798" max="1798" width="12" style="771" customWidth="1"/>
    <col min="1799" max="1799" width="15.28515625" style="771" customWidth="1"/>
    <col min="1800" max="1801" width="8" style="771" bestFit="1" customWidth="1"/>
    <col min="1802" max="1802" width="15" style="771" bestFit="1" customWidth="1"/>
    <col min="1803" max="1803" width="11.42578125" style="771"/>
    <col min="1804" max="1804" width="18.42578125" style="771" customWidth="1"/>
    <col min="1805" max="2046" width="11.42578125" style="771"/>
    <col min="2047" max="2047" width="7.28515625" style="771" customWidth="1"/>
    <col min="2048" max="2048" width="34" style="771" customWidth="1"/>
    <col min="2049" max="2050" width="0" style="771" hidden="1" customWidth="1"/>
    <col min="2051" max="2051" width="8.42578125" style="771" customWidth="1"/>
    <col min="2052" max="2052" width="7.42578125" style="771" customWidth="1"/>
    <col min="2053" max="2053" width="14.42578125" style="771" customWidth="1"/>
    <col min="2054" max="2054" width="12" style="771" customWidth="1"/>
    <col min="2055" max="2055" width="15.28515625" style="771" customWidth="1"/>
    <col min="2056" max="2057" width="8" style="771" bestFit="1" customWidth="1"/>
    <col min="2058" max="2058" width="15" style="771" bestFit="1" customWidth="1"/>
    <col min="2059" max="2059" width="11.42578125" style="771"/>
    <col min="2060" max="2060" width="18.42578125" style="771" customWidth="1"/>
    <col min="2061" max="2302" width="11.42578125" style="771"/>
    <col min="2303" max="2303" width="7.28515625" style="771" customWidth="1"/>
    <col min="2304" max="2304" width="34" style="771" customWidth="1"/>
    <col min="2305" max="2306" width="0" style="771" hidden="1" customWidth="1"/>
    <col min="2307" max="2307" width="8.42578125" style="771" customWidth="1"/>
    <col min="2308" max="2308" width="7.42578125" style="771" customWidth="1"/>
    <col min="2309" max="2309" width="14.42578125" style="771" customWidth="1"/>
    <col min="2310" max="2310" width="12" style="771" customWidth="1"/>
    <col min="2311" max="2311" width="15.28515625" style="771" customWidth="1"/>
    <col min="2312" max="2313" width="8" style="771" bestFit="1" customWidth="1"/>
    <col min="2314" max="2314" width="15" style="771" bestFit="1" customWidth="1"/>
    <col min="2315" max="2315" width="11.42578125" style="771"/>
    <col min="2316" max="2316" width="18.42578125" style="771" customWidth="1"/>
    <col min="2317" max="2558" width="11.42578125" style="771"/>
    <col min="2559" max="2559" width="7.28515625" style="771" customWidth="1"/>
    <col min="2560" max="2560" width="34" style="771" customWidth="1"/>
    <col min="2561" max="2562" width="0" style="771" hidden="1" customWidth="1"/>
    <col min="2563" max="2563" width="8.42578125" style="771" customWidth="1"/>
    <col min="2564" max="2564" width="7.42578125" style="771" customWidth="1"/>
    <col min="2565" max="2565" width="14.42578125" style="771" customWidth="1"/>
    <col min="2566" max="2566" width="12" style="771" customWidth="1"/>
    <col min="2567" max="2567" width="15.28515625" style="771" customWidth="1"/>
    <col min="2568" max="2569" width="8" style="771" bestFit="1" customWidth="1"/>
    <col min="2570" max="2570" width="15" style="771" bestFit="1" customWidth="1"/>
    <col min="2571" max="2571" width="11.42578125" style="771"/>
    <col min="2572" max="2572" width="18.42578125" style="771" customWidth="1"/>
    <col min="2573" max="2814" width="11.42578125" style="771"/>
    <col min="2815" max="2815" width="7.28515625" style="771" customWidth="1"/>
    <col min="2816" max="2816" width="34" style="771" customWidth="1"/>
    <col min="2817" max="2818" width="0" style="771" hidden="1" customWidth="1"/>
    <col min="2819" max="2819" width="8.42578125" style="771" customWidth="1"/>
    <col min="2820" max="2820" width="7.42578125" style="771" customWidth="1"/>
    <col min="2821" max="2821" width="14.42578125" style="771" customWidth="1"/>
    <col min="2822" max="2822" width="12" style="771" customWidth="1"/>
    <col min="2823" max="2823" width="15.28515625" style="771" customWidth="1"/>
    <col min="2824" max="2825" width="8" style="771" bestFit="1" customWidth="1"/>
    <col min="2826" max="2826" width="15" style="771" bestFit="1" customWidth="1"/>
    <col min="2827" max="2827" width="11.42578125" style="771"/>
    <col min="2828" max="2828" width="18.42578125" style="771" customWidth="1"/>
    <col min="2829" max="3070" width="11.42578125" style="771"/>
    <col min="3071" max="3071" width="7.28515625" style="771" customWidth="1"/>
    <col min="3072" max="3072" width="34" style="771" customWidth="1"/>
    <col min="3073" max="3074" width="0" style="771" hidden="1" customWidth="1"/>
    <col min="3075" max="3075" width="8.42578125" style="771" customWidth="1"/>
    <col min="3076" max="3076" width="7.42578125" style="771" customWidth="1"/>
    <col min="3077" max="3077" width="14.42578125" style="771" customWidth="1"/>
    <col min="3078" max="3078" width="12" style="771" customWidth="1"/>
    <col min="3079" max="3079" width="15.28515625" style="771" customWidth="1"/>
    <col min="3080" max="3081" width="8" style="771" bestFit="1" customWidth="1"/>
    <col min="3082" max="3082" width="15" style="771" bestFit="1" customWidth="1"/>
    <col min="3083" max="3083" width="11.42578125" style="771"/>
    <col min="3084" max="3084" width="18.42578125" style="771" customWidth="1"/>
    <col min="3085" max="3326" width="11.42578125" style="771"/>
    <col min="3327" max="3327" width="7.28515625" style="771" customWidth="1"/>
    <col min="3328" max="3328" width="34" style="771" customWidth="1"/>
    <col min="3329" max="3330" width="0" style="771" hidden="1" customWidth="1"/>
    <col min="3331" max="3331" width="8.42578125" style="771" customWidth="1"/>
    <col min="3332" max="3332" width="7.42578125" style="771" customWidth="1"/>
    <col min="3333" max="3333" width="14.42578125" style="771" customWidth="1"/>
    <col min="3334" max="3334" width="12" style="771" customWidth="1"/>
    <col min="3335" max="3335" width="15.28515625" style="771" customWidth="1"/>
    <col min="3336" max="3337" width="8" style="771" bestFit="1" customWidth="1"/>
    <col min="3338" max="3338" width="15" style="771" bestFit="1" customWidth="1"/>
    <col min="3339" max="3339" width="11.42578125" style="771"/>
    <col min="3340" max="3340" width="18.42578125" style="771" customWidth="1"/>
    <col min="3341" max="3582" width="11.42578125" style="771"/>
    <col min="3583" max="3583" width="7.28515625" style="771" customWidth="1"/>
    <col min="3584" max="3584" width="34" style="771" customWidth="1"/>
    <col min="3585" max="3586" width="0" style="771" hidden="1" customWidth="1"/>
    <col min="3587" max="3587" width="8.42578125" style="771" customWidth="1"/>
    <col min="3588" max="3588" width="7.42578125" style="771" customWidth="1"/>
    <col min="3589" max="3589" width="14.42578125" style="771" customWidth="1"/>
    <col min="3590" max="3590" width="12" style="771" customWidth="1"/>
    <col min="3591" max="3591" width="15.28515625" style="771" customWidth="1"/>
    <col min="3592" max="3593" width="8" style="771" bestFit="1" customWidth="1"/>
    <col min="3594" max="3594" width="15" style="771" bestFit="1" customWidth="1"/>
    <col min="3595" max="3595" width="11.42578125" style="771"/>
    <col min="3596" max="3596" width="18.42578125" style="771" customWidth="1"/>
    <col min="3597" max="3838" width="11.42578125" style="771"/>
    <col min="3839" max="3839" width="7.28515625" style="771" customWidth="1"/>
    <col min="3840" max="3840" width="34" style="771" customWidth="1"/>
    <col min="3841" max="3842" width="0" style="771" hidden="1" customWidth="1"/>
    <col min="3843" max="3843" width="8.42578125" style="771" customWidth="1"/>
    <col min="3844" max="3844" width="7.42578125" style="771" customWidth="1"/>
    <col min="3845" max="3845" width="14.42578125" style="771" customWidth="1"/>
    <col min="3846" max="3846" width="12" style="771" customWidth="1"/>
    <col min="3847" max="3847" width="15.28515625" style="771" customWidth="1"/>
    <col min="3848" max="3849" width="8" style="771" bestFit="1" customWidth="1"/>
    <col min="3850" max="3850" width="15" style="771" bestFit="1" customWidth="1"/>
    <col min="3851" max="3851" width="11.42578125" style="771"/>
    <col min="3852" max="3852" width="18.42578125" style="771" customWidth="1"/>
    <col min="3853" max="4094" width="11.42578125" style="771"/>
    <col min="4095" max="4095" width="7.28515625" style="771" customWidth="1"/>
    <col min="4096" max="4096" width="34" style="771" customWidth="1"/>
    <col min="4097" max="4098" width="0" style="771" hidden="1" customWidth="1"/>
    <col min="4099" max="4099" width="8.42578125" style="771" customWidth="1"/>
    <col min="4100" max="4100" width="7.42578125" style="771" customWidth="1"/>
    <col min="4101" max="4101" width="14.42578125" style="771" customWidth="1"/>
    <col min="4102" max="4102" width="12" style="771" customWidth="1"/>
    <col min="4103" max="4103" width="15.28515625" style="771" customWidth="1"/>
    <col min="4104" max="4105" width="8" style="771" bestFit="1" customWidth="1"/>
    <col min="4106" max="4106" width="15" style="771" bestFit="1" customWidth="1"/>
    <col min="4107" max="4107" width="11.42578125" style="771"/>
    <col min="4108" max="4108" width="18.42578125" style="771" customWidth="1"/>
    <col min="4109" max="4350" width="11.42578125" style="771"/>
    <col min="4351" max="4351" width="7.28515625" style="771" customWidth="1"/>
    <col min="4352" max="4352" width="34" style="771" customWidth="1"/>
    <col min="4353" max="4354" width="0" style="771" hidden="1" customWidth="1"/>
    <col min="4355" max="4355" width="8.42578125" style="771" customWidth="1"/>
    <col min="4356" max="4356" width="7.42578125" style="771" customWidth="1"/>
    <col min="4357" max="4357" width="14.42578125" style="771" customWidth="1"/>
    <col min="4358" max="4358" width="12" style="771" customWidth="1"/>
    <col min="4359" max="4359" width="15.28515625" style="771" customWidth="1"/>
    <col min="4360" max="4361" width="8" style="771" bestFit="1" customWidth="1"/>
    <col min="4362" max="4362" width="15" style="771" bestFit="1" customWidth="1"/>
    <col min="4363" max="4363" width="11.42578125" style="771"/>
    <col min="4364" max="4364" width="18.42578125" style="771" customWidth="1"/>
    <col min="4365" max="4606" width="11.42578125" style="771"/>
    <col min="4607" max="4607" width="7.28515625" style="771" customWidth="1"/>
    <col min="4608" max="4608" width="34" style="771" customWidth="1"/>
    <col min="4609" max="4610" width="0" style="771" hidden="1" customWidth="1"/>
    <col min="4611" max="4611" width="8.42578125" style="771" customWidth="1"/>
    <col min="4612" max="4612" width="7.42578125" style="771" customWidth="1"/>
    <col min="4613" max="4613" width="14.42578125" style="771" customWidth="1"/>
    <col min="4614" max="4614" width="12" style="771" customWidth="1"/>
    <col min="4615" max="4615" width="15.28515625" style="771" customWidth="1"/>
    <col min="4616" max="4617" width="8" style="771" bestFit="1" customWidth="1"/>
    <col min="4618" max="4618" width="15" style="771" bestFit="1" customWidth="1"/>
    <col min="4619" max="4619" width="11.42578125" style="771"/>
    <col min="4620" max="4620" width="18.42578125" style="771" customWidth="1"/>
    <col min="4621" max="4862" width="11.42578125" style="771"/>
    <col min="4863" max="4863" width="7.28515625" style="771" customWidth="1"/>
    <col min="4864" max="4864" width="34" style="771" customWidth="1"/>
    <col min="4865" max="4866" width="0" style="771" hidden="1" customWidth="1"/>
    <col min="4867" max="4867" width="8.42578125" style="771" customWidth="1"/>
    <col min="4868" max="4868" width="7.42578125" style="771" customWidth="1"/>
    <col min="4869" max="4869" width="14.42578125" style="771" customWidth="1"/>
    <col min="4870" max="4870" width="12" style="771" customWidth="1"/>
    <col min="4871" max="4871" width="15.28515625" style="771" customWidth="1"/>
    <col min="4872" max="4873" width="8" style="771" bestFit="1" customWidth="1"/>
    <col min="4874" max="4874" width="15" style="771" bestFit="1" customWidth="1"/>
    <col min="4875" max="4875" width="11.42578125" style="771"/>
    <col min="4876" max="4876" width="18.42578125" style="771" customWidth="1"/>
    <col min="4877" max="5118" width="11.42578125" style="771"/>
    <col min="5119" max="5119" width="7.28515625" style="771" customWidth="1"/>
    <col min="5120" max="5120" width="34" style="771" customWidth="1"/>
    <col min="5121" max="5122" width="0" style="771" hidden="1" customWidth="1"/>
    <col min="5123" max="5123" width="8.42578125" style="771" customWidth="1"/>
    <col min="5124" max="5124" width="7.42578125" style="771" customWidth="1"/>
    <col min="5125" max="5125" width="14.42578125" style="771" customWidth="1"/>
    <col min="5126" max="5126" width="12" style="771" customWidth="1"/>
    <col min="5127" max="5127" width="15.28515625" style="771" customWidth="1"/>
    <col min="5128" max="5129" width="8" style="771" bestFit="1" customWidth="1"/>
    <col min="5130" max="5130" width="15" style="771" bestFit="1" customWidth="1"/>
    <col min="5131" max="5131" width="11.42578125" style="771"/>
    <col min="5132" max="5132" width="18.42578125" style="771" customWidth="1"/>
    <col min="5133" max="5374" width="11.42578125" style="771"/>
    <col min="5375" max="5375" width="7.28515625" style="771" customWidth="1"/>
    <col min="5376" max="5376" width="34" style="771" customWidth="1"/>
    <col min="5377" max="5378" width="0" style="771" hidden="1" customWidth="1"/>
    <col min="5379" max="5379" width="8.42578125" style="771" customWidth="1"/>
    <col min="5380" max="5380" width="7.42578125" style="771" customWidth="1"/>
    <col min="5381" max="5381" width="14.42578125" style="771" customWidth="1"/>
    <col min="5382" max="5382" width="12" style="771" customWidth="1"/>
    <col min="5383" max="5383" width="15.28515625" style="771" customWidth="1"/>
    <col min="5384" max="5385" width="8" style="771" bestFit="1" customWidth="1"/>
    <col min="5386" max="5386" width="15" style="771" bestFit="1" customWidth="1"/>
    <col min="5387" max="5387" width="11.42578125" style="771"/>
    <col min="5388" max="5388" width="18.42578125" style="771" customWidth="1"/>
    <col min="5389" max="5630" width="11.42578125" style="771"/>
    <col min="5631" max="5631" width="7.28515625" style="771" customWidth="1"/>
    <col min="5632" max="5632" width="34" style="771" customWidth="1"/>
    <col min="5633" max="5634" width="0" style="771" hidden="1" customWidth="1"/>
    <col min="5635" max="5635" width="8.42578125" style="771" customWidth="1"/>
    <col min="5636" max="5636" width="7.42578125" style="771" customWidth="1"/>
    <col min="5637" max="5637" width="14.42578125" style="771" customWidth="1"/>
    <col min="5638" max="5638" width="12" style="771" customWidth="1"/>
    <col min="5639" max="5639" width="15.28515625" style="771" customWidth="1"/>
    <col min="5640" max="5641" width="8" style="771" bestFit="1" customWidth="1"/>
    <col min="5642" max="5642" width="15" style="771" bestFit="1" customWidth="1"/>
    <col min="5643" max="5643" width="11.42578125" style="771"/>
    <col min="5644" max="5644" width="18.42578125" style="771" customWidth="1"/>
    <col min="5645" max="5886" width="11.42578125" style="771"/>
    <col min="5887" max="5887" width="7.28515625" style="771" customWidth="1"/>
    <col min="5888" max="5888" width="34" style="771" customWidth="1"/>
    <col min="5889" max="5890" width="0" style="771" hidden="1" customWidth="1"/>
    <col min="5891" max="5891" width="8.42578125" style="771" customWidth="1"/>
    <col min="5892" max="5892" width="7.42578125" style="771" customWidth="1"/>
    <col min="5893" max="5893" width="14.42578125" style="771" customWidth="1"/>
    <col min="5894" max="5894" width="12" style="771" customWidth="1"/>
    <col min="5895" max="5895" width="15.28515625" style="771" customWidth="1"/>
    <col min="5896" max="5897" width="8" style="771" bestFit="1" customWidth="1"/>
    <col min="5898" max="5898" width="15" style="771" bestFit="1" customWidth="1"/>
    <col min="5899" max="5899" width="11.42578125" style="771"/>
    <col min="5900" max="5900" width="18.42578125" style="771" customWidth="1"/>
    <col min="5901" max="6142" width="11.42578125" style="771"/>
    <col min="6143" max="6143" width="7.28515625" style="771" customWidth="1"/>
    <col min="6144" max="6144" width="34" style="771" customWidth="1"/>
    <col min="6145" max="6146" width="0" style="771" hidden="1" customWidth="1"/>
    <col min="6147" max="6147" width="8.42578125" style="771" customWidth="1"/>
    <col min="6148" max="6148" width="7.42578125" style="771" customWidth="1"/>
    <col min="6149" max="6149" width="14.42578125" style="771" customWidth="1"/>
    <col min="6150" max="6150" width="12" style="771" customWidth="1"/>
    <col min="6151" max="6151" width="15.28515625" style="771" customWidth="1"/>
    <col min="6152" max="6153" width="8" style="771" bestFit="1" customWidth="1"/>
    <col min="6154" max="6154" width="15" style="771" bestFit="1" customWidth="1"/>
    <col min="6155" max="6155" width="11.42578125" style="771"/>
    <col min="6156" max="6156" width="18.42578125" style="771" customWidth="1"/>
    <col min="6157" max="6398" width="11.42578125" style="771"/>
    <col min="6399" max="6399" width="7.28515625" style="771" customWidth="1"/>
    <col min="6400" max="6400" width="34" style="771" customWidth="1"/>
    <col min="6401" max="6402" width="0" style="771" hidden="1" customWidth="1"/>
    <col min="6403" max="6403" width="8.42578125" style="771" customWidth="1"/>
    <col min="6404" max="6404" width="7.42578125" style="771" customWidth="1"/>
    <col min="6405" max="6405" width="14.42578125" style="771" customWidth="1"/>
    <col min="6406" max="6406" width="12" style="771" customWidth="1"/>
    <col min="6407" max="6407" width="15.28515625" style="771" customWidth="1"/>
    <col min="6408" max="6409" width="8" style="771" bestFit="1" customWidth="1"/>
    <col min="6410" max="6410" width="15" style="771" bestFit="1" customWidth="1"/>
    <col min="6411" max="6411" width="11.42578125" style="771"/>
    <col min="6412" max="6412" width="18.42578125" style="771" customWidth="1"/>
    <col min="6413" max="6654" width="11.42578125" style="771"/>
    <col min="6655" max="6655" width="7.28515625" style="771" customWidth="1"/>
    <col min="6656" max="6656" width="34" style="771" customWidth="1"/>
    <col min="6657" max="6658" width="0" style="771" hidden="1" customWidth="1"/>
    <col min="6659" max="6659" width="8.42578125" style="771" customWidth="1"/>
    <col min="6660" max="6660" width="7.42578125" style="771" customWidth="1"/>
    <col min="6661" max="6661" width="14.42578125" style="771" customWidth="1"/>
    <col min="6662" max="6662" width="12" style="771" customWidth="1"/>
    <col min="6663" max="6663" width="15.28515625" style="771" customWidth="1"/>
    <col min="6664" max="6665" width="8" style="771" bestFit="1" customWidth="1"/>
    <col min="6666" max="6666" width="15" style="771" bestFit="1" customWidth="1"/>
    <col min="6667" max="6667" width="11.42578125" style="771"/>
    <col min="6668" max="6668" width="18.42578125" style="771" customWidth="1"/>
    <col min="6669" max="6910" width="11.42578125" style="771"/>
    <col min="6911" max="6911" width="7.28515625" style="771" customWidth="1"/>
    <col min="6912" max="6912" width="34" style="771" customWidth="1"/>
    <col min="6913" max="6914" width="0" style="771" hidden="1" customWidth="1"/>
    <col min="6915" max="6915" width="8.42578125" style="771" customWidth="1"/>
    <col min="6916" max="6916" width="7.42578125" style="771" customWidth="1"/>
    <col min="6917" max="6917" width="14.42578125" style="771" customWidth="1"/>
    <col min="6918" max="6918" width="12" style="771" customWidth="1"/>
    <col min="6919" max="6919" width="15.28515625" style="771" customWidth="1"/>
    <col min="6920" max="6921" width="8" style="771" bestFit="1" customWidth="1"/>
    <col min="6922" max="6922" width="15" style="771" bestFit="1" customWidth="1"/>
    <col min="6923" max="6923" width="11.42578125" style="771"/>
    <col min="6924" max="6924" width="18.42578125" style="771" customWidth="1"/>
    <col min="6925" max="7166" width="11.42578125" style="771"/>
    <col min="7167" max="7167" width="7.28515625" style="771" customWidth="1"/>
    <col min="7168" max="7168" width="34" style="771" customWidth="1"/>
    <col min="7169" max="7170" width="0" style="771" hidden="1" customWidth="1"/>
    <col min="7171" max="7171" width="8.42578125" style="771" customWidth="1"/>
    <col min="7172" max="7172" width="7.42578125" style="771" customWidth="1"/>
    <col min="7173" max="7173" width="14.42578125" style="771" customWidth="1"/>
    <col min="7174" max="7174" width="12" style="771" customWidth="1"/>
    <col min="7175" max="7175" width="15.28515625" style="771" customWidth="1"/>
    <col min="7176" max="7177" width="8" style="771" bestFit="1" customWidth="1"/>
    <col min="7178" max="7178" width="15" style="771" bestFit="1" customWidth="1"/>
    <col min="7179" max="7179" width="11.42578125" style="771"/>
    <col min="7180" max="7180" width="18.42578125" style="771" customWidth="1"/>
    <col min="7181" max="7422" width="11.42578125" style="771"/>
    <col min="7423" max="7423" width="7.28515625" style="771" customWidth="1"/>
    <col min="7424" max="7424" width="34" style="771" customWidth="1"/>
    <col min="7425" max="7426" width="0" style="771" hidden="1" customWidth="1"/>
    <col min="7427" max="7427" width="8.42578125" style="771" customWidth="1"/>
    <col min="7428" max="7428" width="7.42578125" style="771" customWidth="1"/>
    <col min="7429" max="7429" width="14.42578125" style="771" customWidth="1"/>
    <col min="7430" max="7430" width="12" style="771" customWidth="1"/>
    <col min="7431" max="7431" width="15.28515625" style="771" customWidth="1"/>
    <col min="7432" max="7433" width="8" style="771" bestFit="1" customWidth="1"/>
    <col min="7434" max="7434" width="15" style="771" bestFit="1" customWidth="1"/>
    <col min="7435" max="7435" width="11.42578125" style="771"/>
    <col min="7436" max="7436" width="18.42578125" style="771" customWidth="1"/>
    <col min="7437" max="7678" width="11.42578125" style="771"/>
    <col min="7679" max="7679" width="7.28515625" style="771" customWidth="1"/>
    <col min="7680" max="7680" width="34" style="771" customWidth="1"/>
    <col min="7681" max="7682" width="0" style="771" hidden="1" customWidth="1"/>
    <col min="7683" max="7683" width="8.42578125" style="771" customWidth="1"/>
    <col min="7684" max="7684" width="7.42578125" style="771" customWidth="1"/>
    <col min="7685" max="7685" width="14.42578125" style="771" customWidth="1"/>
    <col min="7686" max="7686" width="12" style="771" customWidth="1"/>
    <col min="7687" max="7687" width="15.28515625" style="771" customWidth="1"/>
    <col min="7688" max="7689" width="8" style="771" bestFit="1" customWidth="1"/>
    <col min="7690" max="7690" width="15" style="771" bestFit="1" customWidth="1"/>
    <col min="7691" max="7691" width="11.42578125" style="771"/>
    <col min="7692" max="7692" width="18.42578125" style="771" customWidth="1"/>
    <col min="7693" max="7934" width="11.42578125" style="771"/>
    <col min="7935" max="7935" width="7.28515625" style="771" customWidth="1"/>
    <col min="7936" max="7936" width="34" style="771" customWidth="1"/>
    <col min="7937" max="7938" width="0" style="771" hidden="1" customWidth="1"/>
    <col min="7939" max="7939" width="8.42578125" style="771" customWidth="1"/>
    <col min="7940" max="7940" width="7.42578125" style="771" customWidth="1"/>
    <col min="7941" max="7941" width="14.42578125" style="771" customWidth="1"/>
    <col min="7942" max="7942" width="12" style="771" customWidth="1"/>
    <col min="7943" max="7943" width="15.28515625" style="771" customWidth="1"/>
    <col min="7944" max="7945" width="8" style="771" bestFit="1" customWidth="1"/>
    <col min="7946" max="7946" width="15" style="771" bestFit="1" customWidth="1"/>
    <col min="7947" max="7947" width="11.42578125" style="771"/>
    <col min="7948" max="7948" width="18.42578125" style="771" customWidth="1"/>
    <col min="7949" max="8190" width="11.42578125" style="771"/>
    <col min="8191" max="8191" width="7.28515625" style="771" customWidth="1"/>
    <col min="8192" max="8192" width="34" style="771" customWidth="1"/>
    <col min="8193" max="8194" width="0" style="771" hidden="1" customWidth="1"/>
    <col min="8195" max="8195" width="8.42578125" style="771" customWidth="1"/>
    <col min="8196" max="8196" width="7.42578125" style="771" customWidth="1"/>
    <col min="8197" max="8197" width="14.42578125" style="771" customWidth="1"/>
    <col min="8198" max="8198" width="12" style="771" customWidth="1"/>
    <col min="8199" max="8199" width="15.28515625" style="771" customWidth="1"/>
    <col min="8200" max="8201" width="8" style="771" bestFit="1" customWidth="1"/>
    <col min="8202" max="8202" width="15" style="771" bestFit="1" customWidth="1"/>
    <col min="8203" max="8203" width="11.42578125" style="771"/>
    <col min="8204" max="8204" width="18.42578125" style="771" customWidth="1"/>
    <col min="8205" max="8446" width="11.42578125" style="771"/>
    <col min="8447" max="8447" width="7.28515625" style="771" customWidth="1"/>
    <col min="8448" max="8448" width="34" style="771" customWidth="1"/>
    <col min="8449" max="8450" width="0" style="771" hidden="1" customWidth="1"/>
    <col min="8451" max="8451" width="8.42578125" style="771" customWidth="1"/>
    <col min="8452" max="8452" width="7.42578125" style="771" customWidth="1"/>
    <col min="8453" max="8453" width="14.42578125" style="771" customWidth="1"/>
    <col min="8454" max="8454" width="12" style="771" customWidth="1"/>
    <col min="8455" max="8455" width="15.28515625" style="771" customWidth="1"/>
    <col min="8456" max="8457" width="8" style="771" bestFit="1" customWidth="1"/>
    <col min="8458" max="8458" width="15" style="771" bestFit="1" customWidth="1"/>
    <col min="8459" max="8459" width="11.42578125" style="771"/>
    <col min="8460" max="8460" width="18.42578125" style="771" customWidth="1"/>
    <col min="8461" max="8702" width="11.42578125" style="771"/>
    <col min="8703" max="8703" width="7.28515625" style="771" customWidth="1"/>
    <col min="8704" max="8704" width="34" style="771" customWidth="1"/>
    <col min="8705" max="8706" width="0" style="771" hidden="1" customWidth="1"/>
    <col min="8707" max="8707" width="8.42578125" style="771" customWidth="1"/>
    <col min="8708" max="8708" width="7.42578125" style="771" customWidth="1"/>
    <col min="8709" max="8709" width="14.42578125" style="771" customWidth="1"/>
    <col min="8710" max="8710" width="12" style="771" customWidth="1"/>
    <col min="8711" max="8711" width="15.28515625" style="771" customWidth="1"/>
    <col min="8712" max="8713" width="8" style="771" bestFit="1" customWidth="1"/>
    <col min="8714" max="8714" width="15" style="771" bestFit="1" customWidth="1"/>
    <col min="8715" max="8715" width="11.42578125" style="771"/>
    <col min="8716" max="8716" width="18.42578125" style="771" customWidth="1"/>
    <col min="8717" max="8958" width="11.42578125" style="771"/>
    <col min="8959" max="8959" width="7.28515625" style="771" customWidth="1"/>
    <col min="8960" max="8960" width="34" style="771" customWidth="1"/>
    <col min="8961" max="8962" width="0" style="771" hidden="1" customWidth="1"/>
    <col min="8963" max="8963" width="8.42578125" style="771" customWidth="1"/>
    <col min="8964" max="8964" width="7.42578125" style="771" customWidth="1"/>
    <col min="8965" max="8965" width="14.42578125" style="771" customWidth="1"/>
    <col min="8966" max="8966" width="12" style="771" customWidth="1"/>
    <col min="8967" max="8967" width="15.28515625" style="771" customWidth="1"/>
    <col min="8968" max="8969" width="8" style="771" bestFit="1" customWidth="1"/>
    <col min="8970" max="8970" width="15" style="771" bestFit="1" customWidth="1"/>
    <col min="8971" max="8971" width="11.42578125" style="771"/>
    <col min="8972" max="8972" width="18.42578125" style="771" customWidth="1"/>
    <col min="8973" max="9214" width="11.42578125" style="771"/>
    <col min="9215" max="9215" width="7.28515625" style="771" customWidth="1"/>
    <col min="9216" max="9216" width="34" style="771" customWidth="1"/>
    <col min="9217" max="9218" width="0" style="771" hidden="1" customWidth="1"/>
    <col min="9219" max="9219" width="8.42578125" style="771" customWidth="1"/>
    <col min="9220" max="9220" width="7.42578125" style="771" customWidth="1"/>
    <col min="9221" max="9221" width="14.42578125" style="771" customWidth="1"/>
    <col min="9222" max="9222" width="12" style="771" customWidth="1"/>
    <col min="9223" max="9223" width="15.28515625" style="771" customWidth="1"/>
    <col min="9224" max="9225" width="8" style="771" bestFit="1" customWidth="1"/>
    <col min="9226" max="9226" width="15" style="771" bestFit="1" customWidth="1"/>
    <col min="9227" max="9227" width="11.42578125" style="771"/>
    <col min="9228" max="9228" width="18.42578125" style="771" customWidth="1"/>
    <col min="9229" max="9470" width="11.42578125" style="771"/>
    <col min="9471" max="9471" width="7.28515625" style="771" customWidth="1"/>
    <col min="9472" max="9472" width="34" style="771" customWidth="1"/>
    <col min="9473" max="9474" width="0" style="771" hidden="1" customWidth="1"/>
    <col min="9475" max="9475" width="8.42578125" style="771" customWidth="1"/>
    <col min="9476" max="9476" width="7.42578125" style="771" customWidth="1"/>
    <col min="9477" max="9477" width="14.42578125" style="771" customWidth="1"/>
    <col min="9478" max="9478" width="12" style="771" customWidth="1"/>
    <col min="9479" max="9479" width="15.28515625" style="771" customWidth="1"/>
    <col min="9480" max="9481" width="8" style="771" bestFit="1" customWidth="1"/>
    <col min="9482" max="9482" width="15" style="771" bestFit="1" customWidth="1"/>
    <col min="9483" max="9483" width="11.42578125" style="771"/>
    <col min="9484" max="9484" width="18.42578125" style="771" customWidth="1"/>
    <col min="9485" max="9726" width="11.42578125" style="771"/>
    <col min="9727" max="9727" width="7.28515625" style="771" customWidth="1"/>
    <col min="9728" max="9728" width="34" style="771" customWidth="1"/>
    <col min="9729" max="9730" width="0" style="771" hidden="1" customWidth="1"/>
    <col min="9731" max="9731" width="8.42578125" style="771" customWidth="1"/>
    <col min="9732" max="9732" width="7.42578125" style="771" customWidth="1"/>
    <col min="9733" max="9733" width="14.42578125" style="771" customWidth="1"/>
    <col min="9734" max="9734" width="12" style="771" customWidth="1"/>
    <col min="9735" max="9735" width="15.28515625" style="771" customWidth="1"/>
    <col min="9736" max="9737" width="8" style="771" bestFit="1" customWidth="1"/>
    <col min="9738" max="9738" width="15" style="771" bestFit="1" customWidth="1"/>
    <col min="9739" max="9739" width="11.42578125" style="771"/>
    <col min="9740" max="9740" width="18.42578125" style="771" customWidth="1"/>
    <col min="9741" max="9982" width="11.42578125" style="771"/>
    <col min="9983" max="9983" width="7.28515625" style="771" customWidth="1"/>
    <col min="9984" max="9984" width="34" style="771" customWidth="1"/>
    <col min="9985" max="9986" width="0" style="771" hidden="1" customWidth="1"/>
    <col min="9987" max="9987" width="8.42578125" style="771" customWidth="1"/>
    <col min="9988" max="9988" width="7.42578125" style="771" customWidth="1"/>
    <col min="9989" max="9989" width="14.42578125" style="771" customWidth="1"/>
    <col min="9990" max="9990" width="12" style="771" customWidth="1"/>
    <col min="9991" max="9991" width="15.28515625" style="771" customWidth="1"/>
    <col min="9992" max="9993" width="8" style="771" bestFit="1" customWidth="1"/>
    <col min="9994" max="9994" width="15" style="771" bestFit="1" customWidth="1"/>
    <col min="9995" max="9995" width="11.42578125" style="771"/>
    <col min="9996" max="9996" width="18.42578125" style="771" customWidth="1"/>
    <col min="9997" max="10238" width="11.42578125" style="771"/>
    <col min="10239" max="10239" width="7.28515625" style="771" customWidth="1"/>
    <col min="10240" max="10240" width="34" style="771" customWidth="1"/>
    <col min="10241" max="10242" width="0" style="771" hidden="1" customWidth="1"/>
    <col min="10243" max="10243" width="8.42578125" style="771" customWidth="1"/>
    <col min="10244" max="10244" width="7.42578125" style="771" customWidth="1"/>
    <col min="10245" max="10245" width="14.42578125" style="771" customWidth="1"/>
    <col min="10246" max="10246" width="12" style="771" customWidth="1"/>
    <col min="10247" max="10247" width="15.28515625" style="771" customWidth="1"/>
    <col min="10248" max="10249" width="8" style="771" bestFit="1" customWidth="1"/>
    <col min="10250" max="10250" width="15" style="771" bestFit="1" customWidth="1"/>
    <col min="10251" max="10251" width="11.42578125" style="771"/>
    <col min="10252" max="10252" width="18.42578125" style="771" customWidth="1"/>
    <col min="10253" max="10494" width="11.42578125" style="771"/>
    <col min="10495" max="10495" width="7.28515625" style="771" customWidth="1"/>
    <col min="10496" max="10496" width="34" style="771" customWidth="1"/>
    <col min="10497" max="10498" width="0" style="771" hidden="1" customWidth="1"/>
    <col min="10499" max="10499" width="8.42578125" style="771" customWidth="1"/>
    <col min="10500" max="10500" width="7.42578125" style="771" customWidth="1"/>
    <col min="10501" max="10501" width="14.42578125" style="771" customWidth="1"/>
    <col min="10502" max="10502" width="12" style="771" customWidth="1"/>
    <col min="10503" max="10503" width="15.28515625" style="771" customWidth="1"/>
    <col min="10504" max="10505" width="8" style="771" bestFit="1" customWidth="1"/>
    <col min="10506" max="10506" width="15" style="771" bestFit="1" customWidth="1"/>
    <col min="10507" max="10507" width="11.42578125" style="771"/>
    <col min="10508" max="10508" width="18.42578125" style="771" customWidth="1"/>
    <col min="10509" max="10750" width="11.42578125" style="771"/>
    <col min="10751" max="10751" width="7.28515625" style="771" customWidth="1"/>
    <col min="10752" max="10752" width="34" style="771" customWidth="1"/>
    <col min="10753" max="10754" width="0" style="771" hidden="1" customWidth="1"/>
    <col min="10755" max="10755" width="8.42578125" style="771" customWidth="1"/>
    <col min="10756" max="10756" width="7.42578125" style="771" customWidth="1"/>
    <col min="10757" max="10757" width="14.42578125" style="771" customWidth="1"/>
    <col min="10758" max="10758" width="12" style="771" customWidth="1"/>
    <col min="10759" max="10759" width="15.28515625" style="771" customWidth="1"/>
    <col min="10760" max="10761" width="8" style="771" bestFit="1" customWidth="1"/>
    <col min="10762" max="10762" width="15" style="771" bestFit="1" customWidth="1"/>
    <col min="10763" max="10763" width="11.42578125" style="771"/>
    <col min="10764" max="10764" width="18.42578125" style="771" customWidth="1"/>
    <col min="10765" max="11006" width="11.42578125" style="771"/>
    <col min="11007" max="11007" width="7.28515625" style="771" customWidth="1"/>
    <col min="11008" max="11008" width="34" style="771" customWidth="1"/>
    <col min="11009" max="11010" width="0" style="771" hidden="1" customWidth="1"/>
    <col min="11011" max="11011" width="8.42578125" style="771" customWidth="1"/>
    <col min="11012" max="11012" width="7.42578125" style="771" customWidth="1"/>
    <col min="11013" max="11013" width="14.42578125" style="771" customWidth="1"/>
    <col min="11014" max="11014" width="12" style="771" customWidth="1"/>
    <col min="11015" max="11015" width="15.28515625" style="771" customWidth="1"/>
    <col min="11016" max="11017" width="8" style="771" bestFit="1" customWidth="1"/>
    <col min="11018" max="11018" width="15" style="771" bestFit="1" customWidth="1"/>
    <col min="11019" max="11019" width="11.42578125" style="771"/>
    <col min="11020" max="11020" width="18.42578125" style="771" customWidth="1"/>
    <col min="11021" max="11262" width="11.42578125" style="771"/>
    <col min="11263" max="11263" width="7.28515625" style="771" customWidth="1"/>
    <col min="11264" max="11264" width="34" style="771" customWidth="1"/>
    <col min="11265" max="11266" width="0" style="771" hidden="1" customWidth="1"/>
    <col min="11267" max="11267" width="8.42578125" style="771" customWidth="1"/>
    <col min="11268" max="11268" width="7.42578125" style="771" customWidth="1"/>
    <col min="11269" max="11269" width="14.42578125" style="771" customWidth="1"/>
    <col min="11270" max="11270" width="12" style="771" customWidth="1"/>
    <col min="11271" max="11271" width="15.28515625" style="771" customWidth="1"/>
    <col min="11272" max="11273" width="8" style="771" bestFit="1" customWidth="1"/>
    <col min="11274" max="11274" width="15" style="771" bestFit="1" customWidth="1"/>
    <col min="11275" max="11275" width="11.42578125" style="771"/>
    <col min="11276" max="11276" width="18.42578125" style="771" customWidth="1"/>
    <col min="11277" max="11518" width="11.42578125" style="771"/>
    <col min="11519" max="11519" width="7.28515625" style="771" customWidth="1"/>
    <col min="11520" max="11520" width="34" style="771" customWidth="1"/>
    <col min="11521" max="11522" width="0" style="771" hidden="1" customWidth="1"/>
    <col min="11523" max="11523" width="8.42578125" style="771" customWidth="1"/>
    <col min="11524" max="11524" width="7.42578125" style="771" customWidth="1"/>
    <col min="11525" max="11525" width="14.42578125" style="771" customWidth="1"/>
    <col min="11526" max="11526" width="12" style="771" customWidth="1"/>
    <col min="11527" max="11527" width="15.28515625" style="771" customWidth="1"/>
    <col min="11528" max="11529" width="8" style="771" bestFit="1" customWidth="1"/>
    <col min="11530" max="11530" width="15" style="771" bestFit="1" customWidth="1"/>
    <col min="11531" max="11531" width="11.42578125" style="771"/>
    <col min="11532" max="11532" width="18.42578125" style="771" customWidth="1"/>
    <col min="11533" max="11774" width="11.42578125" style="771"/>
    <col min="11775" max="11775" width="7.28515625" style="771" customWidth="1"/>
    <col min="11776" max="11776" width="34" style="771" customWidth="1"/>
    <col min="11777" max="11778" width="0" style="771" hidden="1" customWidth="1"/>
    <col min="11779" max="11779" width="8.42578125" style="771" customWidth="1"/>
    <col min="11780" max="11780" width="7.42578125" style="771" customWidth="1"/>
    <col min="11781" max="11781" width="14.42578125" style="771" customWidth="1"/>
    <col min="11782" max="11782" width="12" style="771" customWidth="1"/>
    <col min="11783" max="11783" width="15.28515625" style="771" customWidth="1"/>
    <col min="11784" max="11785" width="8" style="771" bestFit="1" customWidth="1"/>
    <col min="11786" max="11786" width="15" style="771" bestFit="1" customWidth="1"/>
    <col min="11787" max="11787" width="11.42578125" style="771"/>
    <col min="11788" max="11788" width="18.42578125" style="771" customWidth="1"/>
    <col min="11789" max="12030" width="11.42578125" style="771"/>
    <col min="12031" max="12031" width="7.28515625" style="771" customWidth="1"/>
    <col min="12032" max="12032" width="34" style="771" customWidth="1"/>
    <col min="12033" max="12034" width="0" style="771" hidden="1" customWidth="1"/>
    <col min="12035" max="12035" width="8.42578125" style="771" customWidth="1"/>
    <col min="12036" max="12036" width="7.42578125" style="771" customWidth="1"/>
    <col min="12037" max="12037" width="14.42578125" style="771" customWidth="1"/>
    <col min="12038" max="12038" width="12" style="771" customWidth="1"/>
    <col min="12039" max="12039" width="15.28515625" style="771" customWidth="1"/>
    <col min="12040" max="12041" width="8" style="771" bestFit="1" customWidth="1"/>
    <col min="12042" max="12042" width="15" style="771" bestFit="1" customWidth="1"/>
    <col min="12043" max="12043" width="11.42578125" style="771"/>
    <col min="12044" max="12044" width="18.42578125" style="771" customWidth="1"/>
    <col min="12045" max="12286" width="11.42578125" style="771"/>
    <col min="12287" max="12287" width="7.28515625" style="771" customWidth="1"/>
    <col min="12288" max="12288" width="34" style="771" customWidth="1"/>
    <col min="12289" max="12290" width="0" style="771" hidden="1" customWidth="1"/>
    <col min="12291" max="12291" width="8.42578125" style="771" customWidth="1"/>
    <col min="12292" max="12292" width="7.42578125" style="771" customWidth="1"/>
    <col min="12293" max="12293" width="14.42578125" style="771" customWidth="1"/>
    <col min="12294" max="12294" width="12" style="771" customWidth="1"/>
    <col min="12295" max="12295" width="15.28515625" style="771" customWidth="1"/>
    <col min="12296" max="12297" width="8" style="771" bestFit="1" customWidth="1"/>
    <col min="12298" max="12298" width="15" style="771" bestFit="1" customWidth="1"/>
    <col min="12299" max="12299" width="11.42578125" style="771"/>
    <col min="12300" max="12300" width="18.42578125" style="771" customWidth="1"/>
    <col min="12301" max="12542" width="11.42578125" style="771"/>
    <col min="12543" max="12543" width="7.28515625" style="771" customWidth="1"/>
    <col min="12544" max="12544" width="34" style="771" customWidth="1"/>
    <col min="12545" max="12546" width="0" style="771" hidden="1" customWidth="1"/>
    <col min="12547" max="12547" width="8.42578125" style="771" customWidth="1"/>
    <col min="12548" max="12548" width="7.42578125" style="771" customWidth="1"/>
    <col min="12549" max="12549" width="14.42578125" style="771" customWidth="1"/>
    <col min="12550" max="12550" width="12" style="771" customWidth="1"/>
    <col min="12551" max="12551" width="15.28515625" style="771" customWidth="1"/>
    <col min="12552" max="12553" width="8" style="771" bestFit="1" customWidth="1"/>
    <col min="12554" max="12554" width="15" style="771" bestFit="1" customWidth="1"/>
    <col min="12555" max="12555" width="11.42578125" style="771"/>
    <col min="12556" max="12556" width="18.42578125" style="771" customWidth="1"/>
    <col min="12557" max="12798" width="11.42578125" style="771"/>
    <col min="12799" max="12799" width="7.28515625" style="771" customWidth="1"/>
    <col min="12800" max="12800" width="34" style="771" customWidth="1"/>
    <col min="12801" max="12802" width="0" style="771" hidden="1" customWidth="1"/>
    <col min="12803" max="12803" width="8.42578125" style="771" customWidth="1"/>
    <col min="12804" max="12804" width="7.42578125" style="771" customWidth="1"/>
    <col min="12805" max="12805" width="14.42578125" style="771" customWidth="1"/>
    <col min="12806" max="12806" width="12" style="771" customWidth="1"/>
    <col min="12807" max="12807" width="15.28515625" style="771" customWidth="1"/>
    <col min="12808" max="12809" width="8" style="771" bestFit="1" customWidth="1"/>
    <col min="12810" max="12810" width="15" style="771" bestFit="1" customWidth="1"/>
    <col min="12811" max="12811" width="11.42578125" style="771"/>
    <col min="12812" max="12812" width="18.42578125" style="771" customWidth="1"/>
    <col min="12813" max="13054" width="11.42578125" style="771"/>
    <col min="13055" max="13055" width="7.28515625" style="771" customWidth="1"/>
    <col min="13056" max="13056" width="34" style="771" customWidth="1"/>
    <col min="13057" max="13058" width="0" style="771" hidden="1" customWidth="1"/>
    <col min="13059" max="13059" width="8.42578125" style="771" customWidth="1"/>
    <col min="13060" max="13060" width="7.42578125" style="771" customWidth="1"/>
    <col min="13061" max="13061" width="14.42578125" style="771" customWidth="1"/>
    <col min="13062" max="13062" width="12" style="771" customWidth="1"/>
    <col min="13063" max="13063" width="15.28515625" style="771" customWidth="1"/>
    <col min="13064" max="13065" width="8" style="771" bestFit="1" customWidth="1"/>
    <col min="13066" max="13066" width="15" style="771" bestFit="1" customWidth="1"/>
    <col min="13067" max="13067" width="11.42578125" style="771"/>
    <col min="13068" max="13068" width="18.42578125" style="771" customWidth="1"/>
    <col min="13069" max="13310" width="11.42578125" style="771"/>
    <col min="13311" max="13311" width="7.28515625" style="771" customWidth="1"/>
    <col min="13312" max="13312" width="34" style="771" customWidth="1"/>
    <col min="13313" max="13314" width="0" style="771" hidden="1" customWidth="1"/>
    <col min="13315" max="13315" width="8.42578125" style="771" customWidth="1"/>
    <col min="13316" max="13316" width="7.42578125" style="771" customWidth="1"/>
    <col min="13317" max="13317" width="14.42578125" style="771" customWidth="1"/>
    <col min="13318" max="13318" width="12" style="771" customWidth="1"/>
    <col min="13319" max="13319" width="15.28515625" style="771" customWidth="1"/>
    <col min="13320" max="13321" width="8" style="771" bestFit="1" customWidth="1"/>
    <col min="13322" max="13322" width="15" style="771" bestFit="1" customWidth="1"/>
    <col min="13323" max="13323" width="11.42578125" style="771"/>
    <col min="13324" max="13324" width="18.42578125" style="771" customWidth="1"/>
    <col min="13325" max="13566" width="11.42578125" style="771"/>
    <col min="13567" max="13567" width="7.28515625" style="771" customWidth="1"/>
    <col min="13568" max="13568" width="34" style="771" customWidth="1"/>
    <col min="13569" max="13570" width="0" style="771" hidden="1" customWidth="1"/>
    <col min="13571" max="13571" width="8.42578125" style="771" customWidth="1"/>
    <col min="13572" max="13572" width="7.42578125" style="771" customWidth="1"/>
    <col min="13573" max="13573" width="14.42578125" style="771" customWidth="1"/>
    <col min="13574" max="13574" width="12" style="771" customWidth="1"/>
    <col min="13575" max="13575" width="15.28515625" style="771" customWidth="1"/>
    <col min="13576" max="13577" width="8" style="771" bestFit="1" customWidth="1"/>
    <col min="13578" max="13578" width="15" style="771" bestFit="1" customWidth="1"/>
    <col min="13579" max="13579" width="11.42578125" style="771"/>
    <col min="13580" max="13580" width="18.42578125" style="771" customWidth="1"/>
    <col min="13581" max="13822" width="11.42578125" style="771"/>
    <col min="13823" max="13823" width="7.28515625" style="771" customWidth="1"/>
    <col min="13824" max="13824" width="34" style="771" customWidth="1"/>
    <col min="13825" max="13826" width="0" style="771" hidden="1" customWidth="1"/>
    <col min="13827" max="13827" width="8.42578125" style="771" customWidth="1"/>
    <col min="13828" max="13828" width="7.42578125" style="771" customWidth="1"/>
    <col min="13829" max="13829" width="14.42578125" style="771" customWidth="1"/>
    <col min="13830" max="13830" width="12" style="771" customWidth="1"/>
    <col min="13831" max="13831" width="15.28515625" style="771" customWidth="1"/>
    <col min="13832" max="13833" width="8" style="771" bestFit="1" customWidth="1"/>
    <col min="13834" max="13834" width="15" style="771" bestFit="1" customWidth="1"/>
    <col min="13835" max="13835" width="11.42578125" style="771"/>
    <col min="13836" max="13836" width="18.42578125" style="771" customWidth="1"/>
    <col min="13837" max="14078" width="11.42578125" style="771"/>
    <col min="14079" max="14079" width="7.28515625" style="771" customWidth="1"/>
    <col min="14080" max="14080" width="34" style="771" customWidth="1"/>
    <col min="14081" max="14082" width="0" style="771" hidden="1" customWidth="1"/>
    <col min="14083" max="14083" width="8.42578125" style="771" customWidth="1"/>
    <col min="14084" max="14084" width="7.42578125" style="771" customWidth="1"/>
    <col min="14085" max="14085" width="14.42578125" style="771" customWidth="1"/>
    <col min="14086" max="14086" width="12" style="771" customWidth="1"/>
    <col min="14087" max="14087" width="15.28515625" style="771" customWidth="1"/>
    <col min="14088" max="14089" width="8" style="771" bestFit="1" customWidth="1"/>
    <col min="14090" max="14090" width="15" style="771" bestFit="1" customWidth="1"/>
    <col min="14091" max="14091" width="11.42578125" style="771"/>
    <col min="14092" max="14092" width="18.42578125" style="771" customWidth="1"/>
    <col min="14093" max="14334" width="11.42578125" style="771"/>
    <col min="14335" max="14335" width="7.28515625" style="771" customWidth="1"/>
    <col min="14336" max="14336" width="34" style="771" customWidth="1"/>
    <col min="14337" max="14338" width="0" style="771" hidden="1" customWidth="1"/>
    <col min="14339" max="14339" width="8.42578125" style="771" customWidth="1"/>
    <col min="14340" max="14340" width="7.42578125" style="771" customWidth="1"/>
    <col min="14341" max="14341" width="14.42578125" style="771" customWidth="1"/>
    <col min="14342" max="14342" width="12" style="771" customWidth="1"/>
    <col min="14343" max="14343" width="15.28515625" style="771" customWidth="1"/>
    <col min="14344" max="14345" width="8" style="771" bestFit="1" customWidth="1"/>
    <col min="14346" max="14346" width="15" style="771" bestFit="1" customWidth="1"/>
    <col min="14347" max="14347" width="11.42578125" style="771"/>
    <col min="14348" max="14348" width="18.42578125" style="771" customWidth="1"/>
    <col min="14349" max="14590" width="11.42578125" style="771"/>
    <col min="14591" max="14591" width="7.28515625" style="771" customWidth="1"/>
    <col min="14592" max="14592" width="34" style="771" customWidth="1"/>
    <col min="14593" max="14594" width="0" style="771" hidden="1" customWidth="1"/>
    <col min="14595" max="14595" width="8.42578125" style="771" customWidth="1"/>
    <col min="14596" max="14596" width="7.42578125" style="771" customWidth="1"/>
    <col min="14597" max="14597" width="14.42578125" style="771" customWidth="1"/>
    <col min="14598" max="14598" width="12" style="771" customWidth="1"/>
    <col min="14599" max="14599" width="15.28515625" style="771" customWidth="1"/>
    <col min="14600" max="14601" width="8" style="771" bestFit="1" customWidth="1"/>
    <col min="14602" max="14602" width="15" style="771" bestFit="1" customWidth="1"/>
    <col min="14603" max="14603" width="11.42578125" style="771"/>
    <col min="14604" max="14604" width="18.42578125" style="771" customWidth="1"/>
    <col min="14605" max="14846" width="11.42578125" style="771"/>
    <col min="14847" max="14847" width="7.28515625" style="771" customWidth="1"/>
    <col min="14848" max="14848" width="34" style="771" customWidth="1"/>
    <col min="14849" max="14850" width="0" style="771" hidden="1" customWidth="1"/>
    <col min="14851" max="14851" width="8.42578125" style="771" customWidth="1"/>
    <col min="14852" max="14852" width="7.42578125" style="771" customWidth="1"/>
    <col min="14853" max="14853" width="14.42578125" style="771" customWidth="1"/>
    <col min="14854" max="14854" width="12" style="771" customWidth="1"/>
    <col min="14855" max="14855" width="15.28515625" style="771" customWidth="1"/>
    <col min="14856" max="14857" width="8" style="771" bestFit="1" customWidth="1"/>
    <col min="14858" max="14858" width="15" style="771" bestFit="1" customWidth="1"/>
    <col min="14859" max="14859" width="11.42578125" style="771"/>
    <col min="14860" max="14860" width="18.42578125" style="771" customWidth="1"/>
    <col min="14861" max="15102" width="11.42578125" style="771"/>
    <col min="15103" max="15103" width="7.28515625" style="771" customWidth="1"/>
    <col min="15104" max="15104" width="34" style="771" customWidth="1"/>
    <col min="15105" max="15106" width="0" style="771" hidden="1" customWidth="1"/>
    <col min="15107" max="15107" width="8.42578125" style="771" customWidth="1"/>
    <col min="15108" max="15108" width="7.42578125" style="771" customWidth="1"/>
    <col min="15109" max="15109" width="14.42578125" style="771" customWidth="1"/>
    <col min="15110" max="15110" width="12" style="771" customWidth="1"/>
    <col min="15111" max="15111" width="15.28515625" style="771" customWidth="1"/>
    <col min="15112" max="15113" width="8" style="771" bestFit="1" customWidth="1"/>
    <col min="15114" max="15114" width="15" style="771" bestFit="1" customWidth="1"/>
    <col min="15115" max="15115" width="11.42578125" style="771"/>
    <col min="15116" max="15116" width="18.42578125" style="771" customWidth="1"/>
    <col min="15117" max="15358" width="11.42578125" style="771"/>
    <col min="15359" max="15359" width="7.28515625" style="771" customWidth="1"/>
    <col min="15360" max="15360" width="34" style="771" customWidth="1"/>
    <col min="15361" max="15362" width="0" style="771" hidden="1" customWidth="1"/>
    <col min="15363" max="15363" width="8.42578125" style="771" customWidth="1"/>
    <col min="15364" max="15364" width="7.42578125" style="771" customWidth="1"/>
    <col min="15365" max="15365" width="14.42578125" style="771" customWidth="1"/>
    <col min="15366" max="15366" width="12" style="771" customWidth="1"/>
    <col min="15367" max="15367" width="15.28515625" style="771" customWidth="1"/>
    <col min="15368" max="15369" width="8" style="771" bestFit="1" customWidth="1"/>
    <col min="15370" max="15370" width="15" style="771" bestFit="1" customWidth="1"/>
    <col min="15371" max="15371" width="11.42578125" style="771"/>
    <col min="15372" max="15372" width="18.42578125" style="771" customWidth="1"/>
    <col min="15373" max="15614" width="11.42578125" style="771"/>
    <col min="15615" max="15615" width="7.28515625" style="771" customWidth="1"/>
    <col min="15616" max="15616" width="34" style="771" customWidth="1"/>
    <col min="15617" max="15618" width="0" style="771" hidden="1" customWidth="1"/>
    <col min="15619" max="15619" width="8.42578125" style="771" customWidth="1"/>
    <col min="15620" max="15620" width="7.42578125" style="771" customWidth="1"/>
    <col min="15621" max="15621" width="14.42578125" style="771" customWidth="1"/>
    <col min="15622" max="15622" width="12" style="771" customWidth="1"/>
    <col min="15623" max="15623" width="15.28515625" style="771" customWidth="1"/>
    <col min="15624" max="15625" width="8" style="771" bestFit="1" customWidth="1"/>
    <col min="15626" max="15626" width="15" style="771" bestFit="1" customWidth="1"/>
    <col min="15627" max="15627" width="11.42578125" style="771"/>
    <col min="15628" max="15628" width="18.42578125" style="771" customWidth="1"/>
    <col min="15629" max="15870" width="11.42578125" style="771"/>
    <col min="15871" max="15871" width="7.28515625" style="771" customWidth="1"/>
    <col min="15872" max="15872" width="34" style="771" customWidth="1"/>
    <col min="15873" max="15874" width="0" style="771" hidden="1" customWidth="1"/>
    <col min="15875" max="15875" width="8.42578125" style="771" customWidth="1"/>
    <col min="15876" max="15876" width="7.42578125" style="771" customWidth="1"/>
    <col min="15877" max="15877" width="14.42578125" style="771" customWidth="1"/>
    <col min="15878" max="15878" width="12" style="771" customWidth="1"/>
    <col min="15879" max="15879" width="15.28515625" style="771" customWidth="1"/>
    <col min="15880" max="15881" width="8" style="771" bestFit="1" customWidth="1"/>
    <col min="15882" max="15882" width="15" style="771" bestFit="1" customWidth="1"/>
    <col min="15883" max="15883" width="11.42578125" style="771"/>
    <col min="15884" max="15884" width="18.42578125" style="771" customWidth="1"/>
    <col min="15885" max="16126" width="11.42578125" style="771"/>
    <col min="16127" max="16127" width="7.28515625" style="771" customWidth="1"/>
    <col min="16128" max="16128" width="34" style="771" customWidth="1"/>
    <col min="16129" max="16130" width="0" style="771" hidden="1" customWidth="1"/>
    <col min="16131" max="16131" width="8.42578125" style="771" customWidth="1"/>
    <col min="16132" max="16132" width="7.42578125" style="771" customWidth="1"/>
    <col min="16133" max="16133" width="14.42578125" style="771" customWidth="1"/>
    <col min="16134" max="16134" width="12" style="771" customWidth="1"/>
    <col min="16135" max="16135" width="15.28515625" style="771" customWidth="1"/>
    <col min="16136" max="16137" width="8" style="771" bestFit="1" customWidth="1"/>
    <col min="16138" max="16138" width="15" style="771" bestFit="1" customWidth="1"/>
    <col min="16139" max="16139" width="11.42578125" style="771"/>
    <col min="16140" max="16140" width="18.42578125" style="771" customWidth="1"/>
    <col min="16141" max="16384" width="11.42578125" style="771"/>
  </cols>
  <sheetData>
    <row r="1" spans="1:16" ht="39.75" customHeight="1" thickBot="1" x14ac:dyDescent="0.3">
      <c r="A1" s="954" t="str">
        <f>+'PRESUPUESTO DE OBRA'!A1:H1</f>
        <v>TERMINACION DE LA CONSTRUCCION  UNIDAD INTERMEDIA "EL CARAÑO", MUNICIPIO DE QUIBDÓ, DEPARTAMENTO DEL CHOCÓ</v>
      </c>
      <c r="B1" s="955"/>
      <c r="C1" s="955"/>
      <c r="D1" s="955"/>
      <c r="E1" s="955"/>
      <c r="F1" s="955"/>
      <c r="G1" s="955"/>
      <c r="H1" s="955"/>
      <c r="I1" s="955"/>
      <c r="J1" s="955"/>
      <c r="K1" s="956"/>
      <c r="N1" s="772"/>
    </row>
    <row r="2" spans="1:16" ht="18.75" x14ac:dyDescent="0.25">
      <c r="A2" s="957" t="s">
        <v>2264</v>
      </c>
      <c r="B2" s="957"/>
      <c r="C2" s="957"/>
      <c r="D2" s="957"/>
      <c r="E2" s="957"/>
      <c r="F2" s="957"/>
      <c r="G2" s="957"/>
      <c r="H2" s="957"/>
      <c r="I2" s="957"/>
      <c r="J2" s="957"/>
      <c r="K2" s="957"/>
      <c r="N2" s="772"/>
      <c r="P2" s="773"/>
    </row>
    <row r="3" spans="1:16" x14ac:dyDescent="0.25">
      <c r="B3" s="775" t="s">
        <v>2265</v>
      </c>
      <c r="C3" s="958"/>
      <c r="D3" s="959"/>
      <c r="E3" s="959"/>
      <c r="H3" s="778"/>
      <c r="K3" s="780">
        <f>+'PRESUPUESTO DE OBRA'!H192</f>
        <v>2991256665</v>
      </c>
      <c r="N3" s="773"/>
    </row>
    <row r="4" spans="1:16" x14ac:dyDescent="0.25">
      <c r="B4" s="781" t="s">
        <v>2266</v>
      </c>
      <c r="C4" s="771"/>
      <c r="D4" s="771"/>
      <c r="K4" s="782" t="s">
        <v>2337</v>
      </c>
      <c r="N4" s="773"/>
    </row>
    <row r="5" spans="1:16" s="789" customFormat="1" ht="38.25" x14ac:dyDescent="0.25">
      <c r="A5" s="783" t="s">
        <v>2267</v>
      </c>
      <c r="B5" s="783" t="s">
        <v>2268</v>
      </c>
      <c r="C5" s="783" t="s">
        <v>2269</v>
      </c>
      <c r="D5" s="784" t="s">
        <v>2270</v>
      </c>
      <c r="E5" s="785" t="s">
        <v>2271</v>
      </c>
      <c r="F5" s="786" t="s">
        <v>2272</v>
      </c>
      <c r="G5" s="787" t="s">
        <v>2273</v>
      </c>
      <c r="H5" s="783" t="s">
        <v>2274</v>
      </c>
      <c r="I5" s="788" t="s">
        <v>2275</v>
      </c>
      <c r="J5" s="788" t="s">
        <v>2276</v>
      </c>
      <c r="K5" s="783" t="s">
        <v>2277</v>
      </c>
    </row>
    <row r="6" spans="1:16" x14ac:dyDescent="0.25">
      <c r="A6" s="790" t="s">
        <v>2278</v>
      </c>
      <c r="B6" s="791" t="s">
        <v>2279</v>
      </c>
      <c r="C6" s="790" t="s">
        <v>2280</v>
      </c>
      <c r="D6" s="790"/>
      <c r="E6" s="792" t="s">
        <v>25</v>
      </c>
      <c r="F6" s="793"/>
      <c r="G6" s="794"/>
      <c r="H6" s="793"/>
      <c r="I6" s="795"/>
      <c r="J6" s="795"/>
      <c r="K6" s="796"/>
    </row>
    <row r="7" spans="1:16" s="806" customFormat="1" ht="12" x14ac:dyDescent="0.25">
      <c r="A7" s="797" t="s">
        <v>2281</v>
      </c>
      <c r="B7" s="798" t="s">
        <v>2282</v>
      </c>
      <c r="C7" s="799" t="s">
        <v>2283</v>
      </c>
      <c r="D7" s="799"/>
      <c r="E7" s="800" t="s">
        <v>25</v>
      </c>
      <c r="F7" s="801"/>
      <c r="G7" s="802"/>
      <c r="H7" s="801"/>
      <c r="I7" s="803">
        <f>K7/K3</f>
        <v>0.13117730905248146</v>
      </c>
      <c r="J7" s="804">
        <v>1.85</v>
      </c>
      <c r="K7" s="805">
        <f>SUM(H8:H15)*J7</f>
        <v>392385000</v>
      </c>
      <c r="O7" s="807"/>
    </row>
    <row r="8" spans="1:16" s="815" customFormat="1" ht="12" x14ac:dyDescent="0.25">
      <c r="A8" s="808"/>
      <c r="B8" s="809" t="s">
        <v>2284</v>
      </c>
      <c r="C8" s="810"/>
      <c r="D8" s="810">
        <v>1</v>
      </c>
      <c r="E8" s="811">
        <v>6</v>
      </c>
      <c r="F8" s="812">
        <v>13000000</v>
      </c>
      <c r="G8" s="794">
        <v>0.5</v>
      </c>
      <c r="H8" s="812">
        <f>+G8*F8*E8*D8</f>
        <v>39000000</v>
      </c>
      <c r="I8" s="813"/>
      <c r="J8" s="813"/>
      <c r="K8" s="812"/>
      <c r="L8" s="814"/>
    </row>
    <row r="9" spans="1:16" s="815" customFormat="1" ht="12" x14ac:dyDescent="0.25">
      <c r="A9" s="808"/>
      <c r="B9" s="809" t="s">
        <v>2338</v>
      </c>
      <c r="C9" s="810"/>
      <c r="D9" s="810">
        <v>1</v>
      </c>
      <c r="E9" s="811">
        <v>6</v>
      </c>
      <c r="F9" s="812">
        <v>5200000</v>
      </c>
      <c r="G9" s="794">
        <v>1</v>
      </c>
      <c r="H9" s="812">
        <f>+G9*F9*E9*D9</f>
        <v>31200000</v>
      </c>
      <c r="I9" s="813"/>
      <c r="J9" s="813"/>
      <c r="K9" s="812"/>
    </row>
    <row r="10" spans="1:16" s="815" customFormat="1" ht="12" x14ac:dyDescent="0.25">
      <c r="A10" s="808"/>
      <c r="B10" s="809" t="s">
        <v>2339</v>
      </c>
      <c r="C10" s="810"/>
      <c r="D10" s="810">
        <v>1</v>
      </c>
      <c r="E10" s="811">
        <v>6</v>
      </c>
      <c r="F10" s="812">
        <v>3200000</v>
      </c>
      <c r="G10" s="794">
        <v>1</v>
      </c>
      <c r="H10" s="812">
        <f>+G10*F10*E10*D10</f>
        <v>19200000</v>
      </c>
      <c r="I10" s="813"/>
      <c r="J10" s="813"/>
      <c r="K10" s="812"/>
    </row>
    <row r="11" spans="1:16" s="815" customFormat="1" ht="12" x14ac:dyDescent="0.25">
      <c r="A11" s="808"/>
      <c r="B11" s="809" t="s">
        <v>2285</v>
      </c>
      <c r="C11" s="810"/>
      <c r="D11" s="810">
        <v>1</v>
      </c>
      <c r="E11" s="811">
        <v>6</v>
      </c>
      <c r="F11" s="812">
        <v>6500000</v>
      </c>
      <c r="G11" s="794">
        <v>0.5</v>
      </c>
      <c r="H11" s="812">
        <f t="shared" ref="H11:H13" si="0">+G11*F11*E11*D11</f>
        <v>19500000</v>
      </c>
      <c r="I11" s="813"/>
      <c r="J11" s="813"/>
      <c r="K11" s="812"/>
    </row>
    <row r="12" spans="1:16" s="815" customFormat="1" ht="12" x14ac:dyDescent="0.25">
      <c r="A12" s="808"/>
      <c r="B12" s="809" t="s">
        <v>2286</v>
      </c>
      <c r="C12" s="810"/>
      <c r="D12" s="810">
        <v>1</v>
      </c>
      <c r="E12" s="811">
        <v>6</v>
      </c>
      <c r="F12" s="812">
        <v>3500000</v>
      </c>
      <c r="G12" s="794">
        <v>1</v>
      </c>
      <c r="H12" s="812">
        <f t="shared" si="0"/>
        <v>21000000</v>
      </c>
      <c r="I12" s="813"/>
      <c r="J12" s="813"/>
      <c r="K12" s="812"/>
    </row>
    <row r="13" spans="1:16" s="815" customFormat="1" ht="12" x14ac:dyDescent="0.25">
      <c r="A13" s="808"/>
      <c r="B13" s="809" t="s">
        <v>2287</v>
      </c>
      <c r="C13" s="810"/>
      <c r="D13" s="810">
        <v>1</v>
      </c>
      <c r="E13" s="811">
        <v>6</v>
      </c>
      <c r="F13" s="812">
        <v>3500000</v>
      </c>
      <c r="G13" s="794">
        <v>1</v>
      </c>
      <c r="H13" s="812">
        <f t="shared" si="0"/>
        <v>21000000</v>
      </c>
      <c r="I13" s="813"/>
      <c r="J13" s="813"/>
      <c r="K13" s="812"/>
    </row>
    <row r="14" spans="1:16" s="815" customFormat="1" ht="12" x14ac:dyDescent="0.25">
      <c r="A14" s="808"/>
      <c r="B14" s="809" t="s">
        <v>2288</v>
      </c>
      <c r="C14" s="810"/>
      <c r="D14" s="810">
        <v>1</v>
      </c>
      <c r="E14" s="811">
        <v>6</v>
      </c>
      <c r="F14" s="812">
        <v>3200000</v>
      </c>
      <c r="G14" s="794">
        <v>1</v>
      </c>
      <c r="H14" s="812">
        <f>+G14*F14*E14*D14</f>
        <v>19200000</v>
      </c>
      <c r="I14" s="813"/>
      <c r="J14" s="813"/>
      <c r="K14" s="812"/>
    </row>
    <row r="15" spans="1:16" s="815" customFormat="1" ht="12" x14ac:dyDescent="0.25">
      <c r="A15" s="808"/>
      <c r="B15" s="816" t="s">
        <v>2289</v>
      </c>
      <c r="C15" s="810"/>
      <c r="D15" s="810">
        <v>2</v>
      </c>
      <c r="E15" s="811">
        <v>6</v>
      </c>
      <c r="F15" s="812">
        <f>+F13</f>
        <v>3500000</v>
      </c>
      <c r="G15" s="794">
        <v>1</v>
      </c>
      <c r="H15" s="812">
        <f>+G15*F15*E15*D15</f>
        <v>42000000</v>
      </c>
      <c r="I15" s="813"/>
      <c r="J15" s="813"/>
      <c r="K15" s="812"/>
    </row>
    <row r="16" spans="1:16" s="806" customFormat="1" ht="12" x14ac:dyDescent="0.25">
      <c r="A16" s="797" t="s">
        <v>2290</v>
      </c>
      <c r="B16" s="798" t="s">
        <v>2291</v>
      </c>
      <c r="C16" s="799" t="s">
        <v>2283</v>
      </c>
      <c r="D16" s="799"/>
      <c r="E16" s="817" t="s">
        <v>25</v>
      </c>
      <c r="F16" s="805"/>
      <c r="G16" s="802"/>
      <c r="H16" s="805"/>
      <c r="I16" s="803">
        <f>K16/K3</f>
        <v>1.558542285772057E-2</v>
      </c>
      <c r="J16" s="804">
        <v>1.85</v>
      </c>
      <c r="K16" s="805">
        <f>SUM(H17:H18)*J16</f>
        <v>46620000</v>
      </c>
    </row>
    <row r="17" spans="1:11" s="815" customFormat="1" ht="12" x14ac:dyDescent="0.25">
      <c r="A17" s="808"/>
      <c r="B17" s="809" t="s">
        <v>2292</v>
      </c>
      <c r="C17" s="810"/>
      <c r="D17" s="810"/>
      <c r="E17" s="811">
        <v>6</v>
      </c>
      <c r="F17" s="812">
        <v>2200000</v>
      </c>
      <c r="G17" s="794">
        <v>1</v>
      </c>
      <c r="H17" s="812">
        <f>E17*F17*G17</f>
        <v>13200000</v>
      </c>
      <c r="I17" s="813"/>
      <c r="J17" s="813"/>
      <c r="K17" s="812"/>
    </row>
    <row r="18" spans="1:11" s="815" customFormat="1" ht="12" x14ac:dyDescent="0.25">
      <c r="A18" s="808"/>
      <c r="B18" s="809" t="s">
        <v>2293</v>
      </c>
      <c r="C18" s="810"/>
      <c r="D18" s="810"/>
      <c r="E18" s="811">
        <v>6</v>
      </c>
      <c r="F18" s="812">
        <v>2000000</v>
      </c>
      <c r="G18" s="794">
        <v>1</v>
      </c>
      <c r="H18" s="812">
        <f t="shared" ref="H18" si="1">E18*F18*G18</f>
        <v>12000000</v>
      </c>
      <c r="I18" s="813"/>
      <c r="J18" s="813"/>
      <c r="K18" s="812"/>
    </row>
    <row r="19" spans="1:11" s="815" customFormat="1" ht="12" x14ac:dyDescent="0.25">
      <c r="A19" s="808"/>
      <c r="B19" s="809"/>
      <c r="C19" s="810"/>
      <c r="D19" s="810"/>
      <c r="E19" s="811"/>
      <c r="F19" s="812"/>
      <c r="G19" s="794"/>
      <c r="H19" s="812"/>
      <c r="I19" s="813"/>
      <c r="J19" s="813"/>
      <c r="K19" s="812"/>
    </row>
    <row r="20" spans="1:11" s="806" customFormat="1" ht="12" x14ac:dyDescent="0.25">
      <c r="A20" s="797" t="s">
        <v>2294</v>
      </c>
      <c r="B20" s="818" t="s">
        <v>2295</v>
      </c>
      <c r="C20" s="799" t="s">
        <v>2283</v>
      </c>
      <c r="D20" s="799"/>
      <c r="E20" s="817" t="s">
        <v>25</v>
      </c>
      <c r="F20" s="805"/>
      <c r="G20" s="802"/>
      <c r="H20" s="805"/>
      <c r="I20" s="803">
        <f>K20/K3</f>
        <v>5.9373039457983117E-3</v>
      </c>
      <c r="J20" s="804">
        <v>1.85</v>
      </c>
      <c r="K20" s="805">
        <f>SUM(H21:H22)*J20</f>
        <v>17760000</v>
      </c>
    </row>
    <row r="21" spans="1:11" s="815" customFormat="1" ht="12" x14ac:dyDescent="0.25">
      <c r="A21" s="808"/>
      <c r="B21" s="809" t="s">
        <v>2296</v>
      </c>
      <c r="C21" s="810"/>
      <c r="D21" s="810">
        <v>1</v>
      </c>
      <c r="E21" s="811">
        <v>6</v>
      </c>
      <c r="F21" s="812">
        <v>1600000</v>
      </c>
      <c r="G21" s="794">
        <v>1</v>
      </c>
      <c r="H21" s="812">
        <f>+F21*E21*D21</f>
        <v>9600000</v>
      </c>
      <c r="I21" s="813"/>
      <c r="J21" s="813"/>
      <c r="K21" s="812"/>
    </row>
    <row r="22" spans="1:11" s="815" customFormat="1" ht="12" x14ac:dyDescent="0.25">
      <c r="A22" s="808"/>
      <c r="B22" s="809"/>
      <c r="C22" s="810"/>
      <c r="D22" s="810"/>
      <c r="E22" s="811"/>
      <c r="F22" s="812"/>
      <c r="G22" s="794"/>
      <c r="H22" s="812"/>
      <c r="I22" s="813"/>
      <c r="J22" s="813"/>
      <c r="K22" s="812"/>
    </row>
    <row r="23" spans="1:11" s="806" customFormat="1" ht="12" x14ac:dyDescent="0.25">
      <c r="A23" s="797" t="s">
        <v>2297</v>
      </c>
      <c r="B23" s="798" t="s">
        <v>2298</v>
      </c>
      <c r="C23" s="799" t="s">
        <v>2283</v>
      </c>
      <c r="D23" s="799"/>
      <c r="E23" s="817" t="s">
        <v>25</v>
      </c>
      <c r="F23" s="805"/>
      <c r="G23" s="802"/>
      <c r="H23" s="805"/>
      <c r="I23" s="803">
        <f>K23/K3</f>
        <v>8.6251374888286284E-3</v>
      </c>
      <c r="J23" s="803">
        <f>SUM(J24:J25)</f>
        <v>0</v>
      </c>
      <c r="K23" s="805">
        <f>SUM(H24:H25)</f>
        <v>25800000</v>
      </c>
    </row>
    <row r="24" spans="1:11" s="815" customFormat="1" ht="12" x14ac:dyDescent="0.25">
      <c r="A24" s="808"/>
      <c r="B24" s="819" t="s">
        <v>2299</v>
      </c>
      <c r="C24" s="810"/>
      <c r="D24" s="810">
        <v>1</v>
      </c>
      <c r="E24" s="811">
        <v>6</v>
      </c>
      <c r="F24" s="812">
        <v>2500000</v>
      </c>
      <c r="G24" s="794">
        <v>1</v>
      </c>
      <c r="H24" s="812">
        <f>+F24*E24*D24*G24</f>
        <v>15000000</v>
      </c>
      <c r="I24" s="813"/>
      <c r="J24" s="813"/>
      <c r="K24" s="812"/>
    </row>
    <row r="25" spans="1:11" s="815" customFormat="1" ht="24" x14ac:dyDescent="0.25">
      <c r="A25" s="808"/>
      <c r="B25" s="819" t="s">
        <v>2300</v>
      </c>
      <c r="C25" s="810"/>
      <c r="D25" s="810">
        <v>1</v>
      </c>
      <c r="E25" s="811">
        <v>6</v>
      </c>
      <c r="F25" s="812">
        <v>1800000</v>
      </c>
      <c r="G25" s="794">
        <v>1</v>
      </c>
      <c r="H25" s="812">
        <f>F25*E25*G25*G25</f>
        <v>10800000</v>
      </c>
      <c r="I25" s="813"/>
      <c r="J25" s="813"/>
      <c r="K25" s="812"/>
    </row>
    <row r="26" spans="1:11" s="815" customFormat="1" ht="12" x14ac:dyDescent="0.25">
      <c r="A26" s="808"/>
      <c r="B26" s="819"/>
      <c r="C26" s="810"/>
      <c r="D26" s="810"/>
      <c r="E26" s="811"/>
      <c r="F26" s="812"/>
      <c r="G26" s="794"/>
      <c r="H26" s="812"/>
      <c r="I26" s="813"/>
      <c r="J26" s="813"/>
      <c r="K26" s="812"/>
    </row>
    <row r="27" spans="1:11" s="806" customFormat="1" ht="12" x14ac:dyDescent="0.25">
      <c r="A27" s="797" t="s">
        <v>2301</v>
      </c>
      <c r="B27" s="818" t="s">
        <v>2302</v>
      </c>
      <c r="C27" s="799" t="s">
        <v>2283</v>
      </c>
      <c r="D27" s="799"/>
      <c r="E27" s="817" t="s">
        <v>25</v>
      </c>
      <c r="F27" s="805"/>
      <c r="G27" s="802"/>
      <c r="H27" s="805"/>
      <c r="I27" s="803">
        <f>K27/K3</f>
        <v>4.4128610407960425E-3</v>
      </c>
      <c r="J27" s="803">
        <f>SUM(J28:J28)</f>
        <v>0</v>
      </c>
      <c r="K27" s="805">
        <f>SUM(H28:H28)</f>
        <v>13200000</v>
      </c>
    </row>
    <row r="28" spans="1:11" s="815" customFormat="1" ht="12" x14ac:dyDescent="0.25">
      <c r="A28" s="808"/>
      <c r="B28" s="809" t="s">
        <v>2303</v>
      </c>
      <c r="C28" s="810"/>
      <c r="D28" s="810">
        <v>1</v>
      </c>
      <c r="E28" s="811">
        <v>6</v>
      </c>
      <c r="F28" s="812">
        <v>2200000</v>
      </c>
      <c r="G28" s="794">
        <v>1</v>
      </c>
      <c r="H28" s="812">
        <f>D28*F28*E28*G28</f>
        <v>13200000</v>
      </c>
      <c r="I28" s="813"/>
      <c r="J28" s="813"/>
      <c r="K28" s="812"/>
    </row>
    <row r="29" spans="1:11" s="815" customFormat="1" ht="12" x14ac:dyDescent="0.25">
      <c r="A29" s="808"/>
      <c r="B29" s="809"/>
      <c r="C29" s="810"/>
      <c r="D29" s="810"/>
      <c r="E29" s="811"/>
      <c r="F29" s="812"/>
      <c r="G29" s="794"/>
      <c r="H29" s="812"/>
      <c r="I29" s="813"/>
      <c r="J29" s="813"/>
      <c r="K29" s="812"/>
    </row>
    <row r="30" spans="1:11" s="806" customFormat="1" ht="24" x14ac:dyDescent="0.25">
      <c r="A30" s="797" t="s">
        <v>2304</v>
      </c>
      <c r="B30" s="798" t="s">
        <v>2305</v>
      </c>
      <c r="C30" s="799" t="s">
        <v>2283</v>
      </c>
      <c r="D30" s="799"/>
      <c r="E30" s="817" t="s">
        <v>2306</v>
      </c>
      <c r="F30" s="805" t="s">
        <v>2306</v>
      </c>
      <c r="G30" s="802"/>
      <c r="H30" s="805"/>
      <c r="I30" s="803">
        <f>K30/K3</f>
        <v>2.0125320807266801E-2</v>
      </c>
      <c r="J30" s="803">
        <f>SUM(J31:J35)</f>
        <v>0</v>
      </c>
      <c r="K30" s="805">
        <f>SUM(H31:H35)</f>
        <v>60200000</v>
      </c>
    </row>
    <row r="31" spans="1:11" s="815" customFormat="1" ht="12" x14ac:dyDescent="0.25">
      <c r="A31" s="808"/>
      <c r="B31" s="809" t="s">
        <v>2307</v>
      </c>
      <c r="C31" s="810"/>
      <c r="D31" s="810">
        <v>1</v>
      </c>
      <c r="E31" s="811">
        <v>1</v>
      </c>
      <c r="F31" s="812">
        <v>9200000</v>
      </c>
      <c r="G31" s="794"/>
      <c r="H31" s="812">
        <f t="shared" ref="H31:H35" si="2">+F31*E31*D31</f>
        <v>9200000</v>
      </c>
      <c r="I31" s="813"/>
      <c r="J31" s="813"/>
      <c r="K31" s="812"/>
    </row>
    <row r="32" spans="1:11" s="815" customFormat="1" ht="12" x14ac:dyDescent="0.25">
      <c r="A32" s="808"/>
      <c r="B32" s="809" t="s">
        <v>2308</v>
      </c>
      <c r="C32" s="810"/>
      <c r="D32" s="810">
        <v>1</v>
      </c>
      <c r="E32" s="811">
        <v>6</v>
      </c>
      <c r="F32" s="812">
        <v>3000000</v>
      </c>
      <c r="G32" s="794"/>
      <c r="H32" s="812">
        <f t="shared" si="2"/>
        <v>18000000</v>
      </c>
      <c r="I32" s="813"/>
      <c r="J32" s="813"/>
      <c r="K32" s="812"/>
    </row>
    <row r="33" spans="1:11" s="815" customFormat="1" ht="12" x14ac:dyDescent="0.25">
      <c r="A33" s="808"/>
      <c r="B33" s="809" t="s">
        <v>2309</v>
      </c>
      <c r="C33" s="810"/>
      <c r="D33" s="810">
        <v>1</v>
      </c>
      <c r="E33" s="811">
        <v>6</v>
      </c>
      <c r="F33" s="812">
        <v>1500000</v>
      </c>
      <c r="G33" s="794"/>
      <c r="H33" s="812">
        <f t="shared" si="2"/>
        <v>9000000</v>
      </c>
      <c r="I33" s="813"/>
      <c r="J33" s="813"/>
      <c r="K33" s="812"/>
    </row>
    <row r="34" spans="1:11" s="815" customFormat="1" ht="24" x14ac:dyDescent="0.25">
      <c r="A34" s="808"/>
      <c r="B34" s="809" t="s">
        <v>2310</v>
      </c>
      <c r="C34" s="810"/>
      <c r="D34" s="810">
        <v>1</v>
      </c>
      <c r="E34" s="811">
        <v>6</v>
      </c>
      <c r="F34" s="812">
        <v>2000000</v>
      </c>
      <c r="G34" s="794"/>
      <c r="H34" s="812">
        <f t="shared" si="2"/>
        <v>12000000</v>
      </c>
      <c r="I34" s="813"/>
      <c r="J34" s="813"/>
      <c r="K34" s="812"/>
    </row>
    <row r="35" spans="1:11" s="815" customFormat="1" ht="12" x14ac:dyDescent="0.25">
      <c r="A35" s="808"/>
      <c r="B35" s="809" t="s">
        <v>2311</v>
      </c>
      <c r="C35" s="810"/>
      <c r="D35" s="810">
        <v>1</v>
      </c>
      <c r="E35" s="811">
        <v>6</v>
      </c>
      <c r="F35" s="812">
        <v>2000000</v>
      </c>
      <c r="G35" s="794"/>
      <c r="H35" s="812">
        <f t="shared" si="2"/>
        <v>12000000</v>
      </c>
      <c r="I35" s="813"/>
      <c r="J35" s="813"/>
      <c r="K35" s="812"/>
    </row>
    <row r="36" spans="1:11" s="815" customFormat="1" ht="12" x14ac:dyDescent="0.25">
      <c r="A36" s="808"/>
      <c r="B36" s="809"/>
      <c r="C36" s="810"/>
      <c r="D36" s="810"/>
      <c r="E36" s="811"/>
      <c r="F36" s="812"/>
      <c r="G36" s="794"/>
      <c r="H36" s="812"/>
      <c r="I36" s="813"/>
      <c r="J36" s="813"/>
      <c r="K36" s="812"/>
    </row>
    <row r="37" spans="1:11" s="806" customFormat="1" ht="12" x14ac:dyDescent="0.25">
      <c r="A37" s="797" t="s">
        <v>2312</v>
      </c>
      <c r="B37" s="818" t="s">
        <v>2313</v>
      </c>
      <c r="C37" s="799" t="s">
        <v>2283</v>
      </c>
      <c r="D37" s="799"/>
      <c r="E37" s="817"/>
      <c r="F37" s="805" t="s">
        <v>25</v>
      </c>
      <c r="G37" s="802"/>
      <c r="H37" s="805"/>
      <c r="I37" s="803">
        <f>K37/K3</f>
        <v>3.1002351314443287E-3</v>
      </c>
      <c r="J37" s="803">
        <f>SUM(J38:J38)</f>
        <v>0</v>
      </c>
      <c r="K37" s="805">
        <f>SUM(H38:H38)</f>
        <v>9273599</v>
      </c>
    </row>
    <row r="38" spans="1:11" s="815" customFormat="1" ht="12" x14ac:dyDescent="0.25">
      <c r="A38" s="808"/>
      <c r="B38" s="809" t="s">
        <v>2314</v>
      </c>
      <c r="C38" s="810"/>
      <c r="D38" s="810">
        <v>1</v>
      </c>
      <c r="E38" s="811">
        <v>1</v>
      </c>
      <c r="F38" s="812">
        <v>9273599</v>
      </c>
      <c r="G38" s="794"/>
      <c r="H38" s="812">
        <f>F38*E38*D38</f>
        <v>9273599</v>
      </c>
      <c r="I38" s="813"/>
      <c r="J38" s="813"/>
      <c r="K38" s="812"/>
    </row>
    <row r="39" spans="1:11" s="815" customFormat="1" ht="12" x14ac:dyDescent="0.25">
      <c r="A39" s="808"/>
      <c r="B39" s="809"/>
      <c r="C39" s="810"/>
      <c r="D39" s="810"/>
      <c r="E39" s="811"/>
      <c r="F39" s="812"/>
      <c r="G39" s="794"/>
      <c r="H39" s="812"/>
      <c r="I39" s="813"/>
      <c r="J39" s="813"/>
      <c r="K39" s="812"/>
    </row>
    <row r="40" spans="1:11" s="806" customFormat="1" ht="12" x14ac:dyDescent="0.25">
      <c r="A40" s="797" t="s">
        <v>2315</v>
      </c>
      <c r="B40" s="818" t="s">
        <v>2316</v>
      </c>
      <c r="C40" s="799" t="s">
        <v>2283</v>
      </c>
      <c r="D40" s="799"/>
      <c r="E40" s="817" t="s">
        <v>25</v>
      </c>
      <c r="F40" s="805"/>
      <c r="G40" s="802"/>
      <c r="H40" s="805"/>
      <c r="I40" s="803">
        <f>K40/K3</f>
        <v>4.272451825861623E-3</v>
      </c>
      <c r="J40" s="803">
        <f>SUM(J41:J44)</f>
        <v>0</v>
      </c>
      <c r="K40" s="805">
        <f>SUM(H41:H44)</f>
        <v>12780000</v>
      </c>
    </row>
    <row r="41" spans="1:11" s="815" customFormat="1" ht="12" x14ac:dyDescent="0.25">
      <c r="A41" s="808"/>
      <c r="B41" s="809"/>
      <c r="C41" s="810"/>
      <c r="D41" s="810"/>
      <c r="E41" s="811"/>
      <c r="F41" s="812"/>
      <c r="G41" s="794"/>
      <c r="H41" s="812"/>
      <c r="I41" s="813"/>
      <c r="J41" s="813"/>
      <c r="K41" s="812"/>
    </row>
    <row r="42" spans="1:11" s="815" customFormat="1" ht="12" x14ac:dyDescent="0.25">
      <c r="A42" s="808"/>
      <c r="B42" s="809" t="s">
        <v>2317</v>
      </c>
      <c r="C42" s="810"/>
      <c r="D42" s="810">
        <v>1</v>
      </c>
      <c r="E42" s="811">
        <v>6</v>
      </c>
      <c r="F42" s="812">
        <v>1100000</v>
      </c>
      <c r="G42" s="794"/>
      <c r="H42" s="812">
        <f>F42*E42*D42</f>
        <v>6600000</v>
      </c>
      <c r="I42" s="813"/>
      <c r="J42" s="813"/>
      <c r="K42" s="812"/>
    </row>
    <row r="43" spans="1:11" s="815" customFormat="1" ht="12" x14ac:dyDescent="0.25">
      <c r="A43" s="808"/>
      <c r="B43" s="809" t="s">
        <v>2318</v>
      </c>
      <c r="C43" s="810"/>
      <c r="D43" s="810">
        <v>1</v>
      </c>
      <c r="E43" s="811">
        <v>6</v>
      </c>
      <c r="F43" s="812">
        <v>580000</v>
      </c>
      <c r="G43" s="794"/>
      <c r="H43" s="812">
        <f>F43*E43*D43</f>
        <v>3480000</v>
      </c>
      <c r="I43" s="813"/>
      <c r="J43" s="813"/>
      <c r="K43" s="812"/>
    </row>
    <row r="44" spans="1:11" s="815" customFormat="1" ht="12" x14ac:dyDescent="0.25">
      <c r="A44" s="808"/>
      <c r="B44" s="809" t="s">
        <v>2319</v>
      </c>
      <c r="C44" s="810"/>
      <c r="D44" s="810">
        <v>1</v>
      </c>
      <c r="E44" s="811">
        <v>6</v>
      </c>
      <c r="F44" s="812">
        <v>450000</v>
      </c>
      <c r="G44" s="794"/>
      <c r="H44" s="812">
        <f>F44*E44*D44</f>
        <v>2700000</v>
      </c>
      <c r="I44" s="813"/>
      <c r="J44" s="813"/>
      <c r="K44" s="812"/>
    </row>
    <row r="45" spans="1:11" s="815" customFormat="1" ht="12" x14ac:dyDescent="0.25">
      <c r="A45" s="808"/>
      <c r="B45" s="809"/>
      <c r="C45" s="810"/>
      <c r="D45" s="810"/>
      <c r="E45" s="811"/>
      <c r="F45" s="812"/>
      <c r="G45" s="794"/>
      <c r="H45" s="812"/>
      <c r="I45" s="813"/>
      <c r="J45" s="813"/>
      <c r="K45" s="812"/>
    </row>
    <row r="46" spans="1:11" s="806" customFormat="1" ht="12" x14ac:dyDescent="0.25">
      <c r="A46" s="797">
        <v>1.0900000000000001</v>
      </c>
      <c r="B46" s="818" t="s">
        <v>2320</v>
      </c>
      <c r="C46" s="799" t="s">
        <v>2283</v>
      </c>
      <c r="D46" s="799"/>
      <c r="E46" s="817" t="s">
        <v>25</v>
      </c>
      <c r="F46" s="805"/>
      <c r="G46" s="802"/>
      <c r="H46" s="805"/>
      <c r="I46" s="803">
        <f>K46/K3</f>
        <v>4.8140302263229556E-3</v>
      </c>
      <c r="J46" s="803">
        <f>SUM(J47:J48)</f>
        <v>0</v>
      </c>
      <c r="K46" s="805">
        <f>SUM(H47:H48)</f>
        <v>14400000</v>
      </c>
    </row>
    <row r="47" spans="1:11" s="815" customFormat="1" ht="12" x14ac:dyDescent="0.25">
      <c r="A47" s="808"/>
      <c r="B47" s="809" t="s">
        <v>2321</v>
      </c>
      <c r="C47" s="810"/>
      <c r="D47" s="810">
        <v>1</v>
      </c>
      <c r="E47" s="811">
        <v>6</v>
      </c>
      <c r="F47" s="812">
        <v>1200000</v>
      </c>
      <c r="G47" s="794"/>
      <c r="H47" s="812">
        <f>F47*E47*D47</f>
        <v>7200000</v>
      </c>
      <c r="I47" s="813"/>
      <c r="J47" s="813"/>
      <c r="K47" s="812"/>
    </row>
    <row r="48" spans="1:11" s="815" customFormat="1" ht="12" x14ac:dyDescent="0.25">
      <c r="A48" s="808"/>
      <c r="B48" s="809" t="s">
        <v>2322</v>
      </c>
      <c r="C48" s="810"/>
      <c r="D48" s="810">
        <v>1</v>
      </c>
      <c r="E48" s="811">
        <v>6</v>
      </c>
      <c r="F48" s="812">
        <v>1200000</v>
      </c>
      <c r="G48" s="794"/>
      <c r="H48" s="812">
        <f>F48*E48*D48</f>
        <v>7200000</v>
      </c>
      <c r="I48" s="813"/>
      <c r="J48" s="813"/>
      <c r="K48" s="812"/>
    </row>
    <row r="49" spans="1:12" s="815" customFormat="1" ht="12" x14ac:dyDescent="0.25">
      <c r="A49" s="808"/>
      <c r="B49" s="809"/>
      <c r="C49" s="810"/>
      <c r="D49" s="810"/>
      <c r="E49" s="811"/>
      <c r="F49" s="812"/>
      <c r="G49" s="794"/>
      <c r="H49" s="812"/>
      <c r="I49" s="813"/>
      <c r="J49" s="813"/>
      <c r="K49" s="812"/>
    </row>
    <row r="50" spans="1:12" s="806" customFormat="1" ht="12" x14ac:dyDescent="0.25">
      <c r="A50" s="797"/>
      <c r="B50" s="818"/>
      <c r="C50" s="799"/>
      <c r="D50" s="799"/>
      <c r="E50" s="817"/>
      <c r="F50" s="805"/>
      <c r="G50" s="802"/>
      <c r="H50" s="805"/>
      <c r="I50" s="803">
        <f>K50/K3</f>
        <v>0</v>
      </c>
      <c r="J50" s="803">
        <f>SUM(J51:J51)</f>
        <v>0</v>
      </c>
      <c r="K50" s="805">
        <f>SUM(H51:H51)</f>
        <v>0</v>
      </c>
    </row>
    <row r="51" spans="1:12" s="815" customFormat="1" ht="12" x14ac:dyDescent="0.25">
      <c r="A51" s="808"/>
      <c r="B51" s="809"/>
      <c r="C51" s="810"/>
      <c r="D51" s="810">
        <v>1</v>
      </c>
      <c r="E51" s="811"/>
      <c r="F51" s="812"/>
      <c r="G51" s="794"/>
      <c r="H51" s="812">
        <f>+F51*D51</f>
        <v>0</v>
      </c>
      <c r="I51" s="813"/>
      <c r="J51" s="813"/>
      <c r="K51" s="812"/>
    </row>
    <row r="52" spans="1:12" s="815" customFormat="1" ht="12" x14ac:dyDescent="0.25">
      <c r="A52" s="808"/>
      <c r="B52" s="809"/>
      <c r="C52" s="810"/>
      <c r="D52" s="810"/>
      <c r="E52" s="811"/>
      <c r="F52" s="812"/>
      <c r="G52" s="794"/>
      <c r="H52" s="812"/>
      <c r="I52" s="813"/>
      <c r="J52" s="813"/>
      <c r="K52" s="812"/>
    </row>
    <row r="53" spans="1:12" s="806" customFormat="1" ht="12" x14ac:dyDescent="0.25">
      <c r="A53" s="820">
        <f>A46+0.01</f>
        <v>1.1000000000000001</v>
      </c>
      <c r="B53" s="798" t="s">
        <v>2323</v>
      </c>
      <c r="C53" s="799" t="s">
        <v>2283</v>
      </c>
      <c r="D53" s="799"/>
      <c r="E53" s="817" t="s">
        <v>25</v>
      </c>
      <c r="F53" s="805"/>
      <c r="G53" s="802"/>
      <c r="H53" s="805"/>
      <c r="I53" s="803">
        <f>K53/K3</f>
        <v>9.4274758598824546E-3</v>
      </c>
      <c r="J53" s="803">
        <f>SUM(J54:J54)</f>
        <v>0</v>
      </c>
      <c r="K53" s="805">
        <f>SUM(H54:H56)</f>
        <v>28200000</v>
      </c>
    </row>
    <row r="54" spans="1:12" s="806" customFormat="1" ht="12" x14ac:dyDescent="0.25">
      <c r="A54" s="797"/>
      <c r="B54" s="819" t="s">
        <v>2324</v>
      </c>
      <c r="C54" s="799"/>
      <c r="D54" s="799"/>
      <c r="E54" s="811">
        <v>6</v>
      </c>
      <c r="F54" s="812">
        <v>2300000</v>
      </c>
      <c r="G54" s="794"/>
      <c r="H54" s="812">
        <f>E54*F54</f>
        <v>13800000</v>
      </c>
      <c r="I54" s="803"/>
      <c r="J54" s="803"/>
      <c r="K54" s="805"/>
    </row>
    <row r="55" spans="1:12" s="815" customFormat="1" ht="12" x14ac:dyDescent="0.25">
      <c r="A55" s="808"/>
      <c r="B55" s="809" t="s">
        <v>2325</v>
      </c>
      <c r="C55" s="810"/>
      <c r="D55" s="810"/>
      <c r="E55" s="811">
        <v>6</v>
      </c>
      <c r="F55" s="812">
        <v>1500000</v>
      </c>
      <c r="G55" s="794"/>
      <c r="H55" s="812">
        <f t="shared" ref="H55:H56" si="3">E55*F55</f>
        <v>9000000</v>
      </c>
      <c r="I55" s="813"/>
      <c r="J55" s="813"/>
      <c r="K55" s="812"/>
      <c r="L55" s="821"/>
    </row>
    <row r="56" spans="1:12" s="815" customFormat="1" ht="12" x14ac:dyDescent="0.25">
      <c r="A56" s="808"/>
      <c r="B56" s="809" t="s">
        <v>2326</v>
      </c>
      <c r="C56" s="810"/>
      <c r="D56" s="810"/>
      <c r="E56" s="811">
        <v>6</v>
      </c>
      <c r="F56" s="812">
        <v>900000</v>
      </c>
      <c r="G56" s="794"/>
      <c r="H56" s="812">
        <f t="shared" si="3"/>
        <v>5400000</v>
      </c>
      <c r="I56" s="813"/>
      <c r="J56" s="813"/>
      <c r="K56" s="812"/>
      <c r="L56" s="821"/>
    </row>
    <row r="57" spans="1:12" s="815" customFormat="1" ht="12" x14ac:dyDescent="0.25">
      <c r="A57" s="808"/>
      <c r="B57" s="809"/>
      <c r="C57" s="810"/>
      <c r="D57" s="810"/>
      <c r="E57" s="811"/>
      <c r="F57" s="812"/>
      <c r="G57" s="794"/>
      <c r="H57" s="812"/>
      <c r="I57" s="813"/>
      <c r="J57" s="813"/>
      <c r="K57" s="812"/>
    </row>
    <row r="58" spans="1:12" s="806" customFormat="1" ht="12" x14ac:dyDescent="0.25">
      <c r="A58" s="797">
        <v>1.1100000000000001</v>
      </c>
      <c r="B58" s="818" t="s">
        <v>2210</v>
      </c>
      <c r="C58" s="799"/>
      <c r="D58" s="799"/>
      <c r="E58" s="817"/>
      <c r="F58" s="805"/>
      <c r="G58" s="802"/>
      <c r="H58" s="805"/>
      <c r="I58" s="803">
        <f>K58/K3</f>
        <v>4.6803071644806512E-3</v>
      </c>
      <c r="J58" s="803"/>
      <c r="K58" s="805">
        <f>SUM(H59:H60)</f>
        <v>14000000</v>
      </c>
    </row>
    <row r="59" spans="1:12" s="806" customFormat="1" ht="27" customHeight="1" x14ac:dyDescent="0.25">
      <c r="A59" s="797"/>
      <c r="B59" s="809" t="s">
        <v>2327</v>
      </c>
      <c r="C59" s="799"/>
      <c r="D59" s="799"/>
      <c r="E59" s="811">
        <v>1</v>
      </c>
      <c r="F59" s="812">
        <v>12000000</v>
      </c>
      <c r="G59" s="794"/>
      <c r="H59" s="812">
        <f>E59*F59</f>
        <v>12000000</v>
      </c>
      <c r="I59" s="803"/>
      <c r="J59" s="803"/>
      <c r="K59" s="805"/>
      <c r="L59" s="822"/>
    </row>
    <row r="60" spans="1:12" s="806" customFormat="1" ht="12" x14ac:dyDescent="0.25">
      <c r="A60" s="797"/>
      <c r="B60" s="809" t="s">
        <v>2328</v>
      </c>
      <c r="C60" s="799"/>
      <c r="D60" s="799"/>
      <c r="E60" s="811">
        <v>1</v>
      </c>
      <c r="F60" s="812">
        <v>2000000</v>
      </c>
      <c r="G60" s="794"/>
      <c r="H60" s="812">
        <f>E60*F60</f>
        <v>2000000</v>
      </c>
      <c r="I60" s="803"/>
      <c r="J60" s="803"/>
      <c r="K60" s="805"/>
    </row>
    <row r="61" spans="1:12" s="806" customFormat="1" ht="12" x14ac:dyDescent="0.25">
      <c r="A61" s="797"/>
      <c r="B61" s="818"/>
      <c r="C61" s="799"/>
      <c r="D61" s="799"/>
      <c r="E61" s="800"/>
      <c r="F61" s="801"/>
      <c r="G61" s="802"/>
      <c r="H61" s="801"/>
      <c r="I61" s="803"/>
      <c r="J61" s="803"/>
      <c r="K61" s="805"/>
    </row>
    <row r="62" spans="1:12" s="815" customFormat="1" x14ac:dyDescent="0.25">
      <c r="A62" s="808"/>
      <c r="B62" s="809"/>
      <c r="C62" s="810"/>
      <c r="D62" s="810"/>
      <c r="E62" s="792"/>
      <c r="F62" s="793"/>
      <c r="G62" s="794"/>
      <c r="H62" s="793"/>
      <c r="J62" s="813"/>
      <c r="K62" s="812"/>
      <c r="L62" s="773"/>
    </row>
    <row r="63" spans="1:12" x14ac:dyDescent="0.2">
      <c r="A63" s="790">
        <v>1</v>
      </c>
      <c r="B63" s="823" t="s">
        <v>17</v>
      </c>
      <c r="C63" s="790" t="s">
        <v>51</v>
      </c>
      <c r="D63" s="790"/>
      <c r="E63" s="792"/>
      <c r="F63" s="793"/>
      <c r="G63" s="794"/>
      <c r="H63" s="793"/>
      <c r="I63" s="803">
        <f>SUM(I7:I61)</f>
        <v>0.21215785540088383</v>
      </c>
      <c r="J63" s="803"/>
      <c r="K63" s="805">
        <f>SUM(K7:K61)</f>
        <v>634618599</v>
      </c>
      <c r="L63" s="824"/>
    </row>
    <row r="64" spans="1:12" x14ac:dyDescent="0.25">
      <c r="A64" s="790" t="s">
        <v>2329</v>
      </c>
      <c r="B64" s="825" t="s">
        <v>2330</v>
      </c>
      <c r="C64" s="790" t="s">
        <v>2280</v>
      </c>
      <c r="D64" s="790"/>
      <c r="E64" s="792" t="s">
        <v>25</v>
      </c>
      <c r="F64" s="793" t="s">
        <v>25</v>
      </c>
      <c r="G64" s="794"/>
      <c r="H64" s="793" t="s">
        <v>25</v>
      </c>
      <c r="I64" s="803">
        <v>0.05</v>
      </c>
      <c r="J64" s="803"/>
      <c r="K64" s="805">
        <f>ROUND((+I64*K3),0)</f>
        <v>149562833</v>
      </c>
      <c r="L64" s="826"/>
    </row>
    <row r="65" spans="1:13" x14ac:dyDescent="0.25">
      <c r="A65" s="790" t="s">
        <v>2331</v>
      </c>
      <c r="B65" s="825" t="s">
        <v>2332</v>
      </c>
      <c r="C65" s="790" t="s">
        <v>2280</v>
      </c>
      <c r="D65" s="790"/>
      <c r="E65" s="792" t="s">
        <v>25</v>
      </c>
      <c r="F65" s="793" t="s">
        <v>25</v>
      </c>
      <c r="G65" s="794"/>
      <c r="H65" s="793" t="s">
        <v>25</v>
      </c>
      <c r="I65" s="803">
        <v>0.05</v>
      </c>
      <c r="J65" s="803"/>
      <c r="K65" s="805">
        <f>ROUND((+I65*K3),0)</f>
        <v>149562833</v>
      </c>
    </row>
    <row r="66" spans="1:13" x14ac:dyDescent="0.25">
      <c r="A66" s="827" t="s">
        <v>25</v>
      </c>
      <c r="B66" s="825" t="s">
        <v>2333</v>
      </c>
      <c r="C66" s="827" t="s">
        <v>25</v>
      </c>
      <c r="D66" s="827"/>
      <c r="E66" s="792" t="s">
        <v>25</v>
      </c>
      <c r="F66" s="793" t="s">
        <v>25</v>
      </c>
      <c r="G66" s="794"/>
      <c r="H66" s="793" t="s">
        <v>25</v>
      </c>
      <c r="I66" s="803">
        <f>SUM(I63:I65)</f>
        <v>0.31215785540088381</v>
      </c>
      <c r="J66" s="803"/>
      <c r="K66" s="805">
        <f>SUM(K63:K65)</f>
        <v>933744265</v>
      </c>
      <c r="L66" s="772"/>
    </row>
    <row r="67" spans="1:13" x14ac:dyDescent="0.25">
      <c r="K67" s="773"/>
    </row>
    <row r="68" spans="1:13" x14ac:dyDescent="0.25">
      <c r="A68" s="771"/>
      <c r="B68" s="825" t="s">
        <v>2334</v>
      </c>
      <c r="C68" s="825"/>
      <c r="D68" s="825"/>
      <c r="E68" s="829"/>
      <c r="F68" s="825"/>
      <c r="G68" s="825"/>
      <c r="H68" s="825"/>
      <c r="I68" s="825"/>
      <c r="J68" s="825"/>
      <c r="K68" s="830">
        <f>K3</f>
        <v>2991256665</v>
      </c>
      <c r="L68" s="831"/>
    </row>
    <row r="69" spans="1:13" x14ac:dyDescent="0.25">
      <c r="B69" s="825" t="s">
        <v>2335</v>
      </c>
      <c r="C69" s="825"/>
      <c r="D69" s="825"/>
      <c r="E69" s="829"/>
      <c r="F69" s="825"/>
      <c r="G69" s="832"/>
      <c r="H69" s="825"/>
      <c r="I69" s="825"/>
      <c r="J69" s="825"/>
      <c r="K69" s="833">
        <f>K66+K3</f>
        <v>3925000930</v>
      </c>
      <c r="L69" s="834"/>
      <c r="M69" s="773"/>
    </row>
    <row r="70" spans="1:13" x14ac:dyDescent="0.25">
      <c r="B70" s="825" t="s">
        <v>2336</v>
      </c>
      <c r="C70" s="825"/>
      <c r="D70" s="825"/>
      <c r="E70" s="829"/>
      <c r="F70" s="825"/>
      <c r="G70" s="825"/>
      <c r="H70" s="825"/>
      <c r="I70" s="835"/>
      <c r="J70" s="825"/>
      <c r="K70" s="836" t="e">
        <f>#REF!</f>
        <v>#REF!</v>
      </c>
      <c r="M70" s="773"/>
    </row>
    <row r="71" spans="1:13" x14ac:dyDescent="0.25">
      <c r="B71" s="825" t="s">
        <v>2177</v>
      </c>
      <c r="C71" s="825"/>
      <c r="D71" s="825"/>
      <c r="E71" s="829"/>
      <c r="F71" s="825"/>
      <c r="G71" s="825"/>
      <c r="H71" s="825"/>
      <c r="I71" s="835"/>
      <c r="J71" s="825"/>
      <c r="K71" s="836" t="e">
        <f>K69+K70</f>
        <v>#REF!</v>
      </c>
      <c r="L71" s="834"/>
      <c r="M71" s="837"/>
    </row>
    <row r="72" spans="1:13" x14ac:dyDescent="0.25">
      <c r="B72" s="825"/>
      <c r="C72" s="825"/>
      <c r="D72" s="825"/>
      <c r="E72" s="829"/>
      <c r="F72" s="825"/>
      <c r="G72" s="825"/>
      <c r="H72" s="825"/>
      <c r="I72" s="825"/>
      <c r="J72" s="825"/>
      <c r="K72" s="825"/>
      <c r="L72" s="772"/>
    </row>
    <row r="73" spans="1:13" x14ac:dyDescent="0.25">
      <c r="L73" s="773"/>
    </row>
    <row r="74" spans="1:13" x14ac:dyDescent="0.25">
      <c r="K74" s="838">
        <f>1985877546.31+558129613.02</f>
        <v>2544007159.3299999</v>
      </c>
    </row>
    <row r="75" spans="1:13" x14ac:dyDescent="0.25">
      <c r="K75" s="826"/>
      <c r="L75" s="773"/>
    </row>
    <row r="76" spans="1:13" x14ac:dyDescent="0.25">
      <c r="B76" s="839"/>
      <c r="C76" s="840"/>
      <c r="D76" s="840"/>
      <c r="E76" s="841"/>
      <c r="F76" s="838"/>
    </row>
    <row r="77" spans="1:13" x14ac:dyDescent="0.25">
      <c r="B77" s="839"/>
      <c r="C77" s="840"/>
      <c r="D77" s="840"/>
      <c r="E77" s="841"/>
      <c r="F77" s="838"/>
    </row>
    <row r="78" spans="1:13" x14ac:dyDescent="0.25">
      <c r="B78" s="839"/>
      <c r="C78" s="840"/>
      <c r="D78" s="840"/>
      <c r="E78" s="841"/>
      <c r="F78" s="838"/>
    </row>
    <row r="79" spans="1:13" x14ac:dyDescent="0.25">
      <c r="B79" s="839"/>
      <c r="C79" s="840"/>
      <c r="D79" s="840"/>
      <c r="E79" s="841"/>
      <c r="F79" s="838"/>
    </row>
  </sheetData>
  <dataConsolidate/>
  <mergeCells count="3">
    <mergeCell ref="A1:K1"/>
    <mergeCell ref="A2:K2"/>
    <mergeCell ref="C3:E3"/>
  </mergeCells>
  <pageMargins left="0" right="0" top="0.75000000000000011" bottom="0" header="0" footer="0"/>
  <pageSetup paperSize="9" scale="7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G488"/>
  <sheetViews>
    <sheetView view="pageBreakPreview" zoomScale="110" zoomScaleNormal="100" zoomScaleSheetLayoutView="110" workbookViewId="0">
      <selection activeCell="A37" sqref="A37"/>
    </sheetView>
  </sheetViews>
  <sheetFormatPr baseColWidth="10" defaultRowHeight="11.25" x14ac:dyDescent="0.25"/>
  <cols>
    <col min="1" max="1" width="61.140625" style="151" customWidth="1"/>
    <col min="2" max="2" width="13.85546875" style="131" customWidth="1"/>
    <col min="3" max="3" width="10.42578125" style="131" customWidth="1"/>
    <col min="4" max="4" width="12.42578125" style="133" customWidth="1"/>
    <col min="5" max="5" width="11.140625" style="131" customWidth="1"/>
    <col min="6" max="242" width="11.42578125" style="131"/>
    <col min="243" max="243" width="1" style="131" customWidth="1"/>
    <col min="244" max="244" width="6.42578125" style="131" customWidth="1"/>
    <col min="245" max="245" width="27.85546875" style="131" customWidth="1"/>
    <col min="246" max="246" width="12.42578125" style="131" customWidth="1"/>
    <col min="247" max="247" width="15.42578125" style="131" customWidth="1"/>
    <col min="248" max="249" width="12.7109375" style="131" customWidth="1"/>
    <col min="250" max="250" width="11.42578125" style="131"/>
    <col min="251" max="251" width="15.42578125" style="131" customWidth="1"/>
    <col min="252" max="252" width="9.140625" style="131" customWidth="1"/>
    <col min="253" max="253" width="5.140625" style="131" customWidth="1"/>
    <col min="254" max="498" width="11.42578125" style="131"/>
    <col min="499" max="499" width="1" style="131" customWidth="1"/>
    <col min="500" max="500" width="6.42578125" style="131" customWidth="1"/>
    <col min="501" max="501" width="27.85546875" style="131" customWidth="1"/>
    <col min="502" max="502" width="12.42578125" style="131" customWidth="1"/>
    <col min="503" max="503" width="15.42578125" style="131" customWidth="1"/>
    <col min="504" max="505" width="12.7109375" style="131" customWidth="1"/>
    <col min="506" max="506" width="11.42578125" style="131"/>
    <col min="507" max="507" width="15.42578125" style="131" customWidth="1"/>
    <col min="508" max="508" width="9.140625" style="131" customWidth="1"/>
    <col min="509" max="509" width="5.140625" style="131" customWidth="1"/>
    <col min="510" max="754" width="11.42578125" style="131"/>
    <col min="755" max="755" width="1" style="131" customWidth="1"/>
    <col min="756" max="756" width="6.42578125" style="131" customWidth="1"/>
    <col min="757" max="757" width="27.85546875" style="131" customWidth="1"/>
    <col min="758" max="758" width="12.42578125" style="131" customWidth="1"/>
    <col min="759" max="759" width="15.42578125" style="131" customWidth="1"/>
    <col min="760" max="761" width="12.7109375" style="131" customWidth="1"/>
    <col min="762" max="762" width="11.42578125" style="131"/>
    <col min="763" max="763" width="15.42578125" style="131" customWidth="1"/>
    <col min="764" max="764" width="9.140625" style="131" customWidth="1"/>
    <col min="765" max="765" width="5.140625" style="131" customWidth="1"/>
    <col min="766" max="1010" width="11.42578125" style="131"/>
    <col min="1011" max="1011" width="1" style="131" customWidth="1"/>
    <col min="1012" max="1012" width="6.42578125" style="131" customWidth="1"/>
    <col min="1013" max="1013" width="27.85546875" style="131" customWidth="1"/>
    <col min="1014" max="1014" width="12.42578125" style="131" customWidth="1"/>
    <col min="1015" max="1015" width="15.42578125" style="131" customWidth="1"/>
    <col min="1016" max="1017" width="12.7109375" style="131" customWidth="1"/>
    <col min="1018" max="1018" width="11.42578125" style="131"/>
    <col min="1019" max="1019" width="15.42578125" style="131" customWidth="1"/>
    <col min="1020" max="1020" width="9.140625" style="131" customWidth="1"/>
    <col min="1021" max="1021" width="5.140625" style="131" customWidth="1"/>
    <col min="1022" max="1266" width="11.42578125" style="131"/>
    <col min="1267" max="1267" width="1" style="131" customWidth="1"/>
    <col min="1268" max="1268" width="6.42578125" style="131" customWidth="1"/>
    <col min="1269" max="1269" width="27.85546875" style="131" customWidth="1"/>
    <col min="1270" max="1270" width="12.42578125" style="131" customWidth="1"/>
    <col min="1271" max="1271" width="15.42578125" style="131" customWidth="1"/>
    <col min="1272" max="1273" width="12.7109375" style="131" customWidth="1"/>
    <col min="1274" max="1274" width="11.42578125" style="131"/>
    <col min="1275" max="1275" width="15.42578125" style="131" customWidth="1"/>
    <col min="1276" max="1276" width="9.140625" style="131" customWidth="1"/>
    <col min="1277" max="1277" width="5.140625" style="131" customWidth="1"/>
    <col min="1278" max="1522" width="11.42578125" style="131"/>
    <col min="1523" max="1523" width="1" style="131" customWidth="1"/>
    <col min="1524" max="1524" width="6.42578125" style="131" customWidth="1"/>
    <col min="1525" max="1525" width="27.85546875" style="131" customWidth="1"/>
    <col min="1526" max="1526" width="12.42578125" style="131" customWidth="1"/>
    <col min="1527" max="1527" width="15.42578125" style="131" customWidth="1"/>
    <col min="1528" max="1529" width="12.7109375" style="131" customWidth="1"/>
    <col min="1530" max="1530" width="11.42578125" style="131"/>
    <col min="1531" max="1531" width="15.42578125" style="131" customWidth="1"/>
    <col min="1532" max="1532" width="9.140625" style="131" customWidth="1"/>
    <col min="1533" max="1533" width="5.140625" style="131" customWidth="1"/>
    <col min="1534" max="1778" width="11.42578125" style="131"/>
    <col min="1779" max="1779" width="1" style="131" customWidth="1"/>
    <col min="1780" max="1780" width="6.42578125" style="131" customWidth="1"/>
    <col min="1781" max="1781" width="27.85546875" style="131" customWidth="1"/>
    <col min="1782" max="1782" width="12.42578125" style="131" customWidth="1"/>
    <col min="1783" max="1783" width="15.42578125" style="131" customWidth="1"/>
    <col min="1784" max="1785" width="12.7109375" style="131" customWidth="1"/>
    <col min="1786" max="1786" width="11.42578125" style="131"/>
    <col min="1787" max="1787" width="15.42578125" style="131" customWidth="1"/>
    <col min="1788" max="1788" width="9.140625" style="131" customWidth="1"/>
    <col min="1789" max="1789" width="5.140625" style="131" customWidth="1"/>
    <col min="1790" max="2034" width="11.42578125" style="131"/>
    <col min="2035" max="2035" width="1" style="131" customWidth="1"/>
    <col min="2036" max="2036" width="6.42578125" style="131" customWidth="1"/>
    <col min="2037" max="2037" width="27.85546875" style="131" customWidth="1"/>
    <col min="2038" max="2038" width="12.42578125" style="131" customWidth="1"/>
    <col min="2039" max="2039" width="15.42578125" style="131" customWidth="1"/>
    <col min="2040" max="2041" width="12.7109375" style="131" customWidth="1"/>
    <col min="2042" max="2042" width="11.42578125" style="131"/>
    <col min="2043" max="2043" width="15.42578125" style="131" customWidth="1"/>
    <col min="2044" max="2044" width="9.140625" style="131" customWidth="1"/>
    <col min="2045" max="2045" width="5.140625" style="131" customWidth="1"/>
    <col min="2046" max="2290" width="11.42578125" style="131"/>
    <col min="2291" max="2291" width="1" style="131" customWidth="1"/>
    <col min="2292" max="2292" width="6.42578125" style="131" customWidth="1"/>
    <col min="2293" max="2293" width="27.85546875" style="131" customWidth="1"/>
    <col min="2294" max="2294" width="12.42578125" style="131" customWidth="1"/>
    <col min="2295" max="2295" width="15.42578125" style="131" customWidth="1"/>
    <col min="2296" max="2297" width="12.7109375" style="131" customWidth="1"/>
    <col min="2298" max="2298" width="11.42578125" style="131"/>
    <col min="2299" max="2299" width="15.42578125" style="131" customWidth="1"/>
    <col min="2300" max="2300" width="9.140625" style="131" customWidth="1"/>
    <col min="2301" max="2301" width="5.140625" style="131" customWidth="1"/>
    <col min="2302" max="2546" width="11.42578125" style="131"/>
    <col min="2547" max="2547" width="1" style="131" customWidth="1"/>
    <col min="2548" max="2548" width="6.42578125" style="131" customWidth="1"/>
    <col min="2549" max="2549" width="27.85546875" style="131" customWidth="1"/>
    <col min="2550" max="2550" width="12.42578125" style="131" customWidth="1"/>
    <col min="2551" max="2551" width="15.42578125" style="131" customWidth="1"/>
    <col min="2552" max="2553" width="12.7109375" style="131" customWidth="1"/>
    <col min="2554" max="2554" width="11.42578125" style="131"/>
    <col min="2555" max="2555" width="15.42578125" style="131" customWidth="1"/>
    <col min="2556" max="2556" width="9.140625" style="131" customWidth="1"/>
    <col min="2557" max="2557" width="5.140625" style="131" customWidth="1"/>
    <col min="2558" max="2802" width="11.42578125" style="131"/>
    <col min="2803" max="2803" width="1" style="131" customWidth="1"/>
    <col min="2804" max="2804" width="6.42578125" style="131" customWidth="1"/>
    <col min="2805" max="2805" width="27.85546875" style="131" customWidth="1"/>
    <col min="2806" max="2806" width="12.42578125" style="131" customWidth="1"/>
    <col min="2807" max="2807" width="15.42578125" style="131" customWidth="1"/>
    <col min="2808" max="2809" width="12.7109375" style="131" customWidth="1"/>
    <col min="2810" max="2810" width="11.42578125" style="131"/>
    <col min="2811" max="2811" width="15.42578125" style="131" customWidth="1"/>
    <col min="2812" max="2812" width="9.140625" style="131" customWidth="1"/>
    <col min="2813" max="2813" width="5.140625" style="131" customWidth="1"/>
    <col min="2814" max="3058" width="11.42578125" style="131"/>
    <col min="3059" max="3059" width="1" style="131" customWidth="1"/>
    <col min="3060" max="3060" width="6.42578125" style="131" customWidth="1"/>
    <col min="3061" max="3061" width="27.85546875" style="131" customWidth="1"/>
    <col min="3062" max="3062" width="12.42578125" style="131" customWidth="1"/>
    <col min="3063" max="3063" width="15.42578125" style="131" customWidth="1"/>
    <col min="3064" max="3065" width="12.7109375" style="131" customWidth="1"/>
    <col min="3066" max="3066" width="11.42578125" style="131"/>
    <col min="3067" max="3067" width="15.42578125" style="131" customWidth="1"/>
    <col min="3068" max="3068" width="9.140625" style="131" customWidth="1"/>
    <col min="3069" max="3069" width="5.140625" style="131" customWidth="1"/>
    <col min="3070" max="3314" width="11.42578125" style="131"/>
    <col min="3315" max="3315" width="1" style="131" customWidth="1"/>
    <col min="3316" max="3316" width="6.42578125" style="131" customWidth="1"/>
    <col min="3317" max="3317" width="27.85546875" style="131" customWidth="1"/>
    <col min="3318" max="3318" width="12.42578125" style="131" customWidth="1"/>
    <col min="3319" max="3319" width="15.42578125" style="131" customWidth="1"/>
    <col min="3320" max="3321" width="12.7109375" style="131" customWidth="1"/>
    <col min="3322" max="3322" width="11.42578125" style="131"/>
    <col min="3323" max="3323" width="15.42578125" style="131" customWidth="1"/>
    <col min="3324" max="3324" width="9.140625" style="131" customWidth="1"/>
    <col min="3325" max="3325" width="5.140625" style="131" customWidth="1"/>
    <col min="3326" max="3570" width="11.42578125" style="131"/>
    <col min="3571" max="3571" width="1" style="131" customWidth="1"/>
    <col min="3572" max="3572" width="6.42578125" style="131" customWidth="1"/>
    <col min="3573" max="3573" width="27.85546875" style="131" customWidth="1"/>
    <col min="3574" max="3574" width="12.42578125" style="131" customWidth="1"/>
    <col min="3575" max="3575" width="15.42578125" style="131" customWidth="1"/>
    <col min="3576" max="3577" width="12.7109375" style="131" customWidth="1"/>
    <col min="3578" max="3578" width="11.42578125" style="131"/>
    <col min="3579" max="3579" width="15.42578125" style="131" customWidth="1"/>
    <col min="3580" max="3580" width="9.140625" style="131" customWidth="1"/>
    <col min="3581" max="3581" width="5.140625" style="131" customWidth="1"/>
    <col min="3582" max="3826" width="11.42578125" style="131"/>
    <col min="3827" max="3827" width="1" style="131" customWidth="1"/>
    <col min="3828" max="3828" width="6.42578125" style="131" customWidth="1"/>
    <col min="3829" max="3829" width="27.85546875" style="131" customWidth="1"/>
    <col min="3830" max="3830" width="12.42578125" style="131" customWidth="1"/>
    <col min="3831" max="3831" width="15.42578125" style="131" customWidth="1"/>
    <col min="3832" max="3833" width="12.7109375" style="131" customWidth="1"/>
    <col min="3834" max="3834" width="11.42578125" style="131"/>
    <col min="3835" max="3835" width="15.42578125" style="131" customWidth="1"/>
    <col min="3836" max="3836" width="9.140625" style="131" customWidth="1"/>
    <col min="3837" max="3837" width="5.140625" style="131" customWidth="1"/>
    <col min="3838" max="4082" width="11.42578125" style="131"/>
    <col min="4083" max="4083" width="1" style="131" customWidth="1"/>
    <col min="4084" max="4084" width="6.42578125" style="131" customWidth="1"/>
    <col min="4085" max="4085" width="27.85546875" style="131" customWidth="1"/>
    <col min="4086" max="4086" width="12.42578125" style="131" customWidth="1"/>
    <col min="4087" max="4087" width="15.42578125" style="131" customWidth="1"/>
    <col min="4088" max="4089" width="12.7109375" style="131" customWidth="1"/>
    <col min="4090" max="4090" width="11.42578125" style="131"/>
    <col min="4091" max="4091" width="15.42578125" style="131" customWidth="1"/>
    <col min="4092" max="4092" width="9.140625" style="131" customWidth="1"/>
    <col min="4093" max="4093" width="5.140625" style="131" customWidth="1"/>
    <col min="4094" max="4338" width="11.42578125" style="131"/>
    <col min="4339" max="4339" width="1" style="131" customWidth="1"/>
    <col min="4340" max="4340" width="6.42578125" style="131" customWidth="1"/>
    <col min="4341" max="4341" width="27.85546875" style="131" customWidth="1"/>
    <col min="4342" max="4342" width="12.42578125" style="131" customWidth="1"/>
    <col min="4343" max="4343" width="15.42578125" style="131" customWidth="1"/>
    <col min="4344" max="4345" width="12.7109375" style="131" customWidth="1"/>
    <col min="4346" max="4346" width="11.42578125" style="131"/>
    <col min="4347" max="4347" width="15.42578125" style="131" customWidth="1"/>
    <col min="4348" max="4348" width="9.140625" style="131" customWidth="1"/>
    <col min="4349" max="4349" width="5.140625" style="131" customWidth="1"/>
    <col min="4350" max="4594" width="11.42578125" style="131"/>
    <col min="4595" max="4595" width="1" style="131" customWidth="1"/>
    <col min="4596" max="4596" width="6.42578125" style="131" customWidth="1"/>
    <col min="4597" max="4597" width="27.85546875" style="131" customWidth="1"/>
    <col min="4598" max="4598" width="12.42578125" style="131" customWidth="1"/>
    <col min="4599" max="4599" width="15.42578125" style="131" customWidth="1"/>
    <col min="4600" max="4601" width="12.7109375" style="131" customWidth="1"/>
    <col min="4602" max="4602" width="11.42578125" style="131"/>
    <col min="4603" max="4603" width="15.42578125" style="131" customWidth="1"/>
    <col min="4604" max="4604" width="9.140625" style="131" customWidth="1"/>
    <col min="4605" max="4605" width="5.140625" style="131" customWidth="1"/>
    <col min="4606" max="4850" width="11.42578125" style="131"/>
    <col min="4851" max="4851" width="1" style="131" customWidth="1"/>
    <col min="4852" max="4852" width="6.42578125" style="131" customWidth="1"/>
    <col min="4853" max="4853" width="27.85546875" style="131" customWidth="1"/>
    <col min="4854" max="4854" width="12.42578125" style="131" customWidth="1"/>
    <col min="4855" max="4855" width="15.42578125" style="131" customWidth="1"/>
    <col min="4856" max="4857" width="12.7109375" style="131" customWidth="1"/>
    <col min="4858" max="4858" width="11.42578125" style="131"/>
    <col min="4859" max="4859" width="15.42578125" style="131" customWidth="1"/>
    <col min="4860" max="4860" width="9.140625" style="131" customWidth="1"/>
    <col min="4861" max="4861" width="5.140625" style="131" customWidth="1"/>
    <col min="4862" max="5106" width="11.42578125" style="131"/>
    <col min="5107" max="5107" width="1" style="131" customWidth="1"/>
    <col min="5108" max="5108" width="6.42578125" style="131" customWidth="1"/>
    <col min="5109" max="5109" width="27.85546875" style="131" customWidth="1"/>
    <col min="5110" max="5110" width="12.42578125" style="131" customWidth="1"/>
    <col min="5111" max="5111" width="15.42578125" style="131" customWidth="1"/>
    <col min="5112" max="5113" width="12.7109375" style="131" customWidth="1"/>
    <col min="5114" max="5114" width="11.42578125" style="131"/>
    <col min="5115" max="5115" width="15.42578125" style="131" customWidth="1"/>
    <col min="5116" max="5116" width="9.140625" style="131" customWidth="1"/>
    <col min="5117" max="5117" width="5.140625" style="131" customWidth="1"/>
    <col min="5118" max="5362" width="11.42578125" style="131"/>
    <col min="5363" max="5363" width="1" style="131" customWidth="1"/>
    <col min="5364" max="5364" width="6.42578125" style="131" customWidth="1"/>
    <col min="5365" max="5365" width="27.85546875" style="131" customWidth="1"/>
    <col min="5366" max="5366" width="12.42578125" style="131" customWidth="1"/>
    <col min="5367" max="5367" width="15.42578125" style="131" customWidth="1"/>
    <col min="5368" max="5369" width="12.7109375" style="131" customWidth="1"/>
    <col min="5370" max="5370" width="11.42578125" style="131"/>
    <col min="5371" max="5371" width="15.42578125" style="131" customWidth="1"/>
    <col min="5372" max="5372" width="9.140625" style="131" customWidth="1"/>
    <col min="5373" max="5373" width="5.140625" style="131" customWidth="1"/>
    <col min="5374" max="5618" width="11.42578125" style="131"/>
    <col min="5619" max="5619" width="1" style="131" customWidth="1"/>
    <col min="5620" max="5620" width="6.42578125" style="131" customWidth="1"/>
    <col min="5621" max="5621" width="27.85546875" style="131" customWidth="1"/>
    <col min="5622" max="5622" width="12.42578125" style="131" customWidth="1"/>
    <col min="5623" max="5623" width="15.42578125" style="131" customWidth="1"/>
    <col min="5624" max="5625" width="12.7109375" style="131" customWidth="1"/>
    <col min="5626" max="5626" width="11.42578125" style="131"/>
    <col min="5627" max="5627" width="15.42578125" style="131" customWidth="1"/>
    <col min="5628" max="5628" width="9.140625" style="131" customWidth="1"/>
    <col min="5629" max="5629" width="5.140625" style="131" customWidth="1"/>
    <col min="5630" max="5874" width="11.42578125" style="131"/>
    <col min="5875" max="5875" width="1" style="131" customWidth="1"/>
    <col min="5876" max="5876" width="6.42578125" style="131" customWidth="1"/>
    <col min="5877" max="5877" width="27.85546875" style="131" customWidth="1"/>
    <col min="5878" max="5878" width="12.42578125" style="131" customWidth="1"/>
    <col min="5879" max="5879" width="15.42578125" style="131" customWidth="1"/>
    <col min="5880" max="5881" width="12.7109375" style="131" customWidth="1"/>
    <col min="5882" max="5882" width="11.42578125" style="131"/>
    <col min="5883" max="5883" width="15.42578125" style="131" customWidth="1"/>
    <col min="5884" max="5884" width="9.140625" style="131" customWidth="1"/>
    <col min="5885" max="5885" width="5.140625" style="131" customWidth="1"/>
    <col min="5886" max="6130" width="11.42578125" style="131"/>
    <col min="6131" max="6131" width="1" style="131" customWidth="1"/>
    <col min="6132" max="6132" width="6.42578125" style="131" customWidth="1"/>
    <col min="6133" max="6133" width="27.85546875" style="131" customWidth="1"/>
    <col min="6134" max="6134" width="12.42578125" style="131" customWidth="1"/>
    <col min="6135" max="6135" width="15.42578125" style="131" customWidth="1"/>
    <col min="6136" max="6137" width="12.7109375" style="131" customWidth="1"/>
    <col min="6138" max="6138" width="11.42578125" style="131"/>
    <col min="6139" max="6139" width="15.42578125" style="131" customWidth="1"/>
    <col min="6140" max="6140" width="9.140625" style="131" customWidth="1"/>
    <col min="6141" max="6141" width="5.140625" style="131" customWidth="1"/>
    <col min="6142" max="6386" width="11.42578125" style="131"/>
    <col min="6387" max="6387" width="1" style="131" customWidth="1"/>
    <col min="6388" max="6388" width="6.42578125" style="131" customWidth="1"/>
    <col min="6389" max="6389" width="27.85546875" style="131" customWidth="1"/>
    <col min="6390" max="6390" width="12.42578125" style="131" customWidth="1"/>
    <col min="6391" max="6391" width="15.42578125" style="131" customWidth="1"/>
    <col min="6392" max="6393" width="12.7109375" style="131" customWidth="1"/>
    <col min="6394" max="6394" width="11.42578125" style="131"/>
    <col min="6395" max="6395" width="15.42578125" style="131" customWidth="1"/>
    <col min="6396" max="6396" width="9.140625" style="131" customWidth="1"/>
    <col min="6397" max="6397" width="5.140625" style="131" customWidth="1"/>
    <col min="6398" max="6642" width="11.42578125" style="131"/>
    <col min="6643" max="6643" width="1" style="131" customWidth="1"/>
    <col min="6644" max="6644" width="6.42578125" style="131" customWidth="1"/>
    <col min="6645" max="6645" width="27.85546875" style="131" customWidth="1"/>
    <col min="6646" max="6646" width="12.42578125" style="131" customWidth="1"/>
    <col min="6647" max="6647" width="15.42578125" style="131" customWidth="1"/>
    <col min="6648" max="6649" width="12.7109375" style="131" customWidth="1"/>
    <col min="6650" max="6650" width="11.42578125" style="131"/>
    <col min="6651" max="6651" width="15.42578125" style="131" customWidth="1"/>
    <col min="6652" max="6652" width="9.140625" style="131" customWidth="1"/>
    <col min="6653" max="6653" width="5.140625" style="131" customWidth="1"/>
    <col min="6654" max="6898" width="11.42578125" style="131"/>
    <col min="6899" max="6899" width="1" style="131" customWidth="1"/>
    <col min="6900" max="6900" width="6.42578125" style="131" customWidth="1"/>
    <col min="6901" max="6901" width="27.85546875" style="131" customWidth="1"/>
    <col min="6902" max="6902" width="12.42578125" style="131" customWidth="1"/>
    <col min="6903" max="6903" width="15.42578125" style="131" customWidth="1"/>
    <col min="6904" max="6905" width="12.7109375" style="131" customWidth="1"/>
    <col min="6906" max="6906" width="11.42578125" style="131"/>
    <col min="6907" max="6907" width="15.42578125" style="131" customWidth="1"/>
    <col min="6908" max="6908" width="9.140625" style="131" customWidth="1"/>
    <col min="6909" max="6909" width="5.140625" style="131" customWidth="1"/>
    <col min="6910" max="7154" width="11.42578125" style="131"/>
    <col min="7155" max="7155" width="1" style="131" customWidth="1"/>
    <col min="7156" max="7156" width="6.42578125" style="131" customWidth="1"/>
    <col min="7157" max="7157" width="27.85546875" style="131" customWidth="1"/>
    <col min="7158" max="7158" width="12.42578125" style="131" customWidth="1"/>
    <col min="7159" max="7159" width="15.42578125" style="131" customWidth="1"/>
    <col min="7160" max="7161" width="12.7109375" style="131" customWidth="1"/>
    <col min="7162" max="7162" width="11.42578125" style="131"/>
    <col min="7163" max="7163" width="15.42578125" style="131" customWidth="1"/>
    <col min="7164" max="7164" width="9.140625" style="131" customWidth="1"/>
    <col min="7165" max="7165" width="5.140625" style="131" customWidth="1"/>
    <col min="7166" max="7410" width="11.42578125" style="131"/>
    <col min="7411" max="7411" width="1" style="131" customWidth="1"/>
    <col min="7412" max="7412" width="6.42578125" style="131" customWidth="1"/>
    <col min="7413" max="7413" width="27.85546875" style="131" customWidth="1"/>
    <col min="7414" max="7414" width="12.42578125" style="131" customWidth="1"/>
    <col min="7415" max="7415" width="15.42578125" style="131" customWidth="1"/>
    <col min="7416" max="7417" width="12.7109375" style="131" customWidth="1"/>
    <col min="7418" max="7418" width="11.42578125" style="131"/>
    <col min="7419" max="7419" width="15.42578125" style="131" customWidth="1"/>
    <col min="7420" max="7420" width="9.140625" style="131" customWidth="1"/>
    <col min="7421" max="7421" width="5.140625" style="131" customWidth="1"/>
    <col min="7422" max="7666" width="11.42578125" style="131"/>
    <col min="7667" max="7667" width="1" style="131" customWidth="1"/>
    <col min="7668" max="7668" width="6.42578125" style="131" customWidth="1"/>
    <col min="7669" max="7669" width="27.85546875" style="131" customWidth="1"/>
    <col min="7670" max="7670" width="12.42578125" style="131" customWidth="1"/>
    <col min="7671" max="7671" width="15.42578125" style="131" customWidth="1"/>
    <col min="7672" max="7673" width="12.7109375" style="131" customWidth="1"/>
    <col min="7674" max="7674" width="11.42578125" style="131"/>
    <col min="7675" max="7675" width="15.42578125" style="131" customWidth="1"/>
    <col min="7676" max="7676" width="9.140625" style="131" customWidth="1"/>
    <col min="7677" max="7677" width="5.140625" style="131" customWidth="1"/>
    <col min="7678" max="7922" width="11.42578125" style="131"/>
    <col min="7923" max="7923" width="1" style="131" customWidth="1"/>
    <col min="7924" max="7924" width="6.42578125" style="131" customWidth="1"/>
    <col min="7925" max="7925" width="27.85546875" style="131" customWidth="1"/>
    <col min="7926" max="7926" width="12.42578125" style="131" customWidth="1"/>
    <col min="7927" max="7927" width="15.42578125" style="131" customWidth="1"/>
    <col min="7928" max="7929" width="12.7109375" style="131" customWidth="1"/>
    <col min="7930" max="7930" width="11.42578125" style="131"/>
    <col min="7931" max="7931" width="15.42578125" style="131" customWidth="1"/>
    <col min="7932" max="7932" width="9.140625" style="131" customWidth="1"/>
    <col min="7933" max="7933" width="5.140625" style="131" customWidth="1"/>
    <col min="7934" max="8178" width="11.42578125" style="131"/>
    <col min="8179" max="8179" width="1" style="131" customWidth="1"/>
    <col min="8180" max="8180" width="6.42578125" style="131" customWidth="1"/>
    <col min="8181" max="8181" width="27.85546875" style="131" customWidth="1"/>
    <col min="8182" max="8182" width="12.42578125" style="131" customWidth="1"/>
    <col min="8183" max="8183" width="15.42578125" style="131" customWidth="1"/>
    <col min="8184" max="8185" width="12.7109375" style="131" customWidth="1"/>
    <col min="8186" max="8186" width="11.42578125" style="131"/>
    <col min="8187" max="8187" width="15.42578125" style="131" customWidth="1"/>
    <col min="8188" max="8188" width="9.140625" style="131" customWidth="1"/>
    <col min="8189" max="8189" width="5.140625" style="131" customWidth="1"/>
    <col min="8190" max="8434" width="11.42578125" style="131"/>
    <col min="8435" max="8435" width="1" style="131" customWidth="1"/>
    <col min="8436" max="8436" width="6.42578125" style="131" customWidth="1"/>
    <col min="8437" max="8437" width="27.85546875" style="131" customWidth="1"/>
    <col min="8438" max="8438" width="12.42578125" style="131" customWidth="1"/>
    <col min="8439" max="8439" width="15.42578125" style="131" customWidth="1"/>
    <col min="8440" max="8441" width="12.7109375" style="131" customWidth="1"/>
    <col min="8442" max="8442" width="11.42578125" style="131"/>
    <col min="8443" max="8443" width="15.42578125" style="131" customWidth="1"/>
    <col min="8444" max="8444" width="9.140625" style="131" customWidth="1"/>
    <col min="8445" max="8445" width="5.140625" style="131" customWidth="1"/>
    <col min="8446" max="8690" width="11.42578125" style="131"/>
    <col min="8691" max="8691" width="1" style="131" customWidth="1"/>
    <col min="8692" max="8692" width="6.42578125" style="131" customWidth="1"/>
    <col min="8693" max="8693" width="27.85546875" style="131" customWidth="1"/>
    <col min="8694" max="8694" width="12.42578125" style="131" customWidth="1"/>
    <col min="8695" max="8695" width="15.42578125" style="131" customWidth="1"/>
    <col min="8696" max="8697" width="12.7109375" style="131" customWidth="1"/>
    <col min="8698" max="8698" width="11.42578125" style="131"/>
    <col min="8699" max="8699" width="15.42578125" style="131" customWidth="1"/>
    <col min="8700" max="8700" width="9.140625" style="131" customWidth="1"/>
    <col min="8701" max="8701" width="5.140625" style="131" customWidth="1"/>
    <col min="8702" max="8946" width="11.42578125" style="131"/>
    <col min="8947" max="8947" width="1" style="131" customWidth="1"/>
    <col min="8948" max="8948" width="6.42578125" style="131" customWidth="1"/>
    <col min="8949" max="8949" width="27.85546875" style="131" customWidth="1"/>
    <col min="8950" max="8950" width="12.42578125" style="131" customWidth="1"/>
    <col min="8951" max="8951" width="15.42578125" style="131" customWidth="1"/>
    <col min="8952" max="8953" width="12.7109375" style="131" customWidth="1"/>
    <col min="8954" max="8954" width="11.42578125" style="131"/>
    <col min="8955" max="8955" width="15.42578125" style="131" customWidth="1"/>
    <col min="8956" max="8956" width="9.140625" style="131" customWidth="1"/>
    <col min="8957" max="8957" width="5.140625" style="131" customWidth="1"/>
    <col min="8958" max="9202" width="11.42578125" style="131"/>
    <col min="9203" max="9203" width="1" style="131" customWidth="1"/>
    <col min="9204" max="9204" width="6.42578125" style="131" customWidth="1"/>
    <col min="9205" max="9205" width="27.85546875" style="131" customWidth="1"/>
    <col min="9206" max="9206" width="12.42578125" style="131" customWidth="1"/>
    <col min="9207" max="9207" width="15.42578125" style="131" customWidth="1"/>
    <col min="9208" max="9209" width="12.7109375" style="131" customWidth="1"/>
    <col min="9210" max="9210" width="11.42578125" style="131"/>
    <col min="9211" max="9211" width="15.42578125" style="131" customWidth="1"/>
    <col min="9212" max="9212" width="9.140625" style="131" customWidth="1"/>
    <col min="9213" max="9213" width="5.140625" style="131" customWidth="1"/>
    <col min="9214" max="9458" width="11.42578125" style="131"/>
    <col min="9459" max="9459" width="1" style="131" customWidth="1"/>
    <col min="9460" max="9460" width="6.42578125" style="131" customWidth="1"/>
    <col min="9461" max="9461" width="27.85546875" style="131" customWidth="1"/>
    <col min="9462" max="9462" width="12.42578125" style="131" customWidth="1"/>
    <col min="9463" max="9463" width="15.42578125" style="131" customWidth="1"/>
    <col min="9464" max="9465" width="12.7109375" style="131" customWidth="1"/>
    <col min="9466" max="9466" width="11.42578125" style="131"/>
    <col min="9467" max="9467" width="15.42578125" style="131" customWidth="1"/>
    <col min="9468" max="9468" width="9.140625" style="131" customWidth="1"/>
    <col min="9469" max="9469" width="5.140625" style="131" customWidth="1"/>
    <col min="9470" max="9714" width="11.42578125" style="131"/>
    <col min="9715" max="9715" width="1" style="131" customWidth="1"/>
    <col min="9716" max="9716" width="6.42578125" style="131" customWidth="1"/>
    <col min="9717" max="9717" width="27.85546875" style="131" customWidth="1"/>
    <col min="9718" max="9718" width="12.42578125" style="131" customWidth="1"/>
    <col min="9719" max="9719" width="15.42578125" style="131" customWidth="1"/>
    <col min="9720" max="9721" width="12.7109375" style="131" customWidth="1"/>
    <col min="9722" max="9722" width="11.42578125" style="131"/>
    <col min="9723" max="9723" width="15.42578125" style="131" customWidth="1"/>
    <col min="9724" max="9724" width="9.140625" style="131" customWidth="1"/>
    <col min="9725" max="9725" width="5.140625" style="131" customWidth="1"/>
    <col min="9726" max="9970" width="11.42578125" style="131"/>
    <col min="9971" max="9971" width="1" style="131" customWidth="1"/>
    <col min="9972" max="9972" width="6.42578125" style="131" customWidth="1"/>
    <col min="9973" max="9973" width="27.85546875" style="131" customWidth="1"/>
    <col min="9974" max="9974" width="12.42578125" style="131" customWidth="1"/>
    <col min="9975" max="9975" width="15.42578125" style="131" customWidth="1"/>
    <col min="9976" max="9977" width="12.7109375" style="131" customWidth="1"/>
    <col min="9978" max="9978" width="11.42578125" style="131"/>
    <col min="9979" max="9979" width="15.42578125" style="131" customWidth="1"/>
    <col min="9980" max="9980" width="9.140625" style="131" customWidth="1"/>
    <col min="9981" max="9981" width="5.140625" style="131" customWidth="1"/>
    <col min="9982" max="10226" width="11.42578125" style="131"/>
    <col min="10227" max="10227" width="1" style="131" customWidth="1"/>
    <col min="10228" max="10228" width="6.42578125" style="131" customWidth="1"/>
    <col min="10229" max="10229" width="27.85546875" style="131" customWidth="1"/>
    <col min="10230" max="10230" width="12.42578125" style="131" customWidth="1"/>
    <col min="10231" max="10231" width="15.42578125" style="131" customWidth="1"/>
    <col min="10232" max="10233" width="12.7109375" style="131" customWidth="1"/>
    <col min="10234" max="10234" width="11.42578125" style="131"/>
    <col min="10235" max="10235" width="15.42578125" style="131" customWidth="1"/>
    <col min="10236" max="10236" width="9.140625" style="131" customWidth="1"/>
    <col min="10237" max="10237" width="5.140625" style="131" customWidth="1"/>
    <col min="10238" max="10482" width="11.42578125" style="131"/>
    <col min="10483" max="10483" width="1" style="131" customWidth="1"/>
    <col min="10484" max="10484" width="6.42578125" style="131" customWidth="1"/>
    <col min="10485" max="10485" width="27.85546875" style="131" customWidth="1"/>
    <col min="10486" max="10486" width="12.42578125" style="131" customWidth="1"/>
    <col min="10487" max="10487" width="15.42578125" style="131" customWidth="1"/>
    <col min="10488" max="10489" width="12.7109375" style="131" customWidth="1"/>
    <col min="10490" max="10490" width="11.42578125" style="131"/>
    <col min="10491" max="10491" width="15.42578125" style="131" customWidth="1"/>
    <col min="10492" max="10492" width="9.140625" style="131" customWidth="1"/>
    <col min="10493" max="10493" width="5.140625" style="131" customWidth="1"/>
    <col min="10494" max="10738" width="11.42578125" style="131"/>
    <col min="10739" max="10739" width="1" style="131" customWidth="1"/>
    <col min="10740" max="10740" width="6.42578125" style="131" customWidth="1"/>
    <col min="10741" max="10741" width="27.85546875" style="131" customWidth="1"/>
    <col min="10742" max="10742" width="12.42578125" style="131" customWidth="1"/>
    <col min="10743" max="10743" width="15.42578125" style="131" customWidth="1"/>
    <col min="10744" max="10745" width="12.7109375" style="131" customWidth="1"/>
    <col min="10746" max="10746" width="11.42578125" style="131"/>
    <col min="10747" max="10747" width="15.42578125" style="131" customWidth="1"/>
    <col min="10748" max="10748" width="9.140625" style="131" customWidth="1"/>
    <col min="10749" max="10749" width="5.140625" style="131" customWidth="1"/>
    <col min="10750" max="10994" width="11.42578125" style="131"/>
    <col min="10995" max="10995" width="1" style="131" customWidth="1"/>
    <col min="10996" max="10996" width="6.42578125" style="131" customWidth="1"/>
    <col min="10997" max="10997" width="27.85546875" style="131" customWidth="1"/>
    <col min="10998" max="10998" width="12.42578125" style="131" customWidth="1"/>
    <col min="10999" max="10999" width="15.42578125" style="131" customWidth="1"/>
    <col min="11000" max="11001" width="12.7109375" style="131" customWidth="1"/>
    <col min="11002" max="11002" width="11.42578125" style="131"/>
    <col min="11003" max="11003" width="15.42578125" style="131" customWidth="1"/>
    <col min="11004" max="11004" width="9.140625" style="131" customWidth="1"/>
    <col min="11005" max="11005" width="5.140625" style="131" customWidth="1"/>
    <col min="11006" max="11250" width="11.42578125" style="131"/>
    <col min="11251" max="11251" width="1" style="131" customWidth="1"/>
    <col min="11252" max="11252" width="6.42578125" style="131" customWidth="1"/>
    <col min="11253" max="11253" width="27.85546875" style="131" customWidth="1"/>
    <col min="11254" max="11254" width="12.42578125" style="131" customWidth="1"/>
    <col min="11255" max="11255" width="15.42578125" style="131" customWidth="1"/>
    <col min="11256" max="11257" width="12.7109375" style="131" customWidth="1"/>
    <col min="11258" max="11258" width="11.42578125" style="131"/>
    <col min="11259" max="11259" width="15.42578125" style="131" customWidth="1"/>
    <col min="11260" max="11260" width="9.140625" style="131" customWidth="1"/>
    <col min="11261" max="11261" width="5.140625" style="131" customWidth="1"/>
    <col min="11262" max="11506" width="11.42578125" style="131"/>
    <col min="11507" max="11507" width="1" style="131" customWidth="1"/>
    <col min="11508" max="11508" width="6.42578125" style="131" customWidth="1"/>
    <col min="11509" max="11509" width="27.85546875" style="131" customWidth="1"/>
    <col min="11510" max="11510" width="12.42578125" style="131" customWidth="1"/>
    <col min="11511" max="11511" width="15.42578125" style="131" customWidth="1"/>
    <col min="11512" max="11513" width="12.7109375" style="131" customWidth="1"/>
    <col min="11514" max="11514" width="11.42578125" style="131"/>
    <col min="11515" max="11515" width="15.42578125" style="131" customWidth="1"/>
    <col min="11516" max="11516" width="9.140625" style="131" customWidth="1"/>
    <col min="11517" max="11517" width="5.140625" style="131" customWidth="1"/>
    <col min="11518" max="11762" width="11.42578125" style="131"/>
    <col min="11763" max="11763" width="1" style="131" customWidth="1"/>
    <col min="11764" max="11764" width="6.42578125" style="131" customWidth="1"/>
    <col min="11765" max="11765" width="27.85546875" style="131" customWidth="1"/>
    <col min="11766" max="11766" width="12.42578125" style="131" customWidth="1"/>
    <col min="11767" max="11767" width="15.42578125" style="131" customWidth="1"/>
    <col min="11768" max="11769" width="12.7109375" style="131" customWidth="1"/>
    <col min="11770" max="11770" width="11.42578125" style="131"/>
    <col min="11771" max="11771" width="15.42578125" style="131" customWidth="1"/>
    <col min="11772" max="11772" width="9.140625" style="131" customWidth="1"/>
    <col min="11773" max="11773" width="5.140625" style="131" customWidth="1"/>
    <col min="11774" max="12018" width="11.42578125" style="131"/>
    <col min="12019" max="12019" width="1" style="131" customWidth="1"/>
    <col min="12020" max="12020" width="6.42578125" style="131" customWidth="1"/>
    <col min="12021" max="12021" width="27.85546875" style="131" customWidth="1"/>
    <col min="12022" max="12022" width="12.42578125" style="131" customWidth="1"/>
    <col min="12023" max="12023" width="15.42578125" style="131" customWidth="1"/>
    <col min="12024" max="12025" width="12.7109375" style="131" customWidth="1"/>
    <col min="12026" max="12026" width="11.42578125" style="131"/>
    <col min="12027" max="12027" width="15.42578125" style="131" customWidth="1"/>
    <col min="12028" max="12028" width="9.140625" style="131" customWidth="1"/>
    <col min="12029" max="12029" width="5.140625" style="131" customWidth="1"/>
    <col min="12030" max="12274" width="11.42578125" style="131"/>
    <col min="12275" max="12275" width="1" style="131" customWidth="1"/>
    <col min="12276" max="12276" width="6.42578125" style="131" customWidth="1"/>
    <col min="12277" max="12277" width="27.85546875" style="131" customWidth="1"/>
    <col min="12278" max="12278" width="12.42578125" style="131" customWidth="1"/>
    <col min="12279" max="12279" width="15.42578125" style="131" customWidth="1"/>
    <col min="12280" max="12281" width="12.7109375" style="131" customWidth="1"/>
    <col min="12282" max="12282" width="11.42578125" style="131"/>
    <col min="12283" max="12283" width="15.42578125" style="131" customWidth="1"/>
    <col min="12284" max="12284" width="9.140625" style="131" customWidth="1"/>
    <col min="12285" max="12285" width="5.140625" style="131" customWidth="1"/>
    <col min="12286" max="12530" width="11.42578125" style="131"/>
    <col min="12531" max="12531" width="1" style="131" customWidth="1"/>
    <col min="12532" max="12532" width="6.42578125" style="131" customWidth="1"/>
    <col min="12533" max="12533" width="27.85546875" style="131" customWidth="1"/>
    <col min="12534" max="12534" width="12.42578125" style="131" customWidth="1"/>
    <col min="12535" max="12535" width="15.42578125" style="131" customWidth="1"/>
    <col min="12536" max="12537" width="12.7109375" style="131" customWidth="1"/>
    <col min="12538" max="12538" width="11.42578125" style="131"/>
    <col min="12539" max="12539" width="15.42578125" style="131" customWidth="1"/>
    <col min="12540" max="12540" width="9.140625" style="131" customWidth="1"/>
    <col min="12541" max="12541" width="5.140625" style="131" customWidth="1"/>
    <col min="12542" max="12786" width="11.42578125" style="131"/>
    <col min="12787" max="12787" width="1" style="131" customWidth="1"/>
    <col min="12788" max="12788" width="6.42578125" style="131" customWidth="1"/>
    <col min="12789" max="12789" width="27.85546875" style="131" customWidth="1"/>
    <col min="12790" max="12790" width="12.42578125" style="131" customWidth="1"/>
    <col min="12791" max="12791" width="15.42578125" style="131" customWidth="1"/>
    <col min="12792" max="12793" width="12.7109375" style="131" customWidth="1"/>
    <col min="12794" max="12794" width="11.42578125" style="131"/>
    <col min="12795" max="12795" width="15.42578125" style="131" customWidth="1"/>
    <col min="12796" max="12796" width="9.140625" style="131" customWidth="1"/>
    <col min="12797" max="12797" width="5.140625" style="131" customWidth="1"/>
    <col min="12798" max="13042" width="11.42578125" style="131"/>
    <col min="13043" max="13043" width="1" style="131" customWidth="1"/>
    <col min="13044" max="13044" width="6.42578125" style="131" customWidth="1"/>
    <col min="13045" max="13045" width="27.85546875" style="131" customWidth="1"/>
    <col min="13046" max="13046" width="12.42578125" style="131" customWidth="1"/>
    <col min="13047" max="13047" width="15.42578125" style="131" customWidth="1"/>
    <col min="13048" max="13049" width="12.7109375" style="131" customWidth="1"/>
    <col min="13050" max="13050" width="11.42578125" style="131"/>
    <col min="13051" max="13051" width="15.42578125" style="131" customWidth="1"/>
    <col min="13052" max="13052" width="9.140625" style="131" customWidth="1"/>
    <col min="13053" max="13053" width="5.140625" style="131" customWidth="1"/>
    <col min="13054" max="13298" width="11.42578125" style="131"/>
    <col min="13299" max="13299" width="1" style="131" customWidth="1"/>
    <col min="13300" max="13300" width="6.42578125" style="131" customWidth="1"/>
    <col min="13301" max="13301" width="27.85546875" style="131" customWidth="1"/>
    <col min="13302" max="13302" width="12.42578125" style="131" customWidth="1"/>
    <col min="13303" max="13303" width="15.42578125" style="131" customWidth="1"/>
    <col min="13304" max="13305" width="12.7109375" style="131" customWidth="1"/>
    <col min="13306" max="13306" width="11.42578125" style="131"/>
    <col min="13307" max="13307" width="15.42578125" style="131" customWidth="1"/>
    <col min="13308" max="13308" width="9.140625" style="131" customWidth="1"/>
    <col min="13309" max="13309" width="5.140625" style="131" customWidth="1"/>
    <col min="13310" max="13554" width="11.42578125" style="131"/>
    <col min="13555" max="13555" width="1" style="131" customWidth="1"/>
    <col min="13556" max="13556" width="6.42578125" style="131" customWidth="1"/>
    <col min="13557" max="13557" width="27.85546875" style="131" customWidth="1"/>
    <col min="13558" max="13558" width="12.42578125" style="131" customWidth="1"/>
    <col min="13559" max="13559" width="15.42578125" style="131" customWidth="1"/>
    <col min="13560" max="13561" width="12.7109375" style="131" customWidth="1"/>
    <col min="13562" max="13562" width="11.42578125" style="131"/>
    <col min="13563" max="13563" width="15.42578125" style="131" customWidth="1"/>
    <col min="13564" max="13564" width="9.140625" style="131" customWidth="1"/>
    <col min="13565" max="13565" width="5.140625" style="131" customWidth="1"/>
    <col min="13566" max="13810" width="11.42578125" style="131"/>
    <col min="13811" max="13811" width="1" style="131" customWidth="1"/>
    <col min="13812" max="13812" width="6.42578125" style="131" customWidth="1"/>
    <col min="13813" max="13813" width="27.85546875" style="131" customWidth="1"/>
    <col min="13814" max="13814" width="12.42578125" style="131" customWidth="1"/>
    <col min="13815" max="13815" width="15.42578125" style="131" customWidth="1"/>
    <col min="13816" max="13817" width="12.7109375" style="131" customWidth="1"/>
    <col min="13818" max="13818" width="11.42578125" style="131"/>
    <col min="13819" max="13819" width="15.42578125" style="131" customWidth="1"/>
    <col min="13820" max="13820" width="9.140625" style="131" customWidth="1"/>
    <col min="13821" max="13821" width="5.140625" style="131" customWidth="1"/>
    <col min="13822" max="14066" width="11.42578125" style="131"/>
    <col min="14067" max="14067" width="1" style="131" customWidth="1"/>
    <col min="14068" max="14068" width="6.42578125" style="131" customWidth="1"/>
    <col min="14069" max="14069" width="27.85546875" style="131" customWidth="1"/>
    <col min="14070" max="14070" width="12.42578125" style="131" customWidth="1"/>
    <col min="14071" max="14071" width="15.42578125" style="131" customWidth="1"/>
    <col min="14072" max="14073" width="12.7109375" style="131" customWidth="1"/>
    <col min="14074" max="14074" width="11.42578125" style="131"/>
    <col min="14075" max="14075" width="15.42578125" style="131" customWidth="1"/>
    <col min="14076" max="14076" width="9.140625" style="131" customWidth="1"/>
    <col min="14077" max="14077" width="5.140625" style="131" customWidth="1"/>
    <col min="14078" max="14322" width="11.42578125" style="131"/>
    <col min="14323" max="14323" width="1" style="131" customWidth="1"/>
    <col min="14324" max="14324" width="6.42578125" style="131" customWidth="1"/>
    <col min="14325" max="14325" width="27.85546875" style="131" customWidth="1"/>
    <col min="14326" max="14326" width="12.42578125" style="131" customWidth="1"/>
    <col min="14327" max="14327" width="15.42578125" style="131" customWidth="1"/>
    <col min="14328" max="14329" width="12.7109375" style="131" customWidth="1"/>
    <col min="14330" max="14330" width="11.42578125" style="131"/>
    <col min="14331" max="14331" width="15.42578125" style="131" customWidth="1"/>
    <col min="14332" max="14332" width="9.140625" style="131" customWidth="1"/>
    <col min="14333" max="14333" width="5.140625" style="131" customWidth="1"/>
    <col min="14334" max="14578" width="11.42578125" style="131"/>
    <col min="14579" max="14579" width="1" style="131" customWidth="1"/>
    <col min="14580" max="14580" width="6.42578125" style="131" customWidth="1"/>
    <col min="14581" max="14581" width="27.85546875" style="131" customWidth="1"/>
    <col min="14582" max="14582" width="12.42578125" style="131" customWidth="1"/>
    <col min="14583" max="14583" width="15.42578125" style="131" customWidth="1"/>
    <col min="14584" max="14585" width="12.7109375" style="131" customWidth="1"/>
    <col min="14586" max="14586" width="11.42578125" style="131"/>
    <col min="14587" max="14587" width="15.42578125" style="131" customWidth="1"/>
    <col min="14588" max="14588" width="9.140625" style="131" customWidth="1"/>
    <col min="14589" max="14589" width="5.140625" style="131" customWidth="1"/>
    <col min="14590" max="14834" width="11.42578125" style="131"/>
    <col min="14835" max="14835" width="1" style="131" customWidth="1"/>
    <col min="14836" max="14836" width="6.42578125" style="131" customWidth="1"/>
    <col min="14837" max="14837" width="27.85546875" style="131" customWidth="1"/>
    <col min="14838" max="14838" width="12.42578125" style="131" customWidth="1"/>
    <col min="14839" max="14839" width="15.42578125" style="131" customWidth="1"/>
    <col min="14840" max="14841" width="12.7109375" style="131" customWidth="1"/>
    <col min="14842" max="14842" width="11.42578125" style="131"/>
    <col min="14843" max="14843" width="15.42578125" style="131" customWidth="1"/>
    <col min="14844" max="14844" width="9.140625" style="131" customWidth="1"/>
    <col min="14845" max="14845" width="5.140625" style="131" customWidth="1"/>
    <col min="14846" max="15090" width="11.42578125" style="131"/>
    <col min="15091" max="15091" width="1" style="131" customWidth="1"/>
    <col min="15092" max="15092" width="6.42578125" style="131" customWidth="1"/>
    <col min="15093" max="15093" width="27.85546875" style="131" customWidth="1"/>
    <col min="15094" max="15094" width="12.42578125" style="131" customWidth="1"/>
    <col min="15095" max="15095" width="15.42578125" style="131" customWidth="1"/>
    <col min="15096" max="15097" width="12.7109375" style="131" customWidth="1"/>
    <col min="15098" max="15098" width="11.42578125" style="131"/>
    <col min="15099" max="15099" width="15.42578125" style="131" customWidth="1"/>
    <col min="15100" max="15100" width="9.140625" style="131" customWidth="1"/>
    <col min="15101" max="15101" width="5.140625" style="131" customWidth="1"/>
    <col min="15102" max="15346" width="11.42578125" style="131"/>
    <col min="15347" max="15347" width="1" style="131" customWidth="1"/>
    <col min="15348" max="15348" width="6.42578125" style="131" customWidth="1"/>
    <col min="15349" max="15349" width="27.85546875" style="131" customWidth="1"/>
    <col min="15350" max="15350" width="12.42578125" style="131" customWidth="1"/>
    <col min="15351" max="15351" width="15.42578125" style="131" customWidth="1"/>
    <col min="15352" max="15353" width="12.7109375" style="131" customWidth="1"/>
    <col min="15354" max="15354" width="11.42578125" style="131"/>
    <col min="15355" max="15355" width="15.42578125" style="131" customWidth="1"/>
    <col min="15356" max="15356" width="9.140625" style="131" customWidth="1"/>
    <col min="15357" max="15357" width="5.140625" style="131" customWidth="1"/>
    <col min="15358" max="15602" width="11.42578125" style="131"/>
    <col min="15603" max="15603" width="1" style="131" customWidth="1"/>
    <col min="15604" max="15604" width="6.42578125" style="131" customWidth="1"/>
    <col min="15605" max="15605" width="27.85546875" style="131" customWidth="1"/>
    <col min="15606" max="15606" width="12.42578125" style="131" customWidth="1"/>
    <col min="15607" max="15607" width="15.42578125" style="131" customWidth="1"/>
    <col min="15608" max="15609" width="12.7109375" style="131" customWidth="1"/>
    <col min="15610" max="15610" width="11.42578125" style="131"/>
    <col min="15611" max="15611" width="15.42578125" style="131" customWidth="1"/>
    <col min="15612" max="15612" width="9.140625" style="131" customWidth="1"/>
    <col min="15613" max="15613" width="5.140625" style="131" customWidth="1"/>
    <col min="15614" max="15858" width="11.42578125" style="131"/>
    <col min="15859" max="15859" width="1" style="131" customWidth="1"/>
    <col min="15860" max="15860" width="6.42578125" style="131" customWidth="1"/>
    <col min="15861" max="15861" width="27.85546875" style="131" customWidth="1"/>
    <col min="15862" max="15862" width="12.42578125" style="131" customWidth="1"/>
    <col min="15863" max="15863" width="15.42578125" style="131" customWidth="1"/>
    <col min="15864" max="15865" width="12.7109375" style="131" customWidth="1"/>
    <col min="15866" max="15866" width="11.42578125" style="131"/>
    <col min="15867" max="15867" width="15.42578125" style="131" customWidth="1"/>
    <col min="15868" max="15868" width="9.140625" style="131" customWidth="1"/>
    <col min="15869" max="15869" width="5.140625" style="131" customWidth="1"/>
    <col min="15870" max="16114" width="11.42578125" style="131"/>
    <col min="16115" max="16115" width="1" style="131" customWidth="1"/>
    <col min="16116" max="16116" width="6.42578125" style="131" customWidth="1"/>
    <col min="16117" max="16117" width="27.85546875" style="131" customWidth="1"/>
    <col min="16118" max="16118" width="12.42578125" style="131" customWidth="1"/>
    <col min="16119" max="16119" width="15.42578125" style="131" customWidth="1"/>
    <col min="16120" max="16121" width="12.7109375" style="131" customWidth="1"/>
    <col min="16122" max="16122" width="11.42578125" style="131"/>
    <col min="16123" max="16123" width="15.42578125" style="131" customWidth="1"/>
    <col min="16124" max="16124" width="9.140625" style="131" customWidth="1"/>
    <col min="16125" max="16125" width="5.140625" style="131" customWidth="1"/>
    <col min="16126" max="16384" width="11.42578125" style="131"/>
  </cols>
  <sheetData>
    <row r="1" spans="1:5" ht="39" customHeight="1" thickBot="1" x14ac:dyDescent="0.3">
      <c r="A1" s="960" t="s">
        <v>1269</v>
      </c>
      <c r="B1" s="961"/>
      <c r="C1" s="961"/>
      <c r="D1" s="962"/>
      <c r="E1" s="75"/>
    </row>
    <row r="2" spans="1:5" ht="12" customHeight="1" x14ac:dyDescent="0.25">
      <c r="A2" s="166" t="s">
        <v>278</v>
      </c>
      <c r="B2" s="167"/>
      <c r="C2" s="168"/>
      <c r="D2" s="169"/>
      <c r="E2" s="75"/>
    </row>
    <row r="3" spans="1:5" ht="13.5" customHeight="1" thickBot="1" x14ac:dyDescent="0.3">
      <c r="A3" s="170" t="s">
        <v>752</v>
      </c>
      <c r="B3" s="171"/>
      <c r="C3" s="171"/>
      <c r="D3" s="172"/>
      <c r="E3" s="75"/>
    </row>
    <row r="4" spans="1:5" s="132" customFormat="1" ht="22.5" customHeight="1" x14ac:dyDescent="0.25">
      <c r="A4" s="173" t="s">
        <v>1204</v>
      </c>
      <c r="B4" s="174" t="s">
        <v>300</v>
      </c>
      <c r="C4" s="174" t="s">
        <v>87</v>
      </c>
      <c r="D4" s="175" t="s">
        <v>277</v>
      </c>
      <c r="E4" s="74"/>
    </row>
    <row r="5" spans="1:5" ht="22.5" x14ac:dyDescent="0.25">
      <c r="A5" s="205" t="s">
        <v>378</v>
      </c>
      <c r="B5" s="131" t="s">
        <v>1205</v>
      </c>
      <c r="C5" s="132" t="s">
        <v>99</v>
      </c>
      <c r="D5" s="176">
        <f>(21681*1.19)*1.3</f>
        <v>33540.506999999998</v>
      </c>
      <c r="E5" s="134"/>
    </row>
    <row r="6" spans="1:5" ht="22.5" x14ac:dyDescent="0.25">
      <c r="A6" s="205" t="s">
        <v>100</v>
      </c>
      <c r="B6" s="131" t="s">
        <v>1206</v>
      </c>
      <c r="C6" s="132" t="s">
        <v>101</v>
      </c>
      <c r="D6" s="176">
        <v>70270.200000000012</v>
      </c>
      <c r="E6" s="134"/>
    </row>
    <row r="7" spans="1:5" x14ac:dyDescent="0.25">
      <c r="A7" s="205" t="s">
        <v>102</v>
      </c>
      <c r="B7" s="131" t="s">
        <v>1207</v>
      </c>
      <c r="C7" s="132" t="s">
        <v>64</v>
      </c>
      <c r="D7" s="176">
        <v>0</v>
      </c>
      <c r="E7" s="134"/>
    </row>
    <row r="8" spans="1:5" x14ac:dyDescent="0.25">
      <c r="A8" s="205" t="s">
        <v>103</v>
      </c>
      <c r="B8" s="131" t="s">
        <v>1208</v>
      </c>
      <c r="C8" s="132" t="s">
        <v>64</v>
      </c>
      <c r="D8" s="176">
        <v>8783.7750000000015</v>
      </c>
      <c r="E8" s="134"/>
    </row>
    <row r="9" spans="1:5" x14ac:dyDescent="0.25">
      <c r="A9" s="205" t="s">
        <v>104</v>
      </c>
      <c r="B9" s="131" t="s">
        <v>1209</v>
      </c>
      <c r="C9" s="132" t="s">
        <v>36</v>
      </c>
      <c r="D9" s="176">
        <v>3380</v>
      </c>
      <c r="E9" s="134"/>
    </row>
    <row r="10" spans="1:5" x14ac:dyDescent="0.25">
      <c r="A10" s="205" t="s">
        <v>105</v>
      </c>
      <c r="B10" s="131" t="s">
        <v>1210</v>
      </c>
      <c r="C10" s="132" t="s">
        <v>36</v>
      </c>
      <c r="D10" s="176">
        <v>2210</v>
      </c>
      <c r="E10" s="134"/>
    </row>
    <row r="11" spans="1:5" x14ac:dyDescent="0.25">
      <c r="A11" s="205" t="s">
        <v>106</v>
      </c>
      <c r="B11" s="131" t="s">
        <v>1211</v>
      </c>
      <c r="C11" s="132" t="s">
        <v>36</v>
      </c>
      <c r="D11" s="176">
        <v>8450</v>
      </c>
      <c r="E11" s="134"/>
    </row>
    <row r="12" spans="1:5" x14ac:dyDescent="0.25">
      <c r="A12" s="205" t="s">
        <v>107</v>
      </c>
      <c r="B12" s="131" t="s">
        <v>1212</v>
      </c>
      <c r="C12" s="132" t="s">
        <v>55</v>
      </c>
      <c r="D12" s="176">
        <v>36599.062500000007</v>
      </c>
      <c r="E12" s="134"/>
    </row>
    <row r="13" spans="1:5" x14ac:dyDescent="0.25">
      <c r="A13" s="205" t="s">
        <v>108</v>
      </c>
      <c r="B13" s="131" t="s">
        <v>1213</v>
      </c>
      <c r="C13" s="132" t="s">
        <v>36</v>
      </c>
      <c r="D13" s="176">
        <v>1820</v>
      </c>
      <c r="E13" s="134"/>
    </row>
    <row r="14" spans="1:5" x14ac:dyDescent="0.25">
      <c r="A14" s="205" t="s">
        <v>109</v>
      </c>
      <c r="B14" s="131" t="s">
        <v>1214</v>
      </c>
      <c r="C14" s="132" t="s">
        <v>36</v>
      </c>
      <c r="D14" s="176">
        <v>3380</v>
      </c>
      <c r="E14" s="134"/>
    </row>
    <row r="15" spans="1:5" x14ac:dyDescent="0.25">
      <c r="A15" s="205" t="s">
        <v>401</v>
      </c>
      <c r="B15" s="131" t="s">
        <v>1215</v>
      </c>
      <c r="C15" s="132" t="s">
        <v>69</v>
      </c>
      <c r="D15" s="176">
        <f>2017*1.19</f>
        <v>2400.23</v>
      </c>
      <c r="E15" s="134"/>
    </row>
    <row r="16" spans="1:5" x14ac:dyDescent="0.25">
      <c r="A16" s="205" t="s">
        <v>400</v>
      </c>
      <c r="B16" s="131" t="s">
        <v>1216</v>
      </c>
      <c r="C16" s="132" t="s">
        <v>69</v>
      </c>
      <c r="D16" s="176">
        <f>5042</f>
        <v>5042</v>
      </c>
      <c r="E16" s="134"/>
    </row>
    <row r="17" spans="1:5" x14ac:dyDescent="0.25">
      <c r="A17" s="205" t="s">
        <v>626</v>
      </c>
      <c r="B17" s="131" t="s">
        <v>1217</v>
      </c>
      <c r="C17" s="132" t="s">
        <v>36</v>
      </c>
      <c r="D17" s="176">
        <v>31500</v>
      </c>
      <c r="E17" s="134"/>
    </row>
    <row r="18" spans="1:5" x14ac:dyDescent="0.25">
      <c r="A18" s="205" t="s">
        <v>376</v>
      </c>
      <c r="B18" s="131" t="s">
        <v>1218</v>
      </c>
      <c r="C18" s="132" t="s">
        <v>64</v>
      </c>
      <c r="D18" s="176">
        <v>10800</v>
      </c>
      <c r="E18" s="134"/>
    </row>
    <row r="19" spans="1:5" x14ac:dyDescent="0.25">
      <c r="A19" s="205" t="s">
        <v>375</v>
      </c>
      <c r="B19" s="131" t="s">
        <v>1219</v>
      </c>
      <c r="C19" s="132" t="s">
        <v>64</v>
      </c>
      <c r="D19" s="176">
        <v>4500</v>
      </c>
      <c r="E19" s="134"/>
    </row>
    <row r="20" spans="1:5" x14ac:dyDescent="0.25">
      <c r="A20" s="205" t="s">
        <v>640</v>
      </c>
      <c r="B20" s="131" t="s">
        <v>1220</v>
      </c>
      <c r="C20" s="132" t="s">
        <v>69</v>
      </c>
      <c r="D20" s="176">
        <f>11000</f>
        <v>11000</v>
      </c>
      <c r="E20" s="134"/>
    </row>
    <row r="21" spans="1:5" x14ac:dyDescent="0.25">
      <c r="A21" s="205" t="s">
        <v>199</v>
      </c>
      <c r="B21" s="131" t="s">
        <v>1444</v>
      </c>
      <c r="C21" s="132" t="s">
        <v>36</v>
      </c>
      <c r="D21" s="176">
        <v>2342340</v>
      </c>
      <c r="E21" s="134"/>
    </row>
    <row r="22" spans="1:5" x14ac:dyDescent="0.25">
      <c r="A22" s="205" t="s">
        <v>200</v>
      </c>
      <c r="B22" s="131" t="s">
        <v>1445</v>
      </c>
      <c r="C22" s="132" t="s">
        <v>36</v>
      </c>
      <c r="D22" s="176">
        <v>5239000</v>
      </c>
      <c r="E22" s="134"/>
    </row>
    <row r="23" spans="1:5" x14ac:dyDescent="0.25">
      <c r="A23" s="205" t="s">
        <v>201</v>
      </c>
      <c r="B23" s="131" t="s">
        <v>1446</v>
      </c>
      <c r="C23" s="132" t="s">
        <v>36</v>
      </c>
      <c r="D23" s="176">
        <v>4816500</v>
      </c>
      <c r="E23" s="134"/>
    </row>
    <row r="24" spans="1:5" x14ac:dyDescent="0.25">
      <c r="A24" s="205" t="s">
        <v>202</v>
      </c>
      <c r="B24" s="131" t="s">
        <v>1447</v>
      </c>
      <c r="C24" s="132" t="s">
        <v>203</v>
      </c>
      <c r="D24" s="176">
        <v>21924.302400000004</v>
      </c>
      <c r="E24" s="134"/>
    </row>
    <row r="25" spans="1:5" x14ac:dyDescent="0.25">
      <c r="A25" s="205" t="s">
        <v>204</v>
      </c>
      <c r="B25" s="131" t="s">
        <v>1448</v>
      </c>
      <c r="C25" s="132" t="s">
        <v>203</v>
      </c>
      <c r="D25" s="176">
        <v>21924.302400000004</v>
      </c>
      <c r="E25" s="134"/>
    </row>
    <row r="26" spans="1:5" x14ac:dyDescent="0.25">
      <c r="A26" s="205" t="s">
        <v>205</v>
      </c>
      <c r="B26" s="131" t="s">
        <v>1449</v>
      </c>
      <c r="C26" s="132" t="s">
        <v>36</v>
      </c>
      <c r="D26" s="176">
        <v>549250</v>
      </c>
      <c r="E26" s="134"/>
    </row>
    <row r="27" spans="1:5" x14ac:dyDescent="0.25">
      <c r="A27" s="205" t="s">
        <v>206</v>
      </c>
      <c r="B27" s="131" t="s">
        <v>1450</v>
      </c>
      <c r="C27" s="132" t="s">
        <v>36</v>
      </c>
      <c r="D27" s="176">
        <v>369687.5</v>
      </c>
      <c r="E27" s="134"/>
    </row>
    <row r="28" spans="1:5" x14ac:dyDescent="0.25">
      <c r="A28" s="205" t="s">
        <v>1711</v>
      </c>
      <c r="B28" s="131" t="s">
        <v>1451</v>
      </c>
      <c r="C28" s="132" t="s">
        <v>1712</v>
      </c>
      <c r="D28" s="176">
        <f>41800*1.2</f>
        <v>50160</v>
      </c>
      <c r="E28" s="134"/>
    </row>
    <row r="29" spans="1:5" x14ac:dyDescent="0.25">
      <c r="A29" s="205" t="s">
        <v>207</v>
      </c>
      <c r="B29" s="131" t="s">
        <v>1452</v>
      </c>
      <c r="C29" s="132" t="s">
        <v>208</v>
      </c>
      <c r="D29" s="176">
        <v>92950</v>
      </c>
      <c r="E29" s="134"/>
    </row>
    <row r="30" spans="1:5" x14ac:dyDescent="0.25">
      <c r="A30" s="205" t="s">
        <v>209</v>
      </c>
      <c r="B30" s="131" t="s">
        <v>1453</v>
      </c>
      <c r="C30" s="132" t="s">
        <v>208</v>
      </c>
      <c r="D30" s="176">
        <v>141137.69670000003</v>
      </c>
      <c r="E30" s="134"/>
    </row>
    <row r="31" spans="1:5" x14ac:dyDescent="0.25">
      <c r="A31" s="205" t="s">
        <v>639</v>
      </c>
      <c r="B31" s="131" t="s">
        <v>1454</v>
      </c>
      <c r="C31" s="132" t="s">
        <v>208</v>
      </c>
      <c r="D31" s="176">
        <f>59500*1.2</f>
        <v>71400</v>
      </c>
      <c r="E31" s="134"/>
    </row>
    <row r="32" spans="1:5" x14ac:dyDescent="0.25">
      <c r="A32" s="205" t="s">
        <v>628</v>
      </c>
      <c r="B32" s="131" t="s">
        <v>1455</v>
      </c>
      <c r="C32" s="132" t="s">
        <v>208</v>
      </c>
      <c r="D32" s="176">
        <v>32000</v>
      </c>
      <c r="E32" s="134"/>
    </row>
    <row r="33" spans="1:5" x14ac:dyDescent="0.25">
      <c r="A33" s="205" t="s">
        <v>1702</v>
      </c>
      <c r="B33" s="131" t="s">
        <v>1701</v>
      </c>
      <c r="C33" s="132" t="s">
        <v>183</v>
      </c>
      <c r="D33" s="176">
        <f>(219900*1.19)*1.1</f>
        <v>287849.10000000003</v>
      </c>
      <c r="E33" s="134"/>
    </row>
    <row r="34" spans="1:5" x14ac:dyDescent="0.25">
      <c r="A34" s="205" t="s">
        <v>1788</v>
      </c>
      <c r="B34" s="131" t="s">
        <v>1789</v>
      </c>
      <c r="C34" s="132" t="s">
        <v>69</v>
      </c>
      <c r="D34" s="176">
        <v>35280</v>
      </c>
      <c r="E34" s="134"/>
    </row>
    <row r="35" spans="1:5" x14ac:dyDescent="0.25">
      <c r="A35" s="205" t="s">
        <v>1791</v>
      </c>
      <c r="B35" s="131" t="s">
        <v>1790</v>
      </c>
      <c r="C35" s="132" t="s">
        <v>69</v>
      </c>
      <c r="D35" s="176">
        <v>12580</v>
      </c>
      <c r="E35" s="134"/>
    </row>
    <row r="36" spans="1:5" x14ac:dyDescent="0.25">
      <c r="A36" s="205" t="s">
        <v>1793</v>
      </c>
      <c r="B36" s="131" t="s">
        <v>1792</v>
      </c>
      <c r="C36" s="132" t="s">
        <v>69</v>
      </c>
      <c r="D36" s="176">
        <f>17250*1.15</f>
        <v>19837.5</v>
      </c>
      <c r="E36" s="134"/>
    </row>
    <row r="37" spans="1:5" x14ac:dyDescent="0.25">
      <c r="A37" s="205" t="s">
        <v>1898</v>
      </c>
      <c r="B37" s="131" t="s">
        <v>1899</v>
      </c>
      <c r="C37" s="132" t="s">
        <v>69</v>
      </c>
      <c r="D37" s="176">
        <v>12580</v>
      </c>
      <c r="E37" s="134"/>
    </row>
    <row r="38" spans="1:5" ht="6" customHeight="1" x14ac:dyDescent="0.25">
      <c r="A38" s="206"/>
      <c r="B38" s="164"/>
      <c r="C38" s="165"/>
      <c r="D38" s="177"/>
      <c r="E38" s="134"/>
    </row>
    <row r="39" spans="1:5" ht="12.75" customHeight="1" x14ac:dyDescent="0.25">
      <c r="A39" s="205" t="s">
        <v>457</v>
      </c>
      <c r="B39" s="131" t="s">
        <v>1221</v>
      </c>
      <c r="C39" s="132" t="s">
        <v>81</v>
      </c>
      <c r="D39" s="176">
        <f>61974*1.1</f>
        <v>68171.400000000009</v>
      </c>
      <c r="E39" s="134"/>
    </row>
    <row r="40" spans="1:5" ht="12.75" customHeight="1" x14ac:dyDescent="0.25">
      <c r="A40" s="205" t="s">
        <v>458</v>
      </c>
      <c r="B40" s="131" t="s">
        <v>1222</v>
      </c>
      <c r="C40" s="132" t="s">
        <v>81</v>
      </c>
      <c r="D40" s="176">
        <f>59774*1.1</f>
        <v>65751.400000000009</v>
      </c>
      <c r="E40" s="134"/>
    </row>
    <row r="41" spans="1:5" ht="12.75" customHeight="1" x14ac:dyDescent="0.25">
      <c r="A41" s="205" t="s">
        <v>465</v>
      </c>
      <c r="B41" s="131" t="s">
        <v>1223</v>
      </c>
      <c r="C41" s="132" t="s">
        <v>81</v>
      </c>
      <c r="D41" s="176">
        <f>40260*1.15</f>
        <v>46299</v>
      </c>
      <c r="E41" s="134"/>
    </row>
    <row r="42" spans="1:5" ht="12.75" customHeight="1" x14ac:dyDescent="0.25">
      <c r="A42" s="205" t="s">
        <v>466</v>
      </c>
      <c r="B42" s="131" t="s">
        <v>1224</v>
      </c>
      <c r="C42" s="132" t="s">
        <v>81</v>
      </c>
      <c r="D42" s="176">
        <f>51700*1.15</f>
        <v>59454.999999999993</v>
      </c>
      <c r="E42" s="134"/>
    </row>
    <row r="43" spans="1:5" ht="12.75" customHeight="1" x14ac:dyDescent="0.25">
      <c r="A43" s="205" t="s">
        <v>459</v>
      </c>
      <c r="B43" s="131" t="s">
        <v>1225</v>
      </c>
      <c r="C43" s="132" t="s">
        <v>81</v>
      </c>
      <c r="D43" s="176">
        <f>44000*1.1</f>
        <v>48400.000000000007</v>
      </c>
      <c r="E43" s="134"/>
    </row>
    <row r="44" spans="1:5" x14ac:dyDescent="0.25">
      <c r="A44" s="205" t="s">
        <v>65</v>
      </c>
      <c r="B44" s="131" t="s">
        <v>1226</v>
      </c>
      <c r="C44" s="132" t="s">
        <v>467</v>
      </c>
      <c r="D44" s="176">
        <v>221000</v>
      </c>
      <c r="E44" s="134"/>
    </row>
    <row r="45" spans="1:5" x14ac:dyDescent="0.25">
      <c r="A45" s="205" t="s">
        <v>110</v>
      </c>
      <c r="B45" s="131" t="s">
        <v>1227</v>
      </c>
      <c r="C45" s="132" t="s">
        <v>467</v>
      </c>
      <c r="D45" s="176">
        <v>221000</v>
      </c>
      <c r="E45" s="134"/>
    </row>
    <row r="46" spans="1:5" x14ac:dyDescent="0.25">
      <c r="A46" s="205" t="s">
        <v>61</v>
      </c>
      <c r="B46" s="131" t="s">
        <v>1228</v>
      </c>
      <c r="C46" s="132" t="s">
        <v>467</v>
      </c>
      <c r="D46" s="176">
        <v>338000</v>
      </c>
      <c r="E46" s="134"/>
    </row>
    <row r="47" spans="1:5" x14ac:dyDescent="0.25">
      <c r="A47" s="205" t="s">
        <v>111</v>
      </c>
      <c r="B47" s="131" t="s">
        <v>1229</v>
      </c>
      <c r="C47" s="132" t="s">
        <v>467</v>
      </c>
      <c r="D47" s="176">
        <v>221000</v>
      </c>
      <c r="E47" s="134"/>
    </row>
    <row r="48" spans="1:5" x14ac:dyDescent="0.25">
      <c r="A48" s="205" t="s">
        <v>66</v>
      </c>
      <c r="B48" s="131" t="s">
        <v>1230</v>
      </c>
      <c r="C48" s="132" t="s">
        <v>112</v>
      </c>
      <c r="D48" s="176">
        <v>180</v>
      </c>
      <c r="E48" s="134"/>
    </row>
    <row r="49" spans="1:5" ht="6" customHeight="1" x14ac:dyDescent="0.25">
      <c r="A49" s="206"/>
      <c r="B49" s="164"/>
      <c r="C49" s="165"/>
      <c r="D49" s="177"/>
      <c r="E49" s="134"/>
    </row>
    <row r="50" spans="1:5" ht="12.75" customHeight="1" x14ac:dyDescent="0.25">
      <c r="A50" s="205" t="s">
        <v>460</v>
      </c>
      <c r="B50" s="131" t="s">
        <v>1231</v>
      </c>
      <c r="C50" s="132" t="s">
        <v>81</v>
      </c>
      <c r="D50" s="176">
        <f>(337778*1.19)*1.1</f>
        <v>442151.40200000006</v>
      </c>
      <c r="E50" s="134"/>
    </row>
    <row r="51" spans="1:5" ht="12.75" customHeight="1" x14ac:dyDescent="0.25">
      <c r="A51" s="205" t="s">
        <v>462</v>
      </c>
      <c r="B51" s="131" t="s">
        <v>1232</v>
      </c>
      <c r="C51" s="132" t="s">
        <v>81</v>
      </c>
      <c r="D51" s="176">
        <f>(357000*1.19)*1.1</f>
        <v>467313.00000000006</v>
      </c>
      <c r="E51" s="134"/>
    </row>
    <row r="52" spans="1:5" ht="12.75" customHeight="1" x14ac:dyDescent="0.25">
      <c r="A52" s="205" t="s">
        <v>463</v>
      </c>
      <c r="B52" s="131" t="s">
        <v>1233</v>
      </c>
      <c r="C52" s="132" t="s">
        <v>81</v>
      </c>
      <c r="D52" s="176">
        <f>(388960*1.19)*1.1</f>
        <v>509148.64</v>
      </c>
      <c r="E52" s="134"/>
    </row>
    <row r="53" spans="1:5" ht="12.75" customHeight="1" x14ac:dyDescent="0.25">
      <c r="A53" s="205" t="s">
        <v>464</v>
      </c>
      <c r="B53" s="131" t="s">
        <v>1234</v>
      </c>
      <c r="C53" s="132" t="s">
        <v>81</v>
      </c>
      <c r="D53" s="176">
        <f>(398633*1.19)*1.1</f>
        <v>521810.59700000001</v>
      </c>
      <c r="E53" s="134"/>
    </row>
    <row r="54" spans="1:5" x14ac:dyDescent="0.25">
      <c r="A54" s="205" t="s">
        <v>461</v>
      </c>
      <c r="B54" s="131" t="s">
        <v>1235</v>
      </c>
      <c r="C54" s="132" t="s">
        <v>81</v>
      </c>
      <c r="D54" s="176">
        <f>50000*1.19</f>
        <v>59500</v>
      </c>
    </row>
    <row r="55" spans="1:5" ht="6" customHeight="1" x14ac:dyDescent="0.25">
      <c r="A55" s="206"/>
      <c r="B55" s="164"/>
      <c r="C55" s="165"/>
      <c r="D55" s="177"/>
      <c r="E55" s="134"/>
    </row>
    <row r="56" spans="1:5" ht="22.5" x14ac:dyDescent="0.25">
      <c r="A56" s="205" t="s">
        <v>113</v>
      </c>
      <c r="B56" s="135" t="s">
        <v>1236</v>
      </c>
      <c r="C56" s="132" t="s">
        <v>114</v>
      </c>
      <c r="D56" s="176">
        <v>6183.7776000000022</v>
      </c>
      <c r="E56" s="134"/>
    </row>
    <row r="57" spans="1:5" ht="22.5" x14ac:dyDescent="0.25">
      <c r="A57" s="205" t="s">
        <v>115</v>
      </c>
      <c r="B57" s="131" t="s">
        <v>1237</v>
      </c>
      <c r="C57" s="132" t="s">
        <v>114</v>
      </c>
      <c r="D57" s="176">
        <v>7729.7220000000025</v>
      </c>
      <c r="E57" s="134"/>
    </row>
    <row r="58" spans="1:5" ht="22.5" x14ac:dyDescent="0.25">
      <c r="A58" s="205" t="s">
        <v>116</v>
      </c>
      <c r="B58" s="131" t="s">
        <v>1238</v>
      </c>
      <c r="C58" s="132" t="s">
        <v>114</v>
      </c>
      <c r="D58" s="176">
        <v>18937.818900000006</v>
      </c>
      <c r="E58" s="134"/>
    </row>
    <row r="59" spans="1:5" ht="22.5" x14ac:dyDescent="0.25">
      <c r="A59" s="205" t="s">
        <v>383</v>
      </c>
      <c r="B59" s="131" t="s">
        <v>1239</v>
      </c>
      <c r="C59" s="132" t="s">
        <v>114</v>
      </c>
      <c r="D59" s="176">
        <f>5648*1.15</f>
        <v>6495.2</v>
      </c>
      <c r="E59" s="134"/>
    </row>
    <row r="60" spans="1:5" ht="22.5" x14ac:dyDescent="0.25">
      <c r="A60" s="205" t="s">
        <v>384</v>
      </c>
      <c r="B60" s="131" t="s">
        <v>1241</v>
      </c>
      <c r="C60" s="132" t="s">
        <v>114</v>
      </c>
      <c r="D60" s="176">
        <f>10160*1.15</f>
        <v>11684</v>
      </c>
      <c r="E60" s="134"/>
    </row>
    <row r="61" spans="1:5" ht="22.5" x14ac:dyDescent="0.25">
      <c r="A61" s="205" t="s">
        <v>385</v>
      </c>
      <c r="B61" s="131" t="s">
        <v>1240</v>
      </c>
      <c r="C61" s="132" t="s">
        <v>114</v>
      </c>
      <c r="D61" s="176">
        <f>16156*1.15</f>
        <v>18579.399999999998</v>
      </c>
      <c r="E61" s="134"/>
    </row>
    <row r="62" spans="1:5" ht="22.5" x14ac:dyDescent="0.25">
      <c r="A62" s="205" t="s">
        <v>386</v>
      </c>
      <c r="B62" s="131" t="s">
        <v>1242</v>
      </c>
      <c r="C62" s="132" t="s">
        <v>114</v>
      </c>
      <c r="D62" s="176">
        <f>25368*1.15</f>
        <v>29173.199999999997</v>
      </c>
      <c r="E62" s="134"/>
    </row>
    <row r="63" spans="1:5" ht="22.5" x14ac:dyDescent="0.25">
      <c r="A63" s="205" t="s">
        <v>387</v>
      </c>
      <c r="B63" s="131" t="s">
        <v>1243</v>
      </c>
      <c r="C63" s="132" t="s">
        <v>114</v>
      </c>
      <c r="D63" s="176">
        <f>36678*1.15</f>
        <v>42179.7</v>
      </c>
      <c r="E63" s="134"/>
    </row>
    <row r="64" spans="1:5" ht="22.5" x14ac:dyDescent="0.25">
      <c r="A64" s="205" t="s">
        <v>388</v>
      </c>
      <c r="B64" s="131" t="s">
        <v>1244</v>
      </c>
      <c r="C64" s="132" t="s">
        <v>114</v>
      </c>
      <c r="D64" s="176">
        <f>49345*1.15</f>
        <v>56746.749999999993</v>
      </c>
      <c r="E64" s="134"/>
    </row>
    <row r="65" spans="1:5" x14ac:dyDescent="0.25">
      <c r="A65" s="205" t="s">
        <v>398</v>
      </c>
      <c r="B65" s="131" t="s">
        <v>1245</v>
      </c>
      <c r="C65" s="132" t="s">
        <v>36</v>
      </c>
      <c r="D65" s="176">
        <f>75600*1.1</f>
        <v>83160</v>
      </c>
      <c r="E65" s="134"/>
    </row>
    <row r="66" spans="1:5" x14ac:dyDescent="0.25">
      <c r="A66" s="205" t="s">
        <v>399</v>
      </c>
      <c r="B66" s="131" t="s">
        <v>1246</v>
      </c>
      <c r="C66" s="132" t="s">
        <v>36</v>
      </c>
      <c r="D66" s="176">
        <f>117647*1.1</f>
        <v>129411.70000000001</v>
      </c>
      <c r="E66" s="134"/>
    </row>
    <row r="67" spans="1:5" x14ac:dyDescent="0.25">
      <c r="A67" s="205" t="s">
        <v>117</v>
      </c>
      <c r="B67" s="131" t="s">
        <v>1247</v>
      </c>
      <c r="C67" s="132" t="s">
        <v>64</v>
      </c>
      <c r="D67" s="176">
        <v>4940</v>
      </c>
      <c r="E67" s="134"/>
    </row>
    <row r="68" spans="1:5" x14ac:dyDescent="0.25">
      <c r="A68" s="205" t="s">
        <v>631</v>
      </c>
      <c r="B68" s="131" t="s">
        <v>1248</v>
      </c>
      <c r="C68" s="132" t="s">
        <v>36</v>
      </c>
      <c r="D68" s="176">
        <v>63709.999999999993</v>
      </c>
      <c r="E68" s="134"/>
    </row>
    <row r="69" spans="1:5" x14ac:dyDescent="0.25">
      <c r="A69" s="205" t="s">
        <v>630</v>
      </c>
      <c r="B69" s="131" t="s">
        <v>1249</v>
      </c>
      <c r="C69" s="132" t="s">
        <v>36</v>
      </c>
      <c r="D69" s="176">
        <v>78085</v>
      </c>
      <c r="E69" s="134"/>
    </row>
    <row r="70" spans="1:5" x14ac:dyDescent="0.25">
      <c r="A70" s="205" t="s">
        <v>632</v>
      </c>
      <c r="B70" s="131" t="s">
        <v>1250</v>
      </c>
      <c r="C70" s="132" t="s">
        <v>183</v>
      </c>
      <c r="D70" s="176">
        <v>264600</v>
      </c>
      <c r="E70" s="134"/>
    </row>
    <row r="71" spans="1:5" x14ac:dyDescent="0.25">
      <c r="A71" s="205" t="s">
        <v>633</v>
      </c>
      <c r="B71" s="131" t="s">
        <v>1251</v>
      </c>
      <c r="C71" s="132" t="s">
        <v>68</v>
      </c>
      <c r="D71" s="176">
        <v>5160</v>
      </c>
      <c r="E71" s="134"/>
    </row>
    <row r="72" spans="1:5" x14ac:dyDescent="0.25">
      <c r="A72" s="205" t="s">
        <v>634</v>
      </c>
      <c r="B72" s="131" t="s">
        <v>1252</v>
      </c>
      <c r="C72" s="132" t="s">
        <v>36</v>
      </c>
      <c r="D72" s="176">
        <v>7200</v>
      </c>
      <c r="E72" s="134"/>
    </row>
    <row r="73" spans="1:5" x14ac:dyDescent="0.25">
      <c r="A73" s="205" t="s">
        <v>635</v>
      </c>
      <c r="B73" s="131" t="s">
        <v>1253</v>
      </c>
      <c r="C73" s="132" t="s">
        <v>36</v>
      </c>
      <c r="D73" s="176">
        <v>3960</v>
      </c>
      <c r="E73" s="134"/>
    </row>
    <row r="74" spans="1:5" ht="6" customHeight="1" x14ac:dyDescent="0.25">
      <c r="A74" s="206"/>
      <c r="B74" s="164"/>
      <c r="C74" s="165"/>
      <c r="D74" s="177"/>
      <c r="E74" s="134"/>
    </row>
    <row r="75" spans="1:5" x14ac:dyDescent="0.25">
      <c r="A75" s="205" t="s">
        <v>379</v>
      </c>
      <c r="B75" s="131" t="s">
        <v>1254</v>
      </c>
      <c r="C75" s="132" t="s">
        <v>36</v>
      </c>
      <c r="D75" s="176">
        <f>36052*1.19</f>
        <v>42901.88</v>
      </c>
      <c r="E75" s="134"/>
    </row>
    <row r="76" spans="1:5" x14ac:dyDescent="0.25">
      <c r="A76" s="205" t="s">
        <v>380</v>
      </c>
      <c r="B76" s="131" t="s">
        <v>1255</v>
      </c>
      <c r="C76" s="132" t="s">
        <v>36</v>
      </c>
      <c r="D76" s="176">
        <f>43263*1.19</f>
        <v>51482.97</v>
      </c>
      <c r="E76" s="134"/>
    </row>
    <row r="77" spans="1:5" x14ac:dyDescent="0.25">
      <c r="A77" s="205" t="s">
        <v>381</v>
      </c>
      <c r="B77" s="131" t="s">
        <v>1256</v>
      </c>
      <c r="C77" s="132" t="s">
        <v>36</v>
      </c>
      <c r="D77" s="176">
        <f>59102*1.19</f>
        <v>70331.37999999999</v>
      </c>
      <c r="E77" s="134"/>
    </row>
    <row r="78" spans="1:5" x14ac:dyDescent="0.25">
      <c r="A78" s="205" t="s">
        <v>382</v>
      </c>
      <c r="B78" s="131" t="s">
        <v>1257</v>
      </c>
      <c r="C78" s="132" t="s">
        <v>36</v>
      </c>
      <c r="D78" s="176">
        <f>70923*1.19</f>
        <v>84398.37</v>
      </c>
      <c r="E78" s="134"/>
    </row>
    <row r="79" spans="1:5" x14ac:dyDescent="0.25">
      <c r="A79" s="205" t="s">
        <v>1785</v>
      </c>
      <c r="B79" s="131" t="s">
        <v>1258</v>
      </c>
      <c r="C79" s="132" t="s">
        <v>69</v>
      </c>
      <c r="D79" s="176">
        <v>48950</v>
      </c>
      <c r="E79" s="134"/>
    </row>
    <row r="80" spans="1:5" x14ac:dyDescent="0.25">
      <c r="A80" s="205" t="s">
        <v>389</v>
      </c>
      <c r="B80" s="131" t="s">
        <v>1259</v>
      </c>
      <c r="C80" s="132" t="s">
        <v>36</v>
      </c>
      <c r="D80" s="176">
        <f>73693*1.19</f>
        <v>87694.67</v>
      </c>
      <c r="E80" s="134"/>
    </row>
    <row r="81" spans="1:5" x14ac:dyDescent="0.25">
      <c r="A81" s="205" t="s">
        <v>391</v>
      </c>
      <c r="B81" s="131" t="s">
        <v>1260</v>
      </c>
      <c r="C81" s="132" t="s">
        <v>36</v>
      </c>
      <c r="D81" s="176">
        <f>89071*1.19</f>
        <v>105994.48999999999</v>
      </c>
      <c r="E81" s="134"/>
    </row>
    <row r="82" spans="1:5" x14ac:dyDescent="0.25">
      <c r="A82" s="205" t="s">
        <v>390</v>
      </c>
      <c r="B82" s="131" t="s">
        <v>1261</v>
      </c>
      <c r="C82" s="132" t="s">
        <v>36</v>
      </c>
      <c r="D82" s="176">
        <f>97952*1.19</f>
        <v>116562.87999999999</v>
      </c>
      <c r="E82" s="134"/>
    </row>
    <row r="83" spans="1:5" x14ac:dyDescent="0.25">
      <c r="A83" s="205" t="s">
        <v>390</v>
      </c>
      <c r="B83" s="131" t="s">
        <v>1262</v>
      </c>
      <c r="C83" s="132" t="s">
        <v>36</v>
      </c>
      <c r="D83" s="176">
        <f>118349*1.19</f>
        <v>140835.31</v>
      </c>
      <c r="E83" s="134"/>
    </row>
    <row r="84" spans="1:5" x14ac:dyDescent="0.25">
      <c r="A84" s="205" t="s">
        <v>392</v>
      </c>
      <c r="B84" s="131" t="s">
        <v>1263</v>
      </c>
      <c r="C84" s="132" t="s">
        <v>36</v>
      </c>
      <c r="D84" s="176">
        <f>113022*1.19</f>
        <v>134496.18</v>
      </c>
      <c r="E84" s="134"/>
    </row>
    <row r="85" spans="1:5" x14ac:dyDescent="0.25">
      <c r="A85" s="205" t="s">
        <v>393</v>
      </c>
      <c r="B85" s="131" t="s">
        <v>1264</v>
      </c>
      <c r="C85" s="132" t="s">
        <v>36</v>
      </c>
      <c r="D85" s="176">
        <f>149452*1.19</f>
        <v>177847.88</v>
      </c>
      <c r="E85" s="134"/>
    </row>
    <row r="86" spans="1:5" x14ac:dyDescent="0.25">
      <c r="A86" s="205" t="s">
        <v>394</v>
      </c>
      <c r="B86" s="131" t="s">
        <v>1265</v>
      </c>
      <c r="C86" s="132" t="s">
        <v>36</v>
      </c>
      <c r="D86" s="176">
        <f>167676*1.19</f>
        <v>199534.44</v>
      </c>
      <c r="E86" s="134"/>
    </row>
    <row r="87" spans="1:5" x14ac:dyDescent="0.25">
      <c r="A87" s="205" t="s">
        <v>395</v>
      </c>
      <c r="B87" s="131" t="s">
        <v>1266</v>
      </c>
      <c r="C87" s="132" t="s">
        <v>36</v>
      </c>
      <c r="D87" s="176">
        <f>185902*1.19</f>
        <v>221223.37999999998</v>
      </c>
      <c r="E87" s="134"/>
    </row>
    <row r="88" spans="1:5" x14ac:dyDescent="0.25">
      <c r="A88" s="205" t="s">
        <v>396</v>
      </c>
      <c r="B88" s="131" t="s">
        <v>1267</v>
      </c>
      <c r="C88" s="132" t="s">
        <v>36</v>
      </c>
      <c r="D88" s="176">
        <f>204128*1.19</f>
        <v>242912.31999999998</v>
      </c>
      <c r="E88" s="134"/>
    </row>
    <row r="89" spans="1:5" x14ac:dyDescent="0.25">
      <c r="A89" s="205" t="s">
        <v>397</v>
      </c>
      <c r="B89" s="131" t="s">
        <v>1268</v>
      </c>
      <c r="C89" s="132" t="s">
        <v>36</v>
      </c>
      <c r="D89" s="176">
        <f>222354*1.19</f>
        <v>264601.26</v>
      </c>
      <c r="E89" s="134"/>
    </row>
    <row r="90" spans="1:5" x14ac:dyDescent="0.25">
      <c r="A90" s="205" t="s">
        <v>118</v>
      </c>
      <c r="B90" s="131" t="s">
        <v>1786</v>
      </c>
      <c r="C90" s="132" t="s">
        <v>119</v>
      </c>
      <c r="D90" s="176">
        <v>17743.225500000004</v>
      </c>
      <c r="E90" s="134"/>
    </row>
    <row r="91" spans="1:5" ht="6" customHeight="1" x14ac:dyDescent="0.25">
      <c r="A91" s="206"/>
      <c r="B91" s="164"/>
      <c r="C91" s="165"/>
      <c r="D91" s="177"/>
      <c r="E91" s="134"/>
    </row>
    <row r="92" spans="1:5" ht="22.5" x14ac:dyDescent="0.25">
      <c r="A92" s="205" t="s">
        <v>402</v>
      </c>
      <c r="B92" s="131" t="s">
        <v>1270</v>
      </c>
      <c r="C92" s="132" t="s">
        <v>121</v>
      </c>
      <c r="D92" s="176">
        <f>41634*1.19</f>
        <v>49544.46</v>
      </c>
      <c r="E92" s="134"/>
    </row>
    <row r="93" spans="1:5" ht="22.5" x14ac:dyDescent="0.25">
      <c r="A93" s="205" t="s">
        <v>403</v>
      </c>
      <c r="B93" s="131" t="s">
        <v>1271</v>
      </c>
      <c r="C93" s="132" t="s">
        <v>121</v>
      </c>
      <c r="D93" s="176">
        <f>51618*1.19</f>
        <v>61425.42</v>
      </c>
      <c r="E93" s="134"/>
    </row>
    <row r="94" spans="1:5" ht="22.5" x14ac:dyDescent="0.25">
      <c r="A94" s="205" t="s">
        <v>404</v>
      </c>
      <c r="B94" s="131" t="s">
        <v>1272</v>
      </c>
      <c r="C94" s="132" t="s">
        <v>121</v>
      </c>
      <c r="D94" s="176">
        <f>77099*1.19</f>
        <v>91747.81</v>
      </c>
      <c r="E94" s="134"/>
    </row>
    <row r="95" spans="1:5" ht="22.5" x14ac:dyDescent="0.25">
      <c r="A95" s="205" t="s">
        <v>405</v>
      </c>
      <c r="B95" s="131" t="s">
        <v>1273</v>
      </c>
      <c r="C95" s="132" t="s">
        <v>121</v>
      </c>
      <c r="D95" s="176">
        <f>107446*1.19</f>
        <v>127860.73999999999</v>
      </c>
      <c r="E95" s="134"/>
    </row>
    <row r="96" spans="1:5" ht="22.5" x14ac:dyDescent="0.25">
      <c r="A96" s="205" t="s">
        <v>406</v>
      </c>
      <c r="B96" s="131" t="s">
        <v>1275</v>
      </c>
      <c r="C96" s="132" t="s">
        <v>121</v>
      </c>
      <c r="D96" s="176">
        <f>277446*1.19</f>
        <v>330160.74</v>
      </c>
      <c r="E96" s="134"/>
    </row>
    <row r="97" spans="1:5" ht="22.5" x14ac:dyDescent="0.25">
      <c r="A97" s="205" t="s">
        <v>407</v>
      </c>
      <c r="B97" s="131" t="s">
        <v>1274</v>
      </c>
      <c r="C97" s="132" t="s">
        <v>121</v>
      </c>
      <c r="D97" s="176">
        <f>409332*1.19</f>
        <v>487105.07999999996</v>
      </c>
      <c r="E97" s="134"/>
    </row>
    <row r="98" spans="1:5" ht="22.5" x14ac:dyDescent="0.25">
      <c r="A98" s="205" t="s">
        <v>1280</v>
      </c>
      <c r="B98" s="131" t="s">
        <v>1276</v>
      </c>
      <c r="C98" s="132" t="s">
        <v>121</v>
      </c>
      <c r="D98" s="176">
        <v>31823.616825000005</v>
      </c>
      <c r="E98" s="134"/>
    </row>
    <row r="99" spans="1:5" ht="22.5" x14ac:dyDescent="0.25">
      <c r="A99" s="205" t="s">
        <v>1281</v>
      </c>
      <c r="B99" s="131" t="s">
        <v>1277</v>
      </c>
      <c r="C99" s="132" t="s">
        <v>121</v>
      </c>
      <c r="D99" s="176">
        <v>46007.65669500002</v>
      </c>
      <c r="E99" s="134"/>
    </row>
    <row r="100" spans="1:5" ht="22.5" x14ac:dyDescent="0.25">
      <c r="A100" s="205" t="s">
        <v>1282</v>
      </c>
      <c r="B100" s="131" t="s">
        <v>1278</v>
      </c>
      <c r="C100" s="132" t="s">
        <v>121</v>
      </c>
      <c r="D100" s="176">
        <v>60853.993200000012</v>
      </c>
      <c r="E100" s="134"/>
    </row>
    <row r="101" spans="1:5" ht="22.5" x14ac:dyDescent="0.25">
      <c r="A101" s="205" t="s">
        <v>1283</v>
      </c>
      <c r="B101" s="131" t="s">
        <v>1279</v>
      </c>
      <c r="C101" s="132" t="s">
        <v>121</v>
      </c>
      <c r="D101" s="176">
        <v>104932.73290500003</v>
      </c>
      <c r="E101" s="134"/>
    </row>
    <row r="102" spans="1:5" ht="22.5" x14ac:dyDescent="0.25">
      <c r="A102" s="205" t="s">
        <v>408</v>
      </c>
      <c r="B102" s="131" t="s">
        <v>1284</v>
      </c>
      <c r="C102" s="132" t="s">
        <v>36</v>
      </c>
      <c r="D102" s="176">
        <f>2314*1.19</f>
        <v>2753.66</v>
      </c>
      <c r="E102" s="134"/>
    </row>
    <row r="103" spans="1:5" ht="22.5" x14ac:dyDescent="0.25">
      <c r="A103" s="205" t="s">
        <v>412</v>
      </c>
      <c r="B103" s="131" t="s">
        <v>1285</v>
      </c>
      <c r="C103" s="132" t="s">
        <v>36</v>
      </c>
      <c r="D103" s="176">
        <f>2771*1.19</f>
        <v>3297.49</v>
      </c>
      <c r="E103" s="134"/>
    </row>
    <row r="104" spans="1:5" ht="22.5" x14ac:dyDescent="0.25">
      <c r="A104" s="205" t="s">
        <v>420</v>
      </c>
      <c r="B104" s="131" t="s">
        <v>1286</v>
      </c>
      <c r="C104" s="132" t="s">
        <v>36</v>
      </c>
      <c r="D104" s="176">
        <f>4722*1.19</f>
        <v>5619.1799999999994</v>
      </c>
      <c r="E104" s="134"/>
    </row>
    <row r="105" spans="1:5" ht="22.5" x14ac:dyDescent="0.25">
      <c r="A105" s="205" t="s">
        <v>424</v>
      </c>
      <c r="B105" s="131" t="s">
        <v>1287</v>
      </c>
      <c r="C105" s="132" t="s">
        <v>36</v>
      </c>
      <c r="D105" s="176">
        <f>5310*1.19</f>
        <v>6318.9</v>
      </c>
      <c r="E105" s="134"/>
    </row>
    <row r="106" spans="1:5" ht="22.5" x14ac:dyDescent="0.25">
      <c r="A106" s="205" t="s">
        <v>416</v>
      </c>
      <c r="B106" s="131" t="s">
        <v>1288</v>
      </c>
      <c r="C106" s="132" t="s">
        <v>36</v>
      </c>
      <c r="D106" s="176">
        <f>1867*1.19</f>
        <v>2221.73</v>
      </c>
      <c r="E106" s="134"/>
    </row>
    <row r="107" spans="1:5" ht="22.5" x14ac:dyDescent="0.25">
      <c r="A107" s="205" t="s">
        <v>125</v>
      </c>
      <c r="B107" s="131" t="s">
        <v>1289</v>
      </c>
      <c r="C107" s="132" t="s">
        <v>36</v>
      </c>
      <c r="D107" s="176">
        <v>7937.0190900000016</v>
      </c>
      <c r="E107" s="134"/>
    </row>
    <row r="108" spans="1:5" ht="22.5" x14ac:dyDescent="0.25">
      <c r="A108" s="205" t="s">
        <v>126</v>
      </c>
      <c r="B108" s="131" t="s">
        <v>1290</v>
      </c>
      <c r="C108" s="132" t="s">
        <v>36</v>
      </c>
      <c r="D108" s="176">
        <v>1054.0530000000001</v>
      </c>
      <c r="E108" s="134"/>
    </row>
    <row r="109" spans="1:5" ht="22.5" x14ac:dyDescent="0.25">
      <c r="A109" s="205" t="s">
        <v>409</v>
      </c>
      <c r="B109" s="131" t="s">
        <v>1291</v>
      </c>
      <c r="C109" s="132" t="s">
        <v>36</v>
      </c>
      <c r="D109" s="176">
        <f>5361*1.19</f>
        <v>6379.59</v>
      </c>
      <c r="E109" s="134"/>
    </row>
    <row r="110" spans="1:5" ht="22.5" x14ac:dyDescent="0.25">
      <c r="A110" s="205" t="s">
        <v>413</v>
      </c>
      <c r="B110" s="131" t="s">
        <v>1292</v>
      </c>
      <c r="C110" s="132" t="s">
        <v>36</v>
      </c>
      <c r="D110" s="176">
        <f>5955*1.19</f>
        <v>7086.45</v>
      </c>
      <c r="E110" s="134"/>
    </row>
    <row r="111" spans="1:5" ht="22.5" x14ac:dyDescent="0.25">
      <c r="A111" s="205" t="s">
        <v>421</v>
      </c>
      <c r="B111" s="131" t="s">
        <v>1293</v>
      </c>
      <c r="C111" s="132" t="s">
        <v>36</v>
      </c>
      <c r="D111" s="176">
        <f>5925*1.19</f>
        <v>7050.75</v>
      </c>
      <c r="E111" s="134"/>
    </row>
    <row r="112" spans="1:5" ht="22.5" x14ac:dyDescent="0.25">
      <c r="A112" s="205" t="s">
        <v>425</v>
      </c>
      <c r="B112" s="131" t="s">
        <v>1294</v>
      </c>
      <c r="C112" s="132" t="s">
        <v>36</v>
      </c>
      <c r="D112" s="176">
        <f>10907*1.19</f>
        <v>12979.33</v>
      </c>
      <c r="E112" s="134"/>
    </row>
    <row r="113" spans="1:5" ht="22.5" x14ac:dyDescent="0.25">
      <c r="A113" s="205" t="s">
        <v>417</v>
      </c>
      <c r="B113" s="131" t="s">
        <v>1295</v>
      </c>
      <c r="C113" s="132" t="s">
        <v>36</v>
      </c>
      <c r="D113" s="176">
        <f>2695*1.19</f>
        <v>3207.0499999999997</v>
      </c>
      <c r="E113" s="134"/>
    </row>
    <row r="114" spans="1:5" ht="22.5" x14ac:dyDescent="0.25">
      <c r="A114" s="205" t="s">
        <v>127</v>
      </c>
      <c r="B114" s="131" t="s">
        <v>1296</v>
      </c>
      <c r="C114" s="132" t="s">
        <v>36</v>
      </c>
      <c r="D114" s="176">
        <v>30370.78044000001</v>
      </c>
      <c r="E114" s="134"/>
    </row>
    <row r="115" spans="1:5" ht="22.5" x14ac:dyDescent="0.25">
      <c r="A115" s="205" t="s">
        <v>128</v>
      </c>
      <c r="B115" s="131" t="s">
        <v>1297</v>
      </c>
      <c r="C115" s="132" t="s">
        <v>36</v>
      </c>
      <c r="D115" s="176">
        <v>2108.1060000000002</v>
      </c>
      <c r="E115" s="134"/>
    </row>
    <row r="116" spans="1:5" ht="22.5" x14ac:dyDescent="0.25">
      <c r="A116" s="205" t="s">
        <v>129</v>
      </c>
      <c r="B116" s="131" t="s">
        <v>1298</v>
      </c>
      <c r="C116" s="132" t="s">
        <v>36</v>
      </c>
      <c r="D116" s="176">
        <v>7269.4521900000027</v>
      </c>
      <c r="E116" s="134"/>
    </row>
    <row r="117" spans="1:5" ht="22.5" x14ac:dyDescent="0.25">
      <c r="A117" s="205" t="s">
        <v>410</v>
      </c>
      <c r="B117" s="131" t="s">
        <v>1300</v>
      </c>
      <c r="C117" s="132" t="s">
        <v>36</v>
      </c>
      <c r="D117" s="176">
        <f>9238*1.19</f>
        <v>10993.22</v>
      </c>
      <c r="E117" s="134"/>
    </row>
    <row r="118" spans="1:5" ht="22.5" x14ac:dyDescent="0.25">
      <c r="A118" s="205" t="s">
        <v>414</v>
      </c>
      <c r="B118" s="131" t="s">
        <v>1301</v>
      </c>
      <c r="C118" s="132" t="s">
        <v>36</v>
      </c>
      <c r="D118" s="176">
        <f>10393*1.19</f>
        <v>12367.67</v>
      </c>
      <c r="E118" s="134"/>
    </row>
    <row r="119" spans="1:5" ht="22.5" x14ac:dyDescent="0.25">
      <c r="A119" s="205" t="s">
        <v>422</v>
      </c>
      <c r="B119" s="131" t="s">
        <v>1302</v>
      </c>
      <c r="C119" s="132" t="s">
        <v>36</v>
      </c>
      <c r="D119" s="176">
        <f>12235*1.19</f>
        <v>14559.65</v>
      </c>
      <c r="E119" s="134"/>
    </row>
    <row r="120" spans="1:5" ht="22.5" x14ac:dyDescent="0.25">
      <c r="A120" s="205" t="s">
        <v>130</v>
      </c>
      <c r="B120" s="131" t="s">
        <v>1303</v>
      </c>
      <c r="C120" s="132" t="s">
        <v>36</v>
      </c>
      <c r="D120" s="176">
        <v>33111.318240000008</v>
      </c>
      <c r="E120" s="134"/>
    </row>
    <row r="121" spans="1:5" ht="22.5" x14ac:dyDescent="0.25">
      <c r="A121" s="205" t="s">
        <v>418</v>
      </c>
      <c r="B121" s="131" t="s">
        <v>1304</v>
      </c>
      <c r="C121" s="132" t="s">
        <v>36</v>
      </c>
      <c r="D121" s="176">
        <f>5382*1.19</f>
        <v>6404.58</v>
      </c>
      <c r="E121" s="134"/>
    </row>
    <row r="122" spans="1:5" ht="22.5" x14ac:dyDescent="0.25">
      <c r="A122" s="205" t="s">
        <v>131</v>
      </c>
      <c r="B122" s="131" t="s">
        <v>1305</v>
      </c>
      <c r="C122" s="132" t="s">
        <v>36</v>
      </c>
      <c r="D122" s="176">
        <v>55179.674550000011</v>
      </c>
      <c r="E122" s="134"/>
    </row>
    <row r="123" spans="1:5" ht="22.5" x14ac:dyDescent="0.25">
      <c r="A123" s="205" t="s">
        <v>132</v>
      </c>
      <c r="B123" s="131" t="s">
        <v>1306</v>
      </c>
      <c r="C123" s="132" t="s">
        <v>36</v>
      </c>
      <c r="D123" s="176">
        <v>3513.5100000000007</v>
      </c>
      <c r="E123" s="134"/>
    </row>
    <row r="124" spans="1:5" ht="22.5" x14ac:dyDescent="0.25">
      <c r="A124" s="205" t="s">
        <v>133</v>
      </c>
      <c r="B124" s="131" t="s">
        <v>1299</v>
      </c>
      <c r="C124" s="132" t="s">
        <v>36</v>
      </c>
      <c r="D124" s="176">
        <v>12683.771100000002</v>
      </c>
      <c r="E124" s="134"/>
    </row>
    <row r="125" spans="1:5" ht="22.5" x14ac:dyDescent="0.25">
      <c r="A125" s="205" t="s">
        <v>411</v>
      </c>
      <c r="B125" s="131" t="s">
        <v>1307</v>
      </c>
      <c r="C125" s="132" t="s">
        <v>36</v>
      </c>
      <c r="D125" s="176">
        <f>78909*1.19</f>
        <v>93901.709999999992</v>
      </c>
      <c r="E125" s="134"/>
    </row>
    <row r="126" spans="1:5" ht="22.5" x14ac:dyDescent="0.25">
      <c r="A126" s="205" t="s">
        <v>415</v>
      </c>
      <c r="B126" s="131" t="s">
        <v>1308</v>
      </c>
      <c r="C126" s="132" t="s">
        <v>36</v>
      </c>
      <c r="D126" s="176">
        <f>38140*1.19</f>
        <v>45386.6</v>
      </c>
      <c r="E126" s="134"/>
    </row>
    <row r="127" spans="1:5" ht="22.5" x14ac:dyDescent="0.25">
      <c r="A127" s="205" t="s">
        <v>423</v>
      </c>
      <c r="B127" s="131" t="s">
        <v>1309</v>
      </c>
      <c r="C127" s="132" t="s">
        <v>36</v>
      </c>
      <c r="D127" s="176">
        <v>207297.09000000003</v>
      </c>
      <c r="E127" s="134"/>
    </row>
    <row r="128" spans="1:5" ht="22.5" x14ac:dyDescent="0.25">
      <c r="A128" s="205" t="s">
        <v>426</v>
      </c>
      <c r="B128" s="131" t="s">
        <v>1310</v>
      </c>
      <c r="C128" s="132" t="s">
        <v>36</v>
      </c>
      <c r="D128" s="176">
        <f>89796*1.19</f>
        <v>106857.23999999999</v>
      </c>
      <c r="E128" s="134"/>
    </row>
    <row r="129" spans="1:5" ht="22.5" x14ac:dyDescent="0.25">
      <c r="A129" s="205" t="s">
        <v>419</v>
      </c>
      <c r="B129" s="131" t="s">
        <v>1311</v>
      </c>
      <c r="C129" s="132" t="s">
        <v>36</v>
      </c>
      <c r="D129" s="176">
        <f>23593*1.19</f>
        <v>28075.67</v>
      </c>
      <c r="E129" s="134"/>
    </row>
    <row r="130" spans="1:5" ht="22.5" x14ac:dyDescent="0.25">
      <c r="A130" s="205" t="s">
        <v>134</v>
      </c>
      <c r="B130" s="131" t="s">
        <v>1312</v>
      </c>
      <c r="C130" s="132" t="s">
        <v>36</v>
      </c>
      <c r="D130" s="176">
        <v>48145.627530000012</v>
      </c>
      <c r="E130" s="134"/>
    </row>
    <row r="131" spans="1:5" ht="6" customHeight="1" x14ac:dyDescent="0.25">
      <c r="A131" s="206"/>
      <c r="B131" s="164"/>
      <c r="C131" s="165"/>
      <c r="D131" s="177"/>
      <c r="E131" s="134"/>
    </row>
    <row r="132" spans="1:5" x14ac:dyDescent="0.25">
      <c r="A132" s="205" t="s">
        <v>427</v>
      </c>
      <c r="B132" s="131" t="s">
        <v>1313</v>
      </c>
      <c r="C132" s="132" t="s">
        <v>135</v>
      </c>
      <c r="D132" s="176">
        <f>16600*1.19</f>
        <v>19754</v>
      </c>
      <c r="E132" s="134"/>
    </row>
    <row r="133" spans="1:5" x14ac:dyDescent="0.25">
      <c r="A133" s="205" t="s">
        <v>428</v>
      </c>
      <c r="B133" s="131" t="s">
        <v>1314</v>
      </c>
      <c r="C133" s="132" t="s">
        <v>135</v>
      </c>
      <c r="D133" s="176">
        <f>22103*1.19</f>
        <v>26302.57</v>
      </c>
      <c r="E133" s="134"/>
    </row>
    <row r="134" spans="1:5" x14ac:dyDescent="0.25">
      <c r="A134" s="205" t="s">
        <v>429</v>
      </c>
      <c r="B134" s="131" t="s">
        <v>1315</v>
      </c>
      <c r="C134" s="132" t="s">
        <v>135</v>
      </c>
      <c r="D134" s="176">
        <f>29821*1.19</f>
        <v>35486.99</v>
      </c>
      <c r="E134" s="134"/>
    </row>
    <row r="135" spans="1:5" x14ac:dyDescent="0.25">
      <c r="A135" s="205" t="s">
        <v>138</v>
      </c>
      <c r="B135" s="131" t="s">
        <v>1316</v>
      </c>
      <c r="C135" s="132" t="s">
        <v>135</v>
      </c>
      <c r="D135" s="176">
        <v>72597.2</v>
      </c>
      <c r="E135" s="134"/>
    </row>
    <row r="136" spans="1:5" x14ac:dyDescent="0.25">
      <c r="A136" s="205" t="s">
        <v>430</v>
      </c>
      <c r="B136" s="131" t="s">
        <v>1317</v>
      </c>
      <c r="C136" s="132" t="s">
        <v>135</v>
      </c>
      <c r="D136" s="176">
        <f>74282*1.19</f>
        <v>88395.58</v>
      </c>
      <c r="E136" s="134"/>
    </row>
    <row r="137" spans="1:5" x14ac:dyDescent="0.25">
      <c r="A137" s="205" t="s">
        <v>140</v>
      </c>
      <c r="B137" s="131" t="s">
        <v>1318</v>
      </c>
      <c r="C137" s="132" t="s">
        <v>135</v>
      </c>
      <c r="D137" s="176">
        <v>180416.6</v>
      </c>
      <c r="E137" s="134"/>
    </row>
    <row r="138" spans="1:5" x14ac:dyDescent="0.25">
      <c r="A138" s="205" t="s">
        <v>431</v>
      </c>
      <c r="B138" s="131" t="s">
        <v>1319</v>
      </c>
      <c r="C138" s="132" t="s">
        <v>135</v>
      </c>
      <c r="D138" s="176">
        <f>53365*1.19</f>
        <v>63504.35</v>
      </c>
      <c r="E138" s="134"/>
    </row>
    <row r="139" spans="1:5" ht="11.1" customHeight="1" x14ac:dyDescent="0.25">
      <c r="A139" s="205" t="s">
        <v>143</v>
      </c>
      <c r="B139" s="131" t="s">
        <v>1320</v>
      </c>
      <c r="C139" s="132" t="s">
        <v>36</v>
      </c>
      <c r="D139" s="176">
        <v>829.18836000000022</v>
      </c>
      <c r="E139" s="134"/>
    </row>
    <row r="140" spans="1:5" ht="11.1" customHeight="1" x14ac:dyDescent="0.25">
      <c r="A140" s="205" t="s">
        <v>144</v>
      </c>
      <c r="B140" s="131" t="s">
        <v>1321</v>
      </c>
      <c r="C140" s="132" t="s">
        <v>36</v>
      </c>
      <c r="D140" s="176">
        <v>1370.2689000000003</v>
      </c>
      <c r="E140" s="134"/>
    </row>
    <row r="141" spans="1:5" ht="11.1" customHeight="1" x14ac:dyDescent="0.25">
      <c r="A141" s="205" t="s">
        <v>145</v>
      </c>
      <c r="B141" s="131" t="s">
        <v>1322</v>
      </c>
      <c r="C141" s="132" t="s">
        <v>36</v>
      </c>
      <c r="D141" s="176">
        <v>1099.7286300000001</v>
      </c>
      <c r="E141" s="134"/>
    </row>
    <row r="142" spans="1:5" ht="11.1" customHeight="1" x14ac:dyDescent="0.25">
      <c r="A142" s="205" t="s">
        <v>146</v>
      </c>
      <c r="B142" s="131" t="s">
        <v>1323</v>
      </c>
      <c r="C142" s="132" t="s">
        <v>36</v>
      </c>
      <c r="D142" s="176">
        <v>535.81027500000016</v>
      </c>
      <c r="E142" s="134"/>
    </row>
    <row r="143" spans="1:5" ht="11.1" customHeight="1" x14ac:dyDescent="0.25">
      <c r="A143" s="205" t="s">
        <v>147</v>
      </c>
      <c r="B143" s="131" t="s">
        <v>1324</v>
      </c>
      <c r="C143" s="132" t="s">
        <v>36</v>
      </c>
      <c r="D143" s="176">
        <v>465.54007500000012</v>
      </c>
      <c r="E143" s="134"/>
    </row>
    <row r="144" spans="1:5" ht="11.1" customHeight="1" x14ac:dyDescent="0.25">
      <c r="A144" s="205" t="s">
        <v>148</v>
      </c>
      <c r="B144" s="131" t="s">
        <v>1325</v>
      </c>
      <c r="C144" s="132" t="s">
        <v>36</v>
      </c>
      <c r="D144" s="176">
        <v>570.94537500000001</v>
      </c>
      <c r="E144" s="134"/>
    </row>
    <row r="145" spans="1:5" ht="11.1" customHeight="1" x14ac:dyDescent="0.25">
      <c r="A145" s="205" t="s">
        <v>149</v>
      </c>
      <c r="B145" s="131" t="s">
        <v>1326</v>
      </c>
      <c r="C145" s="132" t="s">
        <v>36</v>
      </c>
      <c r="D145" s="176">
        <v>646.48584000000017</v>
      </c>
      <c r="E145" s="134"/>
    </row>
    <row r="146" spans="1:5" ht="11.1" customHeight="1" x14ac:dyDescent="0.25">
      <c r="A146" s="205" t="s">
        <v>150</v>
      </c>
      <c r="B146" s="131" t="s">
        <v>1327</v>
      </c>
      <c r="C146" s="132" t="s">
        <v>36</v>
      </c>
      <c r="D146" s="176">
        <v>1328.1067800000001</v>
      </c>
      <c r="E146" s="134"/>
    </row>
    <row r="147" spans="1:5" ht="11.1" customHeight="1" x14ac:dyDescent="0.25">
      <c r="A147" s="205" t="s">
        <v>151</v>
      </c>
      <c r="B147" s="131" t="s">
        <v>1329</v>
      </c>
      <c r="C147" s="132" t="s">
        <v>36</v>
      </c>
      <c r="D147" s="176">
        <v>2195.9437500000004</v>
      </c>
      <c r="E147" s="134"/>
    </row>
    <row r="148" spans="1:5" ht="11.1" customHeight="1" x14ac:dyDescent="0.25">
      <c r="A148" s="205" t="s">
        <v>152</v>
      </c>
      <c r="B148" s="131" t="s">
        <v>1330</v>
      </c>
      <c r="C148" s="132" t="s">
        <v>36</v>
      </c>
      <c r="D148" s="176">
        <v>1851.6197700000005</v>
      </c>
      <c r="E148" s="134"/>
    </row>
    <row r="149" spans="1:5" ht="11.1" customHeight="1" x14ac:dyDescent="0.25">
      <c r="A149" s="205" t="s">
        <v>153</v>
      </c>
      <c r="B149" s="131" t="s">
        <v>1331</v>
      </c>
      <c r="C149" s="132" t="s">
        <v>36</v>
      </c>
      <c r="D149" s="176">
        <v>846.75591000000009</v>
      </c>
      <c r="E149" s="134"/>
    </row>
    <row r="150" spans="1:5" ht="11.1" customHeight="1" x14ac:dyDescent="0.25">
      <c r="A150" s="205" t="s">
        <v>154</v>
      </c>
      <c r="B150" s="131" t="s">
        <v>1332</v>
      </c>
      <c r="C150" s="132" t="s">
        <v>36</v>
      </c>
      <c r="D150" s="176">
        <v>948.64770000000021</v>
      </c>
      <c r="E150" s="134"/>
    </row>
    <row r="151" spans="1:5" ht="11.1" customHeight="1" x14ac:dyDescent="0.25">
      <c r="A151" s="205" t="s">
        <v>155</v>
      </c>
      <c r="B151" s="131" t="s">
        <v>1333</v>
      </c>
      <c r="C151" s="132" t="s">
        <v>36</v>
      </c>
      <c r="D151" s="176">
        <v>1038.2422050000002</v>
      </c>
      <c r="E151" s="134"/>
    </row>
    <row r="152" spans="1:5" ht="11.1" customHeight="1" x14ac:dyDescent="0.25">
      <c r="A152" s="205" t="s">
        <v>156</v>
      </c>
      <c r="B152" s="131" t="s">
        <v>1334</v>
      </c>
      <c r="C152" s="132" t="s">
        <v>36</v>
      </c>
      <c r="D152" s="176">
        <v>1168.2420750000003</v>
      </c>
      <c r="E152" s="134"/>
    </row>
    <row r="153" spans="1:5" ht="11.1" customHeight="1" x14ac:dyDescent="0.25">
      <c r="A153" s="205" t="s">
        <v>157</v>
      </c>
      <c r="B153" s="131" t="s">
        <v>1328</v>
      </c>
      <c r="C153" s="132" t="s">
        <v>36</v>
      </c>
      <c r="D153" s="176">
        <v>2603.5109100000004</v>
      </c>
      <c r="E153" s="134"/>
    </row>
    <row r="154" spans="1:5" ht="11.1" customHeight="1" x14ac:dyDescent="0.25">
      <c r="A154" s="205" t="s">
        <v>158</v>
      </c>
      <c r="B154" s="131" t="s">
        <v>1336</v>
      </c>
      <c r="C154" s="132" t="s">
        <v>36</v>
      </c>
      <c r="D154" s="176">
        <v>4186.347165000002</v>
      </c>
      <c r="E154" s="134"/>
    </row>
    <row r="155" spans="1:5" ht="11.1" customHeight="1" x14ac:dyDescent="0.25">
      <c r="A155" s="205" t="s">
        <v>159</v>
      </c>
      <c r="B155" s="131" t="s">
        <v>1337</v>
      </c>
      <c r="C155" s="132" t="s">
        <v>36</v>
      </c>
      <c r="D155" s="176">
        <v>3624.1855650000002</v>
      </c>
      <c r="E155" s="134"/>
    </row>
    <row r="156" spans="1:5" ht="11.1" customHeight="1" x14ac:dyDescent="0.25">
      <c r="A156" s="205" t="s">
        <v>160</v>
      </c>
      <c r="B156" s="131" t="s">
        <v>1338</v>
      </c>
      <c r="C156" s="132" t="s">
        <v>36</v>
      </c>
      <c r="D156" s="176">
        <v>1375.5391650000004</v>
      </c>
      <c r="E156" s="134"/>
    </row>
    <row r="157" spans="1:5" ht="11.1" customHeight="1" x14ac:dyDescent="0.25">
      <c r="A157" s="205" t="s">
        <v>161</v>
      </c>
      <c r="B157" s="131" t="s">
        <v>1339</v>
      </c>
      <c r="C157" s="132" t="s">
        <v>36</v>
      </c>
      <c r="D157" s="176">
        <v>1593.3767850000004</v>
      </c>
      <c r="E157" s="134"/>
    </row>
    <row r="158" spans="1:5" ht="11.1" customHeight="1" x14ac:dyDescent="0.25">
      <c r="A158" s="205" t="s">
        <v>162</v>
      </c>
      <c r="B158" s="131" t="s">
        <v>1340</v>
      </c>
      <c r="C158" s="132" t="s">
        <v>36</v>
      </c>
      <c r="D158" s="176">
        <v>2169.5924250000007</v>
      </c>
      <c r="E158" s="134"/>
    </row>
    <row r="159" spans="1:5" ht="11.1" customHeight="1" x14ac:dyDescent="0.25">
      <c r="A159" s="205" t="s">
        <v>163</v>
      </c>
      <c r="B159" s="131" t="s">
        <v>1335</v>
      </c>
      <c r="C159" s="132" t="s">
        <v>36</v>
      </c>
      <c r="D159" s="176">
        <v>2601.7541550000005</v>
      </c>
      <c r="E159" s="134"/>
    </row>
    <row r="160" spans="1:5" ht="11.1" customHeight="1" x14ac:dyDescent="0.25">
      <c r="A160" s="205" t="s">
        <v>164</v>
      </c>
      <c r="B160" s="131" t="s">
        <v>1341</v>
      </c>
      <c r="C160" s="132" t="s">
        <v>36</v>
      </c>
      <c r="D160" s="176">
        <v>9338.9095800000032</v>
      </c>
      <c r="E160" s="134"/>
    </row>
    <row r="161" spans="1:5" ht="11.1" customHeight="1" x14ac:dyDescent="0.25">
      <c r="A161" s="205" t="s">
        <v>165</v>
      </c>
      <c r="B161" s="131" t="s">
        <v>1342</v>
      </c>
      <c r="C161" s="132" t="s">
        <v>36</v>
      </c>
      <c r="D161" s="176">
        <v>10139.989860000001</v>
      </c>
      <c r="E161" s="134"/>
    </row>
    <row r="162" spans="1:5" ht="11.1" customHeight="1" x14ac:dyDescent="0.25">
      <c r="A162" s="205" t="s">
        <v>166</v>
      </c>
      <c r="B162" s="131" t="s">
        <v>1343</v>
      </c>
      <c r="C162" s="132" t="s">
        <v>36</v>
      </c>
      <c r="D162" s="176">
        <v>12216.474270000004</v>
      </c>
      <c r="E162" s="134"/>
    </row>
    <row r="163" spans="1:5" ht="11.1" customHeight="1" x14ac:dyDescent="0.25">
      <c r="A163" s="205" t="s">
        <v>167</v>
      </c>
      <c r="B163" s="131" t="s">
        <v>1344</v>
      </c>
      <c r="C163" s="132" t="s">
        <v>36</v>
      </c>
      <c r="D163" s="176">
        <v>3425.672250000001</v>
      </c>
      <c r="E163" s="134"/>
    </row>
    <row r="164" spans="1:5" ht="11.1" customHeight="1" x14ac:dyDescent="0.25">
      <c r="A164" s="205" t="s">
        <v>168</v>
      </c>
      <c r="B164" s="131" t="s">
        <v>1345</v>
      </c>
      <c r="C164" s="132" t="s">
        <v>36</v>
      </c>
      <c r="D164" s="176">
        <v>4996.211220000001</v>
      </c>
      <c r="E164" s="134"/>
    </row>
    <row r="165" spans="1:5" ht="11.1" customHeight="1" x14ac:dyDescent="0.25">
      <c r="A165" s="205" t="s">
        <v>169</v>
      </c>
      <c r="B165" s="131" t="s">
        <v>1346</v>
      </c>
      <c r="C165" s="132" t="s">
        <v>36</v>
      </c>
      <c r="D165" s="176">
        <v>5349.318975000001</v>
      </c>
      <c r="E165" s="134"/>
    </row>
    <row r="166" spans="1:5" ht="11.1" customHeight="1" x14ac:dyDescent="0.25">
      <c r="A166" s="205" t="s">
        <v>170</v>
      </c>
      <c r="B166" s="131" t="s">
        <v>1347</v>
      </c>
      <c r="C166" s="132" t="s">
        <v>36</v>
      </c>
      <c r="D166" s="176">
        <v>7044.5875500000011</v>
      </c>
      <c r="E166" s="134"/>
    </row>
    <row r="167" spans="1:5" ht="11.1" customHeight="1" x14ac:dyDescent="0.25">
      <c r="A167" s="205" t="s">
        <v>122</v>
      </c>
      <c r="B167" s="131" t="s">
        <v>1348</v>
      </c>
      <c r="C167" s="132" t="s">
        <v>36</v>
      </c>
      <c r="D167" s="176">
        <v>15304.849560000002</v>
      </c>
      <c r="E167" s="134"/>
    </row>
    <row r="168" spans="1:5" ht="11.1" customHeight="1" x14ac:dyDescent="0.25">
      <c r="A168" s="205" t="s">
        <v>123</v>
      </c>
      <c r="B168" s="131" t="s">
        <v>1349</v>
      </c>
      <c r="C168" s="132" t="s">
        <v>36</v>
      </c>
      <c r="D168" s="176">
        <v>16778.767005000002</v>
      </c>
      <c r="E168" s="134"/>
    </row>
    <row r="169" spans="1:5" ht="11.1" customHeight="1" x14ac:dyDescent="0.25">
      <c r="A169" s="205" t="s">
        <v>171</v>
      </c>
      <c r="B169" s="131" t="s">
        <v>1350</v>
      </c>
      <c r="C169" s="132" t="s">
        <v>36</v>
      </c>
      <c r="D169" s="176">
        <v>19559.710170000002</v>
      </c>
      <c r="E169" s="134"/>
    </row>
    <row r="170" spans="1:5" ht="11.1" customHeight="1" x14ac:dyDescent="0.25">
      <c r="A170" s="205" t="s">
        <v>124</v>
      </c>
      <c r="B170" s="131" t="s">
        <v>1351</v>
      </c>
      <c r="C170" s="132" t="s">
        <v>36</v>
      </c>
      <c r="D170" s="176">
        <v>5621.6160000000009</v>
      </c>
      <c r="E170" s="134"/>
    </row>
    <row r="171" spans="1:5" ht="11.1" customHeight="1" x14ac:dyDescent="0.25">
      <c r="A171" s="205" t="s">
        <v>172</v>
      </c>
      <c r="B171" s="131" t="s">
        <v>1352</v>
      </c>
      <c r="C171" s="132" t="s">
        <v>36</v>
      </c>
      <c r="D171" s="176">
        <v>7937.0190900000016</v>
      </c>
      <c r="E171" s="134"/>
    </row>
    <row r="172" spans="1:5" ht="11.1" customHeight="1" x14ac:dyDescent="0.25">
      <c r="A172" s="205" t="s">
        <v>173</v>
      </c>
      <c r="B172" s="131" t="s">
        <v>1353</v>
      </c>
      <c r="C172" s="132" t="s">
        <v>36</v>
      </c>
      <c r="D172" s="176">
        <v>7647.154515000002</v>
      </c>
      <c r="E172" s="134"/>
    </row>
    <row r="173" spans="1:5" ht="11.1" customHeight="1" x14ac:dyDescent="0.25">
      <c r="A173" s="205" t="s">
        <v>174</v>
      </c>
      <c r="B173" s="131" t="s">
        <v>1354</v>
      </c>
      <c r="C173" s="132" t="s">
        <v>36</v>
      </c>
      <c r="D173" s="176">
        <v>12790.933155000002</v>
      </c>
      <c r="E173" s="134"/>
    </row>
    <row r="174" spans="1:5" ht="11.1" customHeight="1" x14ac:dyDescent="0.25">
      <c r="A174" s="205" t="s">
        <v>175</v>
      </c>
      <c r="B174" s="131" t="s">
        <v>1355</v>
      </c>
      <c r="C174" s="136">
        <v>0.25</v>
      </c>
      <c r="D174" s="176">
        <v>52324.94767500001</v>
      </c>
      <c r="E174" s="134"/>
    </row>
    <row r="175" spans="1:5" ht="11.1" customHeight="1" x14ac:dyDescent="0.25">
      <c r="A175" s="205" t="s">
        <v>176</v>
      </c>
      <c r="B175" s="131" t="s">
        <v>1356</v>
      </c>
      <c r="C175" s="136">
        <v>0.25</v>
      </c>
      <c r="D175" s="176">
        <v>108520.02661500004</v>
      </c>
      <c r="E175" s="134"/>
    </row>
    <row r="176" spans="1:5" ht="11.1" customHeight="1" x14ac:dyDescent="0.25">
      <c r="A176" s="205" t="s">
        <v>177</v>
      </c>
      <c r="B176" s="131" t="s">
        <v>1357</v>
      </c>
      <c r="C176" s="136" t="s">
        <v>178</v>
      </c>
      <c r="D176" s="176">
        <v>3250</v>
      </c>
      <c r="E176" s="134"/>
    </row>
    <row r="177" spans="1:5" ht="11.1" customHeight="1" x14ac:dyDescent="0.25">
      <c r="A177" s="205" t="s">
        <v>179</v>
      </c>
      <c r="B177" s="131" t="s">
        <v>1358</v>
      </c>
      <c r="C177" s="136" t="s">
        <v>36</v>
      </c>
      <c r="D177" s="176">
        <v>336711.37500000006</v>
      </c>
      <c r="E177" s="134"/>
    </row>
    <row r="178" spans="1:5" ht="11.1" customHeight="1" x14ac:dyDescent="0.25">
      <c r="A178" s="205" t="s">
        <v>63</v>
      </c>
      <c r="B178" s="131" t="s">
        <v>1367</v>
      </c>
      <c r="C178" s="132" t="s">
        <v>183</v>
      </c>
      <c r="D178" s="176">
        <v>1054.0530000000001</v>
      </c>
      <c r="E178" s="134"/>
    </row>
    <row r="179" spans="1:5" x14ac:dyDescent="0.25">
      <c r="A179" s="205" t="s">
        <v>142</v>
      </c>
      <c r="B179" s="131" t="s">
        <v>1359</v>
      </c>
      <c r="C179" s="132" t="s">
        <v>36</v>
      </c>
      <c r="D179" s="176">
        <v>8156.2000000000007</v>
      </c>
      <c r="E179" s="134"/>
    </row>
    <row r="180" spans="1:5" x14ac:dyDescent="0.25">
      <c r="A180" s="205" t="s">
        <v>136</v>
      </c>
      <c r="B180" s="131" t="s">
        <v>1360</v>
      </c>
      <c r="C180" s="132" t="s">
        <v>36</v>
      </c>
      <c r="D180" s="176">
        <v>11274.9</v>
      </c>
      <c r="E180" s="134"/>
    </row>
    <row r="181" spans="1:5" x14ac:dyDescent="0.25">
      <c r="A181" s="205" t="s">
        <v>137</v>
      </c>
      <c r="B181" s="131" t="s">
        <v>1361</v>
      </c>
      <c r="C181" s="132" t="s">
        <v>36</v>
      </c>
      <c r="D181" s="176">
        <v>15108.6</v>
      </c>
      <c r="E181" s="134"/>
    </row>
    <row r="182" spans="1:5" x14ac:dyDescent="0.25">
      <c r="A182" s="205" t="s">
        <v>180</v>
      </c>
      <c r="B182" s="131" t="s">
        <v>1362</v>
      </c>
      <c r="C182" s="132" t="s">
        <v>36</v>
      </c>
      <c r="D182" s="176">
        <v>27210.3</v>
      </c>
      <c r="E182" s="134"/>
    </row>
    <row r="183" spans="1:5" x14ac:dyDescent="0.25">
      <c r="A183" s="205" t="s">
        <v>139</v>
      </c>
      <c r="B183" s="131" t="s">
        <v>1363</v>
      </c>
      <c r="C183" s="132" t="s">
        <v>36</v>
      </c>
      <c r="D183" s="176">
        <v>40964.300000000003</v>
      </c>
      <c r="E183" s="134"/>
    </row>
    <row r="184" spans="1:5" x14ac:dyDescent="0.25">
      <c r="A184" s="205" t="s">
        <v>181</v>
      </c>
      <c r="B184" s="131" t="s">
        <v>1364</v>
      </c>
      <c r="C184" s="132" t="s">
        <v>36</v>
      </c>
      <c r="D184" s="176">
        <v>45500</v>
      </c>
      <c r="E184" s="134"/>
    </row>
    <row r="185" spans="1:5" x14ac:dyDescent="0.25">
      <c r="A185" s="205" t="s">
        <v>182</v>
      </c>
      <c r="B185" s="131" t="s">
        <v>1365</v>
      </c>
      <c r="C185" s="132" t="s">
        <v>36</v>
      </c>
      <c r="D185" s="176">
        <v>16116.1</v>
      </c>
      <c r="E185" s="134"/>
    </row>
    <row r="186" spans="1:5" x14ac:dyDescent="0.25">
      <c r="A186" s="205" t="s">
        <v>141</v>
      </c>
      <c r="B186" s="131" t="s">
        <v>1366</v>
      </c>
      <c r="C186" s="132" t="s">
        <v>36</v>
      </c>
      <c r="D186" s="176">
        <v>75400</v>
      </c>
      <c r="E186" s="134"/>
    </row>
    <row r="187" spans="1:5" ht="22.5" x14ac:dyDescent="0.25">
      <c r="A187" s="205" t="s">
        <v>184</v>
      </c>
      <c r="B187" s="131" t="s">
        <v>1368</v>
      </c>
      <c r="C187" s="132" t="s">
        <v>46</v>
      </c>
      <c r="D187" s="176">
        <v>41108.067000000003</v>
      </c>
      <c r="E187" s="134"/>
    </row>
    <row r="188" spans="1:5" ht="22.5" x14ac:dyDescent="0.25">
      <c r="A188" s="205" t="s">
        <v>185</v>
      </c>
      <c r="B188" s="131" t="s">
        <v>1369</v>
      </c>
      <c r="C188" s="132" t="s">
        <v>186</v>
      </c>
      <c r="D188" s="176">
        <v>49329.680400000005</v>
      </c>
      <c r="E188" s="134"/>
    </row>
    <row r="189" spans="1:5" ht="22.5" x14ac:dyDescent="0.25">
      <c r="A189" s="205" t="s">
        <v>187</v>
      </c>
      <c r="B189" s="131" t="s">
        <v>1370</v>
      </c>
      <c r="C189" s="132" t="s">
        <v>186</v>
      </c>
      <c r="D189" s="176">
        <v>45218.873700000004</v>
      </c>
      <c r="E189" s="134"/>
    </row>
    <row r="190" spans="1:5" ht="22.5" x14ac:dyDescent="0.25">
      <c r="A190" s="205" t="s">
        <v>188</v>
      </c>
      <c r="B190" s="131" t="s">
        <v>1371</v>
      </c>
      <c r="C190" s="132" t="s">
        <v>46</v>
      </c>
      <c r="D190" s="176">
        <v>79201.542420000012</v>
      </c>
      <c r="E190" s="134"/>
    </row>
    <row r="191" spans="1:5" ht="22.5" x14ac:dyDescent="0.25">
      <c r="A191" s="205" t="s">
        <v>189</v>
      </c>
      <c r="B191" s="131" t="s">
        <v>1372</v>
      </c>
      <c r="C191" s="132" t="s">
        <v>55</v>
      </c>
      <c r="D191" s="176">
        <v>30694.02336000001</v>
      </c>
      <c r="E191" s="134"/>
    </row>
    <row r="192" spans="1:5" ht="22.5" x14ac:dyDescent="0.25">
      <c r="A192" s="205" t="s">
        <v>190</v>
      </c>
      <c r="B192" s="131" t="s">
        <v>1373</v>
      </c>
      <c r="C192" s="132" t="s">
        <v>64</v>
      </c>
      <c r="D192" s="176">
        <v>4932.9680400000007</v>
      </c>
      <c r="E192" s="134"/>
    </row>
    <row r="193" spans="1:5" ht="22.5" x14ac:dyDescent="0.25">
      <c r="A193" s="205" t="s">
        <v>177</v>
      </c>
      <c r="B193" s="131" t="s">
        <v>1374</v>
      </c>
      <c r="C193" s="132" t="s">
        <v>54</v>
      </c>
      <c r="D193" s="176">
        <v>2740.5378000000005</v>
      </c>
      <c r="E193" s="134"/>
    </row>
    <row r="194" spans="1:5" ht="22.5" x14ac:dyDescent="0.25">
      <c r="A194" s="205" t="s">
        <v>191</v>
      </c>
      <c r="B194" s="131" t="s">
        <v>1375</v>
      </c>
      <c r="C194" s="132" t="s">
        <v>54</v>
      </c>
      <c r="D194" s="176">
        <v>3288.6453600000004</v>
      </c>
      <c r="E194" s="134"/>
    </row>
    <row r="195" spans="1:5" ht="22.5" x14ac:dyDescent="0.25">
      <c r="A195" s="205" t="s">
        <v>192</v>
      </c>
      <c r="B195" s="131" t="s">
        <v>1376</v>
      </c>
      <c r="C195" s="132" t="s">
        <v>36</v>
      </c>
      <c r="D195" s="176">
        <v>0</v>
      </c>
      <c r="E195" s="134"/>
    </row>
    <row r="196" spans="1:5" ht="22.5" x14ac:dyDescent="0.25">
      <c r="A196" s="205" t="s">
        <v>193</v>
      </c>
      <c r="B196" s="131" t="s">
        <v>1377</v>
      </c>
      <c r="C196" s="132" t="s">
        <v>36</v>
      </c>
      <c r="D196" s="178">
        <v>990086.5</v>
      </c>
      <c r="E196" s="134"/>
    </row>
    <row r="197" spans="1:5" ht="22.5" x14ac:dyDescent="0.25">
      <c r="A197" s="205" t="s">
        <v>194</v>
      </c>
      <c r="B197" s="131" t="s">
        <v>1378</v>
      </c>
      <c r="C197" s="132" t="s">
        <v>36</v>
      </c>
      <c r="D197" s="178">
        <v>260351.09100000004</v>
      </c>
      <c r="E197" s="134"/>
    </row>
    <row r="198" spans="1:5" ht="22.5" x14ac:dyDescent="0.25">
      <c r="A198" s="205" t="s">
        <v>195</v>
      </c>
      <c r="B198" s="131" t="s">
        <v>1379</v>
      </c>
      <c r="C198" s="132" t="s">
        <v>36</v>
      </c>
      <c r="D198" s="176">
        <v>438486.04800000007</v>
      </c>
      <c r="E198" s="134"/>
    </row>
    <row r="199" spans="1:5" ht="22.5" x14ac:dyDescent="0.25">
      <c r="A199" s="205" t="s">
        <v>196</v>
      </c>
      <c r="B199" s="131" t="s">
        <v>1380</v>
      </c>
      <c r="C199" s="132" t="s">
        <v>36</v>
      </c>
      <c r="D199" s="176">
        <v>41108.067000000003</v>
      </c>
      <c r="E199" s="134"/>
    </row>
    <row r="200" spans="1:5" ht="22.5" x14ac:dyDescent="0.25">
      <c r="A200" s="205" t="s">
        <v>197</v>
      </c>
      <c r="B200" s="131" t="s">
        <v>1381</v>
      </c>
      <c r="C200" s="132" t="s">
        <v>36</v>
      </c>
      <c r="D200" s="176">
        <v>43517.5</v>
      </c>
      <c r="E200" s="134"/>
    </row>
    <row r="201" spans="1:5" ht="22.5" x14ac:dyDescent="0.25">
      <c r="A201" s="205" t="s">
        <v>198</v>
      </c>
      <c r="B201" s="131" t="s">
        <v>1382</v>
      </c>
      <c r="C201" s="132" t="s">
        <v>36</v>
      </c>
      <c r="D201" s="176">
        <v>25350</v>
      </c>
      <c r="E201" s="134"/>
    </row>
    <row r="202" spans="1:5" ht="6" customHeight="1" x14ac:dyDescent="0.25">
      <c r="A202" s="206"/>
      <c r="B202" s="164"/>
      <c r="C202" s="165"/>
      <c r="D202" s="177"/>
      <c r="E202" s="134"/>
    </row>
    <row r="203" spans="1:5" x14ac:dyDescent="0.25">
      <c r="A203" s="205" t="s">
        <v>210</v>
      </c>
      <c r="B203" s="131" t="s">
        <v>1383</v>
      </c>
      <c r="C203" s="132" t="s">
        <v>211</v>
      </c>
      <c r="D203" s="176">
        <v>148445.79750000002</v>
      </c>
      <c r="E203" s="134"/>
    </row>
    <row r="204" spans="1:5" x14ac:dyDescent="0.25">
      <c r="A204" s="205" t="s">
        <v>212</v>
      </c>
      <c r="B204" s="131" t="s">
        <v>1384</v>
      </c>
      <c r="C204" s="132" t="s">
        <v>211</v>
      </c>
      <c r="D204" s="176">
        <v>114189.075</v>
      </c>
      <c r="E204" s="134"/>
    </row>
    <row r="205" spans="1:5" x14ac:dyDescent="0.25">
      <c r="A205" s="205" t="s">
        <v>213</v>
      </c>
      <c r="B205" s="131" t="s">
        <v>1385</v>
      </c>
      <c r="C205" s="132" t="s">
        <v>211</v>
      </c>
      <c r="D205" s="176">
        <v>81302.621400000018</v>
      </c>
      <c r="E205" s="134"/>
    </row>
    <row r="206" spans="1:5" x14ac:dyDescent="0.25">
      <c r="A206" s="205" t="s">
        <v>214</v>
      </c>
      <c r="B206" s="131" t="s">
        <v>1386</v>
      </c>
      <c r="C206" s="132" t="s">
        <v>211</v>
      </c>
      <c r="D206" s="176">
        <v>41108.067000000003</v>
      </c>
      <c r="E206" s="134"/>
    </row>
    <row r="207" spans="1:5" x14ac:dyDescent="0.25">
      <c r="A207" s="205" t="s">
        <v>215</v>
      </c>
      <c r="B207" s="131" t="s">
        <v>1387</v>
      </c>
      <c r="C207" s="132" t="s">
        <v>211</v>
      </c>
      <c r="D207" s="176">
        <v>68513.445000000007</v>
      </c>
      <c r="E207" s="134"/>
    </row>
    <row r="208" spans="1:5" x14ac:dyDescent="0.25">
      <c r="A208" s="205" t="s">
        <v>216</v>
      </c>
      <c r="B208" s="131" t="s">
        <v>1388</v>
      </c>
      <c r="C208" s="132" t="s">
        <v>211</v>
      </c>
      <c r="D208" s="176">
        <v>109621.51200000002</v>
      </c>
      <c r="E208" s="134"/>
    </row>
    <row r="209" spans="1:7" x14ac:dyDescent="0.25">
      <c r="A209" s="205" t="s">
        <v>217</v>
      </c>
      <c r="B209" s="131" t="s">
        <v>1389</v>
      </c>
      <c r="C209" s="132" t="s">
        <v>211</v>
      </c>
      <c r="D209" s="176">
        <v>219243.02400000003</v>
      </c>
      <c r="E209" s="134"/>
    </row>
    <row r="210" spans="1:7" x14ac:dyDescent="0.25">
      <c r="A210" s="205" t="s">
        <v>218</v>
      </c>
      <c r="B210" s="131" t="s">
        <v>1390</v>
      </c>
      <c r="C210" s="132" t="s">
        <v>55</v>
      </c>
      <c r="D210" s="176">
        <v>11418.907500000003</v>
      </c>
      <c r="E210" s="134"/>
    </row>
    <row r="211" spans="1:7" x14ac:dyDescent="0.25">
      <c r="A211" s="205" t="s">
        <v>210</v>
      </c>
      <c r="B211" s="131" t="s">
        <v>1391</v>
      </c>
      <c r="C211" s="132" t="s">
        <v>211</v>
      </c>
      <c r="D211" s="176">
        <v>101400</v>
      </c>
      <c r="E211" s="134"/>
    </row>
    <row r="212" spans="1:7" x14ac:dyDescent="0.25">
      <c r="A212" s="205" t="s">
        <v>212</v>
      </c>
      <c r="B212" s="131" t="s">
        <v>1391</v>
      </c>
      <c r="C212" s="132" t="s">
        <v>211</v>
      </c>
      <c r="D212" s="176">
        <v>98020</v>
      </c>
      <c r="E212" s="134"/>
    </row>
    <row r="213" spans="1:7" x14ac:dyDescent="0.25">
      <c r="A213" s="205" t="s">
        <v>213</v>
      </c>
      <c r="B213" s="131" t="s">
        <v>1391</v>
      </c>
      <c r="C213" s="132" t="s">
        <v>211</v>
      </c>
      <c r="D213" s="176">
        <v>50243.193000000021</v>
      </c>
      <c r="E213" s="134"/>
    </row>
    <row r="214" spans="1:7" x14ac:dyDescent="0.25">
      <c r="A214" s="205" t="s">
        <v>219</v>
      </c>
      <c r="B214" s="131" t="s">
        <v>1391</v>
      </c>
      <c r="C214" s="132" t="s">
        <v>211</v>
      </c>
      <c r="D214" s="176">
        <v>45218.873700000026</v>
      </c>
      <c r="E214" s="134"/>
    </row>
    <row r="215" spans="1:7" x14ac:dyDescent="0.25">
      <c r="A215" s="205" t="s">
        <v>214</v>
      </c>
      <c r="B215" s="131" t="s">
        <v>1391</v>
      </c>
      <c r="C215" s="132" t="s">
        <v>211</v>
      </c>
      <c r="D215" s="176">
        <v>17585.117550000003</v>
      </c>
      <c r="E215" s="134"/>
    </row>
    <row r="216" spans="1:7" x14ac:dyDescent="0.25">
      <c r="A216" s="205" t="s">
        <v>215</v>
      </c>
      <c r="B216" s="131" t="s">
        <v>1391</v>
      </c>
      <c r="C216" s="132" t="s">
        <v>211</v>
      </c>
      <c r="D216" s="176">
        <v>45218.873700000026</v>
      </c>
      <c r="E216" s="134"/>
    </row>
    <row r="217" spans="1:7" x14ac:dyDescent="0.25">
      <c r="A217" s="205" t="s">
        <v>216</v>
      </c>
      <c r="B217" s="131" t="s">
        <v>1391</v>
      </c>
      <c r="C217" s="132" t="s">
        <v>211</v>
      </c>
      <c r="D217" s="176">
        <v>70340.470200000011</v>
      </c>
      <c r="E217" s="134"/>
    </row>
    <row r="218" spans="1:7" x14ac:dyDescent="0.25">
      <c r="A218" s="205" t="s">
        <v>217</v>
      </c>
      <c r="B218" s="131" t="s">
        <v>1391</v>
      </c>
      <c r="C218" s="132" t="s">
        <v>211</v>
      </c>
      <c r="D218" s="176">
        <v>87925.587750000006</v>
      </c>
      <c r="E218" s="134"/>
    </row>
    <row r="219" spans="1:7" x14ac:dyDescent="0.25">
      <c r="A219" s="205" t="s">
        <v>67</v>
      </c>
      <c r="B219" s="131" t="s">
        <v>1391</v>
      </c>
      <c r="C219" s="132" t="s">
        <v>211</v>
      </c>
      <c r="D219" s="176">
        <v>30145.915800000006</v>
      </c>
      <c r="E219" s="134"/>
    </row>
    <row r="220" spans="1:7" x14ac:dyDescent="0.25">
      <c r="A220" s="205" t="s">
        <v>47</v>
      </c>
      <c r="B220" s="131" t="s">
        <v>1391</v>
      </c>
      <c r="C220" s="132" t="s">
        <v>220</v>
      </c>
      <c r="D220" s="176">
        <v>4879.8750000000009</v>
      </c>
      <c r="E220" s="134"/>
    </row>
    <row r="221" spans="1:7" ht="6" customHeight="1" x14ac:dyDescent="0.25">
      <c r="A221" s="206"/>
      <c r="B221" s="164"/>
      <c r="C221" s="165"/>
      <c r="D221" s="177"/>
      <c r="E221" s="134"/>
    </row>
    <row r="222" spans="1:7" x14ac:dyDescent="0.25">
      <c r="A222" s="205" t="s">
        <v>1797</v>
      </c>
      <c r="B222" s="131" t="s">
        <v>1864</v>
      </c>
      <c r="C222" s="132" t="s">
        <v>13</v>
      </c>
      <c r="D222" s="176">
        <v>5000000</v>
      </c>
      <c r="E222" s="134"/>
    </row>
    <row r="223" spans="1:7" x14ac:dyDescent="0.25">
      <c r="A223" s="205" t="s">
        <v>1798</v>
      </c>
      <c r="B223" s="131" t="s">
        <v>1865</v>
      </c>
      <c r="C223" s="132" t="s">
        <v>13</v>
      </c>
      <c r="D223" s="176">
        <v>2500000</v>
      </c>
      <c r="E223" s="134"/>
      <c r="G223" s="133"/>
    </row>
    <row r="224" spans="1:7" x14ac:dyDescent="0.25">
      <c r="A224" s="205" t="s">
        <v>1799</v>
      </c>
      <c r="B224" s="131" t="s">
        <v>1866</v>
      </c>
      <c r="C224" s="132" t="s">
        <v>13</v>
      </c>
      <c r="D224" s="176">
        <v>2400000</v>
      </c>
      <c r="E224" s="134"/>
      <c r="G224" s="443"/>
    </row>
    <row r="225" spans="1:5" x14ac:dyDescent="0.25">
      <c r="A225" s="205" t="s">
        <v>1800</v>
      </c>
      <c r="B225" s="131" t="s">
        <v>1867</v>
      </c>
      <c r="C225" s="132" t="s">
        <v>13</v>
      </c>
      <c r="D225" s="176">
        <v>2500000</v>
      </c>
      <c r="E225" s="134"/>
    </row>
    <row r="226" spans="1:5" x14ac:dyDescent="0.25">
      <c r="A226" s="205" t="s">
        <v>1801</v>
      </c>
      <c r="B226" s="131" t="s">
        <v>1868</v>
      </c>
      <c r="C226" s="132" t="s">
        <v>13</v>
      </c>
      <c r="D226" s="176">
        <v>2000000</v>
      </c>
      <c r="E226" s="134"/>
    </row>
    <row r="227" spans="1:5" x14ac:dyDescent="0.25">
      <c r="A227" s="205" t="s">
        <v>1802</v>
      </c>
      <c r="B227" s="131" t="s">
        <v>1869</v>
      </c>
      <c r="C227" s="132" t="s">
        <v>13</v>
      </c>
      <c r="D227" s="176">
        <v>1800000</v>
      </c>
      <c r="E227" s="134"/>
    </row>
    <row r="228" spans="1:5" x14ac:dyDescent="0.25">
      <c r="A228" s="205" t="s">
        <v>1803</v>
      </c>
      <c r="B228" s="131" t="s">
        <v>1870</v>
      </c>
      <c r="C228" s="132" t="s">
        <v>13</v>
      </c>
      <c r="D228" s="176">
        <v>2000000</v>
      </c>
      <c r="E228" s="134"/>
    </row>
    <row r="229" spans="1:5" x14ac:dyDescent="0.25">
      <c r="A229" s="205" t="s">
        <v>1795</v>
      </c>
      <c r="B229" s="131" t="s">
        <v>1871</v>
      </c>
      <c r="C229" s="132" t="s">
        <v>13</v>
      </c>
      <c r="D229" s="176">
        <v>3800000</v>
      </c>
      <c r="E229" s="134"/>
    </row>
    <row r="230" spans="1:5" x14ac:dyDescent="0.25">
      <c r="A230" s="205" t="s">
        <v>1796</v>
      </c>
      <c r="B230" s="131" t="s">
        <v>1872</v>
      </c>
      <c r="C230" s="132" t="s">
        <v>13</v>
      </c>
      <c r="D230" s="176">
        <v>3800000</v>
      </c>
      <c r="E230" s="134"/>
    </row>
    <row r="231" spans="1:5" x14ac:dyDescent="0.25">
      <c r="A231" s="205" t="s">
        <v>1804</v>
      </c>
      <c r="B231" s="131" t="s">
        <v>1873</v>
      </c>
      <c r="C231" s="132" t="s">
        <v>13</v>
      </c>
      <c r="D231" s="176">
        <v>1200000</v>
      </c>
      <c r="E231" s="134"/>
    </row>
    <row r="232" spans="1:5" x14ac:dyDescent="0.25">
      <c r="A232" s="205" t="s">
        <v>1805</v>
      </c>
      <c r="B232" s="131" t="s">
        <v>1874</v>
      </c>
      <c r="C232" s="132" t="s">
        <v>13</v>
      </c>
      <c r="D232" s="176">
        <v>1300000</v>
      </c>
      <c r="E232" s="134"/>
    </row>
    <row r="233" spans="1:5" x14ac:dyDescent="0.25">
      <c r="A233" s="205" t="s">
        <v>1806</v>
      </c>
      <c r="B233" s="131" t="s">
        <v>1875</v>
      </c>
      <c r="C233" s="132" t="s">
        <v>13</v>
      </c>
      <c r="D233" s="176">
        <v>1200000</v>
      </c>
      <c r="E233" s="134"/>
    </row>
    <row r="234" spans="1:5" x14ac:dyDescent="0.25">
      <c r="A234" s="205" t="s">
        <v>1807</v>
      </c>
      <c r="B234" s="131" t="s">
        <v>1876</v>
      </c>
      <c r="C234" s="132" t="s">
        <v>13</v>
      </c>
      <c r="D234" s="176">
        <v>1000000</v>
      </c>
      <c r="E234" s="134"/>
    </row>
    <row r="235" spans="1:5" x14ac:dyDescent="0.25">
      <c r="A235" s="205" t="s">
        <v>1808</v>
      </c>
      <c r="B235" s="131" t="s">
        <v>1877</v>
      </c>
      <c r="C235" s="132" t="s">
        <v>13</v>
      </c>
      <c r="D235" s="176">
        <v>1300000</v>
      </c>
      <c r="E235" s="134"/>
    </row>
    <row r="236" spans="1:5" x14ac:dyDescent="0.25">
      <c r="A236" s="205" t="s">
        <v>1809</v>
      </c>
      <c r="B236" s="131" t="s">
        <v>1878</v>
      </c>
      <c r="C236" s="132" t="s">
        <v>13</v>
      </c>
      <c r="D236" s="176">
        <v>1300000</v>
      </c>
      <c r="E236" s="134"/>
    </row>
    <row r="237" spans="1:5" x14ac:dyDescent="0.25">
      <c r="A237" s="205" t="s">
        <v>1810</v>
      </c>
      <c r="B237" s="131" t="s">
        <v>1879</v>
      </c>
      <c r="C237" s="132" t="s">
        <v>13</v>
      </c>
      <c r="D237" s="176">
        <v>1200000</v>
      </c>
      <c r="E237" s="134"/>
    </row>
    <row r="238" spans="1:5" x14ac:dyDescent="0.25">
      <c r="A238" s="205" t="s">
        <v>1811</v>
      </c>
      <c r="B238" s="131" t="s">
        <v>1880</v>
      </c>
      <c r="C238" s="132" t="s">
        <v>13</v>
      </c>
      <c r="D238" s="176">
        <v>2200000</v>
      </c>
      <c r="E238" s="134"/>
    </row>
    <row r="239" spans="1:5" x14ac:dyDescent="0.25">
      <c r="A239" s="205" t="s">
        <v>1812</v>
      </c>
      <c r="B239" s="131" t="s">
        <v>1881</v>
      </c>
      <c r="C239" s="132" t="s">
        <v>13</v>
      </c>
      <c r="D239" s="176">
        <v>2200000</v>
      </c>
      <c r="E239" s="134"/>
    </row>
    <row r="240" spans="1:5" x14ac:dyDescent="0.25">
      <c r="A240" s="205" t="s">
        <v>1832</v>
      </c>
      <c r="B240" s="131" t="s">
        <v>1882</v>
      </c>
      <c r="C240" s="132" t="s">
        <v>13</v>
      </c>
      <c r="D240" s="176">
        <v>2800000</v>
      </c>
      <c r="E240" s="134"/>
    </row>
    <row r="241" spans="1:5" x14ac:dyDescent="0.25">
      <c r="A241" s="205" t="s">
        <v>1833</v>
      </c>
      <c r="B241" s="131" t="s">
        <v>1883</v>
      </c>
      <c r="C241" s="132" t="s">
        <v>13</v>
      </c>
      <c r="D241" s="176">
        <v>1200000</v>
      </c>
      <c r="E241" s="134"/>
    </row>
    <row r="242" spans="1:5" x14ac:dyDescent="0.25">
      <c r="A242" s="205" t="s">
        <v>1834</v>
      </c>
      <c r="B242" s="131" t="s">
        <v>1884</v>
      </c>
      <c r="C242" s="132" t="s">
        <v>13</v>
      </c>
      <c r="D242" s="176">
        <v>1000000</v>
      </c>
      <c r="E242" s="134"/>
    </row>
    <row r="243" spans="1:5" x14ac:dyDescent="0.25">
      <c r="A243" s="205" t="s">
        <v>1835</v>
      </c>
      <c r="B243" s="131" t="s">
        <v>1885</v>
      </c>
      <c r="C243" s="132" t="s">
        <v>13</v>
      </c>
      <c r="D243" s="176">
        <v>1000000</v>
      </c>
      <c r="E243" s="134"/>
    </row>
    <row r="244" spans="1:5" x14ac:dyDescent="0.25">
      <c r="A244" s="205" t="s">
        <v>1836</v>
      </c>
      <c r="B244" s="131" t="s">
        <v>1886</v>
      </c>
      <c r="C244" s="132" t="s">
        <v>13</v>
      </c>
      <c r="D244" s="176">
        <v>1000000</v>
      </c>
      <c r="E244" s="134"/>
    </row>
    <row r="245" spans="1:5" x14ac:dyDescent="0.25">
      <c r="A245" s="205" t="s">
        <v>1837</v>
      </c>
      <c r="B245" s="131" t="s">
        <v>1887</v>
      </c>
      <c r="C245" s="132" t="s">
        <v>13</v>
      </c>
      <c r="D245" s="176">
        <v>1200000</v>
      </c>
      <c r="E245" s="134"/>
    </row>
    <row r="246" spans="1:5" x14ac:dyDescent="0.25">
      <c r="A246" s="205" t="s">
        <v>1838</v>
      </c>
      <c r="B246" s="131" t="s">
        <v>1888</v>
      </c>
      <c r="C246" s="132" t="s">
        <v>13</v>
      </c>
      <c r="D246" s="176">
        <v>2500000</v>
      </c>
      <c r="E246" s="134"/>
    </row>
    <row r="247" spans="1:5" x14ac:dyDescent="0.25">
      <c r="A247" s="205" t="s">
        <v>1839</v>
      </c>
      <c r="B247" s="131" t="s">
        <v>1889</v>
      </c>
      <c r="C247" s="132" t="s">
        <v>13</v>
      </c>
      <c r="D247" s="176">
        <v>1000000</v>
      </c>
      <c r="E247" s="134"/>
    </row>
    <row r="248" spans="1:5" x14ac:dyDescent="0.25">
      <c r="A248" s="205" t="s">
        <v>1840</v>
      </c>
      <c r="B248" s="131" t="s">
        <v>1890</v>
      </c>
      <c r="C248" s="132" t="s">
        <v>13</v>
      </c>
      <c r="D248" s="176">
        <v>1000000</v>
      </c>
      <c r="E248" s="134"/>
    </row>
    <row r="249" spans="1:5" x14ac:dyDescent="0.25">
      <c r="A249" s="205" t="s">
        <v>1841</v>
      </c>
      <c r="B249" s="131" t="s">
        <v>1891</v>
      </c>
      <c r="C249" s="132" t="s">
        <v>13</v>
      </c>
      <c r="D249" s="176">
        <v>3000000</v>
      </c>
      <c r="E249" s="134"/>
    </row>
    <row r="250" spans="1:5" x14ac:dyDescent="0.25">
      <c r="A250" s="205" t="s">
        <v>1842</v>
      </c>
      <c r="B250" s="131" t="s">
        <v>1892</v>
      </c>
      <c r="C250" s="132" t="s">
        <v>13</v>
      </c>
      <c r="D250" s="176">
        <v>1500000</v>
      </c>
      <c r="E250" s="134"/>
    </row>
    <row r="251" spans="1:5" ht="6" customHeight="1" x14ac:dyDescent="0.25">
      <c r="A251" s="206"/>
      <c r="B251" s="164"/>
      <c r="C251" s="165"/>
      <c r="D251" s="177"/>
      <c r="E251" s="134"/>
    </row>
    <row r="252" spans="1:5" x14ac:dyDescent="0.25">
      <c r="A252" s="205" t="s">
        <v>221</v>
      </c>
      <c r="B252" s="131" t="s">
        <v>1392</v>
      </c>
      <c r="C252" s="153" t="s">
        <v>15</v>
      </c>
      <c r="D252" s="178">
        <v>55055</v>
      </c>
      <c r="E252" s="134"/>
    </row>
    <row r="253" spans="1:5" x14ac:dyDescent="0.25">
      <c r="A253" s="205" t="s">
        <v>222</v>
      </c>
      <c r="B253" s="131" t="s">
        <v>1393</v>
      </c>
      <c r="C253" s="153" t="s">
        <v>55</v>
      </c>
      <c r="D253" s="178">
        <v>15516.072000000004</v>
      </c>
      <c r="E253" s="134"/>
    </row>
    <row r="254" spans="1:5" x14ac:dyDescent="0.25">
      <c r="A254" s="205" t="s">
        <v>223</v>
      </c>
      <c r="B254" s="131" t="s">
        <v>1394</v>
      </c>
      <c r="C254" s="153" t="s">
        <v>50</v>
      </c>
      <c r="D254" s="176">
        <v>6229.0800000000008</v>
      </c>
      <c r="E254" s="134"/>
    </row>
    <row r="255" spans="1:5" x14ac:dyDescent="0.25">
      <c r="A255" s="205" t="s">
        <v>224</v>
      </c>
      <c r="B255" s="131" t="s">
        <v>1395</v>
      </c>
      <c r="C255" s="153" t="s">
        <v>50</v>
      </c>
      <c r="D255" s="176">
        <v>3963.9600000000005</v>
      </c>
      <c r="E255" s="134"/>
    </row>
    <row r="256" spans="1:5" x14ac:dyDescent="0.25">
      <c r="A256" s="205" t="s">
        <v>225</v>
      </c>
      <c r="B256" s="131" t="s">
        <v>1396</v>
      </c>
      <c r="C256" s="153" t="s">
        <v>50</v>
      </c>
      <c r="D256" s="176">
        <v>2548.2600000000007</v>
      </c>
      <c r="E256" s="134"/>
    </row>
    <row r="257" spans="1:5" x14ac:dyDescent="0.25">
      <c r="A257" s="205" t="s">
        <v>226</v>
      </c>
      <c r="B257" s="131" t="s">
        <v>1397</v>
      </c>
      <c r="C257" s="132" t="s">
        <v>36</v>
      </c>
      <c r="D257" s="176">
        <v>393250</v>
      </c>
      <c r="E257" s="134"/>
    </row>
    <row r="258" spans="1:5" x14ac:dyDescent="0.25">
      <c r="A258" s="205" t="s">
        <v>227</v>
      </c>
      <c r="B258" s="131" t="s">
        <v>1398</v>
      </c>
      <c r="C258" s="132" t="s">
        <v>36</v>
      </c>
      <c r="D258" s="176">
        <v>279500</v>
      </c>
      <c r="E258" s="134"/>
    </row>
    <row r="259" spans="1:5" x14ac:dyDescent="0.25">
      <c r="A259" s="205" t="s">
        <v>228</v>
      </c>
      <c r="B259" s="131" t="s">
        <v>1399</v>
      </c>
      <c r="C259" s="132" t="s">
        <v>36</v>
      </c>
      <c r="D259" s="176">
        <v>61158.240000000005</v>
      </c>
      <c r="E259" s="134"/>
    </row>
    <row r="260" spans="1:5" x14ac:dyDescent="0.25">
      <c r="A260" s="205" t="s">
        <v>229</v>
      </c>
      <c r="B260" s="131" t="s">
        <v>1400</v>
      </c>
      <c r="C260" s="132" t="s">
        <v>36</v>
      </c>
      <c r="D260" s="176">
        <v>33410.520000000011</v>
      </c>
      <c r="E260" s="134"/>
    </row>
    <row r="261" spans="1:5" x14ac:dyDescent="0.25">
      <c r="A261" s="205" t="s">
        <v>230</v>
      </c>
      <c r="B261" s="131" t="s">
        <v>1401</v>
      </c>
      <c r="C261" s="132" t="s">
        <v>36</v>
      </c>
      <c r="D261" s="176">
        <v>0</v>
      </c>
      <c r="E261" s="134"/>
    </row>
    <row r="262" spans="1:5" x14ac:dyDescent="0.25">
      <c r="A262" s="205" t="s">
        <v>231</v>
      </c>
      <c r="B262" s="131" t="s">
        <v>1402</v>
      </c>
      <c r="C262" s="132" t="s">
        <v>36</v>
      </c>
      <c r="D262" s="176">
        <v>0</v>
      </c>
      <c r="E262" s="134"/>
    </row>
    <row r="263" spans="1:5" x14ac:dyDescent="0.25">
      <c r="A263" s="205" t="s">
        <v>232</v>
      </c>
      <c r="B263" s="131" t="s">
        <v>1403</v>
      </c>
      <c r="C263" s="132" t="s">
        <v>36</v>
      </c>
      <c r="D263" s="176">
        <v>2242500</v>
      </c>
      <c r="E263" s="134"/>
    </row>
    <row r="264" spans="1:5" x14ac:dyDescent="0.25">
      <c r="A264" s="205" t="s">
        <v>233</v>
      </c>
      <c r="B264" s="131" t="s">
        <v>1404</v>
      </c>
      <c r="C264" s="132" t="s">
        <v>36</v>
      </c>
      <c r="D264" s="176">
        <v>50965.200000000004</v>
      </c>
      <c r="E264" s="134"/>
    </row>
    <row r="265" spans="1:5" x14ac:dyDescent="0.25">
      <c r="A265" s="205" t="s">
        <v>234</v>
      </c>
      <c r="B265" s="131" t="s">
        <v>1405</v>
      </c>
      <c r="C265" s="132" t="s">
        <v>36</v>
      </c>
      <c r="D265" s="176">
        <v>0</v>
      </c>
      <c r="E265" s="134"/>
    </row>
    <row r="266" spans="1:5" x14ac:dyDescent="0.25">
      <c r="A266" s="205" t="s">
        <v>235</v>
      </c>
      <c r="B266" s="131" t="s">
        <v>1406</v>
      </c>
      <c r="C266" s="132" t="s">
        <v>36</v>
      </c>
      <c r="D266" s="176">
        <v>20527.650000000005</v>
      </c>
      <c r="E266" s="134"/>
    </row>
    <row r="267" spans="1:5" x14ac:dyDescent="0.25">
      <c r="A267" s="205" t="s">
        <v>236</v>
      </c>
      <c r="B267" s="131" t="s">
        <v>1407</v>
      </c>
      <c r="C267" s="132" t="s">
        <v>36</v>
      </c>
      <c r="D267" s="176">
        <v>20527.650000000005</v>
      </c>
      <c r="E267" s="134"/>
    </row>
    <row r="268" spans="1:5" x14ac:dyDescent="0.25">
      <c r="A268" s="205" t="s">
        <v>237</v>
      </c>
      <c r="B268" s="131" t="s">
        <v>1408</v>
      </c>
      <c r="C268" s="153" t="s">
        <v>238</v>
      </c>
      <c r="D268" s="176">
        <v>18876.000000000004</v>
      </c>
      <c r="E268" s="134"/>
    </row>
    <row r="269" spans="1:5" x14ac:dyDescent="0.25">
      <c r="A269" s="205" t="s">
        <v>239</v>
      </c>
      <c r="B269" s="131" t="s">
        <v>1409</v>
      </c>
      <c r="C269" s="153" t="s">
        <v>55</v>
      </c>
      <c r="D269" s="176">
        <v>3067.35</v>
      </c>
      <c r="E269" s="134"/>
    </row>
    <row r="270" spans="1:5" x14ac:dyDescent="0.25">
      <c r="A270" s="205" t="s">
        <v>240</v>
      </c>
      <c r="B270" s="131" t="s">
        <v>1410</v>
      </c>
      <c r="C270" s="153" t="s">
        <v>55</v>
      </c>
      <c r="D270" s="176">
        <v>11797.5</v>
      </c>
      <c r="E270" s="134"/>
    </row>
    <row r="271" spans="1:5" x14ac:dyDescent="0.25">
      <c r="A271" s="205" t="s">
        <v>241</v>
      </c>
      <c r="B271" s="131" t="s">
        <v>1411</v>
      </c>
      <c r="C271" s="153" t="s">
        <v>238</v>
      </c>
      <c r="D271" s="176">
        <v>9438.0000000000018</v>
      </c>
      <c r="E271" s="134"/>
    </row>
    <row r="272" spans="1:5" x14ac:dyDescent="0.25">
      <c r="A272" s="205" t="s">
        <v>242</v>
      </c>
      <c r="B272" s="131" t="s">
        <v>1412</v>
      </c>
      <c r="C272" s="132" t="s">
        <v>36</v>
      </c>
      <c r="D272" s="176">
        <v>244916.10000000003</v>
      </c>
      <c r="E272" s="134"/>
    </row>
    <row r="273" spans="1:5" x14ac:dyDescent="0.25">
      <c r="A273" s="205" t="s">
        <v>243</v>
      </c>
      <c r="B273" s="131" t="s">
        <v>1413</v>
      </c>
      <c r="C273" s="132" t="s">
        <v>36</v>
      </c>
      <c r="D273" s="179">
        <v>550550.00000000012</v>
      </c>
      <c r="E273" s="134"/>
    </row>
    <row r="274" spans="1:5" x14ac:dyDescent="0.25">
      <c r="A274" s="205" t="s">
        <v>244</v>
      </c>
      <c r="B274" s="131" t="s">
        <v>1414</v>
      </c>
      <c r="C274" s="132" t="s">
        <v>36</v>
      </c>
      <c r="D274" s="179">
        <v>962676.00000000023</v>
      </c>
      <c r="E274" s="134"/>
    </row>
    <row r="275" spans="1:5" x14ac:dyDescent="0.25">
      <c r="A275" s="205" t="s">
        <v>245</v>
      </c>
      <c r="B275" s="131" t="s">
        <v>1415</v>
      </c>
      <c r="C275" s="132" t="s">
        <v>36</v>
      </c>
      <c r="D275" s="179">
        <v>235950.00000000006</v>
      </c>
      <c r="E275" s="134"/>
    </row>
    <row r="276" spans="1:5" x14ac:dyDescent="0.25">
      <c r="A276" s="205" t="s">
        <v>246</v>
      </c>
      <c r="B276" s="131" t="s">
        <v>1416</v>
      </c>
      <c r="C276" s="132" t="s">
        <v>36</v>
      </c>
      <c r="D276" s="179">
        <v>825825</v>
      </c>
      <c r="E276" s="134"/>
    </row>
    <row r="277" spans="1:5" x14ac:dyDescent="0.25">
      <c r="A277" s="205" t="s">
        <v>247</v>
      </c>
      <c r="B277" s="131" t="s">
        <v>1417</v>
      </c>
      <c r="C277" s="132" t="s">
        <v>36</v>
      </c>
      <c r="D277" s="179">
        <v>153367.50000000003</v>
      </c>
      <c r="E277" s="134"/>
    </row>
    <row r="278" spans="1:5" x14ac:dyDescent="0.25">
      <c r="A278" s="205" t="s">
        <v>248</v>
      </c>
      <c r="B278" s="131" t="s">
        <v>1418</v>
      </c>
      <c r="C278" s="132" t="s">
        <v>36</v>
      </c>
      <c r="D278" s="176">
        <v>9343.6200000000026</v>
      </c>
      <c r="E278" s="134"/>
    </row>
    <row r="279" spans="1:5" x14ac:dyDescent="0.25">
      <c r="A279" s="205" t="s">
        <v>249</v>
      </c>
      <c r="B279" s="131" t="s">
        <v>1419</v>
      </c>
      <c r="C279" s="132" t="s">
        <v>36</v>
      </c>
      <c r="D279" s="176">
        <v>9768.3300000000017</v>
      </c>
      <c r="E279" s="134"/>
    </row>
    <row r="280" spans="1:5" x14ac:dyDescent="0.25">
      <c r="A280" s="205" t="s">
        <v>250</v>
      </c>
      <c r="B280" s="131" t="s">
        <v>1420</v>
      </c>
      <c r="C280" s="132" t="s">
        <v>36</v>
      </c>
      <c r="D280" s="176">
        <v>11042.460000000005</v>
      </c>
      <c r="E280" s="134"/>
    </row>
    <row r="281" spans="1:5" x14ac:dyDescent="0.25">
      <c r="A281" s="205" t="s">
        <v>251</v>
      </c>
      <c r="B281" s="131" t="s">
        <v>1421</v>
      </c>
      <c r="C281" s="132" t="s">
        <v>36</v>
      </c>
      <c r="D281" s="176">
        <v>0</v>
      </c>
      <c r="E281" s="134"/>
    </row>
    <row r="282" spans="1:5" x14ac:dyDescent="0.25">
      <c r="A282" s="205" t="s">
        <v>252</v>
      </c>
      <c r="B282" s="131" t="s">
        <v>1422</v>
      </c>
      <c r="C282" s="132" t="s">
        <v>36</v>
      </c>
      <c r="D282" s="176">
        <v>18687.240000000005</v>
      </c>
      <c r="E282" s="134"/>
    </row>
    <row r="283" spans="1:5" x14ac:dyDescent="0.25">
      <c r="A283" s="205" t="s">
        <v>253</v>
      </c>
      <c r="B283" s="131" t="s">
        <v>1423</v>
      </c>
      <c r="C283" s="132" t="s">
        <v>36</v>
      </c>
      <c r="D283" s="176">
        <v>0</v>
      </c>
      <c r="E283" s="134"/>
    </row>
    <row r="284" spans="1:5" x14ac:dyDescent="0.25">
      <c r="A284" s="205" t="s">
        <v>254</v>
      </c>
      <c r="B284" s="131" t="s">
        <v>1424</v>
      </c>
      <c r="C284" s="132" t="s">
        <v>36</v>
      </c>
      <c r="D284" s="176">
        <v>990.99000000000012</v>
      </c>
      <c r="E284" s="134"/>
    </row>
    <row r="285" spans="1:5" x14ac:dyDescent="0.25">
      <c r="A285" s="205" t="s">
        <v>255</v>
      </c>
      <c r="B285" s="131" t="s">
        <v>1425</v>
      </c>
      <c r="C285" s="132" t="s">
        <v>36</v>
      </c>
      <c r="D285" s="176">
        <v>990.99000000000012</v>
      </c>
      <c r="E285" s="134"/>
    </row>
    <row r="286" spans="1:5" x14ac:dyDescent="0.25">
      <c r="A286" s="205" t="s">
        <v>256</v>
      </c>
      <c r="B286" s="131" t="s">
        <v>1426</v>
      </c>
      <c r="C286" s="132" t="s">
        <v>36</v>
      </c>
      <c r="D286" s="176">
        <v>1557.2700000000002</v>
      </c>
      <c r="E286" s="134"/>
    </row>
    <row r="287" spans="1:5" x14ac:dyDescent="0.25">
      <c r="A287" s="205" t="s">
        <v>257</v>
      </c>
      <c r="B287" s="131" t="s">
        <v>1427</v>
      </c>
      <c r="C287" s="132" t="s">
        <v>36</v>
      </c>
      <c r="D287" s="176">
        <v>0</v>
      </c>
      <c r="E287" s="134"/>
    </row>
    <row r="288" spans="1:5" x14ac:dyDescent="0.25">
      <c r="A288" s="205" t="s">
        <v>258</v>
      </c>
      <c r="B288" s="131" t="s">
        <v>1428</v>
      </c>
      <c r="C288" s="132" t="s">
        <v>36</v>
      </c>
      <c r="D288" s="176">
        <v>0</v>
      </c>
      <c r="E288" s="134"/>
    </row>
    <row r="289" spans="1:5" x14ac:dyDescent="0.25">
      <c r="A289" s="205" t="s">
        <v>259</v>
      </c>
      <c r="B289" s="131" t="s">
        <v>1429</v>
      </c>
      <c r="C289" s="132" t="s">
        <v>36</v>
      </c>
      <c r="D289" s="176">
        <v>0</v>
      </c>
      <c r="E289" s="134"/>
    </row>
    <row r="290" spans="1:5" x14ac:dyDescent="0.25">
      <c r="A290" s="205" t="s">
        <v>260</v>
      </c>
      <c r="B290" s="131" t="s">
        <v>1430</v>
      </c>
      <c r="C290" s="132" t="s">
        <v>36</v>
      </c>
      <c r="D290" s="176">
        <v>566.28000000000009</v>
      </c>
      <c r="E290" s="134"/>
    </row>
    <row r="291" spans="1:5" x14ac:dyDescent="0.25">
      <c r="A291" s="205" t="s">
        <v>261</v>
      </c>
      <c r="B291" s="131" t="s">
        <v>1431</v>
      </c>
      <c r="C291" s="132" t="s">
        <v>36</v>
      </c>
      <c r="D291" s="176">
        <v>707.85000000000014</v>
      </c>
      <c r="E291" s="134"/>
    </row>
    <row r="292" spans="1:5" x14ac:dyDescent="0.25">
      <c r="A292" s="205" t="s">
        <v>262</v>
      </c>
      <c r="B292" s="131" t="s">
        <v>1432</v>
      </c>
      <c r="C292" s="132" t="s">
        <v>36</v>
      </c>
      <c r="D292" s="176">
        <v>990.99000000000012</v>
      </c>
      <c r="E292" s="134"/>
    </row>
    <row r="293" spans="1:5" x14ac:dyDescent="0.25">
      <c r="A293" s="205" t="s">
        <v>263</v>
      </c>
      <c r="B293" s="131" t="s">
        <v>1433</v>
      </c>
      <c r="C293" s="132" t="s">
        <v>36</v>
      </c>
      <c r="D293" s="176">
        <v>2689.8300000000004</v>
      </c>
      <c r="E293" s="134"/>
    </row>
    <row r="294" spans="1:5" x14ac:dyDescent="0.25">
      <c r="A294" s="205" t="s">
        <v>264</v>
      </c>
      <c r="B294" s="131" t="s">
        <v>1434</v>
      </c>
      <c r="C294" s="132" t="s">
        <v>36</v>
      </c>
      <c r="D294" s="176">
        <v>0</v>
      </c>
      <c r="E294" s="134"/>
    </row>
    <row r="295" spans="1:5" x14ac:dyDescent="0.25">
      <c r="A295" s="205" t="s">
        <v>265</v>
      </c>
      <c r="B295" s="131" t="s">
        <v>1435</v>
      </c>
      <c r="C295" s="132" t="s">
        <v>36</v>
      </c>
      <c r="D295" s="176">
        <v>2689.8300000000004</v>
      </c>
      <c r="E295" s="134"/>
    </row>
    <row r="296" spans="1:5" x14ac:dyDescent="0.25">
      <c r="A296" s="205" t="s">
        <v>266</v>
      </c>
      <c r="B296" s="131" t="s">
        <v>1436</v>
      </c>
      <c r="C296" s="132" t="s">
        <v>36</v>
      </c>
      <c r="D296" s="176">
        <v>4247.1000000000013</v>
      </c>
      <c r="E296" s="134"/>
    </row>
    <row r="297" spans="1:5" x14ac:dyDescent="0.25">
      <c r="A297" s="205" t="s">
        <v>267</v>
      </c>
      <c r="B297" s="131" t="s">
        <v>1437</v>
      </c>
      <c r="C297" s="153"/>
      <c r="D297" s="176">
        <v>2689.8300000000004</v>
      </c>
      <c r="E297" s="134"/>
    </row>
    <row r="298" spans="1:5" x14ac:dyDescent="0.25">
      <c r="A298" s="205" t="s">
        <v>268</v>
      </c>
      <c r="B298" s="131" t="s">
        <v>1438</v>
      </c>
      <c r="C298" s="153" t="s">
        <v>269</v>
      </c>
      <c r="D298" s="176">
        <v>11042.460000000005</v>
      </c>
      <c r="E298" s="134"/>
    </row>
    <row r="299" spans="1:5" x14ac:dyDescent="0.25">
      <c r="A299" s="205" t="s">
        <v>270</v>
      </c>
      <c r="B299" s="131" t="s">
        <v>1439</v>
      </c>
      <c r="C299" s="132" t="s">
        <v>36</v>
      </c>
      <c r="D299" s="176">
        <v>10617.750000000002</v>
      </c>
      <c r="E299" s="134"/>
    </row>
    <row r="300" spans="1:5" x14ac:dyDescent="0.25">
      <c r="A300" s="205" t="s">
        <v>271</v>
      </c>
      <c r="B300" s="131" t="s">
        <v>1440</v>
      </c>
      <c r="C300" s="132" t="s">
        <v>36</v>
      </c>
      <c r="D300" s="176">
        <v>15855.840000000002</v>
      </c>
      <c r="E300" s="134"/>
    </row>
    <row r="301" spans="1:5" x14ac:dyDescent="0.25">
      <c r="A301" s="205" t="s">
        <v>272</v>
      </c>
      <c r="B301" s="131" t="s">
        <v>1441</v>
      </c>
      <c r="C301" s="132" t="s">
        <v>36</v>
      </c>
      <c r="D301" s="176">
        <v>12458.160000000002</v>
      </c>
      <c r="E301" s="134"/>
    </row>
    <row r="302" spans="1:5" x14ac:dyDescent="0.25">
      <c r="A302" s="205" t="s">
        <v>273</v>
      </c>
      <c r="B302" s="131" t="s">
        <v>1442</v>
      </c>
      <c r="C302" s="132" t="s">
        <v>36</v>
      </c>
      <c r="D302" s="176">
        <v>14723.28</v>
      </c>
      <c r="E302" s="134"/>
    </row>
    <row r="303" spans="1:5" ht="12" thickBot="1" x14ac:dyDescent="0.3">
      <c r="A303" s="207" t="s">
        <v>274</v>
      </c>
      <c r="B303" s="180" t="s">
        <v>1443</v>
      </c>
      <c r="C303" s="181" t="s">
        <v>36</v>
      </c>
      <c r="D303" s="182">
        <v>180895.00000000006</v>
      </c>
      <c r="E303" s="134"/>
    </row>
    <row r="304" spans="1:5" ht="12" thickBot="1" x14ac:dyDescent="0.3">
      <c r="C304" s="132"/>
      <c r="D304" s="153"/>
      <c r="E304" s="134"/>
    </row>
    <row r="305" spans="1:5" ht="36" customHeight="1" thickBot="1" x14ac:dyDescent="0.3">
      <c r="A305" s="960" t="s">
        <v>1456</v>
      </c>
      <c r="B305" s="961"/>
      <c r="C305" s="961"/>
      <c r="D305" s="961"/>
      <c r="E305" s="962"/>
    </row>
    <row r="306" spans="1:5" ht="19.5" customHeight="1" x14ac:dyDescent="0.25">
      <c r="A306" s="166" t="str">
        <f>+A2</f>
        <v>CIUDAD: QUIBDO - CHOCO</v>
      </c>
      <c r="B306" s="167"/>
      <c r="C306" s="168"/>
      <c r="D306" s="168"/>
      <c r="E306" s="169"/>
    </row>
    <row r="307" spans="1:5" ht="18" customHeight="1" thickBot="1" x14ac:dyDescent="0.3">
      <c r="A307" s="170" t="str">
        <f>+A3</f>
        <v>FECHA: ABRIL DE 2020</v>
      </c>
      <c r="B307" s="171"/>
      <c r="C307" s="171"/>
      <c r="D307" s="171"/>
      <c r="E307" s="172"/>
    </row>
    <row r="308" spans="1:5" x14ac:dyDescent="0.25">
      <c r="A308" s="185" t="s">
        <v>1204</v>
      </c>
      <c r="B308" s="152" t="s">
        <v>300</v>
      </c>
      <c r="C308" s="152" t="s">
        <v>1457</v>
      </c>
      <c r="D308" s="152" t="s">
        <v>373</v>
      </c>
      <c r="E308" s="178" t="s">
        <v>1458</v>
      </c>
    </row>
    <row r="309" spans="1:5" x14ac:dyDescent="0.25">
      <c r="A309" s="204" t="s">
        <v>487</v>
      </c>
      <c r="B309" s="131" t="s">
        <v>1459</v>
      </c>
      <c r="C309" s="131" t="s">
        <v>1636</v>
      </c>
      <c r="D309" s="132" t="s">
        <v>1690</v>
      </c>
      <c r="E309" s="201">
        <f>67341.759/8</f>
        <v>8417.7198750000007</v>
      </c>
    </row>
    <row r="310" spans="1:5" x14ac:dyDescent="0.25">
      <c r="A310" s="204" t="s">
        <v>591</v>
      </c>
      <c r="B310" s="131" t="s">
        <v>1460</v>
      </c>
      <c r="C310" s="131" t="s">
        <v>1637</v>
      </c>
      <c r="D310" s="132" t="s">
        <v>275</v>
      </c>
      <c r="E310" s="201">
        <v>3717.2129999999997</v>
      </c>
    </row>
    <row r="311" spans="1:5" x14ac:dyDescent="0.25">
      <c r="A311" s="204" t="s">
        <v>488</v>
      </c>
      <c r="B311" s="131" t="s">
        <v>1461</v>
      </c>
      <c r="C311" s="131" t="s">
        <v>1638</v>
      </c>
      <c r="D311" s="132" t="s">
        <v>275</v>
      </c>
      <c r="E311" s="201">
        <v>108130.098</v>
      </c>
    </row>
    <row r="312" spans="1:5" ht="22.5" x14ac:dyDescent="0.25">
      <c r="A312" s="204" t="s">
        <v>592</v>
      </c>
      <c r="B312" s="131" t="s">
        <v>1462</v>
      </c>
      <c r="C312" s="131" t="s">
        <v>1638</v>
      </c>
      <c r="D312" s="132" t="s">
        <v>275</v>
      </c>
      <c r="E312" s="201">
        <v>62388.576000000001</v>
      </c>
    </row>
    <row r="313" spans="1:5" x14ac:dyDescent="0.25">
      <c r="A313" s="204" t="s">
        <v>489</v>
      </c>
      <c r="B313" s="131" t="s">
        <v>1463</v>
      </c>
      <c r="C313" s="131" t="s">
        <v>1638</v>
      </c>
      <c r="D313" s="132" t="s">
        <v>275</v>
      </c>
      <c r="E313" s="201">
        <v>27805.338</v>
      </c>
    </row>
    <row r="314" spans="1:5" x14ac:dyDescent="0.25">
      <c r="A314" s="204" t="s">
        <v>490</v>
      </c>
      <c r="B314" s="131" t="s">
        <v>1464</v>
      </c>
      <c r="C314" s="131" t="s">
        <v>1638</v>
      </c>
      <c r="D314" s="132" t="s">
        <v>275</v>
      </c>
      <c r="E314" s="201">
        <v>67487.948999999993</v>
      </c>
    </row>
    <row r="315" spans="1:5" x14ac:dyDescent="0.25">
      <c r="A315" s="204" t="s">
        <v>491</v>
      </c>
      <c r="B315" s="131" t="s">
        <v>1465</v>
      </c>
      <c r="C315" s="131" t="s">
        <v>1638</v>
      </c>
      <c r="D315" s="132" t="s">
        <v>275</v>
      </c>
      <c r="E315" s="201">
        <v>74986.167000000001</v>
      </c>
    </row>
    <row r="316" spans="1:5" x14ac:dyDescent="0.25">
      <c r="A316" s="204" t="s">
        <v>492</v>
      </c>
      <c r="B316" s="131" t="s">
        <v>1466</v>
      </c>
      <c r="C316" s="131" t="s">
        <v>1639</v>
      </c>
      <c r="D316" s="132" t="s">
        <v>275</v>
      </c>
      <c r="E316" s="201">
        <v>213475.94099999999</v>
      </c>
    </row>
    <row r="317" spans="1:5" x14ac:dyDescent="0.25">
      <c r="A317" s="204" t="s">
        <v>493</v>
      </c>
      <c r="B317" s="131" t="s">
        <v>1467</v>
      </c>
      <c r="C317" s="131" t="s">
        <v>1639</v>
      </c>
      <c r="D317" s="132" t="s">
        <v>275</v>
      </c>
      <c r="E317" s="201">
        <v>269950.467</v>
      </c>
    </row>
    <row r="318" spans="1:5" x14ac:dyDescent="0.25">
      <c r="A318" s="204" t="s">
        <v>494</v>
      </c>
      <c r="B318" s="131" t="s">
        <v>1468</v>
      </c>
      <c r="C318" s="131" t="s">
        <v>1639</v>
      </c>
      <c r="D318" s="132" t="s">
        <v>275</v>
      </c>
      <c r="E318" s="201">
        <v>166390.79999999999</v>
      </c>
    </row>
    <row r="319" spans="1:5" x14ac:dyDescent="0.25">
      <c r="A319" s="204" t="s">
        <v>495</v>
      </c>
      <c r="B319" s="131" t="s">
        <v>1469</v>
      </c>
      <c r="C319" s="131" t="s">
        <v>1640</v>
      </c>
      <c r="D319" s="132" t="s">
        <v>275</v>
      </c>
      <c r="E319" s="201">
        <v>63324.191999999995</v>
      </c>
    </row>
    <row r="320" spans="1:5" x14ac:dyDescent="0.25">
      <c r="A320" s="204" t="s">
        <v>496</v>
      </c>
      <c r="B320" s="131" t="s">
        <v>1470</v>
      </c>
      <c r="C320" s="131" t="s">
        <v>1640</v>
      </c>
      <c r="D320" s="132" t="s">
        <v>275</v>
      </c>
      <c r="E320" s="201">
        <v>94812.188999999998</v>
      </c>
    </row>
    <row r="321" spans="1:5" x14ac:dyDescent="0.25">
      <c r="A321" s="204" t="s">
        <v>497</v>
      </c>
      <c r="B321" s="131" t="s">
        <v>1471</v>
      </c>
      <c r="C321" s="131" t="s">
        <v>1641</v>
      </c>
      <c r="D321" s="132" t="s">
        <v>275</v>
      </c>
      <c r="E321" s="201">
        <v>232899.27599999998</v>
      </c>
    </row>
    <row r="322" spans="1:5" x14ac:dyDescent="0.25">
      <c r="A322" s="204" t="s">
        <v>498</v>
      </c>
      <c r="B322" s="131" t="s">
        <v>1472</v>
      </c>
      <c r="C322" s="131" t="s">
        <v>1641</v>
      </c>
      <c r="D322" s="132" t="s">
        <v>275</v>
      </c>
      <c r="E322" s="201">
        <v>70625.717999999993</v>
      </c>
    </row>
    <row r="323" spans="1:5" x14ac:dyDescent="0.25">
      <c r="A323" s="204" t="s">
        <v>499</v>
      </c>
      <c r="B323" s="131" t="s">
        <v>1473</v>
      </c>
      <c r="C323" s="131" t="s">
        <v>1641</v>
      </c>
      <c r="D323" s="132" t="s">
        <v>275</v>
      </c>
      <c r="E323" s="201">
        <v>232456.71899999998</v>
      </c>
    </row>
    <row r="324" spans="1:5" x14ac:dyDescent="0.25">
      <c r="A324" s="204" t="s">
        <v>500</v>
      </c>
      <c r="B324" s="131" t="s">
        <v>1474</v>
      </c>
      <c r="C324" s="131" t="s">
        <v>1641</v>
      </c>
      <c r="D324" s="132" t="s">
        <v>275</v>
      </c>
      <c r="E324" s="201">
        <v>60930.663</v>
      </c>
    </row>
    <row r="325" spans="1:5" x14ac:dyDescent="0.25">
      <c r="A325" s="204" t="s">
        <v>501</v>
      </c>
      <c r="B325" s="131" t="s">
        <v>1475</v>
      </c>
      <c r="C325" s="131" t="s">
        <v>1636</v>
      </c>
      <c r="D325" s="132" t="s">
        <v>1691</v>
      </c>
      <c r="E325" s="201">
        <f>44991.966/8</f>
        <v>5623.99575</v>
      </c>
    </row>
    <row r="326" spans="1:5" x14ac:dyDescent="0.25">
      <c r="A326" s="204" t="s">
        <v>502</v>
      </c>
      <c r="B326" s="131" t="s">
        <v>1476</v>
      </c>
      <c r="C326" s="131" t="s">
        <v>1636</v>
      </c>
      <c r="D326" s="132" t="s">
        <v>1692</v>
      </c>
      <c r="E326" s="201">
        <f>44991.966/8</f>
        <v>5623.99575</v>
      </c>
    </row>
    <row r="327" spans="1:5" x14ac:dyDescent="0.25">
      <c r="A327" s="204" t="s">
        <v>503</v>
      </c>
      <c r="B327" s="131" t="s">
        <v>1477</v>
      </c>
      <c r="C327" s="131" t="s">
        <v>1638</v>
      </c>
      <c r="D327" s="132" t="s">
        <v>275</v>
      </c>
      <c r="E327" s="201">
        <v>159990.33599999998</v>
      </c>
    </row>
    <row r="328" spans="1:5" x14ac:dyDescent="0.25">
      <c r="A328" s="204" t="s">
        <v>504</v>
      </c>
      <c r="B328" s="131" t="s">
        <v>1478</v>
      </c>
      <c r="C328" s="131" t="s">
        <v>1638</v>
      </c>
      <c r="D328" s="132" t="s">
        <v>275</v>
      </c>
      <c r="E328" s="201">
        <v>173322.864</v>
      </c>
    </row>
    <row r="329" spans="1:5" x14ac:dyDescent="0.25">
      <c r="A329" s="204" t="s">
        <v>477</v>
      </c>
      <c r="B329" s="131" t="s">
        <v>1479</v>
      </c>
      <c r="C329" s="131" t="s">
        <v>1641</v>
      </c>
      <c r="D329" s="132" t="s">
        <v>275</v>
      </c>
      <c r="E329" s="201">
        <v>86984.379000000001</v>
      </c>
    </row>
    <row r="330" spans="1:5" x14ac:dyDescent="0.25">
      <c r="A330" s="204" t="s">
        <v>478</v>
      </c>
      <c r="B330" s="131" t="s">
        <v>1480</v>
      </c>
      <c r="C330" s="131" t="s">
        <v>1641</v>
      </c>
      <c r="D330" s="132" t="s">
        <v>275</v>
      </c>
      <c r="E330" s="201">
        <v>131976.345</v>
      </c>
    </row>
    <row r="331" spans="1:5" x14ac:dyDescent="0.25">
      <c r="A331" s="204" t="s">
        <v>505</v>
      </c>
      <c r="B331" s="131" t="s">
        <v>1481</v>
      </c>
      <c r="C331" s="131" t="s">
        <v>1637</v>
      </c>
      <c r="D331" s="132" t="s">
        <v>275</v>
      </c>
      <c r="E331" s="201">
        <v>1440.636</v>
      </c>
    </row>
    <row r="332" spans="1:5" x14ac:dyDescent="0.25">
      <c r="A332" s="204" t="s">
        <v>479</v>
      </c>
      <c r="B332" s="131" t="s">
        <v>1482</v>
      </c>
      <c r="C332" s="131" t="s">
        <v>1641</v>
      </c>
      <c r="D332" s="132" t="s">
        <v>275</v>
      </c>
      <c r="E332" s="201">
        <v>141723.231</v>
      </c>
    </row>
    <row r="333" spans="1:5" ht="22.5" x14ac:dyDescent="0.25">
      <c r="A333" s="204" t="s">
        <v>480</v>
      </c>
      <c r="B333" s="131" t="s">
        <v>1483</v>
      </c>
      <c r="C333" s="131" t="s">
        <v>1641</v>
      </c>
      <c r="D333" s="132" t="s">
        <v>275</v>
      </c>
      <c r="E333" s="201">
        <v>17250.419999999998</v>
      </c>
    </row>
    <row r="334" spans="1:5" x14ac:dyDescent="0.25">
      <c r="A334" s="204" t="s">
        <v>481</v>
      </c>
      <c r="B334" s="131" t="s">
        <v>1484</v>
      </c>
      <c r="C334" s="131" t="s">
        <v>1641</v>
      </c>
      <c r="D334" s="132" t="s">
        <v>275</v>
      </c>
      <c r="E334" s="201">
        <v>30309.173999999999</v>
      </c>
    </row>
    <row r="335" spans="1:5" x14ac:dyDescent="0.25">
      <c r="A335" s="204" t="s">
        <v>486</v>
      </c>
      <c r="B335" s="131" t="s">
        <v>1485</v>
      </c>
      <c r="C335" s="131" t="s">
        <v>1641</v>
      </c>
      <c r="D335" s="132" t="s">
        <v>275</v>
      </c>
      <c r="E335" s="201">
        <v>16970.001</v>
      </c>
    </row>
    <row r="336" spans="1:5" x14ac:dyDescent="0.25">
      <c r="A336" s="204" t="s">
        <v>482</v>
      </c>
      <c r="B336" s="131" t="s">
        <v>1486</v>
      </c>
      <c r="C336" s="131" t="s">
        <v>1641</v>
      </c>
      <c r="D336" s="132" t="s">
        <v>275</v>
      </c>
      <c r="E336" s="201">
        <v>9284.3940000000002</v>
      </c>
    </row>
    <row r="337" spans="1:5" x14ac:dyDescent="0.25">
      <c r="A337" s="204" t="s">
        <v>483</v>
      </c>
      <c r="B337" s="131" t="s">
        <v>1487</v>
      </c>
      <c r="C337" s="131" t="s">
        <v>1639</v>
      </c>
      <c r="D337" s="132" t="s">
        <v>275</v>
      </c>
      <c r="E337" s="201">
        <v>172468.31699999998</v>
      </c>
    </row>
    <row r="338" spans="1:5" x14ac:dyDescent="0.25">
      <c r="A338" s="204" t="s">
        <v>484</v>
      </c>
      <c r="B338" s="131" t="s">
        <v>1488</v>
      </c>
      <c r="C338" s="131" t="s">
        <v>1639</v>
      </c>
      <c r="D338" s="132" t="s">
        <v>275</v>
      </c>
      <c r="E338" s="201">
        <v>127945.488</v>
      </c>
    </row>
    <row r="339" spans="1:5" x14ac:dyDescent="0.25">
      <c r="A339" s="204" t="s">
        <v>485</v>
      </c>
      <c r="B339" s="131" t="s">
        <v>1489</v>
      </c>
      <c r="C339" s="131" t="s">
        <v>1639</v>
      </c>
      <c r="D339" s="132" t="s">
        <v>275</v>
      </c>
      <c r="E339" s="201">
        <v>97482.15</v>
      </c>
    </row>
    <row r="340" spans="1:5" x14ac:dyDescent="0.25">
      <c r="A340" s="204" t="s">
        <v>506</v>
      </c>
      <c r="B340" s="131" t="s">
        <v>1490</v>
      </c>
      <c r="C340" s="131" t="s">
        <v>1639</v>
      </c>
      <c r="D340" s="132" t="s">
        <v>275</v>
      </c>
      <c r="E340" s="201">
        <v>96723.290999999997</v>
      </c>
    </row>
    <row r="341" spans="1:5" x14ac:dyDescent="0.25">
      <c r="A341" s="204" t="s">
        <v>593</v>
      </c>
      <c r="B341" s="131" t="s">
        <v>1491</v>
      </c>
      <c r="C341" s="131" t="s">
        <v>1639</v>
      </c>
      <c r="D341" s="132" t="s">
        <v>275</v>
      </c>
      <c r="E341" s="201">
        <v>96526.599000000002</v>
      </c>
    </row>
    <row r="342" spans="1:5" x14ac:dyDescent="0.25">
      <c r="A342" s="204" t="s">
        <v>507</v>
      </c>
      <c r="B342" s="131" t="s">
        <v>1492</v>
      </c>
      <c r="C342" s="131" t="s">
        <v>1638</v>
      </c>
      <c r="D342" s="132" t="s">
        <v>275</v>
      </c>
      <c r="E342" s="201">
        <v>111505.758</v>
      </c>
    </row>
    <row r="343" spans="1:5" x14ac:dyDescent="0.25">
      <c r="A343" s="204" t="s">
        <v>595</v>
      </c>
      <c r="B343" s="131" t="s">
        <v>1493</v>
      </c>
      <c r="C343" s="131" t="s">
        <v>1638</v>
      </c>
      <c r="D343" s="132" t="s">
        <v>275</v>
      </c>
      <c r="E343" s="201">
        <v>109950.82799999999</v>
      </c>
    </row>
    <row r="344" spans="1:5" x14ac:dyDescent="0.25">
      <c r="A344" s="204" t="s">
        <v>594</v>
      </c>
      <c r="B344" s="131" t="s">
        <v>1494</v>
      </c>
      <c r="C344" s="131" t="s">
        <v>1638</v>
      </c>
      <c r="D344" s="132" t="s">
        <v>275</v>
      </c>
      <c r="E344" s="201">
        <v>106989.81599999999</v>
      </c>
    </row>
    <row r="345" spans="1:5" x14ac:dyDescent="0.25">
      <c r="A345" s="204" t="s">
        <v>508</v>
      </c>
      <c r="B345" s="131" t="s">
        <v>1495</v>
      </c>
      <c r="C345" s="131" t="s">
        <v>1641</v>
      </c>
      <c r="D345" s="132" t="s">
        <v>275</v>
      </c>
      <c r="E345" s="201">
        <v>11955.683999999999</v>
      </c>
    </row>
    <row r="346" spans="1:5" ht="22.5" x14ac:dyDescent="0.25">
      <c r="A346" s="204" t="s">
        <v>509</v>
      </c>
      <c r="B346" s="131" t="s">
        <v>1496</v>
      </c>
      <c r="C346" s="131" t="s">
        <v>1641</v>
      </c>
      <c r="D346" s="132" t="s">
        <v>275</v>
      </c>
      <c r="E346" s="201">
        <v>29417.415000000001</v>
      </c>
    </row>
    <row r="347" spans="1:5" x14ac:dyDescent="0.25">
      <c r="A347" s="204" t="s">
        <v>510</v>
      </c>
      <c r="B347" s="131" t="s">
        <v>1497</v>
      </c>
      <c r="C347" s="131" t="s">
        <v>1641</v>
      </c>
      <c r="D347" s="132" t="s">
        <v>275</v>
      </c>
      <c r="E347" s="201">
        <v>3376.989</v>
      </c>
    </row>
    <row r="348" spans="1:5" x14ac:dyDescent="0.25">
      <c r="A348" s="204" t="s">
        <v>511</v>
      </c>
      <c r="B348" s="131" t="s">
        <v>1498</v>
      </c>
      <c r="C348" s="131" t="s">
        <v>1636</v>
      </c>
      <c r="D348" s="132" t="s">
        <v>275</v>
      </c>
      <c r="E348" s="201">
        <v>3443.4389999999999</v>
      </c>
    </row>
    <row r="349" spans="1:5" x14ac:dyDescent="0.25">
      <c r="A349" s="204" t="s">
        <v>512</v>
      </c>
      <c r="B349" s="131" t="s">
        <v>1499</v>
      </c>
      <c r="C349" s="131" t="s">
        <v>1636</v>
      </c>
      <c r="D349" s="132" t="s">
        <v>275</v>
      </c>
      <c r="E349" s="201">
        <v>5167.152</v>
      </c>
    </row>
    <row r="350" spans="1:5" x14ac:dyDescent="0.25">
      <c r="A350" s="204" t="s">
        <v>513</v>
      </c>
      <c r="B350" s="131" t="s">
        <v>1500</v>
      </c>
      <c r="C350" s="131" t="s">
        <v>1636</v>
      </c>
      <c r="D350" s="132" t="s">
        <v>275</v>
      </c>
      <c r="E350" s="201">
        <v>8097.5969999999998</v>
      </c>
    </row>
    <row r="351" spans="1:5" x14ac:dyDescent="0.25">
      <c r="A351" s="204" t="s">
        <v>514</v>
      </c>
      <c r="B351" s="131" t="s">
        <v>1501</v>
      </c>
      <c r="C351" s="131" t="s">
        <v>1641</v>
      </c>
      <c r="D351" s="132" t="s">
        <v>275</v>
      </c>
      <c r="E351" s="201">
        <v>117556.69499999999</v>
      </c>
    </row>
    <row r="352" spans="1:5" x14ac:dyDescent="0.25">
      <c r="A352" s="204" t="s">
        <v>515</v>
      </c>
      <c r="B352" s="131" t="s">
        <v>1502</v>
      </c>
      <c r="C352" s="131" t="s">
        <v>1641</v>
      </c>
      <c r="D352" s="132" t="s">
        <v>275</v>
      </c>
      <c r="E352" s="201">
        <v>42662.228999999999</v>
      </c>
    </row>
    <row r="353" spans="1:5" ht="22.5" x14ac:dyDescent="0.25">
      <c r="A353" s="204" t="s">
        <v>596</v>
      </c>
      <c r="B353" s="131" t="s">
        <v>1503</v>
      </c>
      <c r="C353" s="131" t="s">
        <v>1638</v>
      </c>
      <c r="D353" s="132" t="s">
        <v>275</v>
      </c>
      <c r="E353" s="201">
        <v>3973.71</v>
      </c>
    </row>
    <row r="354" spans="1:5" x14ac:dyDescent="0.25">
      <c r="A354" s="204" t="s">
        <v>516</v>
      </c>
      <c r="B354" s="131" t="s">
        <v>1504</v>
      </c>
      <c r="C354" s="131" t="s">
        <v>1638</v>
      </c>
      <c r="D354" s="132" t="s">
        <v>1693</v>
      </c>
      <c r="E354" s="201">
        <f>219472.389/8</f>
        <v>27434.048624999999</v>
      </c>
    </row>
    <row r="355" spans="1:5" x14ac:dyDescent="0.25">
      <c r="A355" s="204" t="s">
        <v>517</v>
      </c>
      <c r="B355" s="131" t="s">
        <v>1505</v>
      </c>
      <c r="C355" s="131" t="s">
        <v>1638</v>
      </c>
      <c r="D355" s="132" t="s">
        <v>275</v>
      </c>
      <c r="E355" s="201">
        <v>16944.75</v>
      </c>
    </row>
    <row r="356" spans="1:5" x14ac:dyDescent="0.25">
      <c r="A356" s="204" t="s">
        <v>518</v>
      </c>
      <c r="B356" s="131" t="s">
        <v>1506</v>
      </c>
      <c r="C356" s="131" t="s">
        <v>1638</v>
      </c>
      <c r="D356" s="132" t="s">
        <v>275</v>
      </c>
      <c r="E356" s="201">
        <v>15243.63</v>
      </c>
    </row>
    <row r="357" spans="1:5" x14ac:dyDescent="0.25">
      <c r="A357" s="204" t="s">
        <v>519</v>
      </c>
      <c r="B357" s="131" t="s">
        <v>1507</v>
      </c>
      <c r="C357" s="131" t="s">
        <v>1638</v>
      </c>
      <c r="D357" s="132" t="s">
        <v>275</v>
      </c>
      <c r="E357" s="201">
        <v>168255.38699999999</v>
      </c>
    </row>
    <row r="358" spans="1:5" x14ac:dyDescent="0.25">
      <c r="A358" s="204" t="s">
        <v>597</v>
      </c>
      <c r="B358" s="131" t="s">
        <v>1508</v>
      </c>
      <c r="C358" s="131" t="s">
        <v>1638</v>
      </c>
      <c r="D358" s="132" t="s">
        <v>275</v>
      </c>
      <c r="E358" s="201">
        <v>17199.917999999998</v>
      </c>
    </row>
    <row r="359" spans="1:5" x14ac:dyDescent="0.25">
      <c r="A359" s="204" t="s">
        <v>598</v>
      </c>
      <c r="B359" s="131" t="s">
        <v>1509</v>
      </c>
      <c r="C359" s="131" t="s">
        <v>1638</v>
      </c>
      <c r="D359" s="132" t="s">
        <v>275</v>
      </c>
      <c r="E359" s="201">
        <v>93725.066999999995</v>
      </c>
    </row>
    <row r="360" spans="1:5" ht="22.5" x14ac:dyDescent="0.25">
      <c r="A360" s="204" t="s">
        <v>520</v>
      </c>
      <c r="B360" s="131" t="s">
        <v>1510</v>
      </c>
      <c r="C360" s="131" t="s">
        <v>1638</v>
      </c>
      <c r="D360" s="132" t="s">
        <v>275</v>
      </c>
      <c r="E360" s="201">
        <v>36380.046000000002</v>
      </c>
    </row>
    <row r="361" spans="1:5" x14ac:dyDescent="0.25">
      <c r="A361" s="204" t="s">
        <v>521</v>
      </c>
      <c r="B361" s="131" t="s">
        <v>1511</v>
      </c>
      <c r="C361" s="131" t="s">
        <v>1638</v>
      </c>
      <c r="D361" s="132" t="s">
        <v>275</v>
      </c>
      <c r="E361" s="201">
        <v>14484.770999999999</v>
      </c>
    </row>
    <row r="362" spans="1:5" x14ac:dyDescent="0.25">
      <c r="A362" s="204" t="s">
        <v>599</v>
      </c>
      <c r="B362" s="131" t="s">
        <v>1512</v>
      </c>
      <c r="C362" s="131" t="s">
        <v>1638</v>
      </c>
      <c r="D362" s="132" t="s">
        <v>275</v>
      </c>
      <c r="E362" s="201">
        <v>20825.43</v>
      </c>
    </row>
    <row r="363" spans="1:5" x14ac:dyDescent="0.25">
      <c r="A363" s="204" t="s">
        <v>522</v>
      </c>
      <c r="B363" s="131" t="s">
        <v>1513</v>
      </c>
      <c r="C363" s="131" t="s">
        <v>1638</v>
      </c>
      <c r="D363" s="132" t="s">
        <v>275</v>
      </c>
      <c r="E363" s="201">
        <v>22149.113999999998</v>
      </c>
    </row>
    <row r="364" spans="1:5" x14ac:dyDescent="0.25">
      <c r="A364" s="204" t="s">
        <v>523</v>
      </c>
      <c r="B364" s="131" t="s">
        <v>1514</v>
      </c>
      <c r="C364" s="131" t="s">
        <v>1638</v>
      </c>
      <c r="D364" s="132" t="s">
        <v>275</v>
      </c>
      <c r="E364" s="201">
        <v>24202.418999999998</v>
      </c>
    </row>
    <row r="365" spans="1:5" x14ac:dyDescent="0.25">
      <c r="A365" s="204" t="s">
        <v>524</v>
      </c>
      <c r="B365" s="131" t="s">
        <v>1515</v>
      </c>
      <c r="C365" s="131" t="s">
        <v>1641</v>
      </c>
      <c r="D365" s="132" t="s">
        <v>275</v>
      </c>
      <c r="E365" s="201">
        <v>38971.595999999998</v>
      </c>
    </row>
    <row r="366" spans="1:5" x14ac:dyDescent="0.25">
      <c r="A366" s="204" t="s">
        <v>525</v>
      </c>
      <c r="B366" s="131" t="s">
        <v>1516</v>
      </c>
      <c r="C366" s="131" t="s">
        <v>1637</v>
      </c>
      <c r="D366" s="132" t="s">
        <v>275</v>
      </c>
      <c r="E366" s="201">
        <v>23604.368999999999</v>
      </c>
    </row>
    <row r="367" spans="1:5" ht="33.75" x14ac:dyDescent="0.25">
      <c r="A367" s="204" t="s">
        <v>526</v>
      </c>
      <c r="B367" s="131" t="s">
        <v>1517</v>
      </c>
      <c r="C367" s="131" t="s">
        <v>1637</v>
      </c>
      <c r="D367" s="132" t="s">
        <v>275</v>
      </c>
      <c r="E367" s="201">
        <v>24763.256999999998</v>
      </c>
    </row>
    <row r="368" spans="1:5" x14ac:dyDescent="0.25">
      <c r="A368" s="204" t="s">
        <v>527</v>
      </c>
      <c r="B368" s="131" t="s">
        <v>1518</v>
      </c>
      <c r="C368" s="131" t="s">
        <v>1641</v>
      </c>
      <c r="D368" s="132" t="s">
        <v>275</v>
      </c>
      <c r="E368" s="201">
        <v>88778.528999999995</v>
      </c>
    </row>
    <row r="369" spans="1:5" x14ac:dyDescent="0.25">
      <c r="A369" s="204" t="s">
        <v>600</v>
      </c>
      <c r="B369" s="131" t="s">
        <v>1519</v>
      </c>
      <c r="C369" s="131" t="s">
        <v>1637</v>
      </c>
      <c r="D369" s="132" t="s">
        <v>275</v>
      </c>
      <c r="E369" s="201">
        <v>41753.192999999999</v>
      </c>
    </row>
    <row r="370" spans="1:5" ht="22.5" x14ac:dyDescent="0.25">
      <c r="A370" s="204" t="s">
        <v>528</v>
      </c>
      <c r="B370" s="131" t="s">
        <v>1520</v>
      </c>
      <c r="C370" s="131" t="s">
        <v>1637</v>
      </c>
      <c r="D370" s="132" t="s">
        <v>275</v>
      </c>
      <c r="E370" s="201">
        <v>99791.95199999999</v>
      </c>
    </row>
    <row r="371" spans="1:5" x14ac:dyDescent="0.25">
      <c r="A371" s="204" t="s">
        <v>529</v>
      </c>
      <c r="B371" s="131" t="s">
        <v>1521</v>
      </c>
      <c r="C371" s="131" t="s">
        <v>1637</v>
      </c>
      <c r="D371" s="132" t="s">
        <v>275</v>
      </c>
      <c r="E371" s="201">
        <v>30537.761999999999</v>
      </c>
    </row>
    <row r="372" spans="1:5" x14ac:dyDescent="0.25">
      <c r="A372" s="204" t="s">
        <v>530</v>
      </c>
      <c r="B372" s="131" t="s">
        <v>1522</v>
      </c>
      <c r="C372" s="131" t="s">
        <v>1636</v>
      </c>
      <c r="D372" s="132" t="s">
        <v>1694</v>
      </c>
      <c r="E372" s="201">
        <v>5633.6309999999994</v>
      </c>
    </row>
    <row r="373" spans="1:5" x14ac:dyDescent="0.25">
      <c r="A373" s="204" t="s">
        <v>601</v>
      </c>
      <c r="B373" s="131" t="s">
        <v>1523</v>
      </c>
      <c r="C373" s="131" t="s">
        <v>1636</v>
      </c>
      <c r="D373" s="132" t="s">
        <v>275</v>
      </c>
      <c r="E373" s="201">
        <v>4985.0789999999997</v>
      </c>
    </row>
    <row r="374" spans="1:5" x14ac:dyDescent="0.25">
      <c r="A374" s="204" t="s">
        <v>602</v>
      </c>
      <c r="B374" s="131" t="s">
        <v>1524</v>
      </c>
      <c r="C374" s="131" t="s">
        <v>1636</v>
      </c>
      <c r="D374" s="132" t="s">
        <v>275</v>
      </c>
      <c r="E374" s="201">
        <v>13729.898999999999</v>
      </c>
    </row>
    <row r="375" spans="1:5" x14ac:dyDescent="0.25">
      <c r="A375" s="204" t="s">
        <v>603</v>
      </c>
      <c r="B375" s="131" t="s">
        <v>1525</v>
      </c>
      <c r="C375" s="131" t="s">
        <v>1636</v>
      </c>
      <c r="D375" s="132" t="s">
        <v>275</v>
      </c>
      <c r="E375" s="201">
        <v>5552.5619999999999</v>
      </c>
    </row>
    <row r="376" spans="1:5" x14ac:dyDescent="0.25">
      <c r="A376" s="204" t="s">
        <v>604</v>
      </c>
      <c r="B376" s="131" t="s">
        <v>1526</v>
      </c>
      <c r="C376" s="131" t="s">
        <v>1636</v>
      </c>
      <c r="D376" s="132" t="s">
        <v>275</v>
      </c>
      <c r="E376" s="201">
        <v>23844.917999999998</v>
      </c>
    </row>
    <row r="377" spans="1:5" ht="22.5" x14ac:dyDescent="0.25">
      <c r="A377" s="204" t="s">
        <v>531</v>
      </c>
      <c r="B377" s="131" t="s">
        <v>1527</v>
      </c>
      <c r="C377" s="131" t="s">
        <v>1639</v>
      </c>
      <c r="D377" s="132" t="s">
        <v>275</v>
      </c>
      <c r="E377" s="201">
        <v>569895.13500000001</v>
      </c>
    </row>
    <row r="378" spans="1:5" x14ac:dyDescent="0.25">
      <c r="A378" s="204" t="s">
        <v>532</v>
      </c>
      <c r="B378" s="131" t="s">
        <v>1528</v>
      </c>
      <c r="C378" s="131" t="s">
        <v>1639</v>
      </c>
      <c r="D378" s="132" t="s">
        <v>275</v>
      </c>
      <c r="E378" s="201">
        <v>609571.10100000002</v>
      </c>
    </row>
    <row r="379" spans="1:5" x14ac:dyDescent="0.25">
      <c r="A379" s="204" t="s">
        <v>533</v>
      </c>
      <c r="B379" s="131" t="s">
        <v>1529</v>
      </c>
      <c r="C379" s="131" t="s">
        <v>1639</v>
      </c>
      <c r="D379" s="132" t="s">
        <v>275</v>
      </c>
      <c r="E379" s="201">
        <v>206461.47899999999</v>
      </c>
    </row>
    <row r="380" spans="1:5" x14ac:dyDescent="0.25">
      <c r="A380" s="204" t="s">
        <v>534</v>
      </c>
      <c r="B380" s="131" t="s">
        <v>1530</v>
      </c>
      <c r="C380" s="131" t="s">
        <v>1639</v>
      </c>
      <c r="D380" s="132" t="s">
        <v>275</v>
      </c>
      <c r="E380" s="201">
        <v>202462.51799999998</v>
      </c>
    </row>
    <row r="381" spans="1:5" x14ac:dyDescent="0.25">
      <c r="A381" s="204" t="s">
        <v>535</v>
      </c>
      <c r="B381" s="131" t="s">
        <v>1531</v>
      </c>
      <c r="C381" s="131" t="s">
        <v>1639</v>
      </c>
      <c r="D381" s="132" t="s">
        <v>275</v>
      </c>
      <c r="E381" s="201">
        <v>181775.304</v>
      </c>
    </row>
    <row r="382" spans="1:5" x14ac:dyDescent="0.25">
      <c r="A382" s="204" t="s">
        <v>536</v>
      </c>
      <c r="B382" s="131" t="s">
        <v>1532</v>
      </c>
      <c r="C382" s="131" t="s">
        <v>1639</v>
      </c>
      <c r="D382" s="132" t="s">
        <v>275</v>
      </c>
      <c r="E382" s="201">
        <v>210783.38699999999</v>
      </c>
    </row>
    <row r="383" spans="1:5" x14ac:dyDescent="0.25">
      <c r="A383" s="204" t="s">
        <v>537</v>
      </c>
      <c r="B383" s="131" t="s">
        <v>1533</v>
      </c>
      <c r="C383" s="131" t="s">
        <v>1639</v>
      </c>
      <c r="D383" s="132" t="s">
        <v>275</v>
      </c>
      <c r="E383" s="201">
        <v>340845.97200000001</v>
      </c>
    </row>
    <row r="384" spans="1:5" x14ac:dyDescent="0.25">
      <c r="A384" s="204" t="s">
        <v>538</v>
      </c>
      <c r="B384" s="131" t="s">
        <v>1534</v>
      </c>
      <c r="C384" s="131" t="s">
        <v>1639</v>
      </c>
      <c r="D384" s="132" t="s">
        <v>275</v>
      </c>
      <c r="E384" s="201">
        <v>263185.85700000002</v>
      </c>
    </row>
    <row r="385" spans="1:5" x14ac:dyDescent="0.25">
      <c r="A385" s="204" t="s">
        <v>539</v>
      </c>
      <c r="B385" s="131" t="s">
        <v>1535</v>
      </c>
      <c r="C385" s="131" t="s">
        <v>1639</v>
      </c>
      <c r="D385" s="132" t="s">
        <v>275</v>
      </c>
      <c r="E385" s="201">
        <v>228355.42499999999</v>
      </c>
    </row>
    <row r="386" spans="1:5" x14ac:dyDescent="0.25">
      <c r="A386" s="204" t="s">
        <v>540</v>
      </c>
      <c r="B386" s="131" t="s">
        <v>1536</v>
      </c>
      <c r="C386" s="131" t="s">
        <v>1639</v>
      </c>
      <c r="D386" s="132" t="s">
        <v>275</v>
      </c>
      <c r="E386" s="201">
        <v>260162.38199999998</v>
      </c>
    </row>
    <row r="387" spans="1:5" x14ac:dyDescent="0.25">
      <c r="A387" s="204" t="s">
        <v>541</v>
      </c>
      <c r="B387" s="131" t="s">
        <v>1537</v>
      </c>
      <c r="C387" s="131" t="s">
        <v>1639</v>
      </c>
      <c r="D387" s="132" t="s">
        <v>275</v>
      </c>
      <c r="E387" s="201">
        <v>392926.82399999996</v>
      </c>
    </row>
    <row r="388" spans="1:5" x14ac:dyDescent="0.25">
      <c r="A388" s="204" t="s">
        <v>542</v>
      </c>
      <c r="B388" s="131" t="s">
        <v>1538</v>
      </c>
      <c r="C388" s="131" t="s">
        <v>1639</v>
      </c>
      <c r="D388" s="132" t="s">
        <v>275</v>
      </c>
      <c r="E388" s="201">
        <v>7669.6589999999997</v>
      </c>
    </row>
    <row r="389" spans="1:5" x14ac:dyDescent="0.25">
      <c r="A389" s="204" t="s">
        <v>543</v>
      </c>
      <c r="B389" s="131" t="s">
        <v>1539</v>
      </c>
      <c r="C389" s="131" t="s">
        <v>1639</v>
      </c>
      <c r="D389" s="132" t="s">
        <v>275</v>
      </c>
      <c r="E389" s="201">
        <v>1822851.084</v>
      </c>
    </row>
    <row r="390" spans="1:5" x14ac:dyDescent="0.25">
      <c r="A390" s="204" t="s">
        <v>544</v>
      </c>
      <c r="B390" s="131" t="s">
        <v>1540</v>
      </c>
      <c r="C390" s="131" t="s">
        <v>1639</v>
      </c>
      <c r="D390" s="132" t="s">
        <v>275</v>
      </c>
      <c r="E390" s="201">
        <v>37285.095000000001</v>
      </c>
    </row>
    <row r="391" spans="1:5" x14ac:dyDescent="0.25">
      <c r="A391" s="204" t="s">
        <v>545</v>
      </c>
      <c r="B391" s="131" t="s">
        <v>1541</v>
      </c>
      <c r="C391" s="131" t="s">
        <v>1639</v>
      </c>
      <c r="D391" s="132" t="s">
        <v>275</v>
      </c>
      <c r="E391" s="201">
        <v>35218.5</v>
      </c>
    </row>
    <row r="392" spans="1:5" x14ac:dyDescent="0.25">
      <c r="A392" s="204" t="s">
        <v>546</v>
      </c>
      <c r="B392" s="131" t="s">
        <v>1542</v>
      </c>
      <c r="C392" s="131" t="s">
        <v>1641</v>
      </c>
      <c r="D392" s="132" t="s">
        <v>275</v>
      </c>
      <c r="E392" s="201">
        <v>9615.3150000000005</v>
      </c>
    </row>
    <row r="393" spans="1:5" x14ac:dyDescent="0.25">
      <c r="A393" s="204" t="s">
        <v>547</v>
      </c>
      <c r="B393" s="131" t="s">
        <v>1543</v>
      </c>
      <c r="C393" s="131" t="s">
        <v>1641</v>
      </c>
      <c r="D393" s="132" t="s">
        <v>275</v>
      </c>
      <c r="E393" s="201">
        <v>107979.921</v>
      </c>
    </row>
    <row r="394" spans="1:5" x14ac:dyDescent="0.25">
      <c r="A394" s="204" t="s">
        <v>605</v>
      </c>
      <c r="B394" s="131" t="s">
        <v>1544</v>
      </c>
      <c r="C394" s="131" t="s">
        <v>1638</v>
      </c>
      <c r="D394" s="132" t="s">
        <v>275</v>
      </c>
      <c r="E394" s="201">
        <v>13433.531999999999</v>
      </c>
    </row>
    <row r="395" spans="1:5" x14ac:dyDescent="0.25">
      <c r="A395" s="204" t="s">
        <v>606</v>
      </c>
      <c r="B395" s="131" t="s">
        <v>1545</v>
      </c>
      <c r="C395" s="131" t="s">
        <v>1638</v>
      </c>
      <c r="D395" s="132" t="s">
        <v>275</v>
      </c>
      <c r="E395" s="201">
        <v>14423.636999999999</v>
      </c>
    </row>
    <row r="396" spans="1:5" x14ac:dyDescent="0.25">
      <c r="A396" s="204" t="s">
        <v>607</v>
      </c>
      <c r="B396" s="131" t="s">
        <v>1546</v>
      </c>
      <c r="C396" s="131" t="s">
        <v>1638</v>
      </c>
      <c r="D396" s="132" t="s">
        <v>275</v>
      </c>
      <c r="E396" s="201">
        <v>35987.991000000002</v>
      </c>
    </row>
    <row r="397" spans="1:5" x14ac:dyDescent="0.25">
      <c r="A397" s="204" t="s">
        <v>548</v>
      </c>
      <c r="B397" s="131" t="s">
        <v>1547</v>
      </c>
      <c r="C397" s="131" t="s">
        <v>1638</v>
      </c>
      <c r="D397" s="132" t="s">
        <v>275</v>
      </c>
      <c r="E397" s="201">
        <v>112915.82699999999</v>
      </c>
    </row>
    <row r="398" spans="1:5" x14ac:dyDescent="0.25">
      <c r="A398" s="204" t="s">
        <v>549</v>
      </c>
      <c r="B398" s="131" t="s">
        <v>1548</v>
      </c>
      <c r="C398" s="131" t="s">
        <v>1639</v>
      </c>
      <c r="D398" s="132" t="s">
        <v>275</v>
      </c>
      <c r="E398" s="201">
        <v>186655.39199999999</v>
      </c>
    </row>
    <row r="399" spans="1:5" x14ac:dyDescent="0.25">
      <c r="A399" s="204" t="s">
        <v>550</v>
      </c>
      <c r="B399" s="131" t="s">
        <v>1549</v>
      </c>
      <c r="C399" s="131" t="s">
        <v>1639</v>
      </c>
      <c r="D399" s="132" t="s">
        <v>275</v>
      </c>
      <c r="E399" s="201">
        <v>146220.56700000001</v>
      </c>
    </row>
    <row r="400" spans="1:5" x14ac:dyDescent="0.25">
      <c r="A400" s="204" t="s">
        <v>551</v>
      </c>
      <c r="B400" s="131" t="s">
        <v>1550</v>
      </c>
      <c r="C400" s="131" t="s">
        <v>1641</v>
      </c>
      <c r="D400" s="132" t="s">
        <v>275</v>
      </c>
      <c r="E400" s="201">
        <v>10549.601999999999</v>
      </c>
    </row>
    <row r="401" spans="1:5" x14ac:dyDescent="0.25">
      <c r="A401" s="204" t="s">
        <v>552</v>
      </c>
      <c r="B401" s="131" t="s">
        <v>1551</v>
      </c>
      <c r="C401" s="131" t="s">
        <v>1641</v>
      </c>
      <c r="D401" s="132" t="s">
        <v>275</v>
      </c>
      <c r="E401" s="201">
        <v>19196.076000000001</v>
      </c>
    </row>
    <row r="402" spans="1:5" x14ac:dyDescent="0.25">
      <c r="A402" s="204" t="s">
        <v>553</v>
      </c>
      <c r="B402" s="131" t="s">
        <v>1552</v>
      </c>
      <c r="D402" s="132" t="s">
        <v>275</v>
      </c>
      <c r="E402" s="201">
        <v>449219.277</v>
      </c>
    </row>
    <row r="403" spans="1:5" x14ac:dyDescent="0.25">
      <c r="A403" s="204" t="s">
        <v>608</v>
      </c>
      <c r="B403" s="131" t="s">
        <v>1553</v>
      </c>
      <c r="D403" s="132" t="s">
        <v>275</v>
      </c>
      <c r="E403" s="201">
        <v>454175.11799999996</v>
      </c>
    </row>
    <row r="404" spans="1:5" x14ac:dyDescent="0.25">
      <c r="A404" s="204" t="s">
        <v>554</v>
      </c>
      <c r="B404" s="131" t="s">
        <v>1554</v>
      </c>
      <c r="D404" s="132" t="s">
        <v>275</v>
      </c>
      <c r="E404" s="201">
        <v>643507.11600000004</v>
      </c>
    </row>
    <row r="405" spans="1:5" x14ac:dyDescent="0.25">
      <c r="A405" s="204" t="s">
        <v>555</v>
      </c>
      <c r="B405" s="131" t="s">
        <v>1555</v>
      </c>
      <c r="D405" s="132" t="s">
        <v>275</v>
      </c>
      <c r="E405" s="201">
        <v>476298.98099999997</v>
      </c>
    </row>
    <row r="406" spans="1:5" x14ac:dyDescent="0.25">
      <c r="A406" s="204" t="s">
        <v>556</v>
      </c>
      <c r="B406" s="131" t="s">
        <v>1556</v>
      </c>
      <c r="C406" s="131" t="s">
        <v>1641</v>
      </c>
      <c r="D406" s="132" t="s">
        <v>275</v>
      </c>
      <c r="E406" s="201">
        <v>508466.09700000001</v>
      </c>
    </row>
    <row r="407" spans="1:5" x14ac:dyDescent="0.25">
      <c r="A407" s="204" t="s">
        <v>557</v>
      </c>
      <c r="B407" s="131" t="s">
        <v>1557</v>
      </c>
      <c r="C407" s="131" t="s">
        <v>1641</v>
      </c>
      <c r="D407" s="132" t="s">
        <v>275</v>
      </c>
      <c r="E407" s="201">
        <v>213962.35499999998</v>
      </c>
    </row>
    <row r="408" spans="1:5" x14ac:dyDescent="0.25">
      <c r="A408" s="204" t="s">
        <v>558</v>
      </c>
      <c r="B408" s="131" t="s">
        <v>1558</v>
      </c>
      <c r="C408" s="131" t="s">
        <v>1638</v>
      </c>
      <c r="D408" s="132" t="s">
        <v>275</v>
      </c>
      <c r="E408" s="201">
        <v>12079.280999999999</v>
      </c>
    </row>
    <row r="409" spans="1:5" x14ac:dyDescent="0.25">
      <c r="A409" s="204" t="s">
        <v>559</v>
      </c>
      <c r="B409" s="131" t="s">
        <v>1559</v>
      </c>
      <c r="C409" s="131" t="s">
        <v>1641</v>
      </c>
      <c r="D409" s="132" t="s">
        <v>275</v>
      </c>
      <c r="E409" s="201">
        <v>421125.54599999997</v>
      </c>
    </row>
    <row r="410" spans="1:5" x14ac:dyDescent="0.25">
      <c r="A410" s="204" t="s">
        <v>560</v>
      </c>
      <c r="B410" s="131" t="s">
        <v>1560</v>
      </c>
      <c r="C410" s="131" t="s">
        <v>1639</v>
      </c>
      <c r="D410" s="132" t="s">
        <v>275</v>
      </c>
      <c r="E410" s="201">
        <v>10549.601999999999</v>
      </c>
    </row>
    <row r="411" spans="1:5" x14ac:dyDescent="0.25">
      <c r="A411" s="204" t="s">
        <v>561</v>
      </c>
      <c r="B411" s="131" t="s">
        <v>1561</v>
      </c>
      <c r="C411" s="131" t="s">
        <v>1639</v>
      </c>
      <c r="D411" s="132" t="s">
        <v>275</v>
      </c>
      <c r="E411" s="201">
        <v>648237.027</v>
      </c>
    </row>
    <row r="412" spans="1:5" x14ac:dyDescent="0.25">
      <c r="A412" s="204" t="s">
        <v>562</v>
      </c>
      <c r="B412" s="131" t="s">
        <v>1562</v>
      </c>
      <c r="C412" s="131" t="s">
        <v>1638</v>
      </c>
      <c r="D412" s="132" t="s">
        <v>275</v>
      </c>
      <c r="E412" s="201">
        <v>3290.6039999999998</v>
      </c>
    </row>
    <row r="413" spans="1:5" x14ac:dyDescent="0.25">
      <c r="A413" s="204" t="s">
        <v>563</v>
      </c>
      <c r="B413" s="131" t="s">
        <v>1563</v>
      </c>
      <c r="C413" s="131" t="s">
        <v>1638</v>
      </c>
      <c r="D413" s="132" t="s">
        <v>275</v>
      </c>
      <c r="E413" s="201">
        <v>116955.98699999999</v>
      </c>
    </row>
    <row r="414" spans="1:5" x14ac:dyDescent="0.25">
      <c r="A414" s="204" t="s">
        <v>564</v>
      </c>
      <c r="B414" s="131" t="s">
        <v>1564</v>
      </c>
      <c r="C414" s="131" t="s">
        <v>1638</v>
      </c>
      <c r="D414" s="132" t="s">
        <v>275</v>
      </c>
      <c r="E414" s="201">
        <v>583024.326</v>
      </c>
    </row>
    <row r="415" spans="1:5" x14ac:dyDescent="0.25">
      <c r="A415" s="204" t="s">
        <v>565</v>
      </c>
      <c r="B415" s="131" t="s">
        <v>1565</v>
      </c>
      <c r="C415" s="131" t="s">
        <v>1638</v>
      </c>
      <c r="D415" s="132" t="s">
        <v>275</v>
      </c>
      <c r="E415" s="201">
        <v>9138.2039999999997</v>
      </c>
    </row>
    <row r="416" spans="1:5" x14ac:dyDescent="0.25">
      <c r="A416" s="204" t="s">
        <v>566</v>
      </c>
      <c r="B416" s="131" t="s">
        <v>1566</v>
      </c>
      <c r="C416" s="131" t="s">
        <v>1639</v>
      </c>
      <c r="D416" s="132" t="s">
        <v>275</v>
      </c>
      <c r="E416" s="201">
        <v>167610.82199999999</v>
      </c>
    </row>
    <row r="417" spans="1:5" ht="22.5" x14ac:dyDescent="0.25">
      <c r="A417" s="204" t="s">
        <v>567</v>
      </c>
      <c r="B417" s="131" t="s">
        <v>1567</v>
      </c>
      <c r="C417" s="131" t="s">
        <v>1639</v>
      </c>
      <c r="D417" s="132" t="s">
        <v>275</v>
      </c>
      <c r="E417" s="201">
        <v>179966.535</v>
      </c>
    </row>
    <row r="418" spans="1:5" x14ac:dyDescent="0.25">
      <c r="A418" s="204" t="s">
        <v>568</v>
      </c>
      <c r="B418" s="131" t="s">
        <v>1568</v>
      </c>
      <c r="C418" s="131" t="s">
        <v>1639</v>
      </c>
      <c r="D418" s="132" t="s">
        <v>275</v>
      </c>
      <c r="E418" s="201">
        <v>173352.10199999998</v>
      </c>
    </row>
    <row r="419" spans="1:5" x14ac:dyDescent="0.25">
      <c r="A419" s="204" t="s">
        <v>569</v>
      </c>
      <c r="B419" s="131" t="s">
        <v>1569</v>
      </c>
      <c r="C419" s="131" t="s">
        <v>1639</v>
      </c>
      <c r="D419" s="132" t="s">
        <v>275</v>
      </c>
      <c r="E419" s="201">
        <v>269950.467</v>
      </c>
    </row>
    <row r="420" spans="1:5" x14ac:dyDescent="0.25">
      <c r="A420" s="204" t="s">
        <v>609</v>
      </c>
      <c r="B420" s="131" t="s">
        <v>1570</v>
      </c>
      <c r="C420" s="131" t="s">
        <v>1639</v>
      </c>
      <c r="D420" s="132" t="s">
        <v>275</v>
      </c>
      <c r="E420" s="201">
        <v>352434.85200000001</v>
      </c>
    </row>
    <row r="421" spans="1:5" x14ac:dyDescent="0.25">
      <c r="A421" s="204" t="s">
        <v>610</v>
      </c>
      <c r="B421" s="131" t="s">
        <v>1571</v>
      </c>
      <c r="C421" s="131" t="s">
        <v>1639</v>
      </c>
      <c r="D421" s="132" t="s">
        <v>275</v>
      </c>
      <c r="E421" s="201">
        <v>239956.266</v>
      </c>
    </row>
    <row r="422" spans="1:5" x14ac:dyDescent="0.25">
      <c r="A422" s="204" t="s">
        <v>611</v>
      </c>
      <c r="B422" s="131" t="s">
        <v>1572</v>
      </c>
      <c r="C422" s="131" t="s">
        <v>1639</v>
      </c>
      <c r="D422" s="132" t="s">
        <v>275</v>
      </c>
      <c r="E422" s="201">
        <v>239956.266</v>
      </c>
    </row>
    <row r="423" spans="1:5" x14ac:dyDescent="0.25">
      <c r="A423" s="204" t="s">
        <v>612</v>
      </c>
      <c r="B423" s="131" t="s">
        <v>1573</v>
      </c>
      <c r="C423" s="131" t="s">
        <v>1639</v>
      </c>
      <c r="D423" s="132" t="s">
        <v>275</v>
      </c>
      <c r="E423" s="201">
        <v>141264.726</v>
      </c>
    </row>
    <row r="424" spans="1:5" x14ac:dyDescent="0.25">
      <c r="A424" s="204" t="s">
        <v>613</v>
      </c>
      <c r="B424" s="131" t="s">
        <v>1574</v>
      </c>
      <c r="C424" s="131" t="s">
        <v>1639</v>
      </c>
      <c r="D424" s="132" t="s">
        <v>275</v>
      </c>
      <c r="E424" s="201">
        <v>194964.3</v>
      </c>
    </row>
    <row r="425" spans="1:5" ht="22.5" x14ac:dyDescent="0.25">
      <c r="A425" s="204" t="s">
        <v>570</v>
      </c>
      <c r="B425" s="131" t="s">
        <v>1575</v>
      </c>
      <c r="C425" s="131" t="s">
        <v>1639</v>
      </c>
      <c r="D425" s="132" t="s">
        <v>275</v>
      </c>
      <c r="E425" s="201">
        <v>194964.3</v>
      </c>
    </row>
    <row r="426" spans="1:5" x14ac:dyDescent="0.25">
      <c r="A426" s="204" t="s">
        <v>571</v>
      </c>
      <c r="B426" s="131" t="s">
        <v>1576</v>
      </c>
      <c r="C426" s="131" t="s">
        <v>1639</v>
      </c>
      <c r="D426" s="132" t="s">
        <v>275</v>
      </c>
      <c r="E426" s="201">
        <v>256785.39299999998</v>
      </c>
    </row>
    <row r="427" spans="1:5" x14ac:dyDescent="0.25">
      <c r="A427" s="204" t="s">
        <v>572</v>
      </c>
      <c r="B427" s="131" t="s">
        <v>1577</v>
      </c>
      <c r="C427" s="131" t="s">
        <v>1639</v>
      </c>
      <c r="D427" s="132" t="s">
        <v>275</v>
      </c>
      <c r="E427" s="201">
        <v>218208.50999999998</v>
      </c>
    </row>
    <row r="428" spans="1:5" x14ac:dyDescent="0.25">
      <c r="A428" s="204" t="s">
        <v>573</v>
      </c>
      <c r="B428" s="131" t="s">
        <v>1578</v>
      </c>
      <c r="C428" s="131" t="s">
        <v>1639</v>
      </c>
      <c r="D428" s="132" t="s">
        <v>275</v>
      </c>
      <c r="E428" s="201">
        <v>172019.11499999999</v>
      </c>
    </row>
    <row r="429" spans="1:5" x14ac:dyDescent="0.25">
      <c r="A429" s="204" t="s">
        <v>574</v>
      </c>
      <c r="B429" s="131" t="s">
        <v>1579</v>
      </c>
      <c r="D429" s="132" t="s">
        <v>275</v>
      </c>
      <c r="E429" s="201">
        <v>6320.7240000000002</v>
      </c>
    </row>
    <row r="430" spans="1:5" x14ac:dyDescent="0.25">
      <c r="A430" s="204" t="s">
        <v>575</v>
      </c>
      <c r="B430" s="131" t="s">
        <v>1580</v>
      </c>
      <c r="D430" s="132" t="s">
        <v>275</v>
      </c>
      <c r="E430" s="201">
        <v>124483.443</v>
      </c>
    </row>
    <row r="431" spans="1:5" x14ac:dyDescent="0.25">
      <c r="A431" s="204" t="s">
        <v>614</v>
      </c>
      <c r="B431" s="131" t="s">
        <v>1581</v>
      </c>
      <c r="D431" s="132" t="s">
        <v>275</v>
      </c>
      <c r="E431" s="201">
        <v>111.636</v>
      </c>
    </row>
    <row r="432" spans="1:5" x14ac:dyDescent="0.25">
      <c r="A432" s="204" t="s">
        <v>576</v>
      </c>
      <c r="B432" s="131" t="s">
        <v>1582</v>
      </c>
      <c r="C432" s="131" t="s">
        <v>1638</v>
      </c>
      <c r="D432" s="132" t="s">
        <v>275</v>
      </c>
      <c r="E432" s="201">
        <v>3329.145</v>
      </c>
    </row>
    <row r="433" spans="1:5" x14ac:dyDescent="0.25">
      <c r="A433" s="204" t="s">
        <v>615</v>
      </c>
      <c r="B433" s="131" t="s">
        <v>1583</v>
      </c>
      <c r="C433" s="131" t="s">
        <v>1638</v>
      </c>
      <c r="D433" s="132" t="s">
        <v>275</v>
      </c>
      <c r="E433" s="201">
        <v>2954.3669999999997</v>
      </c>
    </row>
    <row r="434" spans="1:5" x14ac:dyDescent="0.25">
      <c r="A434" s="204" t="s">
        <v>577</v>
      </c>
      <c r="B434" s="131" t="s">
        <v>1584</v>
      </c>
      <c r="C434" s="131" t="s">
        <v>1638</v>
      </c>
      <c r="D434" s="132" t="s">
        <v>275</v>
      </c>
      <c r="E434" s="201">
        <v>5213.6669999999995</v>
      </c>
    </row>
    <row r="435" spans="1:5" x14ac:dyDescent="0.25">
      <c r="A435" s="204" t="s">
        <v>578</v>
      </c>
      <c r="B435" s="131" t="s">
        <v>1585</v>
      </c>
      <c r="D435" s="132" t="s">
        <v>36</v>
      </c>
      <c r="E435" s="201">
        <v>345958.63500000001</v>
      </c>
    </row>
    <row r="436" spans="1:5" x14ac:dyDescent="0.25">
      <c r="A436" s="204" t="s">
        <v>579</v>
      </c>
      <c r="B436" s="131" t="s">
        <v>1586</v>
      </c>
      <c r="D436" s="132" t="s">
        <v>275</v>
      </c>
      <c r="E436" s="201">
        <v>59678.744999999995</v>
      </c>
    </row>
    <row r="437" spans="1:5" x14ac:dyDescent="0.25">
      <c r="A437" s="204" t="s">
        <v>580</v>
      </c>
      <c r="B437" s="131" t="s">
        <v>1587</v>
      </c>
      <c r="D437" s="132" t="s">
        <v>624</v>
      </c>
      <c r="E437" s="201">
        <v>1800.7949999999998</v>
      </c>
    </row>
    <row r="438" spans="1:5" x14ac:dyDescent="0.25">
      <c r="A438" s="204" t="s">
        <v>581</v>
      </c>
      <c r="B438" s="131" t="s">
        <v>1588</v>
      </c>
      <c r="D438" s="132" t="s">
        <v>624</v>
      </c>
      <c r="E438" s="201">
        <v>2018.751</v>
      </c>
    </row>
    <row r="439" spans="1:5" x14ac:dyDescent="0.25">
      <c r="A439" s="204" t="s">
        <v>616</v>
      </c>
      <c r="B439" s="131" t="s">
        <v>1589</v>
      </c>
      <c r="D439" s="132" t="s">
        <v>625</v>
      </c>
      <c r="E439" s="201">
        <v>0.33668669733327816</v>
      </c>
    </row>
    <row r="440" spans="1:5" x14ac:dyDescent="0.25">
      <c r="A440" s="204" t="s">
        <v>617</v>
      </c>
      <c r="B440" s="131" t="s">
        <v>1590</v>
      </c>
      <c r="D440" s="132" t="s">
        <v>625</v>
      </c>
      <c r="E440" s="201">
        <v>0.40794182471070323</v>
      </c>
    </row>
    <row r="441" spans="1:5" x14ac:dyDescent="0.25">
      <c r="A441" s="204" t="s">
        <v>618</v>
      </c>
      <c r="B441" s="131" t="s">
        <v>1591</v>
      </c>
      <c r="D441" s="132" t="s">
        <v>624</v>
      </c>
      <c r="E441" s="201">
        <v>1966.9199999999998</v>
      </c>
    </row>
    <row r="442" spans="1:5" x14ac:dyDescent="0.25">
      <c r="A442" s="204" t="s">
        <v>619</v>
      </c>
      <c r="B442" s="131" t="s">
        <v>1592</v>
      </c>
      <c r="D442" s="132" t="s">
        <v>624</v>
      </c>
      <c r="E442" s="201">
        <v>1790.163</v>
      </c>
    </row>
    <row r="443" spans="1:5" x14ac:dyDescent="0.25">
      <c r="A443" s="204" t="s">
        <v>582</v>
      </c>
      <c r="B443" s="131" t="s">
        <v>1593</v>
      </c>
      <c r="D443" s="132" t="s">
        <v>275</v>
      </c>
      <c r="E443" s="201">
        <v>55299.689999999995</v>
      </c>
    </row>
    <row r="444" spans="1:5" x14ac:dyDescent="0.25">
      <c r="A444" s="204" t="s">
        <v>1708</v>
      </c>
      <c r="B444" s="131" t="s">
        <v>1594</v>
      </c>
      <c r="D444" s="132" t="s">
        <v>624</v>
      </c>
      <c r="E444" s="201">
        <f>1096.425*1.4</f>
        <v>1534.9949999999999</v>
      </c>
    </row>
    <row r="445" spans="1:5" x14ac:dyDescent="0.25">
      <c r="A445" s="204" t="s">
        <v>583</v>
      </c>
      <c r="B445" s="131" t="s">
        <v>1595</v>
      </c>
      <c r="D445" s="132" t="s">
        <v>275</v>
      </c>
      <c r="E445" s="201">
        <v>49991.663999999997</v>
      </c>
    </row>
    <row r="446" spans="1:5" x14ac:dyDescent="0.25">
      <c r="A446" s="204" t="s">
        <v>584</v>
      </c>
      <c r="B446" s="131" t="s">
        <v>1596</v>
      </c>
      <c r="D446" s="132" t="s">
        <v>275</v>
      </c>
      <c r="E446" s="201">
        <v>215801.69099999999</v>
      </c>
    </row>
    <row r="447" spans="1:5" ht="22.5" x14ac:dyDescent="0.25">
      <c r="A447" s="204" t="s">
        <v>620</v>
      </c>
      <c r="B447" s="131" t="s">
        <v>1597</v>
      </c>
      <c r="D447" s="132" t="s">
        <v>275</v>
      </c>
      <c r="E447" s="201">
        <v>344936.63399999996</v>
      </c>
    </row>
    <row r="448" spans="1:5" x14ac:dyDescent="0.25">
      <c r="A448" s="204" t="s">
        <v>585</v>
      </c>
      <c r="B448" s="131" t="s">
        <v>1598</v>
      </c>
      <c r="D448" s="132" t="s">
        <v>275</v>
      </c>
      <c r="E448" s="201">
        <v>170021.628</v>
      </c>
    </row>
    <row r="449" spans="1:5" x14ac:dyDescent="0.25">
      <c r="A449" s="204" t="s">
        <v>586</v>
      </c>
      <c r="B449" s="131" t="s">
        <v>1599</v>
      </c>
      <c r="D449" s="132" t="s">
        <v>275</v>
      </c>
      <c r="E449" s="201">
        <v>170021.628</v>
      </c>
    </row>
    <row r="450" spans="1:5" x14ac:dyDescent="0.25">
      <c r="A450" s="204" t="s">
        <v>621</v>
      </c>
      <c r="B450" s="131" t="s">
        <v>1600</v>
      </c>
      <c r="C450" s="131" t="s">
        <v>1638</v>
      </c>
      <c r="D450" s="132" t="s">
        <v>275</v>
      </c>
      <c r="E450" s="201">
        <v>9306.9869999999992</v>
      </c>
    </row>
    <row r="451" spans="1:5" x14ac:dyDescent="0.25">
      <c r="A451" s="204" t="s">
        <v>587</v>
      </c>
      <c r="B451" s="131" t="s">
        <v>1601</v>
      </c>
      <c r="C451" s="131" t="s">
        <v>1638</v>
      </c>
      <c r="D451" s="132" t="s">
        <v>275</v>
      </c>
      <c r="E451" s="201">
        <v>9390.7139999999999</v>
      </c>
    </row>
    <row r="452" spans="1:5" x14ac:dyDescent="0.25">
      <c r="A452" s="204" t="s">
        <v>588</v>
      </c>
      <c r="B452" s="131" t="s">
        <v>1602</v>
      </c>
      <c r="C452" s="131" t="s">
        <v>1639</v>
      </c>
      <c r="D452" s="132" t="s">
        <v>275</v>
      </c>
      <c r="E452" s="201">
        <v>58150.394999999997</v>
      </c>
    </row>
    <row r="453" spans="1:5" x14ac:dyDescent="0.25">
      <c r="A453" s="204" t="s">
        <v>622</v>
      </c>
      <c r="B453" s="131" t="s">
        <v>1603</v>
      </c>
      <c r="C453" s="131" t="s">
        <v>1639</v>
      </c>
      <c r="D453" s="132" t="s">
        <v>275</v>
      </c>
      <c r="E453" s="201">
        <v>149972.334</v>
      </c>
    </row>
    <row r="454" spans="1:5" x14ac:dyDescent="0.25">
      <c r="A454" s="204" t="s">
        <v>623</v>
      </c>
      <c r="B454" s="131" t="s">
        <v>1604</v>
      </c>
      <c r="C454" s="131" t="s">
        <v>1639</v>
      </c>
      <c r="D454" s="132" t="s">
        <v>275</v>
      </c>
      <c r="E454" s="201">
        <v>164970.09899999999</v>
      </c>
    </row>
    <row r="455" spans="1:5" x14ac:dyDescent="0.25">
      <c r="A455" s="204" t="s">
        <v>589</v>
      </c>
      <c r="B455" s="131" t="s">
        <v>1605</v>
      </c>
      <c r="C455" s="131" t="s">
        <v>1639</v>
      </c>
      <c r="D455" s="132" t="s">
        <v>275</v>
      </c>
      <c r="E455" s="201">
        <v>164970.09899999999</v>
      </c>
    </row>
    <row r="456" spans="1:5" x14ac:dyDescent="0.25">
      <c r="A456" s="204" t="s">
        <v>590</v>
      </c>
      <c r="B456" s="131" t="s">
        <v>1606</v>
      </c>
      <c r="C456" s="131" t="s">
        <v>1641</v>
      </c>
      <c r="D456" s="132" t="s">
        <v>275</v>
      </c>
      <c r="E456" s="201">
        <v>62556.03</v>
      </c>
    </row>
    <row r="457" spans="1:5" x14ac:dyDescent="0.25">
      <c r="A457" s="204" t="s">
        <v>276</v>
      </c>
      <c r="B457" s="137" t="s">
        <v>1607</v>
      </c>
      <c r="C457" s="131" t="s">
        <v>1638</v>
      </c>
      <c r="D457" s="132" t="s">
        <v>275</v>
      </c>
      <c r="E457" s="201">
        <v>5000</v>
      </c>
    </row>
    <row r="458" spans="1:5" x14ac:dyDescent="0.25">
      <c r="A458" s="204" t="s">
        <v>432</v>
      </c>
      <c r="B458" s="137" t="s">
        <v>1608</v>
      </c>
      <c r="C458" s="131" t="s">
        <v>1641</v>
      </c>
      <c r="D458" s="132" t="s">
        <v>275</v>
      </c>
      <c r="E458" s="201">
        <v>7500</v>
      </c>
    </row>
    <row r="459" spans="1:5" x14ac:dyDescent="0.25">
      <c r="A459" s="204" t="s">
        <v>433</v>
      </c>
      <c r="B459" s="137" t="s">
        <v>1609</v>
      </c>
      <c r="C459" s="131" t="s">
        <v>1641</v>
      </c>
      <c r="D459" s="132" t="s">
        <v>275</v>
      </c>
      <c r="E459" s="201">
        <v>6250</v>
      </c>
    </row>
    <row r="460" spans="1:5" x14ac:dyDescent="0.25">
      <c r="A460" s="204" t="s">
        <v>434</v>
      </c>
      <c r="B460" s="137" t="s">
        <v>1610</v>
      </c>
      <c r="C460" s="131" t="s">
        <v>1641</v>
      </c>
      <c r="D460" s="132" t="s">
        <v>275</v>
      </c>
      <c r="E460" s="201">
        <v>8750</v>
      </c>
    </row>
    <row r="461" spans="1:5" x14ac:dyDescent="0.25">
      <c r="A461" s="204" t="s">
        <v>435</v>
      </c>
      <c r="B461" s="137" t="s">
        <v>1611</v>
      </c>
      <c r="C461" s="131" t="s">
        <v>1641</v>
      </c>
      <c r="D461" s="132" t="s">
        <v>275</v>
      </c>
      <c r="E461" s="201">
        <v>8750</v>
      </c>
    </row>
    <row r="462" spans="1:5" x14ac:dyDescent="0.25">
      <c r="A462" s="204" t="s">
        <v>436</v>
      </c>
      <c r="B462" s="137" t="s">
        <v>1612</v>
      </c>
      <c r="C462" s="131" t="s">
        <v>1641</v>
      </c>
      <c r="D462" s="132" t="s">
        <v>275</v>
      </c>
      <c r="E462" s="201">
        <v>12500</v>
      </c>
    </row>
    <row r="463" spans="1:5" x14ac:dyDescent="0.25">
      <c r="A463" s="204" t="s">
        <v>437</v>
      </c>
      <c r="B463" s="137" t="s">
        <v>1613</v>
      </c>
      <c r="C463" s="131" t="s">
        <v>1639</v>
      </c>
      <c r="D463" s="132" t="s">
        <v>275</v>
      </c>
      <c r="E463" s="201">
        <v>12500</v>
      </c>
    </row>
    <row r="464" spans="1:5" x14ac:dyDescent="0.25">
      <c r="A464" s="204" t="s">
        <v>438</v>
      </c>
      <c r="B464" s="137" t="s">
        <v>1614</v>
      </c>
      <c r="C464" s="131" t="s">
        <v>1638</v>
      </c>
      <c r="D464" s="132" t="s">
        <v>275</v>
      </c>
      <c r="E464" s="201">
        <v>16250</v>
      </c>
    </row>
    <row r="465" spans="1:5" x14ac:dyDescent="0.25">
      <c r="A465" s="204" t="s">
        <v>439</v>
      </c>
      <c r="B465" s="137" t="s">
        <v>1615</v>
      </c>
      <c r="C465" s="131" t="s">
        <v>1638</v>
      </c>
      <c r="D465" s="132" t="s">
        <v>275</v>
      </c>
      <c r="E465" s="201">
        <v>10000</v>
      </c>
    </row>
    <row r="466" spans="1:5" x14ac:dyDescent="0.25">
      <c r="A466" s="204" t="s">
        <v>1699</v>
      </c>
      <c r="B466" s="137" t="s">
        <v>1616</v>
      </c>
      <c r="C466" s="131" t="s">
        <v>1638</v>
      </c>
      <c r="D466" s="132" t="s">
        <v>275</v>
      </c>
      <c r="E466" s="201">
        <v>6250</v>
      </c>
    </row>
    <row r="467" spans="1:5" x14ac:dyDescent="0.25">
      <c r="A467" s="204" t="s">
        <v>440</v>
      </c>
      <c r="B467" s="137" t="s">
        <v>1617</v>
      </c>
      <c r="C467" s="131" t="s">
        <v>1638</v>
      </c>
      <c r="D467" s="132" t="s">
        <v>275</v>
      </c>
      <c r="E467" s="201">
        <v>6250</v>
      </c>
    </row>
    <row r="468" spans="1:5" x14ac:dyDescent="0.25">
      <c r="A468" s="204" t="s">
        <v>441</v>
      </c>
      <c r="B468" s="137" t="s">
        <v>1618</v>
      </c>
      <c r="C468" s="131" t="s">
        <v>1638</v>
      </c>
      <c r="D468" s="132" t="s">
        <v>275</v>
      </c>
      <c r="E468" s="201">
        <v>5000</v>
      </c>
    </row>
    <row r="469" spans="1:5" x14ac:dyDescent="0.25">
      <c r="A469" s="204" t="s">
        <v>442</v>
      </c>
      <c r="B469" s="137" t="s">
        <v>1619</v>
      </c>
      <c r="C469" s="131" t="s">
        <v>1638</v>
      </c>
      <c r="D469" s="132" t="s">
        <v>275</v>
      </c>
      <c r="E469" s="201">
        <v>7500</v>
      </c>
    </row>
    <row r="470" spans="1:5" x14ac:dyDescent="0.25">
      <c r="A470" s="204" t="s">
        <v>443</v>
      </c>
      <c r="B470" s="137" t="s">
        <v>1620</v>
      </c>
      <c r="C470" s="131" t="s">
        <v>1636</v>
      </c>
      <c r="D470" s="132" t="s">
        <v>275</v>
      </c>
      <c r="E470" s="201">
        <v>2500</v>
      </c>
    </row>
    <row r="471" spans="1:5" x14ac:dyDescent="0.25">
      <c r="A471" s="204" t="s">
        <v>444</v>
      </c>
      <c r="B471" s="137" t="s">
        <v>1621</v>
      </c>
      <c r="C471" s="131" t="s">
        <v>1636</v>
      </c>
      <c r="D471" s="132" t="s">
        <v>275</v>
      </c>
      <c r="E471" s="201">
        <v>1875</v>
      </c>
    </row>
    <row r="472" spans="1:5" x14ac:dyDescent="0.25">
      <c r="A472" s="204" t="s">
        <v>445</v>
      </c>
      <c r="B472" s="137" t="s">
        <v>1622</v>
      </c>
      <c r="C472" s="131" t="s">
        <v>1636</v>
      </c>
      <c r="D472" s="132" t="s">
        <v>275</v>
      </c>
      <c r="E472" s="201">
        <v>1500</v>
      </c>
    </row>
    <row r="473" spans="1:5" x14ac:dyDescent="0.25">
      <c r="A473" s="204" t="s">
        <v>446</v>
      </c>
      <c r="B473" s="137" t="s">
        <v>1623</v>
      </c>
      <c r="C473" s="131" t="s">
        <v>1636</v>
      </c>
      <c r="D473" s="132" t="s">
        <v>275</v>
      </c>
      <c r="E473" s="201">
        <v>1000</v>
      </c>
    </row>
    <row r="474" spans="1:5" x14ac:dyDescent="0.25">
      <c r="A474" s="204" t="s">
        <v>447</v>
      </c>
      <c r="B474" s="137" t="s">
        <v>1624</v>
      </c>
      <c r="C474" s="131" t="s">
        <v>1636</v>
      </c>
      <c r="D474" s="132" t="s">
        <v>275</v>
      </c>
      <c r="E474" s="201">
        <v>125</v>
      </c>
    </row>
    <row r="475" spans="1:5" x14ac:dyDescent="0.25">
      <c r="A475" s="204" t="s">
        <v>1707</v>
      </c>
      <c r="B475" s="137" t="s">
        <v>1625</v>
      </c>
      <c r="C475" s="131" t="s">
        <v>1636</v>
      </c>
      <c r="D475" s="132" t="s">
        <v>275</v>
      </c>
      <c r="E475" s="201">
        <v>1250</v>
      </c>
    </row>
    <row r="476" spans="1:5" x14ac:dyDescent="0.25">
      <c r="A476" s="204" t="s">
        <v>448</v>
      </c>
      <c r="B476" s="137" t="s">
        <v>1626</v>
      </c>
      <c r="C476" s="131" t="s">
        <v>1636</v>
      </c>
      <c r="D476" s="132" t="s">
        <v>275</v>
      </c>
      <c r="E476" s="201">
        <v>1250</v>
      </c>
    </row>
    <row r="477" spans="1:5" x14ac:dyDescent="0.25">
      <c r="A477" s="204" t="s">
        <v>449</v>
      </c>
      <c r="B477" s="137" t="s">
        <v>1627</v>
      </c>
      <c r="C477" s="131" t="s">
        <v>1636</v>
      </c>
      <c r="D477" s="132" t="s">
        <v>275</v>
      </c>
      <c r="E477" s="201">
        <v>1500</v>
      </c>
    </row>
    <row r="478" spans="1:5" x14ac:dyDescent="0.25">
      <c r="A478" s="204" t="s">
        <v>456</v>
      </c>
      <c r="B478" s="137" t="s">
        <v>1628</v>
      </c>
      <c r="C478" s="131" t="s">
        <v>1636</v>
      </c>
      <c r="D478" s="132" t="s">
        <v>275</v>
      </c>
      <c r="E478" s="201">
        <v>6250</v>
      </c>
    </row>
    <row r="479" spans="1:5" x14ac:dyDescent="0.25">
      <c r="A479" s="204" t="s">
        <v>450</v>
      </c>
      <c r="B479" s="137" t="s">
        <v>1629</v>
      </c>
      <c r="C479" s="131" t="s">
        <v>1636</v>
      </c>
      <c r="D479" s="132" t="s">
        <v>275</v>
      </c>
      <c r="E479" s="201">
        <v>125</v>
      </c>
    </row>
    <row r="480" spans="1:5" x14ac:dyDescent="0.25">
      <c r="A480" s="204" t="s">
        <v>451</v>
      </c>
      <c r="B480" s="137" t="s">
        <v>1630</v>
      </c>
      <c r="C480" s="131" t="s">
        <v>1636</v>
      </c>
      <c r="D480" s="132" t="s">
        <v>275</v>
      </c>
      <c r="E480" s="201">
        <v>125</v>
      </c>
    </row>
    <row r="481" spans="1:5" x14ac:dyDescent="0.25">
      <c r="A481" s="204" t="s">
        <v>452</v>
      </c>
      <c r="B481" s="137" t="s">
        <v>1631</v>
      </c>
      <c r="C481" s="131" t="s">
        <v>1636</v>
      </c>
      <c r="D481" s="132" t="s">
        <v>275</v>
      </c>
      <c r="E481" s="201">
        <v>65000</v>
      </c>
    </row>
    <row r="482" spans="1:5" x14ac:dyDescent="0.25">
      <c r="A482" s="204" t="s">
        <v>453</v>
      </c>
      <c r="B482" s="137" t="s">
        <v>1632</v>
      </c>
      <c r="C482" s="131" t="s">
        <v>1636</v>
      </c>
      <c r="D482" s="132" t="s">
        <v>275</v>
      </c>
      <c r="E482" s="201">
        <v>3750</v>
      </c>
    </row>
    <row r="483" spans="1:5" x14ac:dyDescent="0.25">
      <c r="A483" s="204" t="s">
        <v>454</v>
      </c>
      <c r="B483" s="137" t="s">
        <v>1633</v>
      </c>
      <c r="C483" s="131" t="s">
        <v>1636</v>
      </c>
      <c r="D483" s="132" t="s">
        <v>275</v>
      </c>
      <c r="E483" s="201">
        <v>75</v>
      </c>
    </row>
    <row r="484" spans="1:5" x14ac:dyDescent="0.25">
      <c r="A484" s="204" t="s">
        <v>455</v>
      </c>
      <c r="B484" s="137" t="s">
        <v>1634</v>
      </c>
      <c r="C484" s="131" t="s">
        <v>1636</v>
      </c>
      <c r="D484" s="132" t="s">
        <v>275</v>
      </c>
      <c r="E484" s="201">
        <v>75</v>
      </c>
    </row>
    <row r="485" spans="1:5" x14ac:dyDescent="0.25">
      <c r="A485" s="204" t="s">
        <v>471</v>
      </c>
      <c r="B485" s="131" t="s">
        <v>1635</v>
      </c>
      <c r="C485" s="131" t="s">
        <v>1638</v>
      </c>
      <c r="D485" s="132" t="s">
        <v>275</v>
      </c>
      <c r="E485" s="201">
        <v>5625</v>
      </c>
    </row>
    <row r="486" spans="1:5" x14ac:dyDescent="0.25">
      <c r="A486" s="204"/>
      <c r="D486" s="131"/>
      <c r="E486" s="183"/>
    </row>
    <row r="487" spans="1:5" x14ac:dyDescent="0.25">
      <c r="A487" s="204"/>
      <c r="D487" s="131"/>
      <c r="E487" s="183"/>
    </row>
    <row r="488" spans="1:5" ht="12" thickBot="1" x14ac:dyDescent="0.3">
      <c r="A488" s="208"/>
      <c r="B488" s="180"/>
      <c r="C488" s="180"/>
      <c r="D488" s="180"/>
      <c r="E488" s="184"/>
    </row>
  </sheetData>
  <mergeCells count="2">
    <mergeCell ref="A305:E305"/>
    <mergeCell ref="A1:D1"/>
  </mergeCells>
  <pageMargins left="0.74803149606299213" right="0.74803149606299213" top="0.98425196850393704" bottom="0.98425196850393704" header="0" footer="0"/>
  <pageSetup paperSize="9" scale="50" orientation="portrait" horizontalDpi="300" verticalDpi="300" r:id="rId1"/>
  <headerFooter alignWithMargins="0"/>
  <rowBreaks count="2" manualBreakCount="2">
    <brk id="409" max="3" man="1"/>
    <brk id="488" max="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I216"/>
  <sheetViews>
    <sheetView zoomScale="110" zoomScaleNormal="110" workbookViewId="0">
      <selection activeCell="A25" sqref="A25"/>
    </sheetView>
  </sheetViews>
  <sheetFormatPr baseColWidth="10" defaultRowHeight="11.25" x14ac:dyDescent="0.25"/>
  <cols>
    <col min="1" max="1" width="33.42578125" style="218" customWidth="1"/>
    <col min="2" max="2" width="15.28515625" style="45" customWidth="1"/>
    <col min="3" max="3" width="8.28515625" style="44" customWidth="1"/>
    <col min="4" max="4" width="12.85546875" style="44" customWidth="1"/>
    <col min="5" max="5" width="15.42578125" style="44" customWidth="1"/>
    <col min="6" max="253" width="11.42578125" style="44"/>
    <col min="254" max="254" width="35.42578125" style="44" customWidth="1"/>
    <col min="255" max="255" width="18.42578125" style="44" customWidth="1"/>
    <col min="256" max="256" width="20.140625" style="44" customWidth="1"/>
    <col min="257" max="257" width="22" style="44" customWidth="1"/>
    <col min="258" max="258" width="23.42578125" style="44" customWidth="1"/>
    <col min="259" max="259" width="17" style="44" customWidth="1"/>
    <col min="260" max="509" width="11.42578125" style="44"/>
    <col min="510" max="510" width="35.42578125" style="44" customWidth="1"/>
    <col min="511" max="511" width="18.42578125" style="44" customWidth="1"/>
    <col min="512" max="512" width="20.140625" style="44" customWidth="1"/>
    <col min="513" max="513" width="22" style="44" customWidth="1"/>
    <col min="514" max="514" width="23.42578125" style="44" customWidth="1"/>
    <col min="515" max="515" width="17" style="44" customWidth="1"/>
    <col min="516" max="765" width="11.42578125" style="44"/>
    <col min="766" max="766" width="35.42578125" style="44" customWidth="1"/>
    <col min="767" max="767" width="18.42578125" style="44" customWidth="1"/>
    <col min="768" max="768" width="20.140625" style="44" customWidth="1"/>
    <col min="769" max="769" width="22" style="44" customWidth="1"/>
    <col min="770" max="770" width="23.42578125" style="44" customWidth="1"/>
    <col min="771" max="771" width="17" style="44" customWidth="1"/>
    <col min="772" max="1021" width="11.42578125" style="44"/>
    <col min="1022" max="1022" width="35.42578125" style="44" customWidth="1"/>
    <col min="1023" max="1023" width="18.42578125" style="44" customWidth="1"/>
    <col min="1024" max="1024" width="20.140625" style="44" customWidth="1"/>
    <col min="1025" max="1025" width="22" style="44" customWidth="1"/>
    <col min="1026" max="1026" width="23.42578125" style="44" customWidth="1"/>
    <col min="1027" max="1027" width="17" style="44" customWidth="1"/>
    <col min="1028" max="1277" width="11.42578125" style="44"/>
    <col min="1278" max="1278" width="35.42578125" style="44" customWidth="1"/>
    <col min="1279" max="1279" width="18.42578125" style="44" customWidth="1"/>
    <col min="1280" max="1280" width="20.140625" style="44" customWidth="1"/>
    <col min="1281" max="1281" width="22" style="44" customWidth="1"/>
    <col min="1282" max="1282" width="23.42578125" style="44" customWidth="1"/>
    <col min="1283" max="1283" width="17" style="44" customWidth="1"/>
    <col min="1284" max="1533" width="11.42578125" style="44"/>
    <col min="1534" max="1534" width="35.42578125" style="44" customWidth="1"/>
    <col min="1535" max="1535" width="18.42578125" style="44" customWidth="1"/>
    <col min="1536" max="1536" width="20.140625" style="44" customWidth="1"/>
    <col min="1537" max="1537" width="22" style="44" customWidth="1"/>
    <col min="1538" max="1538" width="23.42578125" style="44" customWidth="1"/>
    <col min="1539" max="1539" width="17" style="44" customWidth="1"/>
    <col min="1540" max="1789" width="11.42578125" style="44"/>
    <col min="1790" max="1790" width="35.42578125" style="44" customWidth="1"/>
    <col min="1791" max="1791" width="18.42578125" style="44" customWidth="1"/>
    <col min="1792" max="1792" width="20.140625" style="44" customWidth="1"/>
    <col min="1793" max="1793" width="22" style="44" customWidth="1"/>
    <col min="1794" max="1794" width="23.42578125" style="44" customWidth="1"/>
    <col min="1795" max="1795" width="17" style="44" customWidth="1"/>
    <col min="1796" max="2045" width="11.42578125" style="44"/>
    <col min="2046" max="2046" width="35.42578125" style="44" customWidth="1"/>
    <col min="2047" max="2047" width="18.42578125" style="44" customWidth="1"/>
    <col min="2048" max="2048" width="20.140625" style="44" customWidth="1"/>
    <col min="2049" max="2049" width="22" style="44" customWidth="1"/>
    <col min="2050" max="2050" width="23.42578125" style="44" customWidth="1"/>
    <col min="2051" max="2051" width="17" style="44" customWidth="1"/>
    <col min="2052" max="2301" width="11.42578125" style="44"/>
    <col min="2302" max="2302" width="35.42578125" style="44" customWidth="1"/>
    <col min="2303" max="2303" width="18.42578125" style="44" customWidth="1"/>
    <col min="2304" max="2304" width="20.140625" style="44" customWidth="1"/>
    <col min="2305" max="2305" width="22" style="44" customWidth="1"/>
    <col min="2306" max="2306" width="23.42578125" style="44" customWidth="1"/>
    <col min="2307" max="2307" width="17" style="44" customWidth="1"/>
    <col min="2308" max="2557" width="11.42578125" style="44"/>
    <col min="2558" max="2558" width="35.42578125" style="44" customWidth="1"/>
    <col min="2559" max="2559" width="18.42578125" style="44" customWidth="1"/>
    <col min="2560" max="2560" width="20.140625" style="44" customWidth="1"/>
    <col min="2561" max="2561" width="22" style="44" customWidth="1"/>
    <col min="2562" max="2562" width="23.42578125" style="44" customWidth="1"/>
    <col min="2563" max="2563" width="17" style="44" customWidth="1"/>
    <col min="2564" max="2813" width="11.42578125" style="44"/>
    <col min="2814" max="2814" width="35.42578125" style="44" customWidth="1"/>
    <col min="2815" max="2815" width="18.42578125" style="44" customWidth="1"/>
    <col min="2816" max="2816" width="20.140625" style="44" customWidth="1"/>
    <col min="2817" max="2817" width="22" style="44" customWidth="1"/>
    <col min="2818" max="2818" width="23.42578125" style="44" customWidth="1"/>
    <col min="2819" max="2819" width="17" style="44" customWidth="1"/>
    <col min="2820" max="3069" width="11.42578125" style="44"/>
    <col min="3070" max="3070" width="35.42578125" style="44" customWidth="1"/>
    <col min="3071" max="3071" width="18.42578125" style="44" customWidth="1"/>
    <col min="3072" max="3072" width="20.140625" style="44" customWidth="1"/>
    <col min="3073" max="3073" width="22" style="44" customWidth="1"/>
    <col min="3074" max="3074" width="23.42578125" style="44" customWidth="1"/>
    <col min="3075" max="3075" width="17" style="44" customWidth="1"/>
    <col min="3076" max="3325" width="11.42578125" style="44"/>
    <col min="3326" max="3326" width="35.42578125" style="44" customWidth="1"/>
    <col min="3327" max="3327" width="18.42578125" style="44" customWidth="1"/>
    <col min="3328" max="3328" width="20.140625" style="44" customWidth="1"/>
    <col min="3329" max="3329" width="22" style="44" customWidth="1"/>
    <col min="3330" max="3330" width="23.42578125" style="44" customWidth="1"/>
    <col min="3331" max="3331" width="17" style="44" customWidth="1"/>
    <col min="3332" max="3581" width="11.42578125" style="44"/>
    <col min="3582" max="3582" width="35.42578125" style="44" customWidth="1"/>
    <col min="3583" max="3583" width="18.42578125" style="44" customWidth="1"/>
    <col min="3584" max="3584" width="20.140625" style="44" customWidth="1"/>
    <col min="3585" max="3585" width="22" style="44" customWidth="1"/>
    <col min="3586" max="3586" width="23.42578125" style="44" customWidth="1"/>
    <col min="3587" max="3587" width="17" style="44" customWidth="1"/>
    <col min="3588" max="3837" width="11.42578125" style="44"/>
    <col min="3838" max="3838" width="35.42578125" style="44" customWidth="1"/>
    <col min="3839" max="3839" width="18.42578125" style="44" customWidth="1"/>
    <col min="3840" max="3840" width="20.140625" style="44" customWidth="1"/>
    <col min="3841" max="3841" width="22" style="44" customWidth="1"/>
    <col min="3842" max="3842" width="23.42578125" style="44" customWidth="1"/>
    <col min="3843" max="3843" width="17" style="44" customWidth="1"/>
    <col min="3844" max="4093" width="11.42578125" style="44"/>
    <col min="4094" max="4094" width="35.42578125" style="44" customWidth="1"/>
    <col min="4095" max="4095" width="18.42578125" style="44" customWidth="1"/>
    <col min="4096" max="4096" width="20.140625" style="44" customWidth="1"/>
    <col min="4097" max="4097" width="22" style="44" customWidth="1"/>
    <col min="4098" max="4098" width="23.42578125" style="44" customWidth="1"/>
    <col min="4099" max="4099" width="17" style="44" customWidth="1"/>
    <col min="4100" max="4349" width="11.42578125" style="44"/>
    <col min="4350" max="4350" width="35.42578125" style="44" customWidth="1"/>
    <col min="4351" max="4351" width="18.42578125" style="44" customWidth="1"/>
    <col min="4352" max="4352" width="20.140625" style="44" customWidth="1"/>
    <col min="4353" max="4353" width="22" style="44" customWidth="1"/>
    <col min="4354" max="4354" width="23.42578125" style="44" customWidth="1"/>
    <col min="4355" max="4355" width="17" style="44" customWidth="1"/>
    <col min="4356" max="4605" width="11.42578125" style="44"/>
    <col min="4606" max="4606" width="35.42578125" style="44" customWidth="1"/>
    <col min="4607" max="4607" width="18.42578125" style="44" customWidth="1"/>
    <col min="4608" max="4608" width="20.140625" style="44" customWidth="1"/>
    <col min="4609" max="4609" width="22" style="44" customWidth="1"/>
    <col min="4610" max="4610" width="23.42578125" style="44" customWidth="1"/>
    <col min="4611" max="4611" width="17" style="44" customWidth="1"/>
    <col min="4612" max="4861" width="11.42578125" style="44"/>
    <col min="4862" max="4862" width="35.42578125" style="44" customWidth="1"/>
    <col min="4863" max="4863" width="18.42578125" style="44" customWidth="1"/>
    <col min="4864" max="4864" width="20.140625" style="44" customWidth="1"/>
    <col min="4865" max="4865" width="22" style="44" customWidth="1"/>
    <col min="4866" max="4866" width="23.42578125" style="44" customWidth="1"/>
    <col min="4867" max="4867" width="17" style="44" customWidth="1"/>
    <col min="4868" max="5117" width="11.42578125" style="44"/>
    <col min="5118" max="5118" width="35.42578125" style="44" customWidth="1"/>
    <col min="5119" max="5119" width="18.42578125" style="44" customWidth="1"/>
    <col min="5120" max="5120" width="20.140625" style="44" customWidth="1"/>
    <col min="5121" max="5121" width="22" style="44" customWidth="1"/>
    <col min="5122" max="5122" width="23.42578125" style="44" customWidth="1"/>
    <col min="5123" max="5123" width="17" style="44" customWidth="1"/>
    <col min="5124" max="5373" width="11.42578125" style="44"/>
    <col min="5374" max="5374" width="35.42578125" style="44" customWidth="1"/>
    <col min="5375" max="5375" width="18.42578125" style="44" customWidth="1"/>
    <col min="5376" max="5376" width="20.140625" style="44" customWidth="1"/>
    <col min="5377" max="5377" width="22" style="44" customWidth="1"/>
    <col min="5378" max="5378" width="23.42578125" style="44" customWidth="1"/>
    <col min="5379" max="5379" width="17" style="44" customWidth="1"/>
    <col min="5380" max="5629" width="11.42578125" style="44"/>
    <col min="5630" max="5630" width="35.42578125" style="44" customWidth="1"/>
    <col min="5631" max="5631" width="18.42578125" style="44" customWidth="1"/>
    <col min="5632" max="5632" width="20.140625" style="44" customWidth="1"/>
    <col min="5633" max="5633" width="22" style="44" customWidth="1"/>
    <col min="5634" max="5634" width="23.42578125" style="44" customWidth="1"/>
    <col min="5635" max="5635" width="17" style="44" customWidth="1"/>
    <col min="5636" max="5885" width="11.42578125" style="44"/>
    <col min="5886" max="5886" width="35.42578125" style="44" customWidth="1"/>
    <col min="5887" max="5887" width="18.42578125" style="44" customWidth="1"/>
    <col min="5888" max="5888" width="20.140625" style="44" customWidth="1"/>
    <col min="5889" max="5889" width="22" style="44" customWidth="1"/>
    <col min="5890" max="5890" width="23.42578125" style="44" customWidth="1"/>
    <col min="5891" max="5891" width="17" style="44" customWidth="1"/>
    <col min="5892" max="6141" width="11.42578125" style="44"/>
    <col min="6142" max="6142" width="35.42578125" style="44" customWidth="1"/>
    <col min="6143" max="6143" width="18.42578125" style="44" customWidth="1"/>
    <col min="6144" max="6144" width="20.140625" style="44" customWidth="1"/>
    <col min="6145" max="6145" width="22" style="44" customWidth="1"/>
    <col min="6146" max="6146" width="23.42578125" style="44" customWidth="1"/>
    <col min="6147" max="6147" width="17" style="44" customWidth="1"/>
    <col min="6148" max="6397" width="11.42578125" style="44"/>
    <col min="6398" max="6398" width="35.42578125" style="44" customWidth="1"/>
    <col min="6399" max="6399" width="18.42578125" style="44" customWidth="1"/>
    <col min="6400" max="6400" width="20.140625" style="44" customWidth="1"/>
    <col min="6401" max="6401" width="22" style="44" customWidth="1"/>
    <col min="6402" max="6402" width="23.42578125" style="44" customWidth="1"/>
    <col min="6403" max="6403" width="17" style="44" customWidth="1"/>
    <col min="6404" max="6653" width="11.42578125" style="44"/>
    <col min="6654" max="6654" width="35.42578125" style="44" customWidth="1"/>
    <col min="6655" max="6655" width="18.42578125" style="44" customWidth="1"/>
    <col min="6656" max="6656" width="20.140625" style="44" customWidth="1"/>
    <col min="6657" max="6657" width="22" style="44" customWidth="1"/>
    <col min="6658" max="6658" width="23.42578125" style="44" customWidth="1"/>
    <col min="6659" max="6659" width="17" style="44" customWidth="1"/>
    <col min="6660" max="6909" width="11.42578125" style="44"/>
    <col min="6910" max="6910" width="35.42578125" style="44" customWidth="1"/>
    <col min="6911" max="6911" width="18.42578125" style="44" customWidth="1"/>
    <col min="6912" max="6912" width="20.140625" style="44" customWidth="1"/>
    <col min="6913" max="6913" width="22" style="44" customWidth="1"/>
    <col min="6914" max="6914" width="23.42578125" style="44" customWidth="1"/>
    <col min="6915" max="6915" width="17" style="44" customWidth="1"/>
    <col min="6916" max="7165" width="11.42578125" style="44"/>
    <col min="7166" max="7166" width="35.42578125" style="44" customWidth="1"/>
    <col min="7167" max="7167" width="18.42578125" style="44" customWidth="1"/>
    <col min="7168" max="7168" width="20.140625" style="44" customWidth="1"/>
    <col min="7169" max="7169" width="22" style="44" customWidth="1"/>
    <col min="7170" max="7170" width="23.42578125" style="44" customWidth="1"/>
    <col min="7171" max="7171" width="17" style="44" customWidth="1"/>
    <col min="7172" max="7421" width="11.42578125" style="44"/>
    <col min="7422" max="7422" width="35.42578125" style="44" customWidth="1"/>
    <col min="7423" max="7423" width="18.42578125" style="44" customWidth="1"/>
    <col min="7424" max="7424" width="20.140625" style="44" customWidth="1"/>
    <col min="7425" max="7425" width="22" style="44" customWidth="1"/>
    <col min="7426" max="7426" width="23.42578125" style="44" customWidth="1"/>
    <col min="7427" max="7427" width="17" style="44" customWidth="1"/>
    <col min="7428" max="7677" width="11.42578125" style="44"/>
    <col min="7678" max="7678" width="35.42578125" style="44" customWidth="1"/>
    <col min="7679" max="7679" width="18.42578125" style="44" customWidth="1"/>
    <col min="7680" max="7680" width="20.140625" style="44" customWidth="1"/>
    <col min="7681" max="7681" width="22" style="44" customWidth="1"/>
    <col min="7682" max="7682" width="23.42578125" style="44" customWidth="1"/>
    <col min="7683" max="7683" width="17" style="44" customWidth="1"/>
    <col min="7684" max="7933" width="11.42578125" style="44"/>
    <col min="7934" max="7934" width="35.42578125" style="44" customWidth="1"/>
    <col min="7935" max="7935" width="18.42578125" style="44" customWidth="1"/>
    <col min="7936" max="7936" width="20.140625" style="44" customWidth="1"/>
    <col min="7937" max="7937" width="22" style="44" customWidth="1"/>
    <col min="7938" max="7938" width="23.42578125" style="44" customWidth="1"/>
    <col min="7939" max="7939" width="17" style="44" customWidth="1"/>
    <col min="7940" max="8189" width="11.42578125" style="44"/>
    <col min="8190" max="8190" width="35.42578125" style="44" customWidth="1"/>
    <col min="8191" max="8191" width="18.42578125" style="44" customWidth="1"/>
    <col min="8192" max="8192" width="20.140625" style="44" customWidth="1"/>
    <col min="8193" max="8193" width="22" style="44" customWidth="1"/>
    <col min="8194" max="8194" width="23.42578125" style="44" customWidth="1"/>
    <col min="8195" max="8195" width="17" style="44" customWidth="1"/>
    <col min="8196" max="8445" width="11.42578125" style="44"/>
    <col min="8446" max="8446" width="35.42578125" style="44" customWidth="1"/>
    <col min="8447" max="8447" width="18.42578125" style="44" customWidth="1"/>
    <col min="8448" max="8448" width="20.140625" style="44" customWidth="1"/>
    <col min="8449" max="8449" width="22" style="44" customWidth="1"/>
    <col min="8450" max="8450" width="23.42578125" style="44" customWidth="1"/>
    <col min="8451" max="8451" width="17" style="44" customWidth="1"/>
    <col min="8452" max="8701" width="11.42578125" style="44"/>
    <col min="8702" max="8702" width="35.42578125" style="44" customWidth="1"/>
    <col min="8703" max="8703" width="18.42578125" style="44" customWidth="1"/>
    <col min="8704" max="8704" width="20.140625" style="44" customWidth="1"/>
    <col min="8705" max="8705" width="22" style="44" customWidth="1"/>
    <col min="8706" max="8706" width="23.42578125" style="44" customWidth="1"/>
    <col min="8707" max="8707" width="17" style="44" customWidth="1"/>
    <col min="8708" max="8957" width="11.42578125" style="44"/>
    <col min="8958" max="8958" width="35.42578125" style="44" customWidth="1"/>
    <col min="8959" max="8959" width="18.42578125" style="44" customWidth="1"/>
    <col min="8960" max="8960" width="20.140625" style="44" customWidth="1"/>
    <col min="8961" max="8961" width="22" style="44" customWidth="1"/>
    <col min="8962" max="8962" width="23.42578125" style="44" customWidth="1"/>
    <col min="8963" max="8963" width="17" style="44" customWidth="1"/>
    <col min="8964" max="9213" width="11.42578125" style="44"/>
    <col min="9214" max="9214" width="35.42578125" style="44" customWidth="1"/>
    <col min="9215" max="9215" width="18.42578125" style="44" customWidth="1"/>
    <col min="9216" max="9216" width="20.140625" style="44" customWidth="1"/>
    <col min="9217" max="9217" width="22" style="44" customWidth="1"/>
    <col min="9218" max="9218" width="23.42578125" style="44" customWidth="1"/>
    <col min="9219" max="9219" width="17" style="44" customWidth="1"/>
    <col min="9220" max="9469" width="11.42578125" style="44"/>
    <col min="9470" max="9470" width="35.42578125" style="44" customWidth="1"/>
    <col min="9471" max="9471" width="18.42578125" style="44" customWidth="1"/>
    <col min="9472" max="9472" width="20.140625" style="44" customWidth="1"/>
    <col min="9473" max="9473" width="22" style="44" customWidth="1"/>
    <col min="9474" max="9474" width="23.42578125" style="44" customWidth="1"/>
    <col min="9475" max="9475" width="17" style="44" customWidth="1"/>
    <col min="9476" max="9725" width="11.42578125" style="44"/>
    <col min="9726" max="9726" width="35.42578125" style="44" customWidth="1"/>
    <col min="9727" max="9727" width="18.42578125" style="44" customWidth="1"/>
    <col min="9728" max="9728" width="20.140625" style="44" customWidth="1"/>
    <col min="9729" max="9729" width="22" style="44" customWidth="1"/>
    <col min="9730" max="9730" width="23.42578125" style="44" customWidth="1"/>
    <col min="9731" max="9731" width="17" style="44" customWidth="1"/>
    <col min="9732" max="9981" width="11.42578125" style="44"/>
    <col min="9982" max="9982" width="35.42578125" style="44" customWidth="1"/>
    <col min="9983" max="9983" width="18.42578125" style="44" customWidth="1"/>
    <col min="9984" max="9984" width="20.140625" style="44" customWidth="1"/>
    <col min="9985" max="9985" width="22" style="44" customWidth="1"/>
    <col min="9986" max="9986" width="23.42578125" style="44" customWidth="1"/>
    <col min="9987" max="9987" width="17" style="44" customWidth="1"/>
    <col min="9988" max="10237" width="11.42578125" style="44"/>
    <col min="10238" max="10238" width="35.42578125" style="44" customWidth="1"/>
    <col min="10239" max="10239" width="18.42578125" style="44" customWidth="1"/>
    <col min="10240" max="10240" width="20.140625" style="44" customWidth="1"/>
    <col min="10241" max="10241" width="22" style="44" customWidth="1"/>
    <col min="10242" max="10242" width="23.42578125" style="44" customWidth="1"/>
    <col min="10243" max="10243" width="17" style="44" customWidth="1"/>
    <col min="10244" max="10493" width="11.42578125" style="44"/>
    <col min="10494" max="10494" width="35.42578125" style="44" customWidth="1"/>
    <col min="10495" max="10495" width="18.42578125" style="44" customWidth="1"/>
    <col min="10496" max="10496" width="20.140625" style="44" customWidth="1"/>
    <col min="10497" max="10497" width="22" style="44" customWidth="1"/>
    <col min="10498" max="10498" width="23.42578125" style="44" customWidth="1"/>
    <col min="10499" max="10499" width="17" style="44" customWidth="1"/>
    <col min="10500" max="10749" width="11.42578125" style="44"/>
    <col min="10750" max="10750" width="35.42578125" style="44" customWidth="1"/>
    <col min="10751" max="10751" width="18.42578125" style="44" customWidth="1"/>
    <col min="10752" max="10752" width="20.140625" style="44" customWidth="1"/>
    <col min="10753" max="10753" width="22" style="44" customWidth="1"/>
    <col min="10754" max="10754" width="23.42578125" style="44" customWidth="1"/>
    <col min="10755" max="10755" width="17" style="44" customWidth="1"/>
    <col min="10756" max="11005" width="11.42578125" style="44"/>
    <col min="11006" max="11006" width="35.42578125" style="44" customWidth="1"/>
    <col min="11007" max="11007" width="18.42578125" style="44" customWidth="1"/>
    <col min="11008" max="11008" width="20.140625" style="44" customWidth="1"/>
    <col min="11009" max="11009" width="22" style="44" customWidth="1"/>
    <col min="11010" max="11010" width="23.42578125" style="44" customWidth="1"/>
    <col min="11011" max="11011" width="17" style="44" customWidth="1"/>
    <col min="11012" max="11261" width="11.42578125" style="44"/>
    <col min="11262" max="11262" width="35.42578125" style="44" customWidth="1"/>
    <col min="11263" max="11263" width="18.42578125" style="44" customWidth="1"/>
    <col min="11264" max="11264" width="20.140625" style="44" customWidth="1"/>
    <col min="11265" max="11265" width="22" style="44" customWidth="1"/>
    <col min="11266" max="11266" width="23.42578125" style="44" customWidth="1"/>
    <col min="11267" max="11267" width="17" style="44" customWidth="1"/>
    <col min="11268" max="11517" width="11.42578125" style="44"/>
    <col min="11518" max="11518" width="35.42578125" style="44" customWidth="1"/>
    <col min="11519" max="11519" width="18.42578125" style="44" customWidth="1"/>
    <col min="11520" max="11520" width="20.140625" style="44" customWidth="1"/>
    <col min="11521" max="11521" width="22" style="44" customWidth="1"/>
    <col min="11522" max="11522" width="23.42578125" style="44" customWidth="1"/>
    <col min="11523" max="11523" width="17" style="44" customWidth="1"/>
    <col min="11524" max="11773" width="11.42578125" style="44"/>
    <col min="11774" max="11774" width="35.42578125" style="44" customWidth="1"/>
    <col min="11775" max="11775" width="18.42578125" style="44" customWidth="1"/>
    <col min="11776" max="11776" width="20.140625" style="44" customWidth="1"/>
    <col min="11777" max="11777" width="22" style="44" customWidth="1"/>
    <col min="11778" max="11778" width="23.42578125" style="44" customWidth="1"/>
    <col min="11779" max="11779" width="17" style="44" customWidth="1"/>
    <col min="11780" max="12029" width="11.42578125" style="44"/>
    <col min="12030" max="12030" width="35.42578125" style="44" customWidth="1"/>
    <col min="12031" max="12031" width="18.42578125" style="44" customWidth="1"/>
    <col min="12032" max="12032" width="20.140625" style="44" customWidth="1"/>
    <col min="12033" max="12033" width="22" style="44" customWidth="1"/>
    <col min="12034" max="12034" width="23.42578125" style="44" customWidth="1"/>
    <col min="12035" max="12035" width="17" style="44" customWidth="1"/>
    <col min="12036" max="12285" width="11.42578125" style="44"/>
    <col min="12286" max="12286" width="35.42578125" style="44" customWidth="1"/>
    <col min="12287" max="12287" width="18.42578125" style="44" customWidth="1"/>
    <col min="12288" max="12288" width="20.140625" style="44" customWidth="1"/>
    <col min="12289" max="12289" width="22" style="44" customWidth="1"/>
    <col min="12290" max="12290" width="23.42578125" style="44" customWidth="1"/>
    <col min="12291" max="12291" width="17" style="44" customWidth="1"/>
    <col min="12292" max="12541" width="11.42578125" style="44"/>
    <col min="12542" max="12542" width="35.42578125" style="44" customWidth="1"/>
    <col min="12543" max="12543" width="18.42578125" style="44" customWidth="1"/>
    <col min="12544" max="12544" width="20.140625" style="44" customWidth="1"/>
    <col min="12545" max="12545" width="22" style="44" customWidth="1"/>
    <col min="12546" max="12546" width="23.42578125" style="44" customWidth="1"/>
    <col min="12547" max="12547" width="17" style="44" customWidth="1"/>
    <col min="12548" max="12797" width="11.42578125" style="44"/>
    <col min="12798" max="12798" width="35.42578125" style="44" customWidth="1"/>
    <col min="12799" max="12799" width="18.42578125" style="44" customWidth="1"/>
    <col min="12800" max="12800" width="20.140625" style="44" customWidth="1"/>
    <col min="12801" max="12801" width="22" style="44" customWidth="1"/>
    <col min="12802" max="12802" width="23.42578125" style="44" customWidth="1"/>
    <col min="12803" max="12803" width="17" style="44" customWidth="1"/>
    <col min="12804" max="13053" width="11.42578125" style="44"/>
    <col min="13054" max="13054" width="35.42578125" style="44" customWidth="1"/>
    <col min="13055" max="13055" width="18.42578125" style="44" customWidth="1"/>
    <col min="13056" max="13056" width="20.140625" style="44" customWidth="1"/>
    <col min="13057" max="13057" width="22" style="44" customWidth="1"/>
    <col min="13058" max="13058" width="23.42578125" style="44" customWidth="1"/>
    <col min="13059" max="13059" width="17" style="44" customWidth="1"/>
    <col min="13060" max="13309" width="11.42578125" style="44"/>
    <col min="13310" max="13310" width="35.42578125" style="44" customWidth="1"/>
    <col min="13311" max="13311" width="18.42578125" style="44" customWidth="1"/>
    <col min="13312" max="13312" width="20.140625" style="44" customWidth="1"/>
    <col min="13313" max="13313" width="22" style="44" customWidth="1"/>
    <col min="13314" max="13314" width="23.42578125" style="44" customWidth="1"/>
    <col min="13315" max="13315" width="17" style="44" customWidth="1"/>
    <col min="13316" max="13565" width="11.42578125" style="44"/>
    <col min="13566" max="13566" width="35.42578125" style="44" customWidth="1"/>
    <col min="13567" max="13567" width="18.42578125" style="44" customWidth="1"/>
    <col min="13568" max="13568" width="20.140625" style="44" customWidth="1"/>
    <col min="13569" max="13569" width="22" style="44" customWidth="1"/>
    <col min="13570" max="13570" width="23.42578125" style="44" customWidth="1"/>
    <col min="13571" max="13571" width="17" style="44" customWidth="1"/>
    <col min="13572" max="13821" width="11.42578125" style="44"/>
    <col min="13822" max="13822" width="35.42578125" style="44" customWidth="1"/>
    <col min="13823" max="13823" width="18.42578125" style="44" customWidth="1"/>
    <col min="13824" max="13824" width="20.140625" style="44" customWidth="1"/>
    <col min="13825" max="13825" width="22" style="44" customWidth="1"/>
    <col min="13826" max="13826" width="23.42578125" style="44" customWidth="1"/>
    <col min="13827" max="13827" width="17" style="44" customWidth="1"/>
    <col min="13828" max="14077" width="11.42578125" style="44"/>
    <col min="14078" max="14078" width="35.42578125" style="44" customWidth="1"/>
    <col min="14079" max="14079" width="18.42578125" style="44" customWidth="1"/>
    <col min="14080" max="14080" width="20.140625" style="44" customWidth="1"/>
    <col min="14081" max="14081" width="22" style="44" customWidth="1"/>
    <col min="14082" max="14082" width="23.42578125" style="44" customWidth="1"/>
    <col min="14083" max="14083" width="17" style="44" customWidth="1"/>
    <col min="14084" max="14333" width="11.42578125" style="44"/>
    <col min="14334" max="14334" width="35.42578125" style="44" customWidth="1"/>
    <col min="14335" max="14335" width="18.42578125" style="44" customWidth="1"/>
    <col min="14336" max="14336" width="20.140625" style="44" customWidth="1"/>
    <col min="14337" max="14337" width="22" style="44" customWidth="1"/>
    <col min="14338" max="14338" width="23.42578125" style="44" customWidth="1"/>
    <col min="14339" max="14339" width="17" style="44" customWidth="1"/>
    <col min="14340" max="14589" width="11.42578125" style="44"/>
    <col min="14590" max="14590" width="35.42578125" style="44" customWidth="1"/>
    <col min="14591" max="14591" width="18.42578125" style="44" customWidth="1"/>
    <col min="14592" max="14592" width="20.140625" style="44" customWidth="1"/>
    <col min="14593" max="14593" width="22" style="44" customWidth="1"/>
    <col min="14594" max="14594" width="23.42578125" style="44" customWidth="1"/>
    <col min="14595" max="14595" width="17" style="44" customWidth="1"/>
    <col min="14596" max="14845" width="11.42578125" style="44"/>
    <col min="14846" max="14846" width="35.42578125" style="44" customWidth="1"/>
    <col min="14847" max="14847" width="18.42578125" style="44" customWidth="1"/>
    <col min="14848" max="14848" width="20.140625" style="44" customWidth="1"/>
    <col min="14849" max="14849" width="22" style="44" customWidth="1"/>
    <col min="14850" max="14850" width="23.42578125" style="44" customWidth="1"/>
    <col min="14851" max="14851" width="17" style="44" customWidth="1"/>
    <col min="14852" max="15101" width="11.42578125" style="44"/>
    <col min="15102" max="15102" width="35.42578125" style="44" customWidth="1"/>
    <col min="15103" max="15103" width="18.42578125" style="44" customWidth="1"/>
    <col min="15104" max="15104" width="20.140625" style="44" customWidth="1"/>
    <col min="15105" max="15105" width="22" style="44" customWidth="1"/>
    <col min="15106" max="15106" width="23.42578125" style="44" customWidth="1"/>
    <col min="15107" max="15107" width="17" style="44" customWidth="1"/>
    <col min="15108" max="15357" width="11.42578125" style="44"/>
    <col min="15358" max="15358" width="35.42578125" style="44" customWidth="1"/>
    <col min="15359" max="15359" width="18.42578125" style="44" customWidth="1"/>
    <col min="15360" max="15360" width="20.140625" style="44" customWidth="1"/>
    <col min="15361" max="15361" width="22" style="44" customWidth="1"/>
    <col min="15362" max="15362" width="23.42578125" style="44" customWidth="1"/>
    <col min="15363" max="15363" width="17" style="44" customWidth="1"/>
    <col min="15364" max="15613" width="11.42578125" style="44"/>
    <col min="15614" max="15614" width="35.42578125" style="44" customWidth="1"/>
    <col min="15615" max="15615" width="18.42578125" style="44" customWidth="1"/>
    <col min="15616" max="15616" width="20.140625" style="44" customWidth="1"/>
    <col min="15617" max="15617" width="22" style="44" customWidth="1"/>
    <col min="15618" max="15618" width="23.42578125" style="44" customWidth="1"/>
    <col min="15619" max="15619" width="17" style="44" customWidth="1"/>
    <col min="15620" max="15869" width="11.42578125" style="44"/>
    <col min="15870" max="15870" width="35.42578125" style="44" customWidth="1"/>
    <col min="15871" max="15871" width="18.42578125" style="44" customWidth="1"/>
    <col min="15872" max="15872" width="20.140625" style="44" customWidth="1"/>
    <col min="15873" max="15873" width="22" style="44" customWidth="1"/>
    <col min="15874" max="15874" width="23.42578125" style="44" customWidth="1"/>
    <col min="15875" max="15875" width="17" style="44" customWidth="1"/>
    <col min="15876" max="16125" width="11.42578125" style="44"/>
    <col min="16126" max="16126" width="35.42578125" style="44" customWidth="1"/>
    <col min="16127" max="16127" width="18.42578125" style="44" customWidth="1"/>
    <col min="16128" max="16128" width="20.140625" style="44" customWidth="1"/>
    <col min="16129" max="16129" width="22" style="44" customWidth="1"/>
    <col min="16130" max="16130" width="23.42578125" style="44" customWidth="1"/>
    <col min="16131" max="16131" width="17" style="44" customWidth="1"/>
    <col min="16132" max="16384" width="11.42578125" style="44"/>
  </cols>
  <sheetData>
    <row r="1" spans="1:9" ht="24.75" customHeight="1" x14ac:dyDescent="0.25">
      <c r="A1" s="963" t="s">
        <v>280</v>
      </c>
      <c r="B1" s="964"/>
      <c r="D1" s="223"/>
      <c r="E1" s="223"/>
    </row>
    <row r="2" spans="1:9" ht="15" customHeight="1" x14ac:dyDescent="0.25">
      <c r="A2" s="56" t="s">
        <v>278</v>
      </c>
      <c r="B2" s="57"/>
      <c r="D2" s="221"/>
      <c r="E2" s="221"/>
      <c r="F2" s="221"/>
      <c r="G2" s="221"/>
      <c r="H2" s="221"/>
      <c r="I2" s="221"/>
    </row>
    <row r="3" spans="1:9" ht="16.5" customHeight="1" x14ac:dyDescent="0.25">
      <c r="A3" s="56" t="s">
        <v>753</v>
      </c>
      <c r="B3" s="57"/>
      <c r="G3" s="222"/>
    </row>
    <row r="4" spans="1:9" ht="18.75" customHeight="1" x14ac:dyDescent="0.25">
      <c r="A4" s="58" t="s">
        <v>1655</v>
      </c>
      <c r="B4" s="219" t="s">
        <v>1654</v>
      </c>
      <c r="G4" s="222"/>
    </row>
    <row r="5" spans="1:9" x14ac:dyDescent="0.25">
      <c r="A5" s="217" t="s">
        <v>1651</v>
      </c>
      <c r="B5" s="220">
        <v>110000</v>
      </c>
    </row>
    <row r="6" spans="1:9" x14ac:dyDescent="0.25">
      <c r="A6" s="217" t="s">
        <v>1667</v>
      </c>
      <c r="B6" s="220">
        <v>80000</v>
      </c>
    </row>
    <row r="7" spans="1:9" x14ac:dyDescent="0.25">
      <c r="A7" s="217" t="s">
        <v>1652</v>
      </c>
      <c r="B7" s="220">
        <v>40000</v>
      </c>
    </row>
    <row r="8" spans="1:9" x14ac:dyDescent="0.25">
      <c r="A8" s="217" t="s">
        <v>1653</v>
      </c>
      <c r="B8" s="220">
        <v>50000</v>
      </c>
    </row>
    <row r="9" spans="1:9" x14ac:dyDescent="0.25">
      <c r="A9" s="217" t="s">
        <v>1656</v>
      </c>
      <c r="B9" s="220">
        <v>110000</v>
      </c>
    </row>
    <row r="10" spans="1:9" x14ac:dyDescent="0.25">
      <c r="A10" s="217" t="s">
        <v>1657</v>
      </c>
      <c r="B10" s="220">
        <v>70000</v>
      </c>
    </row>
    <row r="11" spans="1:9" x14ac:dyDescent="0.25">
      <c r="A11" s="217" t="s">
        <v>1666</v>
      </c>
      <c r="B11" s="220">
        <v>90000</v>
      </c>
    </row>
    <row r="12" spans="1:9" x14ac:dyDescent="0.25">
      <c r="A12" s="217" t="s">
        <v>1678</v>
      </c>
      <c r="B12" s="220">
        <v>90000</v>
      </c>
    </row>
    <row r="13" spans="1:9" x14ac:dyDescent="0.25">
      <c r="A13" s="217" t="s">
        <v>1679</v>
      </c>
      <c r="B13" s="220">
        <v>50000</v>
      </c>
    </row>
    <row r="14" spans="1:9" x14ac:dyDescent="0.25">
      <c r="A14" s="217" t="s">
        <v>1658</v>
      </c>
      <c r="B14" s="220">
        <v>90000</v>
      </c>
    </row>
    <row r="15" spans="1:9" x14ac:dyDescent="0.25">
      <c r="A15" s="217" t="s">
        <v>1659</v>
      </c>
      <c r="B15" s="220">
        <v>50000</v>
      </c>
    </row>
    <row r="16" spans="1:9" x14ac:dyDescent="0.25">
      <c r="A16" s="217" t="s">
        <v>1660</v>
      </c>
      <c r="B16" s="220">
        <v>90000</v>
      </c>
    </row>
    <row r="17" spans="1:5" x14ac:dyDescent="0.25">
      <c r="A17" s="217" t="s">
        <v>1661</v>
      </c>
      <c r="B17" s="220">
        <v>50000</v>
      </c>
    </row>
    <row r="18" spans="1:5" x14ac:dyDescent="0.25">
      <c r="A18" s="217" t="s">
        <v>1662</v>
      </c>
      <c r="B18" s="220">
        <v>100000</v>
      </c>
    </row>
    <row r="19" spans="1:5" x14ac:dyDescent="0.25">
      <c r="A19" s="217" t="s">
        <v>1663</v>
      </c>
      <c r="B19" s="220">
        <v>50000</v>
      </c>
    </row>
    <row r="20" spans="1:5" x14ac:dyDescent="0.25">
      <c r="A20" s="217" t="s">
        <v>1664</v>
      </c>
      <c r="B20" s="220">
        <v>70000</v>
      </c>
    </row>
    <row r="21" spans="1:5" x14ac:dyDescent="0.25">
      <c r="A21" s="232" t="s">
        <v>1665</v>
      </c>
      <c r="B21" s="229">
        <v>40000</v>
      </c>
    </row>
    <row r="22" spans="1:5" x14ac:dyDescent="0.25">
      <c r="A22" s="232" t="str">
        <f>+A37</f>
        <v>Cuadrilla A1OficialPrimera+1AyudanteRaso</v>
      </c>
      <c r="B22" s="229">
        <f>+E37</f>
        <v>175000</v>
      </c>
    </row>
    <row r="23" spans="1:5" x14ac:dyDescent="0.25">
      <c r="A23" s="232" t="str">
        <f>+A43</f>
        <v>Cuadrilla B1Topografo+2Cadeneros</v>
      </c>
      <c r="B23" s="229">
        <f>+E43</f>
        <v>305000</v>
      </c>
    </row>
    <row r="24" spans="1:5" x14ac:dyDescent="0.25">
      <c r="A24" s="232" t="str">
        <f>+A49</f>
        <v>Cuadrilla C1OficialPrimera+2AyudanteRaso</v>
      </c>
      <c r="B24" s="229">
        <f>+E49</f>
        <v>215000</v>
      </c>
    </row>
    <row r="25" spans="1:5" x14ac:dyDescent="0.25">
      <c r="A25" s="232" t="str">
        <f>+A54</f>
        <v>Cuadrilla D2AyudanteRaso</v>
      </c>
      <c r="B25" s="229">
        <f>+E54</f>
        <v>135000</v>
      </c>
    </row>
    <row r="26" spans="1:5" x14ac:dyDescent="0.25">
      <c r="A26" s="232" t="str">
        <f>+A60</f>
        <v>Cuadrilla E1OficialPrimera+4AyudanteRaso</v>
      </c>
      <c r="B26" s="229">
        <f>+E60</f>
        <v>295000</v>
      </c>
    </row>
    <row r="27" spans="1:5" x14ac:dyDescent="0.25">
      <c r="A27" s="232" t="str">
        <f>+A66</f>
        <v>Cuadrilla F2OficialPrimera+4AyudanteRaso</v>
      </c>
      <c r="B27" s="229">
        <f>+E66</f>
        <v>375000</v>
      </c>
    </row>
    <row r="28" spans="1:5" x14ac:dyDescent="0.25">
      <c r="A28" s="232" t="str">
        <f>+A72</f>
        <v>Cuadrilla G2OficialPrimera+4AyudanteRaso</v>
      </c>
      <c r="B28" s="229">
        <f>+E72</f>
        <v>195000</v>
      </c>
    </row>
    <row r="29" spans="1:5" x14ac:dyDescent="0.25">
      <c r="A29" s="232"/>
      <c r="B29" s="229"/>
    </row>
    <row r="30" spans="1:5" x14ac:dyDescent="0.25">
      <c r="A30" s="232"/>
      <c r="B30" s="229"/>
    </row>
    <row r="32" spans="1:5" ht="15" customHeight="1" thickBot="1" x14ac:dyDescent="0.3">
      <c r="A32" s="966" t="s">
        <v>1668</v>
      </c>
      <c r="B32" s="967"/>
      <c r="C32" s="967"/>
      <c r="D32" s="967"/>
      <c r="E32" s="967"/>
    </row>
    <row r="33" spans="1:5" ht="18" customHeight="1" x14ac:dyDescent="0.25">
      <c r="A33" s="224" t="s">
        <v>1669</v>
      </c>
      <c r="B33" s="225" t="s">
        <v>34</v>
      </c>
      <c r="C33" s="225" t="s">
        <v>24</v>
      </c>
      <c r="D33" s="225" t="s">
        <v>1670</v>
      </c>
      <c r="E33" s="226" t="s">
        <v>1671</v>
      </c>
    </row>
    <row r="34" spans="1:5" x14ac:dyDescent="0.25">
      <c r="A34" s="227" t="str">
        <f>+$A$6</f>
        <v>Oficial de obra primera</v>
      </c>
      <c r="B34" s="228">
        <v>1</v>
      </c>
      <c r="C34" s="228" t="s">
        <v>42</v>
      </c>
      <c r="D34" s="229">
        <f>+$B$6</f>
        <v>80000</v>
      </c>
      <c r="E34" s="230">
        <f>+B34*D34</f>
        <v>80000</v>
      </c>
    </row>
    <row r="35" spans="1:5" x14ac:dyDescent="0.25">
      <c r="A35" s="227" t="str">
        <f>+$A$7</f>
        <v>Ayudante raso</v>
      </c>
      <c r="B35" s="228">
        <v>1</v>
      </c>
      <c r="C35" s="228" t="s">
        <v>42</v>
      </c>
      <c r="D35" s="229">
        <f>+$B$7</f>
        <v>40000</v>
      </c>
      <c r="E35" s="230">
        <f t="shared" ref="E35:E36" si="0">+B35*D35</f>
        <v>40000</v>
      </c>
    </row>
    <row r="36" spans="1:5" x14ac:dyDescent="0.25">
      <c r="A36" s="227" t="str">
        <f>+$A$5</f>
        <v>Mestro de Obra</v>
      </c>
      <c r="B36" s="228">
        <v>0.5</v>
      </c>
      <c r="C36" s="228" t="s">
        <v>42</v>
      </c>
      <c r="D36" s="229">
        <f>+$B$5</f>
        <v>110000</v>
      </c>
      <c r="E36" s="230">
        <f t="shared" si="0"/>
        <v>55000</v>
      </c>
    </row>
    <row r="37" spans="1:5" ht="18.75" customHeight="1" thickBot="1" x14ac:dyDescent="0.3">
      <c r="A37" s="968" t="s">
        <v>1672</v>
      </c>
      <c r="B37" s="969"/>
      <c r="C37" s="969"/>
      <c r="D37" s="969"/>
      <c r="E37" s="231">
        <f>+E34+E35+E36</f>
        <v>175000</v>
      </c>
    </row>
    <row r="38" spans="1:5" ht="12" thickBot="1" x14ac:dyDescent="0.3">
      <c r="A38" s="45"/>
      <c r="C38" s="45"/>
      <c r="D38" s="45"/>
      <c r="E38" s="45"/>
    </row>
    <row r="39" spans="1:5" x14ac:dyDescent="0.25">
      <c r="A39" s="224" t="s">
        <v>1669</v>
      </c>
      <c r="B39" s="225" t="s">
        <v>34</v>
      </c>
      <c r="C39" s="225" t="s">
        <v>24</v>
      </c>
      <c r="D39" s="225" t="s">
        <v>1670</v>
      </c>
      <c r="E39" s="226" t="s">
        <v>1671</v>
      </c>
    </row>
    <row r="40" spans="1:5" x14ac:dyDescent="0.25">
      <c r="A40" s="227" t="str">
        <f>+A9</f>
        <v>Topografo</v>
      </c>
      <c r="B40" s="228">
        <v>1</v>
      </c>
      <c r="C40" s="228" t="s">
        <v>42</v>
      </c>
      <c r="D40" s="229">
        <f>+B9</f>
        <v>110000</v>
      </c>
      <c r="E40" s="230">
        <f t="shared" ref="E40:E42" si="1">+B40*D40</f>
        <v>110000</v>
      </c>
    </row>
    <row r="41" spans="1:5" x14ac:dyDescent="0.25">
      <c r="A41" s="227" t="str">
        <f>+A10</f>
        <v>Cadenero</v>
      </c>
      <c r="B41" s="228">
        <v>2</v>
      </c>
      <c r="C41" s="228" t="s">
        <v>42</v>
      </c>
      <c r="D41" s="229">
        <f>+B10</f>
        <v>70000</v>
      </c>
      <c r="E41" s="230">
        <f t="shared" si="1"/>
        <v>140000</v>
      </c>
    </row>
    <row r="42" spans="1:5" x14ac:dyDescent="0.25">
      <c r="A42" s="227" t="str">
        <f>+$A$5</f>
        <v>Mestro de Obra</v>
      </c>
      <c r="B42" s="228">
        <v>0.5</v>
      </c>
      <c r="C42" s="228" t="s">
        <v>42</v>
      </c>
      <c r="D42" s="229">
        <f>+$B$5</f>
        <v>110000</v>
      </c>
      <c r="E42" s="230">
        <f t="shared" si="1"/>
        <v>55000</v>
      </c>
    </row>
    <row r="43" spans="1:5" ht="18.75" customHeight="1" thickBot="1" x14ac:dyDescent="0.3">
      <c r="A43" s="968" t="s">
        <v>1673</v>
      </c>
      <c r="B43" s="969"/>
      <c r="C43" s="969"/>
      <c r="D43" s="969"/>
      <c r="E43" s="231">
        <f>+E40+E41+E42</f>
        <v>305000</v>
      </c>
    </row>
    <row r="44" spans="1:5" ht="12" thickBot="1" x14ac:dyDescent="0.3"/>
    <row r="45" spans="1:5" x14ac:dyDescent="0.25">
      <c r="A45" s="224" t="s">
        <v>1669</v>
      </c>
      <c r="B45" s="225" t="s">
        <v>34</v>
      </c>
      <c r="C45" s="225" t="s">
        <v>24</v>
      </c>
      <c r="D45" s="225" t="s">
        <v>1670</v>
      </c>
      <c r="E45" s="226" t="s">
        <v>1671</v>
      </c>
    </row>
    <row r="46" spans="1:5" x14ac:dyDescent="0.25">
      <c r="A46" s="227" t="str">
        <f>+$A$6</f>
        <v>Oficial de obra primera</v>
      </c>
      <c r="B46" s="228">
        <v>1</v>
      </c>
      <c r="C46" s="228" t="s">
        <v>42</v>
      </c>
      <c r="D46" s="229">
        <f>+$B$6</f>
        <v>80000</v>
      </c>
      <c r="E46" s="230">
        <f>+B46*D46</f>
        <v>80000</v>
      </c>
    </row>
    <row r="47" spans="1:5" x14ac:dyDescent="0.25">
      <c r="A47" s="227" t="str">
        <f>+$A$7</f>
        <v>Ayudante raso</v>
      </c>
      <c r="B47" s="228">
        <v>2</v>
      </c>
      <c r="C47" s="228" t="s">
        <v>42</v>
      </c>
      <c r="D47" s="229">
        <f>+$B$7</f>
        <v>40000</v>
      </c>
      <c r="E47" s="230">
        <f t="shared" ref="E47:E48" si="2">+B47*D47</f>
        <v>80000</v>
      </c>
    </row>
    <row r="48" spans="1:5" x14ac:dyDescent="0.25">
      <c r="A48" s="227" t="str">
        <f>+$A$5</f>
        <v>Mestro de Obra</v>
      </c>
      <c r="B48" s="228">
        <v>0.5</v>
      </c>
      <c r="C48" s="228" t="s">
        <v>42</v>
      </c>
      <c r="D48" s="229">
        <f>+$B$5</f>
        <v>110000</v>
      </c>
      <c r="E48" s="230">
        <f t="shared" si="2"/>
        <v>55000</v>
      </c>
    </row>
    <row r="49" spans="1:5" ht="12" thickBot="1" x14ac:dyDescent="0.3">
      <c r="A49" s="968" t="s">
        <v>1674</v>
      </c>
      <c r="B49" s="969"/>
      <c r="C49" s="969"/>
      <c r="D49" s="969"/>
      <c r="E49" s="231">
        <f>+E46+E47+E48</f>
        <v>215000</v>
      </c>
    </row>
    <row r="50" spans="1:5" ht="12" thickBot="1" x14ac:dyDescent="0.3"/>
    <row r="51" spans="1:5" x14ac:dyDescent="0.25">
      <c r="A51" s="224" t="s">
        <v>1669</v>
      </c>
      <c r="B51" s="225" t="s">
        <v>34</v>
      </c>
      <c r="C51" s="225" t="s">
        <v>24</v>
      </c>
      <c r="D51" s="225" t="s">
        <v>1670</v>
      </c>
      <c r="E51" s="226" t="s">
        <v>1671</v>
      </c>
    </row>
    <row r="52" spans="1:5" x14ac:dyDescent="0.25">
      <c r="A52" s="227" t="str">
        <f>+$A$7</f>
        <v>Ayudante raso</v>
      </c>
      <c r="B52" s="228">
        <v>2</v>
      </c>
      <c r="C52" s="228" t="s">
        <v>42</v>
      </c>
      <c r="D52" s="229">
        <f>+$B$7</f>
        <v>40000</v>
      </c>
      <c r="E52" s="230">
        <f t="shared" ref="E52:E53" si="3">+B52*D52</f>
        <v>80000</v>
      </c>
    </row>
    <row r="53" spans="1:5" x14ac:dyDescent="0.25">
      <c r="A53" s="227" t="str">
        <f>+$A$5</f>
        <v>Mestro de Obra</v>
      </c>
      <c r="B53" s="228">
        <v>0.5</v>
      </c>
      <c r="C53" s="228" t="s">
        <v>42</v>
      </c>
      <c r="D53" s="229">
        <f>+$B$5</f>
        <v>110000</v>
      </c>
      <c r="E53" s="230">
        <f t="shared" si="3"/>
        <v>55000</v>
      </c>
    </row>
    <row r="54" spans="1:5" ht="12" thickBot="1" x14ac:dyDescent="0.3">
      <c r="A54" s="968" t="s">
        <v>1675</v>
      </c>
      <c r="B54" s="969"/>
      <c r="C54" s="969"/>
      <c r="D54" s="969"/>
      <c r="E54" s="231">
        <f>+E52+E53</f>
        <v>135000</v>
      </c>
    </row>
    <row r="55" spans="1:5" ht="12" thickBot="1" x14ac:dyDescent="0.3"/>
    <row r="56" spans="1:5" x14ac:dyDescent="0.25">
      <c r="A56" s="224" t="s">
        <v>1669</v>
      </c>
      <c r="B56" s="225" t="s">
        <v>34</v>
      </c>
      <c r="C56" s="225" t="s">
        <v>24</v>
      </c>
      <c r="D56" s="225" t="s">
        <v>1670</v>
      </c>
      <c r="E56" s="226" t="s">
        <v>1671</v>
      </c>
    </row>
    <row r="57" spans="1:5" x14ac:dyDescent="0.25">
      <c r="A57" s="227" t="str">
        <f>+$A$6</f>
        <v>Oficial de obra primera</v>
      </c>
      <c r="B57" s="228">
        <v>1</v>
      </c>
      <c r="C57" s="228" t="s">
        <v>42</v>
      </c>
      <c r="D57" s="229">
        <f>+$B$6</f>
        <v>80000</v>
      </c>
      <c r="E57" s="230">
        <f>+B57*D57</f>
        <v>80000</v>
      </c>
    </row>
    <row r="58" spans="1:5" x14ac:dyDescent="0.25">
      <c r="A58" s="227" t="str">
        <f>+$A$7</f>
        <v>Ayudante raso</v>
      </c>
      <c r="B58" s="228">
        <v>4</v>
      </c>
      <c r="C58" s="228" t="s">
        <v>42</v>
      </c>
      <c r="D58" s="229">
        <f>+$B$7</f>
        <v>40000</v>
      </c>
      <c r="E58" s="230">
        <f t="shared" ref="E58:E59" si="4">+B58*D58</f>
        <v>160000</v>
      </c>
    </row>
    <row r="59" spans="1:5" x14ac:dyDescent="0.25">
      <c r="A59" s="227" t="str">
        <f>+$A$5</f>
        <v>Mestro de Obra</v>
      </c>
      <c r="B59" s="228">
        <v>0.5</v>
      </c>
      <c r="C59" s="228" t="s">
        <v>42</v>
      </c>
      <c r="D59" s="229">
        <f>+$B$5</f>
        <v>110000</v>
      </c>
      <c r="E59" s="230">
        <f t="shared" si="4"/>
        <v>55000</v>
      </c>
    </row>
    <row r="60" spans="1:5" ht="12" thickBot="1" x14ac:dyDescent="0.3">
      <c r="A60" s="968" t="s">
        <v>1676</v>
      </c>
      <c r="B60" s="969"/>
      <c r="C60" s="969"/>
      <c r="D60" s="969"/>
      <c r="E60" s="231">
        <f>+E57+E58+E59</f>
        <v>295000</v>
      </c>
    </row>
    <row r="61" spans="1:5" ht="12" thickBot="1" x14ac:dyDescent="0.3"/>
    <row r="62" spans="1:5" x14ac:dyDescent="0.25">
      <c r="A62" s="224" t="s">
        <v>1669</v>
      </c>
      <c r="B62" s="225" t="s">
        <v>34</v>
      </c>
      <c r="C62" s="225" t="s">
        <v>24</v>
      </c>
      <c r="D62" s="225" t="s">
        <v>1670</v>
      </c>
      <c r="E62" s="226" t="s">
        <v>1671</v>
      </c>
    </row>
    <row r="63" spans="1:5" x14ac:dyDescent="0.25">
      <c r="A63" s="227" t="str">
        <f>+$A$6</f>
        <v>Oficial de obra primera</v>
      </c>
      <c r="B63" s="228">
        <v>2</v>
      </c>
      <c r="C63" s="228" t="s">
        <v>42</v>
      </c>
      <c r="D63" s="229">
        <f>+$B$6</f>
        <v>80000</v>
      </c>
      <c r="E63" s="230">
        <f>+B63*D63</f>
        <v>160000</v>
      </c>
    </row>
    <row r="64" spans="1:5" x14ac:dyDescent="0.25">
      <c r="A64" s="227" t="str">
        <f>+$A$7</f>
        <v>Ayudante raso</v>
      </c>
      <c r="B64" s="228">
        <v>4</v>
      </c>
      <c r="C64" s="228" t="s">
        <v>42</v>
      </c>
      <c r="D64" s="229">
        <f>+$B$7</f>
        <v>40000</v>
      </c>
      <c r="E64" s="230">
        <f t="shared" ref="E64:E65" si="5">+B64*D64</f>
        <v>160000</v>
      </c>
    </row>
    <row r="65" spans="1:5" x14ac:dyDescent="0.25">
      <c r="A65" s="227" t="str">
        <f>+$A$5</f>
        <v>Mestro de Obra</v>
      </c>
      <c r="B65" s="228">
        <v>0.5</v>
      </c>
      <c r="C65" s="228" t="s">
        <v>42</v>
      </c>
      <c r="D65" s="229">
        <f>+$B$5</f>
        <v>110000</v>
      </c>
      <c r="E65" s="230">
        <f t="shared" si="5"/>
        <v>55000</v>
      </c>
    </row>
    <row r="66" spans="1:5" ht="12" thickBot="1" x14ac:dyDescent="0.3">
      <c r="A66" s="968" t="s">
        <v>1677</v>
      </c>
      <c r="B66" s="969"/>
      <c r="C66" s="969"/>
      <c r="D66" s="969"/>
      <c r="E66" s="231">
        <f>+E63+E64+E65</f>
        <v>375000</v>
      </c>
    </row>
    <row r="67" spans="1:5" ht="12" thickBot="1" x14ac:dyDescent="0.3"/>
    <row r="68" spans="1:5" x14ac:dyDescent="0.25">
      <c r="A68" s="224" t="s">
        <v>1669</v>
      </c>
      <c r="B68" s="225" t="s">
        <v>34</v>
      </c>
      <c r="C68" s="225" t="s">
        <v>24</v>
      </c>
      <c r="D68" s="225" t="s">
        <v>1670</v>
      </c>
      <c r="E68" s="226" t="s">
        <v>1671</v>
      </c>
    </row>
    <row r="69" spans="1:5" x14ac:dyDescent="0.25">
      <c r="A69" s="227" t="str">
        <f>+A12</f>
        <v>Oficial Fontaneria</v>
      </c>
      <c r="B69" s="228">
        <v>1</v>
      </c>
      <c r="C69" s="228" t="s">
        <v>42</v>
      </c>
      <c r="D69" s="229">
        <f>+B12</f>
        <v>90000</v>
      </c>
      <c r="E69" s="230">
        <f>+B69*D69</f>
        <v>90000</v>
      </c>
    </row>
    <row r="70" spans="1:5" x14ac:dyDescent="0.25">
      <c r="A70" s="227" t="str">
        <f>+A13</f>
        <v>Ayudante Fontaneria</v>
      </c>
      <c r="B70" s="228">
        <v>1</v>
      </c>
      <c r="C70" s="228" t="s">
        <v>42</v>
      </c>
      <c r="D70" s="229">
        <f>+B13</f>
        <v>50000</v>
      </c>
      <c r="E70" s="230">
        <f t="shared" ref="E70:E71" si="6">+B70*D70</f>
        <v>50000</v>
      </c>
    </row>
    <row r="71" spans="1:5" x14ac:dyDescent="0.25">
      <c r="A71" s="227" t="str">
        <f>+$A$5</f>
        <v>Mestro de Obra</v>
      </c>
      <c r="B71" s="228">
        <v>0.5</v>
      </c>
      <c r="C71" s="228" t="s">
        <v>42</v>
      </c>
      <c r="D71" s="229">
        <f>+$B$5</f>
        <v>110000</v>
      </c>
      <c r="E71" s="230">
        <f t="shared" si="6"/>
        <v>55000</v>
      </c>
    </row>
    <row r="72" spans="1:5" ht="12" thickBot="1" x14ac:dyDescent="0.3">
      <c r="A72" s="968" t="s">
        <v>1680</v>
      </c>
      <c r="B72" s="969"/>
      <c r="C72" s="969"/>
      <c r="D72" s="969"/>
      <c r="E72" s="231">
        <f>+E69+E70+E71</f>
        <v>195000</v>
      </c>
    </row>
    <row r="208" spans="1:2" s="46" customFormat="1" x14ac:dyDescent="0.25">
      <c r="A208" s="965"/>
      <c r="B208" s="965"/>
    </row>
    <row r="209" spans="1:1" s="46" customFormat="1" x14ac:dyDescent="0.25">
      <c r="A209" s="218"/>
    </row>
    <row r="210" spans="1:1" s="46" customFormat="1" x14ac:dyDescent="0.25">
      <c r="A210" s="218"/>
    </row>
    <row r="211" spans="1:1" s="46" customFormat="1" x14ac:dyDescent="0.25">
      <c r="A211" s="218"/>
    </row>
    <row r="212" spans="1:1" s="46" customFormat="1" x14ac:dyDescent="0.25">
      <c r="A212" s="218"/>
    </row>
    <row r="213" spans="1:1" s="46" customFormat="1" x14ac:dyDescent="0.25">
      <c r="A213" s="218"/>
    </row>
    <row r="214" spans="1:1" s="46" customFormat="1" ht="18" customHeight="1" x14ac:dyDescent="0.25">
      <c r="A214" s="218"/>
    </row>
    <row r="215" spans="1:1" s="46" customFormat="1" x14ac:dyDescent="0.25">
      <c r="A215" s="218"/>
    </row>
    <row r="216" spans="1:1" s="46" customFormat="1" ht="20.25" customHeight="1" x14ac:dyDescent="0.25">
      <c r="A216" s="218"/>
    </row>
  </sheetData>
  <mergeCells count="10">
    <mergeCell ref="A1:B1"/>
    <mergeCell ref="A208:B208"/>
    <mergeCell ref="A32:E32"/>
    <mergeCell ref="A37:D37"/>
    <mergeCell ref="A43:D43"/>
    <mergeCell ref="A49:D49"/>
    <mergeCell ref="A54:D54"/>
    <mergeCell ref="A60:D60"/>
    <mergeCell ref="A66:D66"/>
    <mergeCell ref="A72:D72"/>
  </mergeCells>
  <pageMargins left="1.1811023622047245" right="0.78740157480314965" top="0.78740157480314965" bottom="0.59055118110236227" header="0" footer="0"/>
  <pageSetup paperSize="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pageSetUpPr fitToPage="1"/>
  </sheetPr>
  <dimension ref="A1:D52"/>
  <sheetViews>
    <sheetView topLeftCell="A32" zoomScaleNormal="100" workbookViewId="0">
      <selection activeCell="E6" sqref="E6"/>
    </sheetView>
  </sheetViews>
  <sheetFormatPr baseColWidth="10" defaultRowHeight="14.25" x14ac:dyDescent="0.25"/>
  <cols>
    <col min="1" max="1" width="8.28515625" style="676" customWidth="1"/>
    <col min="2" max="2" width="54.7109375" style="676" customWidth="1"/>
    <col min="3" max="3" width="13.28515625" style="676" customWidth="1"/>
    <col min="4" max="4" width="15.7109375" style="676" customWidth="1"/>
    <col min="5" max="256" width="11.42578125" style="676"/>
    <col min="257" max="257" width="8.28515625" style="676" customWidth="1"/>
    <col min="258" max="258" width="54.7109375" style="676" customWidth="1"/>
    <col min="259" max="259" width="13.28515625" style="676" customWidth="1"/>
    <col min="260" max="260" width="15.7109375" style="676" customWidth="1"/>
    <col min="261" max="512" width="11.42578125" style="676"/>
    <col min="513" max="513" width="8.28515625" style="676" customWidth="1"/>
    <col min="514" max="514" width="54.7109375" style="676" customWidth="1"/>
    <col min="515" max="515" width="13.28515625" style="676" customWidth="1"/>
    <col min="516" max="516" width="15.7109375" style="676" customWidth="1"/>
    <col min="517" max="768" width="11.42578125" style="676"/>
    <col min="769" max="769" width="8.28515625" style="676" customWidth="1"/>
    <col min="770" max="770" width="54.7109375" style="676" customWidth="1"/>
    <col min="771" max="771" width="13.28515625" style="676" customWidth="1"/>
    <col min="772" max="772" width="15.7109375" style="676" customWidth="1"/>
    <col min="773" max="1024" width="11.42578125" style="676"/>
    <col min="1025" max="1025" width="8.28515625" style="676" customWidth="1"/>
    <col min="1026" max="1026" width="54.7109375" style="676" customWidth="1"/>
    <col min="1027" max="1027" width="13.28515625" style="676" customWidth="1"/>
    <col min="1028" max="1028" width="15.7109375" style="676" customWidth="1"/>
    <col min="1029" max="1280" width="11.42578125" style="676"/>
    <col min="1281" max="1281" width="8.28515625" style="676" customWidth="1"/>
    <col min="1282" max="1282" width="54.7109375" style="676" customWidth="1"/>
    <col min="1283" max="1283" width="13.28515625" style="676" customWidth="1"/>
    <col min="1284" max="1284" width="15.7109375" style="676" customWidth="1"/>
    <col min="1285" max="1536" width="11.42578125" style="676"/>
    <col min="1537" max="1537" width="8.28515625" style="676" customWidth="1"/>
    <col min="1538" max="1538" width="54.7109375" style="676" customWidth="1"/>
    <col min="1539" max="1539" width="13.28515625" style="676" customWidth="1"/>
    <col min="1540" max="1540" width="15.7109375" style="676" customWidth="1"/>
    <col min="1541" max="1792" width="11.42578125" style="676"/>
    <col min="1793" max="1793" width="8.28515625" style="676" customWidth="1"/>
    <col min="1794" max="1794" width="54.7109375" style="676" customWidth="1"/>
    <col min="1795" max="1795" width="13.28515625" style="676" customWidth="1"/>
    <col min="1796" max="1796" width="15.7109375" style="676" customWidth="1"/>
    <col min="1797" max="2048" width="11.42578125" style="676"/>
    <col min="2049" max="2049" width="8.28515625" style="676" customWidth="1"/>
    <col min="2050" max="2050" width="54.7109375" style="676" customWidth="1"/>
    <col min="2051" max="2051" width="13.28515625" style="676" customWidth="1"/>
    <col min="2052" max="2052" width="15.7109375" style="676" customWidth="1"/>
    <col min="2053" max="2304" width="11.42578125" style="676"/>
    <col min="2305" max="2305" width="8.28515625" style="676" customWidth="1"/>
    <col min="2306" max="2306" width="54.7109375" style="676" customWidth="1"/>
    <col min="2307" max="2307" width="13.28515625" style="676" customWidth="1"/>
    <col min="2308" max="2308" width="15.7109375" style="676" customWidth="1"/>
    <col min="2309" max="2560" width="11.42578125" style="676"/>
    <col min="2561" max="2561" width="8.28515625" style="676" customWidth="1"/>
    <col min="2562" max="2562" width="54.7109375" style="676" customWidth="1"/>
    <col min="2563" max="2563" width="13.28515625" style="676" customWidth="1"/>
    <col min="2564" max="2564" width="15.7109375" style="676" customWidth="1"/>
    <col min="2565" max="2816" width="11.42578125" style="676"/>
    <col min="2817" max="2817" width="8.28515625" style="676" customWidth="1"/>
    <col min="2818" max="2818" width="54.7109375" style="676" customWidth="1"/>
    <col min="2819" max="2819" width="13.28515625" style="676" customWidth="1"/>
    <col min="2820" max="2820" width="15.7109375" style="676" customWidth="1"/>
    <col min="2821" max="3072" width="11.42578125" style="676"/>
    <col min="3073" max="3073" width="8.28515625" style="676" customWidth="1"/>
    <col min="3074" max="3074" width="54.7109375" style="676" customWidth="1"/>
    <col min="3075" max="3075" width="13.28515625" style="676" customWidth="1"/>
    <col min="3076" max="3076" width="15.7109375" style="676" customWidth="1"/>
    <col min="3077" max="3328" width="11.42578125" style="676"/>
    <col min="3329" max="3329" width="8.28515625" style="676" customWidth="1"/>
    <col min="3330" max="3330" width="54.7109375" style="676" customWidth="1"/>
    <col min="3331" max="3331" width="13.28515625" style="676" customWidth="1"/>
    <col min="3332" max="3332" width="15.7109375" style="676" customWidth="1"/>
    <col min="3333" max="3584" width="11.42578125" style="676"/>
    <col min="3585" max="3585" width="8.28515625" style="676" customWidth="1"/>
    <col min="3586" max="3586" width="54.7109375" style="676" customWidth="1"/>
    <col min="3587" max="3587" width="13.28515625" style="676" customWidth="1"/>
    <col min="3588" max="3588" width="15.7109375" style="676" customWidth="1"/>
    <col min="3589" max="3840" width="11.42578125" style="676"/>
    <col min="3841" max="3841" width="8.28515625" style="676" customWidth="1"/>
    <col min="3842" max="3842" width="54.7109375" style="676" customWidth="1"/>
    <col min="3843" max="3843" width="13.28515625" style="676" customWidth="1"/>
    <col min="3844" max="3844" width="15.7109375" style="676" customWidth="1"/>
    <col min="3845" max="4096" width="11.42578125" style="676"/>
    <col min="4097" max="4097" width="8.28515625" style="676" customWidth="1"/>
    <col min="4098" max="4098" width="54.7109375" style="676" customWidth="1"/>
    <col min="4099" max="4099" width="13.28515625" style="676" customWidth="1"/>
    <col min="4100" max="4100" width="15.7109375" style="676" customWidth="1"/>
    <col min="4101" max="4352" width="11.42578125" style="676"/>
    <col min="4353" max="4353" width="8.28515625" style="676" customWidth="1"/>
    <col min="4354" max="4354" width="54.7109375" style="676" customWidth="1"/>
    <col min="4355" max="4355" width="13.28515625" style="676" customWidth="1"/>
    <col min="4356" max="4356" width="15.7109375" style="676" customWidth="1"/>
    <col min="4357" max="4608" width="11.42578125" style="676"/>
    <col min="4609" max="4609" width="8.28515625" style="676" customWidth="1"/>
    <col min="4610" max="4610" width="54.7109375" style="676" customWidth="1"/>
    <col min="4611" max="4611" width="13.28515625" style="676" customWidth="1"/>
    <col min="4612" max="4612" width="15.7109375" style="676" customWidth="1"/>
    <col min="4613" max="4864" width="11.42578125" style="676"/>
    <col min="4865" max="4865" width="8.28515625" style="676" customWidth="1"/>
    <col min="4866" max="4866" width="54.7109375" style="676" customWidth="1"/>
    <col min="4867" max="4867" width="13.28515625" style="676" customWidth="1"/>
    <col min="4868" max="4868" width="15.7109375" style="676" customWidth="1"/>
    <col min="4869" max="5120" width="11.42578125" style="676"/>
    <col min="5121" max="5121" width="8.28515625" style="676" customWidth="1"/>
    <col min="5122" max="5122" width="54.7109375" style="676" customWidth="1"/>
    <col min="5123" max="5123" width="13.28515625" style="676" customWidth="1"/>
    <col min="5124" max="5124" width="15.7109375" style="676" customWidth="1"/>
    <col min="5125" max="5376" width="11.42578125" style="676"/>
    <col min="5377" max="5377" width="8.28515625" style="676" customWidth="1"/>
    <col min="5378" max="5378" width="54.7109375" style="676" customWidth="1"/>
    <col min="5379" max="5379" width="13.28515625" style="676" customWidth="1"/>
    <col min="5380" max="5380" width="15.7109375" style="676" customWidth="1"/>
    <col min="5381" max="5632" width="11.42578125" style="676"/>
    <col min="5633" max="5633" width="8.28515625" style="676" customWidth="1"/>
    <col min="5634" max="5634" width="54.7109375" style="676" customWidth="1"/>
    <col min="5635" max="5635" width="13.28515625" style="676" customWidth="1"/>
    <col min="5636" max="5636" width="15.7109375" style="676" customWidth="1"/>
    <col min="5637" max="5888" width="11.42578125" style="676"/>
    <col min="5889" max="5889" width="8.28515625" style="676" customWidth="1"/>
    <col min="5890" max="5890" width="54.7109375" style="676" customWidth="1"/>
    <col min="5891" max="5891" width="13.28515625" style="676" customWidth="1"/>
    <col min="5892" max="5892" width="15.7109375" style="676" customWidth="1"/>
    <col min="5893" max="6144" width="11.42578125" style="676"/>
    <col min="6145" max="6145" width="8.28515625" style="676" customWidth="1"/>
    <col min="6146" max="6146" width="54.7109375" style="676" customWidth="1"/>
    <col min="6147" max="6147" width="13.28515625" style="676" customWidth="1"/>
    <col min="6148" max="6148" width="15.7109375" style="676" customWidth="1"/>
    <col min="6149" max="6400" width="11.42578125" style="676"/>
    <col min="6401" max="6401" width="8.28515625" style="676" customWidth="1"/>
    <col min="6402" max="6402" width="54.7109375" style="676" customWidth="1"/>
    <col min="6403" max="6403" width="13.28515625" style="676" customWidth="1"/>
    <col min="6404" max="6404" width="15.7109375" style="676" customWidth="1"/>
    <col min="6405" max="6656" width="11.42578125" style="676"/>
    <col min="6657" max="6657" width="8.28515625" style="676" customWidth="1"/>
    <col min="6658" max="6658" width="54.7109375" style="676" customWidth="1"/>
    <col min="6659" max="6659" width="13.28515625" style="676" customWidth="1"/>
    <col min="6660" max="6660" width="15.7109375" style="676" customWidth="1"/>
    <col min="6661" max="6912" width="11.42578125" style="676"/>
    <col min="6913" max="6913" width="8.28515625" style="676" customWidth="1"/>
    <col min="6914" max="6914" width="54.7109375" style="676" customWidth="1"/>
    <col min="6915" max="6915" width="13.28515625" style="676" customWidth="1"/>
    <col min="6916" max="6916" width="15.7109375" style="676" customWidth="1"/>
    <col min="6917" max="7168" width="11.42578125" style="676"/>
    <col min="7169" max="7169" width="8.28515625" style="676" customWidth="1"/>
    <col min="7170" max="7170" width="54.7109375" style="676" customWidth="1"/>
    <col min="7171" max="7171" width="13.28515625" style="676" customWidth="1"/>
    <col min="7172" max="7172" width="15.7109375" style="676" customWidth="1"/>
    <col min="7173" max="7424" width="11.42578125" style="676"/>
    <col min="7425" max="7425" width="8.28515625" style="676" customWidth="1"/>
    <col min="7426" max="7426" width="54.7109375" style="676" customWidth="1"/>
    <col min="7427" max="7427" width="13.28515625" style="676" customWidth="1"/>
    <col min="7428" max="7428" width="15.7109375" style="676" customWidth="1"/>
    <col min="7429" max="7680" width="11.42578125" style="676"/>
    <col min="7681" max="7681" width="8.28515625" style="676" customWidth="1"/>
    <col min="7682" max="7682" width="54.7109375" style="676" customWidth="1"/>
    <col min="7683" max="7683" width="13.28515625" style="676" customWidth="1"/>
    <col min="7684" max="7684" width="15.7109375" style="676" customWidth="1"/>
    <col min="7685" max="7936" width="11.42578125" style="676"/>
    <col min="7937" max="7937" width="8.28515625" style="676" customWidth="1"/>
    <col min="7938" max="7938" width="54.7109375" style="676" customWidth="1"/>
    <col min="7939" max="7939" width="13.28515625" style="676" customWidth="1"/>
    <col min="7940" max="7940" width="15.7109375" style="676" customWidth="1"/>
    <col min="7941" max="8192" width="11.42578125" style="676"/>
    <col min="8193" max="8193" width="8.28515625" style="676" customWidth="1"/>
    <col min="8194" max="8194" width="54.7109375" style="676" customWidth="1"/>
    <col min="8195" max="8195" width="13.28515625" style="676" customWidth="1"/>
    <col min="8196" max="8196" width="15.7109375" style="676" customWidth="1"/>
    <col min="8197" max="8448" width="11.42578125" style="676"/>
    <col min="8449" max="8449" width="8.28515625" style="676" customWidth="1"/>
    <col min="8450" max="8450" width="54.7109375" style="676" customWidth="1"/>
    <col min="8451" max="8451" width="13.28515625" style="676" customWidth="1"/>
    <col min="8452" max="8452" width="15.7109375" style="676" customWidth="1"/>
    <col min="8453" max="8704" width="11.42578125" style="676"/>
    <col min="8705" max="8705" width="8.28515625" style="676" customWidth="1"/>
    <col min="8706" max="8706" width="54.7109375" style="676" customWidth="1"/>
    <col min="8707" max="8707" width="13.28515625" style="676" customWidth="1"/>
    <col min="8708" max="8708" width="15.7109375" style="676" customWidth="1"/>
    <col min="8709" max="8960" width="11.42578125" style="676"/>
    <col min="8961" max="8961" width="8.28515625" style="676" customWidth="1"/>
    <col min="8962" max="8962" width="54.7109375" style="676" customWidth="1"/>
    <col min="8963" max="8963" width="13.28515625" style="676" customWidth="1"/>
    <col min="8964" max="8964" width="15.7109375" style="676" customWidth="1"/>
    <col min="8965" max="9216" width="11.42578125" style="676"/>
    <col min="9217" max="9217" width="8.28515625" style="676" customWidth="1"/>
    <col min="9218" max="9218" width="54.7109375" style="676" customWidth="1"/>
    <col min="9219" max="9219" width="13.28515625" style="676" customWidth="1"/>
    <col min="9220" max="9220" width="15.7109375" style="676" customWidth="1"/>
    <col min="9221" max="9472" width="11.42578125" style="676"/>
    <col min="9473" max="9473" width="8.28515625" style="676" customWidth="1"/>
    <col min="9474" max="9474" width="54.7109375" style="676" customWidth="1"/>
    <col min="9475" max="9475" width="13.28515625" style="676" customWidth="1"/>
    <col min="9476" max="9476" width="15.7109375" style="676" customWidth="1"/>
    <col min="9477" max="9728" width="11.42578125" style="676"/>
    <col min="9729" max="9729" width="8.28515625" style="676" customWidth="1"/>
    <col min="9730" max="9730" width="54.7109375" style="676" customWidth="1"/>
    <col min="9731" max="9731" width="13.28515625" style="676" customWidth="1"/>
    <col min="9732" max="9732" width="15.7109375" style="676" customWidth="1"/>
    <col min="9733" max="9984" width="11.42578125" style="676"/>
    <col min="9985" max="9985" width="8.28515625" style="676" customWidth="1"/>
    <col min="9986" max="9986" width="54.7109375" style="676" customWidth="1"/>
    <col min="9987" max="9987" width="13.28515625" style="676" customWidth="1"/>
    <col min="9988" max="9988" width="15.7109375" style="676" customWidth="1"/>
    <col min="9989" max="10240" width="11.42578125" style="676"/>
    <col min="10241" max="10241" width="8.28515625" style="676" customWidth="1"/>
    <col min="10242" max="10242" width="54.7109375" style="676" customWidth="1"/>
    <col min="10243" max="10243" width="13.28515625" style="676" customWidth="1"/>
    <col min="10244" max="10244" width="15.7109375" style="676" customWidth="1"/>
    <col min="10245" max="10496" width="11.42578125" style="676"/>
    <col min="10497" max="10497" width="8.28515625" style="676" customWidth="1"/>
    <col min="10498" max="10498" width="54.7109375" style="676" customWidth="1"/>
    <col min="10499" max="10499" width="13.28515625" style="676" customWidth="1"/>
    <col min="10500" max="10500" width="15.7109375" style="676" customWidth="1"/>
    <col min="10501" max="10752" width="11.42578125" style="676"/>
    <col min="10753" max="10753" width="8.28515625" style="676" customWidth="1"/>
    <col min="10754" max="10754" width="54.7109375" style="676" customWidth="1"/>
    <col min="10755" max="10755" width="13.28515625" style="676" customWidth="1"/>
    <col min="10756" max="10756" width="15.7109375" style="676" customWidth="1"/>
    <col min="10757" max="11008" width="11.42578125" style="676"/>
    <col min="11009" max="11009" width="8.28515625" style="676" customWidth="1"/>
    <col min="11010" max="11010" width="54.7109375" style="676" customWidth="1"/>
    <col min="11011" max="11011" width="13.28515625" style="676" customWidth="1"/>
    <col min="11012" max="11012" width="15.7109375" style="676" customWidth="1"/>
    <col min="11013" max="11264" width="11.42578125" style="676"/>
    <col min="11265" max="11265" width="8.28515625" style="676" customWidth="1"/>
    <col min="11266" max="11266" width="54.7109375" style="676" customWidth="1"/>
    <col min="11267" max="11267" width="13.28515625" style="676" customWidth="1"/>
    <col min="11268" max="11268" width="15.7109375" style="676" customWidth="1"/>
    <col min="11269" max="11520" width="11.42578125" style="676"/>
    <col min="11521" max="11521" width="8.28515625" style="676" customWidth="1"/>
    <col min="11522" max="11522" width="54.7109375" style="676" customWidth="1"/>
    <col min="11523" max="11523" width="13.28515625" style="676" customWidth="1"/>
    <col min="11524" max="11524" width="15.7109375" style="676" customWidth="1"/>
    <col min="11525" max="11776" width="11.42578125" style="676"/>
    <col min="11777" max="11777" width="8.28515625" style="676" customWidth="1"/>
    <col min="11778" max="11778" width="54.7109375" style="676" customWidth="1"/>
    <col min="11779" max="11779" width="13.28515625" style="676" customWidth="1"/>
    <col min="11780" max="11780" width="15.7109375" style="676" customWidth="1"/>
    <col min="11781" max="12032" width="11.42578125" style="676"/>
    <col min="12033" max="12033" width="8.28515625" style="676" customWidth="1"/>
    <col min="12034" max="12034" width="54.7109375" style="676" customWidth="1"/>
    <col min="12035" max="12035" width="13.28515625" style="676" customWidth="1"/>
    <col min="12036" max="12036" width="15.7109375" style="676" customWidth="1"/>
    <col min="12037" max="12288" width="11.42578125" style="676"/>
    <col min="12289" max="12289" width="8.28515625" style="676" customWidth="1"/>
    <col min="12290" max="12290" width="54.7109375" style="676" customWidth="1"/>
    <col min="12291" max="12291" width="13.28515625" style="676" customWidth="1"/>
    <col min="12292" max="12292" width="15.7109375" style="676" customWidth="1"/>
    <col min="12293" max="12544" width="11.42578125" style="676"/>
    <col min="12545" max="12545" width="8.28515625" style="676" customWidth="1"/>
    <col min="12546" max="12546" width="54.7109375" style="676" customWidth="1"/>
    <col min="12547" max="12547" width="13.28515625" style="676" customWidth="1"/>
    <col min="12548" max="12548" width="15.7109375" style="676" customWidth="1"/>
    <col min="12549" max="12800" width="11.42578125" style="676"/>
    <col min="12801" max="12801" width="8.28515625" style="676" customWidth="1"/>
    <col min="12802" max="12802" width="54.7109375" style="676" customWidth="1"/>
    <col min="12803" max="12803" width="13.28515625" style="676" customWidth="1"/>
    <col min="12804" max="12804" width="15.7109375" style="676" customWidth="1"/>
    <col min="12805" max="13056" width="11.42578125" style="676"/>
    <col min="13057" max="13057" width="8.28515625" style="676" customWidth="1"/>
    <col min="13058" max="13058" width="54.7109375" style="676" customWidth="1"/>
    <col min="13059" max="13059" width="13.28515625" style="676" customWidth="1"/>
    <col min="13060" max="13060" width="15.7109375" style="676" customWidth="1"/>
    <col min="13061" max="13312" width="11.42578125" style="676"/>
    <col min="13313" max="13313" width="8.28515625" style="676" customWidth="1"/>
    <col min="13314" max="13314" width="54.7109375" style="676" customWidth="1"/>
    <col min="13315" max="13315" width="13.28515625" style="676" customWidth="1"/>
    <col min="13316" max="13316" width="15.7109375" style="676" customWidth="1"/>
    <col min="13317" max="13568" width="11.42578125" style="676"/>
    <col min="13569" max="13569" width="8.28515625" style="676" customWidth="1"/>
    <col min="13570" max="13570" width="54.7109375" style="676" customWidth="1"/>
    <col min="13571" max="13571" width="13.28515625" style="676" customWidth="1"/>
    <col min="13572" max="13572" width="15.7109375" style="676" customWidth="1"/>
    <col min="13573" max="13824" width="11.42578125" style="676"/>
    <col min="13825" max="13825" width="8.28515625" style="676" customWidth="1"/>
    <col min="13826" max="13826" width="54.7109375" style="676" customWidth="1"/>
    <col min="13827" max="13827" width="13.28515625" style="676" customWidth="1"/>
    <col min="13828" max="13828" width="15.7109375" style="676" customWidth="1"/>
    <col min="13829" max="14080" width="11.42578125" style="676"/>
    <col min="14081" max="14081" width="8.28515625" style="676" customWidth="1"/>
    <col min="14082" max="14082" width="54.7109375" style="676" customWidth="1"/>
    <col min="14083" max="14083" width="13.28515625" style="676" customWidth="1"/>
    <col min="14084" max="14084" width="15.7109375" style="676" customWidth="1"/>
    <col min="14085" max="14336" width="11.42578125" style="676"/>
    <col min="14337" max="14337" width="8.28515625" style="676" customWidth="1"/>
    <col min="14338" max="14338" width="54.7109375" style="676" customWidth="1"/>
    <col min="14339" max="14339" width="13.28515625" style="676" customWidth="1"/>
    <col min="14340" max="14340" width="15.7109375" style="676" customWidth="1"/>
    <col min="14341" max="14592" width="11.42578125" style="676"/>
    <col min="14593" max="14593" width="8.28515625" style="676" customWidth="1"/>
    <col min="14594" max="14594" width="54.7109375" style="676" customWidth="1"/>
    <col min="14595" max="14595" width="13.28515625" style="676" customWidth="1"/>
    <col min="14596" max="14596" width="15.7109375" style="676" customWidth="1"/>
    <col min="14597" max="14848" width="11.42578125" style="676"/>
    <col min="14849" max="14849" width="8.28515625" style="676" customWidth="1"/>
    <col min="14850" max="14850" width="54.7109375" style="676" customWidth="1"/>
    <col min="14851" max="14851" width="13.28515625" style="676" customWidth="1"/>
    <col min="14852" max="14852" width="15.7109375" style="676" customWidth="1"/>
    <col min="14853" max="15104" width="11.42578125" style="676"/>
    <col min="15105" max="15105" width="8.28515625" style="676" customWidth="1"/>
    <col min="15106" max="15106" width="54.7109375" style="676" customWidth="1"/>
    <col min="15107" max="15107" width="13.28515625" style="676" customWidth="1"/>
    <col min="15108" max="15108" width="15.7109375" style="676" customWidth="1"/>
    <col min="15109" max="15360" width="11.42578125" style="676"/>
    <col min="15361" max="15361" width="8.28515625" style="676" customWidth="1"/>
    <col min="15362" max="15362" width="54.7109375" style="676" customWidth="1"/>
    <col min="15363" max="15363" width="13.28515625" style="676" customWidth="1"/>
    <col min="15364" max="15364" width="15.7109375" style="676" customWidth="1"/>
    <col min="15365" max="15616" width="11.42578125" style="676"/>
    <col min="15617" max="15617" width="8.28515625" style="676" customWidth="1"/>
    <col min="15618" max="15618" width="54.7109375" style="676" customWidth="1"/>
    <col min="15619" max="15619" width="13.28515625" style="676" customWidth="1"/>
    <col min="15620" max="15620" width="15.7109375" style="676" customWidth="1"/>
    <col min="15621" max="15872" width="11.42578125" style="676"/>
    <col min="15873" max="15873" width="8.28515625" style="676" customWidth="1"/>
    <col min="15874" max="15874" width="54.7109375" style="676" customWidth="1"/>
    <col min="15875" max="15875" width="13.28515625" style="676" customWidth="1"/>
    <col min="15876" max="15876" width="15.7109375" style="676" customWidth="1"/>
    <col min="15877" max="16128" width="11.42578125" style="676"/>
    <col min="16129" max="16129" width="8.28515625" style="676" customWidth="1"/>
    <col min="16130" max="16130" width="54.7109375" style="676" customWidth="1"/>
    <col min="16131" max="16131" width="13.28515625" style="676" customWidth="1"/>
    <col min="16132" max="16132" width="15.7109375" style="676" customWidth="1"/>
    <col min="16133" max="16384" width="11.42578125" style="676"/>
  </cols>
  <sheetData>
    <row r="1" spans="1:4" ht="15" thickBot="1" x14ac:dyDescent="0.3"/>
    <row r="2" spans="1:4" ht="22.5" customHeight="1" thickTop="1" thickBot="1" x14ac:dyDescent="0.3">
      <c r="A2" s="970" t="s">
        <v>2183</v>
      </c>
      <c r="B2" s="971"/>
      <c r="C2" s="971"/>
      <c r="D2" s="972"/>
    </row>
    <row r="3" spans="1:4" ht="16.5" thickTop="1" thickBot="1" x14ac:dyDescent="0.3">
      <c r="A3" s="667" t="s">
        <v>2184</v>
      </c>
      <c r="B3" s="668" t="s">
        <v>2181</v>
      </c>
      <c r="C3" s="668"/>
      <c r="D3" s="669" t="s">
        <v>51</v>
      </c>
    </row>
    <row r="4" spans="1:4" ht="15.75" thickTop="1" x14ac:dyDescent="0.25">
      <c r="A4" s="677" t="s">
        <v>2185</v>
      </c>
      <c r="B4" s="678" t="s">
        <v>2186</v>
      </c>
      <c r="C4" s="670"/>
      <c r="D4" s="671">
        <v>1</v>
      </c>
    </row>
    <row r="5" spans="1:4" ht="15" x14ac:dyDescent="0.25">
      <c r="A5" s="679" t="s">
        <v>2187</v>
      </c>
      <c r="B5" s="680" t="s">
        <v>2188</v>
      </c>
      <c r="C5" s="672"/>
      <c r="D5" s="673">
        <f>SUM(C6:C10)</f>
        <v>0.22270000000000001</v>
      </c>
    </row>
    <row r="6" spans="1:4" ht="15" x14ac:dyDescent="0.25">
      <c r="A6" s="679"/>
      <c r="B6" s="680" t="s">
        <v>2189</v>
      </c>
      <c r="C6" s="672">
        <v>8.3299999999999999E-2</v>
      </c>
      <c r="D6" s="673"/>
    </row>
    <row r="7" spans="1:4" ht="15" x14ac:dyDescent="0.25">
      <c r="A7" s="679"/>
      <c r="B7" s="680" t="s">
        <v>2190</v>
      </c>
      <c r="C7" s="672">
        <v>8.3299999999999999E-2</v>
      </c>
      <c r="D7" s="673"/>
    </row>
    <row r="8" spans="1:4" ht="15" x14ac:dyDescent="0.25">
      <c r="A8" s="679"/>
      <c r="B8" s="680" t="s">
        <v>2191</v>
      </c>
      <c r="C8" s="672">
        <v>4.4999999999999997E-3</v>
      </c>
      <c r="D8" s="673"/>
    </row>
    <row r="9" spans="1:4" ht="15" x14ac:dyDescent="0.25">
      <c r="A9" s="679"/>
      <c r="B9" s="680" t="s">
        <v>2192</v>
      </c>
      <c r="C9" s="672">
        <v>0.01</v>
      </c>
      <c r="D9" s="673"/>
    </row>
    <row r="10" spans="1:4" ht="15" x14ac:dyDescent="0.25">
      <c r="A10" s="679"/>
      <c r="B10" s="680" t="s">
        <v>86</v>
      </c>
      <c r="C10" s="672">
        <v>4.1599999999999998E-2</v>
      </c>
      <c r="D10" s="673"/>
    </row>
    <row r="11" spans="1:4" ht="15" x14ac:dyDescent="0.25">
      <c r="A11" s="679"/>
      <c r="B11" s="680"/>
      <c r="C11" s="672"/>
      <c r="D11" s="673"/>
    </row>
    <row r="12" spans="1:4" ht="15" x14ac:dyDescent="0.25">
      <c r="A12" s="679"/>
      <c r="B12" s="680"/>
      <c r="C12" s="672"/>
      <c r="D12" s="673"/>
    </row>
    <row r="13" spans="1:4" ht="15" x14ac:dyDescent="0.25">
      <c r="A13" s="679" t="s">
        <v>2193</v>
      </c>
      <c r="B13" s="680" t="s">
        <v>2194</v>
      </c>
      <c r="C13" s="672"/>
      <c r="D13" s="673">
        <f>SUM(C14:C19)</f>
        <v>0.36459999999999998</v>
      </c>
    </row>
    <row r="14" spans="1:4" ht="15" x14ac:dyDescent="0.25">
      <c r="A14" s="679"/>
      <c r="B14" s="680" t="s">
        <v>2195</v>
      </c>
      <c r="C14" s="672">
        <v>0.02</v>
      </c>
      <c r="D14" s="673"/>
    </row>
    <row r="15" spans="1:4" ht="15" x14ac:dyDescent="0.25">
      <c r="A15" s="679"/>
      <c r="B15" s="680" t="s">
        <v>2196</v>
      </c>
      <c r="C15" s="672">
        <v>8.5000000000000006E-2</v>
      </c>
      <c r="D15" s="673"/>
    </row>
    <row r="16" spans="1:4" ht="15" x14ac:dyDescent="0.25">
      <c r="A16" s="679"/>
      <c r="B16" s="680" t="s">
        <v>2197</v>
      </c>
      <c r="C16" s="672">
        <v>0.03</v>
      </c>
      <c r="D16" s="673"/>
    </row>
    <row r="17" spans="1:4" ht="15" x14ac:dyDescent="0.25">
      <c r="A17" s="679"/>
      <c r="B17" s="680" t="s">
        <v>2198</v>
      </c>
      <c r="C17" s="672">
        <v>0.12</v>
      </c>
      <c r="D17" s="673"/>
    </row>
    <row r="18" spans="1:4" ht="15" x14ac:dyDescent="0.25">
      <c r="A18" s="679"/>
      <c r="B18" s="680" t="s">
        <v>2199</v>
      </c>
      <c r="C18" s="672">
        <v>0.04</v>
      </c>
      <c r="D18" s="673"/>
    </row>
    <row r="19" spans="1:4" ht="15" x14ac:dyDescent="0.25">
      <c r="A19" s="679"/>
      <c r="B19" s="680" t="s">
        <v>2200</v>
      </c>
      <c r="C19" s="672">
        <v>6.9599999999999995E-2</v>
      </c>
      <c r="D19" s="673"/>
    </row>
    <row r="20" spans="1:4" ht="15" x14ac:dyDescent="0.25">
      <c r="A20" s="679"/>
      <c r="B20" s="680"/>
      <c r="C20" s="672"/>
      <c r="D20" s="673"/>
    </row>
    <row r="21" spans="1:4" ht="15" x14ac:dyDescent="0.25">
      <c r="A21" s="679" t="s">
        <v>2201</v>
      </c>
      <c r="B21" s="680" t="s">
        <v>2202</v>
      </c>
      <c r="C21" s="672"/>
      <c r="D21" s="673">
        <f>SUM(C22:C23)</f>
        <v>0.04</v>
      </c>
    </row>
    <row r="22" spans="1:4" ht="15" x14ac:dyDescent="0.25">
      <c r="A22" s="679"/>
      <c r="B22" s="680" t="s">
        <v>2203</v>
      </c>
      <c r="C22" s="672">
        <v>0.04</v>
      </c>
      <c r="D22" s="673"/>
    </row>
    <row r="23" spans="1:4" ht="15" x14ac:dyDescent="0.25">
      <c r="A23" s="679"/>
      <c r="B23" s="680" t="s">
        <v>2204</v>
      </c>
      <c r="C23" s="672"/>
      <c r="D23" s="673"/>
    </row>
    <row r="24" spans="1:4" ht="15" x14ac:dyDescent="0.25">
      <c r="A24" s="679"/>
      <c r="B24" s="680"/>
      <c r="C24" s="672"/>
      <c r="D24" s="673"/>
    </row>
    <row r="25" spans="1:4" ht="15" x14ac:dyDescent="0.25">
      <c r="A25" s="679"/>
      <c r="B25" s="681" t="s">
        <v>2205</v>
      </c>
      <c r="C25" s="672"/>
      <c r="D25" s="673">
        <f>D5+D13</f>
        <v>0.58729999999999993</v>
      </c>
    </row>
    <row r="26" spans="1:4" ht="15" x14ac:dyDescent="0.25">
      <c r="A26" s="679"/>
      <c r="B26" s="681" t="s">
        <v>2206</v>
      </c>
      <c r="C26" s="672"/>
      <c r="D26" s="673">
        <f>D4+D5+D13+D21</f>
        <v>1.6273000000000002</v>
      </c>
    </row>
    <row r="27" spans="1:4" ht="15" thickBot="1" x14ac:dyDescent="0.3">
      <c r="A27" s="973"/>
      <c r="B27" s="974"/>
      <c r="C27" s="974"/>
      <c r="D27" s="975"/>
    </row>
    <row r="28" spans="1:4" ht="16.5" thickTop="1" thickBot="1" x14ac:dyDescent="0.3">
      <c r="A28" s="667" t="s">
        <v>2184</v>
      </c>
      <c r="B28" s="668" t="s">
        <v>2181</v>
      </c>
      <c r="C28" s="668"/>
      <c r="D28" s="669" t="s">
        <v>51</v>
      </c>
    </row>
    <row r="29" spans="1:4" ht="15.75" thickTop="1" x14ac:dyDescent="0.25">
      <c r="A29" s="677" t="s">
        <v>2207</v>
      </c>
      <c r="B29" s="678" t="s">
        <v>2208</v>
      </c>
      <c r="C29" s="670"/>
      <c r="D29" s="674">
        <f>D30+D40</f>
        <v>0.28999999999999998</v>
      </c>
    </row>
    <row r="30" spans="1:4" ht="15" x14ac:dyDescent="0.25">
      <c r="A30" s="679" t="s">
        <v>2209</v>
      </c>
      <c r="B30" s="680" t="s">
        <v>2210</v>
      </c>
      <c r="C30" s="672"/>
      <c r="D30" s="673">
        <f>SUM(C31:C38)</f>
        <v>0.18999999999999997</v>
      </c>
    </row>
    <row r="31" spans="1:4" ht="15" x14ac:dyDescent="0.25">
      <c r="A31" s="679"/>
      <c r="B31" s="682" t="s">
        <v>2211</v>
      </c>
      <c r="C31" s="672"/>
      <c r="D31" s="673"/>
    </row>
    <row r="32" spans="1:4" ht="15" x14ac:dyDescent="0.25">
      <c r="A32" s="679"/>
      <c r="B32" s="682" t="s">
        <v>2212</v>
      </c>
      <c r="C32" s="672">
        <v>5.0000000000000001E-3</v>
      </c>
      <c r="D32" s="673"/>
    </row>
    <row r="33" spans="1:4" ht="15" x14ac:dyDescent="0.25">
      <c r="A33" s="679"/>
      <c r="B33" s="682" t="s">
        <v>2213</v>
      </c>
      <c r="C33" s="672"/>
      <c r="D33" s="673"/>
    </row>
    <row r="34" spans="1:4" ht="15" x14ac:dyDescent="0.25">
      <c r="A34" s="679"/>
      <c r="B34" s="682" t="s">
        <v>2214</v>
      </c>
      <c r="C34" s="672">
        <v>5.0000000000000001E-3</v>
      </c>
      <c r="D34" s="673"/>
    </row>
    <row r="35" spans="1:4" ht="15" x14ac:dyDescent="0.25">
      <c r="A35" s="679"/>
      <c r="B35" s="683" t="s">
        <v>2215</v>
      </c>
      <c r="C35" s="672">
        <v>0.09</v>
      </c>
      <c r="D35" s="673"/>
    </row>
    <row r="36" spans="1:4" ht="28.5" x14ac:dyDescent="0.25">
      <c r="A36" s="679"/>
      <c r="B36" s="684" t="s">
        <v>2216</v>
      </c>
      <c r="C36" s="672">
        <v>0.01</v>
      </c>
      <c r="D36" s="673"/>
    </row>
    <row r="37" spans="1:4" ht="15" x14ac:dyDescent="0.25">
      <c r="A37" s="679"/>
      <c r="B37" s="682" t="s">
        <v>2217</v>
      </c>
      <c r="C37" s="672">
        <v>0.02</v>
      </c>
      <c r="D37" s="673"/>
    </row>
    <row r="38" spans="1:4" ht="15" x14ac:dyDescent="0.25">
      <c r="A38" s="679"/>
      <c r="B38" s="682" t="s">
        <v>2218</v>
      </c>
      <c r="C38" s="672">
        <v>0.06</v>
      </c>
      <c r="D38" s="673"/>
    </row>
    <row r="39" spans="1:4" ht="15" x14ac:dyDescent="0.25">
      <c r="A39" s="679"/>
      <c r="B39" s="680"/>
      <c r="C39" s="672"/>
      <c r="D39" s="673"/>
    </row>
    <row r="40" spans="1:4" ht="15" x14ac:dyDescent="0.25">
      <c r="A40" s="679" t="s">
        <v>2219</v>
      </c>
      <c r="B40" s="680" t="s">
        <v>2220</v>
      </c>
      <c r="C40" s="672"/>
      <c r="D40" s="673">
        <f>SUM(C41:C42)</f>
        <v>0.1</v>
      </c>
    </row>
    <row r="41" spans="1:4" ht="15" x14ac:dyDescent="0.25">
      <c r="A41" s="679"/>
      <c r="B41" s="680" t="s">
        <v>2221</v>
      </c>
      <c r="C41" s="672">
        <v>0.1</v>
      </c>
      <c r="D41" s="673"/>
    </row>
    <row r="42" spans="1:4" ht="15" x14ac:dyDescent="0.25">
      <c r="A42" s="679"/>
      <c r="B42" s="680"/>
      <c r="C42" s="672"/>
      <c r="D42" s="673"/>
    </row>
    <row r="43" spans="1:4" ht="15.75" thickBot="1" x14ac:dyDescent="0.3">
      <c r="A43" s="685"/>
      <c r="B43" s="686" t="s">
        <v>2222</v>
      </c>
      <c r="C43" s="675"/>
      <c r="D43" s="673">
        <f>D30+D40</f>
        <v>0.28999999999999998</v>
      </c>
    </row>
    <row r="44" spans="1:4" ht="16.5" thickTop="1" thickBot="1" x14ac:dyDescent="0.3">
      <c r="A44" s="667" t="s">
        <v>2184</v>
      </c>
      <c r="B44" s="668" t="s">
        <v>2181</v>
      </c>
      <c r="C44" s="668"/>
      <c r="D44" s="669" t="s">
        <v>51</v>
      </c>
    </row>
    <row r="45" spans="1:4" ht="16.5" thickTop="1" thickBot="1" x14ac:dyDescent="0.3">
      <c r="A45" s="687" t="s">
        <v>2223</v>
      </c>
      <c r="B45" s="688" t="s">
        <v>2224</v>
      </c>
      <c r="C45" s="688"/>
      <c r="D45" s="673">
        <v>0.11</v>
      </c>
    </row>
    <row r="46" spans="1:4" ht="16.5" thickTop="1" thickBot="1" x14ac:dyDescent="0.3">
      <c r="A46" s="976" t="s">
        <v>2225</v>
      </c>
      <c r="B46" s="977"/>
      <c r="C46" s="977"/>
      <c r="D46" s="689">
        <f>D4+D5+D13+D21+D29+D45</f>
        <v>2.0273000000000003</v>
      </c>
    </row>
    <row r="47" spans="1:4" ht="15" thickTop="1" x14ac:dyDescent="0.25">
      <c r="A47" s="690"/>
      <c r="B47" s="691"/>
      <c r="C47" s="691"/>
      <c r="D47" s="691"/>
    </row>
    <row r="48" spans="1:4" x14ac:dyDescent="0.25">
      <c r="A48" s="691"/>
      <c r="B48" s="691"/>
      <c r="C48" s="691"/>
      <c r="D48" s="691"/>
    </row>
    <row r="49" spans="1:4" x14ac:dyDescent="0.25">
      <c r="A49" s="691"/>
      <c r="D49" s="692"/>
    </row>
    <row r="50" spans="1:4" x14ac:dyDescent="0.25">
      <c r="D50" s="691"/>
    </row>
    <row r="51" spans="1:4" x14ac:dyDescent="0.25">
      <c r="D51" s="691"/>
    </row>
    <row r="52" spans="1:4" x14ac:dyDescent="0.25">
      <c r="D52" s="691"/>
    </row>
  </sheetData>
  <mergeCells count="3">
    <mergeCell ref="A2:D2"/>
    <mergeCell ref="A27:D27"/>
    <mergeCell ref="A46:C46"/>
  </mergeCells>
  <printOptions horizontalCentered="1"/>
  <pageMargins left="0.78740157480314965" right="0.78740157480314965" top="0.98425196850393704" bottom="0.98425196850393704" header="0" footer="0"/>
  <pageSetup paperSize="9" scale="87"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G46"/>
  <sheetViews>
    <sheetView topLeftCell="A4" zoomScale="137" zoomScaleNormal="98" workbookViewId="0">
      <selection activeCell="C29" sqref="C29"/>
    </sheetView>
  </sheetViews>
  <sheetFormatPr baseColWidth="10" defaultRowHeight="11.25" x14ac:dyDescent="0.25"/>
  <cols>
    <col min="1" max="1" width="5.85546875" style="47" customWidth="1"/>
    <col min="2" max="2" width="43.7109375" style="47" customWidth="1"/>
    <col min="3" max="3" width="14.42578125" style="47" customWidth="1"/>
    <col min="4" max="4" width="22" style="47" customWidth="1"/>
    <col min="5" max="5" width="23.42578125" style="48" customWidth="1"/>
    <col min="6" max="6" width="17" style="53" customWidth="1"/>
    <col min="7" max="7" width="22.28515625" style="53" customWidth="1"/>
    <col min="8" max="256" width="11.42578125" style="53"/>
    <col min="257" max="257" width="13.7109375" style="53" customWidth="1"/>
    <col min="258" max="258" width="43.7109375" style="53" customWidth="1"/>
    <col min="259" max="259" width="14.42578125" style="53" customWidth="1"/>
    <col min="260" max="260" width="22" style="53" customWidth="1"/>
    <col min="261" max="261" width="23.42578125" style="53" customWidth="1"/>
    <col min="262" max="262" width="17" style="53" customWidth="1"/>
    <col min="263" max="263" width="22.28515625" style="53" customWidth="1"/>
    <col min="264" max="512" width="11.42578125" style="53"/>
    <col min="513" max="513" width="13.7109375" style="53" customWidth="1"/>
    <col min="514" max="514" width="43.7109375" style="53" customWidth="1"/>
    <col min="515" max="515" width="14.42578125" style="53" customWidth="1"/>
    <col min="516" max="516" width="22" style="53" customWidth="1"/>
    <col min="517" max="517" width="23.42578125" style="53" customWidth="1"/>
    <col min="518" max="518" width="17" style="53" customWidth="1"/>
    <col min="519" max="519" width="22.28515625" style="53" customWidth="1"/>
    <col min="520" max="768" width="11.42578125" style="53"/>
    <col min="769" max="769" width="13.7109375" style="53" customWidth="1"/>
    <col min="770" max="770" width="43.7109375" style="53" customWidth="1"/>
    <col min="771" max="771" width="14.42578125" style="53" customWidth="1"/>
    <col min="772" max="772" width="22" style="53" customWidth="1"/>
    <col min="773" max="773" width="23.42578125" style="53" customWidth="1"/>
    <col min="774" max="774" width="17" style="53" customWidth="1"/>
    <col min="775" max="775" width="22.28515625" style="53" customWidth="1"/>
    <col min="776" max="1024" width="11.42578125" style="53"/>
    <col min="1025" max="1025" width="13.7109375" style="53" customWidth="1"/>
    <col min="1026" max="1026" width="43.7109375" style="53" customWidth="1"/>
    <col min="1027" max="1027" width="14.42578125" style="53" customWidth="1"/>
    <col min="1028" max="1028" width="22" style="53" customWidth="1"/>
    <col min="1029" max="1029" width="23.42578125" style="53" customWidth="1"/>
    <col min="1030" max="1030" width="17" style="53" customWidth="1"/>
    <col min="1031" max="1031" width="22.28515625" style="53" customWidth="1"/>
    <col min="1032" max="1280" width="11.42578125" style="53"/>
    <col min="1281" max="1281" width="13.7109375" style="53" customWidth="1"/>
    <col min="1282" max="1282" width="43.7109375" style="53" customWidth="1"/>
    <col min="1283" max="1283" width="14.42578125" style="53" customWidth="1"/>
    <col min="1284" max="1284" width="22" style="53" customWidth="1"/>
    <col min="1285" max="1285" width="23.42578125" style="53" customWidth="1"/>
    <col min="1286" max="1286" width="17" style="53" customWidth="1"/>
    <col min="1287" max="1287" width="22.28515625" style="53" customWidth="1"/>
    <col min="1288" max="1536" width="11.42578125" style="53"/>
    <col min="1537" max="1537" width="13.7109375" style="53" customWidth="1"/>
    <col min="1538" max="1538" width="43.7109375" style="53" customWidth="1"/>
    <col min="1539" max="1539" width="14.42578125" style="53" customWidth="1"/>
    <col min="1540" max="1540" width="22" style="53" customWidth="1"/>
    <col min="1541" max="1541" width="23.42578125" style="53" customWidth="1"/>
    <col min="1542" max="1542" width="17" style="53" customWidth="1"/>
    <col min="1543" max="1543" width="22.28515625" style="53" customWidth="1"/>
    <col min="1544" max="1792" width="11.42578125" style="53"/>
    <col min="1793" max="1793" width="13.7109375" style="53" customWidth="1"/>
    <col min="1794" max="1794" width="43.7109375" style="53" customWidth="1"/>
    <col min="1795" max="1795" width="14.42578125" style="53" customWidth="1"/>
    <col min="1796" max="1796" width="22" style="53" customWidth="1"/>
    <col min="1797" max="1797" width="23.42578125" style="53" customWidth="1"/>
    <col min="1798" max="1798" width="17" style="53" customWidth="1"/>
    <col min="1799" max="1799" width="22.28515625" style="53" customWidth="1"/>
    <col min="1800" max="2048" width="11.42578125" style="53"/>
    <col min="2049" max="2049" width="13.7109375" style="53" customWidth="1"/>
    <col min="2050" max="2050" width="43.7109375" style="53" customWidth="1"/>
    <col min="2051" max="2051" width="14.42578125" style="53" customWidth="1"/>
    <col min="2052" max="2052" width="22" style="53" customWidth="1"/>
    <col min="2053" max="2053" width="23.42578125" style="53" customWidth="1"/>
    <col min="2054" max="2054" width="17" style="53" customWidth="1"/>
    <col min="2055" max="2055" width="22.28515625" style="53" customWidth="1"/>
    <col min="2056" max="2304" width="11.42578125" style="53"/>
    <col min="2305" max="2305" width="13.7109375" style="53" customWidth="1"/>
    <col min="2306" max="2306" width="43.7109375" style="53" customWidth="1"/>
    <col min="2307" max="2307" width="14.42578125" style="53" customWidth="1"/>
    <col min="2308" max="2308" width="22" style="53" customWidth="1"/>
    <col min="2309" max="2309" width="23.42578125" style="53" customWidth="1"/>
    <col min="2310" max="2310" width="17" style="53" customWidth="1"/>
    <col min="2311" max="2311" width="22.28515625" style="53" customWidth="1"/>
    <col min="2312" max="2560" width="11.42578125" style="53"/>
    <col min="2561" max="2561" width="13.7109375" style="53" customWidth="1"/>
    <col min="2562" max="2562" width="43.7109375" style="53" customWidth="1"/>
    <col min="2563" max="2563" width="14.42578125" style="53" customWidth="1"/>
    <col min="2564" max="2564" width="22" style="53" customWidth="1"/>
    <col min="2565" max="2565" width="23.42578125" style="53" customWidth="1"/>
    <col min="2566" max="2566" width="17" style="53" customWidth="1"/>
    <col min="2567" max="2567" width="22.28515625" style="53" customWidth="1"/>
    <col min="2568" max="2816" width="11.42578125" style="53"/>
    <col min="2817" max="2817" width="13.7109375" style="53" customWidth="1"/>
    <col min="2818" max="2818" width="43.7109375" style="53" customWidth="1"/>
    <col min="2819" max="2819" width="14.42578125" style="53" customWidth="1"/>
    <col min="2820" max="2820" width="22" style="53" customWidth="1"/>
    <col min="2821" max="2821" width="23.42578125" style="53" customWidth="1"/>
    <col min="2822" max="2822" width="17" style="53" customWidth="1"/>
    <col min="2823" max="2823" width="22.28515625" style="53" customWidth="1"/>
    <col min="2824" max="3072" width="11.42578125" style="53"/>
    <col min="3073" max="3073" width="13.7109375" style="53" customWidth="1"/>
    <col min="3074" max="3074" width="43.7109375" style="53" customWidth="1"/>
    <col min="3075" max="3075" width="14.42578125" style="53" customWidth="1"/>
    <col min="3076" max="3076" width="22" style="53" customWidth="1"/>
    <col min="3077" max="3077" width="23.42578125" style="53" customWidth="1"/>
    <col min="3078" max="3078" width="17" style="53" customWidth="1"/>
    <col min="3079" max="3079" width="22.28515625" style="53" customWidth="1"/>
    <col min="3080" max="3328" width="11.42578125" style="53"/>
    <col min="3329" max="3329" width="13.7109375" style="53" customWidth="1"/>
    <col min="3330" max="3330" width="43.7109375" style="53" customWidth="1"/>
    <col min="3331" max="3331" width="14.42578125" style="53" customWidth="1"/>
    <col min="3332" max="3332" width="22" style="53" customWidth="1"/>
    <col min="3333" max="3333" width="23.42578125" style="53" customWidth="1"/>
    <col min="3334" max="3334" width="17" style="53" customWidth="1"/>
    <col min="3335" max="3335" width="22.28515625" style="53" customWidth="1"/>
    <col min="3336" max="3584" width="11.42578125" style="53"/>
    <col min="3585" max="3585" width="13.7109375" style="53" customWidth="1"/>
    <col min="3586" max="3586" width="43.7109375" style="53" customWidth="1"/>
    <col min="3587" max="3587" width="14.42578125" style="53" customWidth="1"/>
    <col min="3588" max="3588" width="22" style="53" customWidth="1"/>
    <col min="3589" max="3589" width="23.42578125" style="53" customWidth="1"/>
    <col min="3590" max="3590" width="17" style="53" customWidth="1"/>
    <col min="3591" max="3591" width="22.28515625" style="53" customWidth="1"/>
    <col min="3592" max="3840" width="11.42578125" style="53"/>
    <col min="3841" max="3841" width="13.7109375" style="53" customWidth="1"/>
    <col min="3842" max="3842" width="43.7109375" style="53" customWidth="1"/>
    <col min="3843" max="3843" width="14.42578125" style="53" customWidth="1"/>
    <col min="3844" max="3844" width="22" style="53" customWidth="1"/>
    <col min="3845" max="3845" width="23.42578125" style="53" customWidth="1"/>
    <col min="3846" max="3846" width="17" style="53" customWidth="1"/>
    <col min="3847" max="3847" width="22.28515625" style="53" customWidth="1"/>
    <col min="3848" max="4096" width="11.42578125" style="53"/>
    <col min="4097" max="4097" width="13.7109375" style="53" customWidth="1"/>
    <col min="4098" max="4098" width="43.7109375" style="53" customWidth="1"/>
    <col min="4099" max="4099" width="14.42578125" style="53" customWidth="1"/>
    <col min="4100" max="4100" width="22" style="53" customWidth="1"/>
    <col min="4101" max="4101" width="23.42578125" style="53" customWidth="1"/>
    <col min="4102" max="4102" width="17" style="53" customWidth="1"/>
    <col min="4103" max="4103" width="22.28515625" style="53" customWidth="1"/>
    <col min="4104" max="4352" width="11.42578125" style="53"/>
    <col min="4353" max="4353" width="13.7109375" style="53" customWidth="1"/>
    <col min="4354" max="4354" width="43.7109375" style="53" customWidth="1"/>
    <col min="4355" max="4355" width="14.42578125" style="53" customWidth="1"/>
    <col min="4356" max="4356" width="22" style="53" customWidth="1"/>
    <col min="4357" max="4357" width="23.42578125" style="53" customWidth="1"/>
    <col min="4358" max="4358" width="17" style="53" customWidth="1"/>
    <col min="4359" max="4359" width="22.28515625" style="53" customWidth="1"/>
    <col min="4360" max="4608" width="11.42578125" style="53"/>
    <col min="4609" max="4609" width="13.7109375" style="53" customWidth="1"/>
    <col min="4610" max="4610" width="43.7109375" style="53" customWidth="1"/>
    <col min="4611" max="4611" width="14.42578125" style="53" customWidth="1"/>
    <col min="4612" max="4612" width="22" style="53" customWidth="1"/>
    <col min="4613" max="4613" width="23.42578125" style="53" customWidth="1"/>
    <col min="4614" max="4614" width="17" style="53" customWidth="1"/>
    <col min="4615" max="4615" width="22.28515625" style="53" customWidth="1"/>
    <col min="4616" max="4864" width="11.42578125" style="53"/>
    <col min="4865" max="4865" width="13.7109375" style="53" customWidth="1"/>
    <col min="4866" max="4866" width="43.7109375" style="53" customWidth="1"/>
    <col min="4867" max="4867" width="14.42578125" style="53" customWidth="1"/>
    <col min="4868" max="4868" width="22" style="53" customWidth="1"/>
    <col min="4869" max="4869" width="23.42578125" style="53" customWidth="1"/>
    <col min="4870" max="4870" width="17" style="53" customWidth="1"/>
    <col min="4871" max="4871" width="22.28515625" style="53" customWidth="1"/>
    <col min="4872" max="5120" width="11.42578125" style="53"/>
    <col min="5121" max="5121" width="13.7109375" style="53" customWidth="1"/>
    <col min="5122" max="5122" width="43.7109375" style="53" customWidth="1"/>
    <col min="5123" max="5123" width="14.42578125" style="53" customWidth="1"/>
    <col min="5124" max="5124" width="22" style="53" customWidth="1"/>
    <col min="5125" max="5125" width="23.42578125" style="53" customWidth="1"/>
    <col min="5126" max="5126" width="17" style="53" customWidth="1"/>
    <col min="5127" max="5127" width="22.28515625" style="53" customWidth="1"/>
    <col min="5128" max="5376" width="11.42578125" style="53"/>
    <col min="5377" max="5377" width="13.7109375" style="53" customWidth="1"/>
    <col min="5378" max="5378" width="43.7109375" style="53" customWidth="1"/>
    <col min="5379" max="5379" width="14.42578125" style="53" customWidth="1"/>
    <col min="5380" max="5380" width="22" style="53" customWidth="1"/>
    <col min="5381" max="5381" width="23.42578125" style="53" customWidth="1"/>
    <col min="5382" max="5382" width="17" style="53" customWidth="1"/>
    <col min="5383" max="5383" width="22.28515625" style="53" customWidth="1"/>
    <col min="5384" max="5632" width="11.42578125" style="53"/>
    <col min="5633" max="5633" width="13.7109375" style="53" customWidth="1"/>
    <col min="5634" max="5634" width="43.7109375" style="53" customWidth="1"/>
    <col min="5635" max="5635" width="14.42578125" style="53" customWidth="1"/>
    <col min="5636" max="5636" width="22" style="53" customWidth="1"/>
    <col min="5637" max="5637" width="23.42578125" style="53" customWidth="1"/>
    <col min="5638" max="5638" width="17" style="53" customWidth="1"/>
    <col min="5639" max="5639" width="22.28515625" style="53" customWidth="1"/>
    <col min="5640" max="5888" width="11.42578125" style="53"/>
    <col min="5889" max="5889" width="13.7109375" style="53" customWidth="1"/>
    <col min="5890" max="5890" width="43.7109375" style="53" customWidth="1"/>
    <col min="5891" max="5891" width="14.42578125" style="53" customWidth="1"/>
    <col min="5892" max="5892" width="22" style="53" customWidth="1"/>
    <col min="5893" max="5893" width="23.42578125" style="53" customWidth="1"/>
    <col min="5894" max="5894" width="17" style="53" customWidth="1"/>
    <col min="5895" max="5895" width="22.28515625" style="53" customWidth="1"/>
    <col min="5896" max="6144" width="11.42578125" style="53"/>
    <col min="6145" max="6145" width="13.7109375" style="53" customWidth="1"/>
    <col min="6146" max="6146" width="43.7109375" style="53" customWidth="1"/>
    <col min="6147" max="6147" width="14.42578125" style="53" customWidth="1"/>
    <col min="6148" max="6148" width="22" style="53" customWidth="1"/>
    <col min="6149" max="6149" width="23.42578125" style="53" customWidth="1"/>
    <col min="6150" max="6150" width="17" style="53" customWidth="1"/>
    <col min="6151" max="6151" width="22.28515625" style="53" customWidth="1"/>
    <col min="6152" max="6400" width="11.42578125" style="53"/>
    <col min="6401" max="6401" width="13.7109375" style="53" customWidth="1"/>
    <col min="6402" max="6402" width="43.7109375" style="53" customWidth="1"/>
    <col min="6403" max="6403" width="14.42578125" style="53" customWidth="1"/>
    <col min="6404" max="6404" width="22" style="53" customWidth="1"/>
    <col min="6405" max="6405" width="23.42578125" style="53" customWidth="1"/>
    <col min="6406" max="6406" width="17" style="53" customWidth="1"/>
    <col min="6407" max="6407" width="22.28515625" style="53" customWidth="1"/>
    <col min="6408" max="6656" width="11.42578125" style="53"/>
    <col min="6657" max="6657" width="13.7109375" style="53" customWidth="1"/>
    <col min="6658" max="6658" width="43.7109375" style="53" customWidth="1"/>
    <col min="6659" max="6659" width="14.42578125" style="53" customWidth="1"/>
    <col min="6660" max="6660" width="22" style="53" customWidth="1"/>
    <col min="6661" max="6661" width="23.42578125" style="53" customWidth="1"/>
    <col min="6662" max="6662" width="17" style="53" customWidth="1"/>
    <col min="6663" max="6663" width="22.28515625" style="53" customWidth="1"/>
    <col min="6664" max="6912" width="11.42578125" style="53"/>
    <col min="6913" max="6913" width="13.7109375" style="53" customWidth="1"/>
    <col min="6914" max="6914" width="43.7109375" style="53" customWidth="1"/>
    <col min="6915" max="6915" width="14.42578125" style="53" customWidth="1"/>
    <col min="6916" max="6916" width="22" style="53" customWidth="1"/>
    <col min="6917" max="6917" width="23.42578125" style="53" customWidth="1"/>
    <col min="6918" max="6918" width="17" style="53" customWidth="1"/>
    <col min="6919" max="6919" width="22.28515625" style="53" customWidth="1"/>
    <col min="6920" max="7168" width="11.42578125" style="53"/>
    <col min="7169" max="7169" width="13.7109375" style="53" customWidth="1"/>
    <col min="7170" max="7170" width="43.7109375" style="53" customWidth="1"/>
    <col min="7171" max="7171" width="14.42578125" style="53" customWidth="1"/>
    <col min="7172" max="7172" width="22" style="53" customWidth="1"/>
    <col min="7173" max="7173" width="23.42578125" style="53" customWidth="1"/>
    <col min="7174" max="7174" width="17" style="53" customWidth="1"/>
    <col min="7175" max="7175" width="22.28515625" style="53" customWidth="1"/>
    <col min="7176" max="7424" width="11.42578125" style="53"/>
    <col min="7425" max="7425" width="13.7109375" style="53" customWidth="1"/>
    <col min="7426" max="7426" width="43.7109375" style="53" customWidth="1"/>
    <col min="7427" max="7427" width="14.42578125" style="53" customWidth="1"/>
    <col min="7428" max="7428" width="22" style="53" customWidth="1"/>
    <col min="7429" max="7429" width="23.42578125" style="53" customWidth="1"/>
    <col min="7430" max="7430" width="17" style="53" customWidth="1"/>
    <col min="7431" max="7431" width="22.28515625" style="53" customWidth="1"/>
    <col min="7432" max="7680" width="11.42578125" style="53"/>
    <col min="7681" max="7681" width="13.7109375" style="53" customWidth="1"/>
    <col min="7682" max="7682" width="43.7109375" style="53" customWidth="1"/>
    <col min="7683" max="7683" width="14.42578125" style="53" customWidth="1"/>
    <col min="7684" max="7684" width="22" style="53" customWidth="1"/>
    <col min="7685" max="7685" width="23.42578125" style="53" customWidth="1"/>
    <col min="7686" max="7686" width="17" style="53" customWidth="1"/>
    <col min="7687" max="7687" width="22.28515625" style="53" customWidth="1"/>
    <col min="7688" max="7936" width="11.42578125" style="53"/>
    <col min="7937" max="7937" width="13.7109375" style="53" customWidth="1"/>
    <col min="7938" max="7938" width="43.7109375" style="53" customWidth="1"/>
    <col min="7939" max="7939" width="14.42578125" style="53" customWidth="1"/>
    <col min="7940" max="7940" width="22" style="53" customWidth="1"/>
    <col min="7941" max="7941" width="23.42578125" style="53" customWidth="1"/>
    <col min="7942" max="7942" width="17" style="53" customWidth="1"/>
    <col min="7943" max="7943" width="22.28515625" style="53" customWidth="1"/>
    <col min="7944" max="8192" width="11.42578125" style="53"/>
    <col min="8193" max="8193" width="13.7109375" style="53" customWidth="1"/>
    <col min="8194" max="8194" width="43.7109375" style="53" customWidth="1"/>
    <col min="8195" max="8195" width="14.42578125" style="53" customWidth="1"/>
    <col min="8196" max="8196" width="22" style="53" customWidth="1"/>
    <col min="8197" max="8197" width="23.42578125" style="53" customWidth="1"/>
    <col min="8198" max="8198" width="17" style="53" customWidth="1"/>
    <col min="8199" max="8199" width="22.28515625" style="53" customWidth="1"/>
    <col min="8200" max="8448" width="11.42578125" style="53"/>
    <col min="8449" max="8449" width="13.7109375" style="53" customWidth="1"/>
    <col min="8450" max="8450" width="43.7109375" style="53" customWidth="1"/>
    <col min="8451" max="8451" width="14.42578125" style="53" customWidth="1"/>
    <col min="8452" max="8452" width="22" style="53" customWidth="1"/>
    <col min="8453" max="8453" width="23.42578125" style="53" customWidth="1"/>
    <col min="8454" max="8454" width="17" style="53" customWidth="1"/>
    <col min="8455" max="8455" width="22.28515625" style="53" customWidth="1"/>
    <col min="8456" max="8704" width="11.42578125" style="53"/>
    <col min="8705" max="8705" width="13.7109375" style="53" customWidth="1"/>
    <col min="8706" max="8706" width="43.7109375" style="53" customWidth="1"/>
    <col min="8707" max="8707" width="14.42578125" style="53" customWidth="1"/>
    <col min="8708" max="8708" width="22" style="53" customWidth="1"/>
    <col min="8709" max="8709" width="23.42578125" style="53" customWidth="1"/>
    <col min="8710" max="8710" width="17" style="53" customWidth="1"/>
    <col min="8711" max="8711" width="22.28515625" style="53" customWidth="1"/>
    <col min="8712" max="8960" width="11.42578125" style="53"/>
    <col min="8961" max="8961" width="13.7109375" style="53" customWidth="1"/>
    <col min="8962" max="8962" width="43.7109375" style="53" customWidth="1"/>
    <col min="8963" max="8963" width="14.42578125" style="53" customWidth="1"/>
    <col min="8964" max="8964" width="22" style="53" customWidth="1"/>
    <col min="8965" max="8965" width="23.42578125" style="53" customWidth="1"/>
    <col min="8966" max="8966" width="17" style="53" customWidth="1"/>
    <col min="8967" max="8967" width="22.28515625" style="53" customWidth="1"/>
    <col min="8968" max="9216" width="11.42578125" style="53"/>
    <col min="9217" max="9217" width="13.7109375" style="53" customWidth="1"/>
    <col min="9218" max="9218" width="43.7109375" style="53" customWidth="1"/>
    <col min="9219" max="9219" width="14.42578125" style="53" customWidth="1"/>
    <col min="9220" max="9220" width="22" style="53" customWidth="1"/>
    <col min="9221" max="9221" width="23.42578125" style="53" customWidth="1"/>
    <col min="9222" max="9222" width="17" style="53" customWidth="1"/>
    <col min="9223" max="9223" width="22.28515625" style="53" customWidth="1"/>
    <col min="9224" max="9472" width="11.42578125" style="53"/>
    <col min="9473" max="9473" width="13.7109375" style="53" customWidth="1"/>
    <col min="9474" max="9474" width="43.7109375" style="53" customWidth="1"/>
    <col min="9475" max="9475" width="14.42578125" style="53" customWidth="1"/>
    <col min="9476" max="9476" width="22" style="53" customWidth="1"/>
    <col min="9477" max="9477" width="23.42578125" style="53" customWidth="1"/>
    <col min="9478" max="9478" width="17" style="53" customWidth="1"/>
    <col min="9479" max="9479" width="22.28515625" style="53" customWidth="1"/>
    <col min="9480" max="9728" width="11.42578125" style="53"/>
    <col min="9729" max="9729" width="13.7109375" style="53" customWidth="1"/>
    <col min="9730" max="9730" width="43.7109375" style="53" customWidth="1"/>
    <col min="9731" max="9731" width="14.42578125" style="53" customWidth="1"/>
    <col min="9732" max="9732" width="22" style="53" customWidth="1"/>
    <col min="9733" max="9733" width="23.42578125" style="53" customWidth="1"/>
    <col min="9734" max="9734" width="17" style="53" customWidth="1"/>
    <col min="9735" max="9735" width="22.28515625" style="53" customWidth="1"/>
    <col min="9736" max="9984" width="11.42578125" style="53"/>
    <col min="9985" max="9985" width="13.7109375" style="53" customWidth="1"/>
    <col min="9986" max="9986" width="43.7109375" style="53" customWidth="1"/>
    <col min="9987" max="9987" width="14.42578125" style="53" customWidth="1"/>
    <col min="9988" max="9988" width="22" style="53" customWidth="1"/>
    <col min="9989" max="9989" width="23.42578125" style="53" customWidth="1"/>
    <col min="9990" max="9990" width="17" style="53" customWidth="1"/>
    <col min="9991" max="9991" width="22.28515625" style="53" customWidth="1"/>
    <col min="9992" max="10240" width="11.42578125" style="53"/>
    <col min="10241" max="10241" width="13.7109375" style="53" customWidth="1"/>
    <col min="10242" max="10242" width="43.7109375" style="53" customWidth="1"/>
    <col min="10243" max="10243" width="14.42578125" style="53" customWidth="1"/>
    <col min="10244" max="10244" width="22" style="53" customWidth="1"/>
    <col min="10245" max="10245" width="23.42578125" style="53" customWidth="1"/>
    <col min="10246" max="10246" width="17" style="53" customWidth="1"/>
    <col min="10247" max="10247" width="22.28515625" style="53" customWidth="1"/>
    <col min="10248" max="10496" width="11.42578125" style="53"/>
    <col min="10497" max="10497" width="13.7109375" style="53" customWidth="1"/>
    <col min="10498" max="10498" width="43.7109375" style="53" customWidth="1"/>
    <col min="10499" max="10499" width="14.42578125" style="53" customWidth="1"/>
    <col min="10500" max="10500" width="22" style="53" customWidth="1"/>
    <col min="10501" max="10501" width="23.42578125" style="53" customWidth="1"/>
    <col min="10502" max="10502" width="17" style="53" customWidth="1"/>
    <col min="10503" max="10503" width="22.28515625" style="53" customWidth="1"/>
    <col min="10504" max="10752" width="11.42578125" style="53"/>
    <col min="10753" max="10753" width="13.7109375" style="53" customWidth="1"/>
    <col min="10754" max="10754" width="43.7109375" style="53" customWidth="1"/>
    <col min="10755" max="10755" width="14.42578125" style="53" customWidth="1"/>
    <col min="10756" max="10756" width="22" style="53" customWidth="1"/>
    <col min="10757" max="10757" width="23.42578125" style="53" customWidth="1"/>
    <col min="10758" max="10758" width="17" style="53" customWidth="1"/>
    <col min="10759" max="10759" width="22.28515625" style="53" customWidth="1"/>
    <col min="10760" max="11008" width="11.42578125" style="53"/>
    <col min="11009" max="11009" width="13.7109375" style="53" customWidth="1"/>
    <col min="11010" max="11010" width="43.7109375" style="53" customWidth="1"/>
    <col min="11011" max="11011" width="14.42578125" style="53" customWidth="1"/>
    <col min="11012" max="11012" width="22" style="53" customWidth="1"/>
    <col min="11013" max="11013" width="23.42578125" style="53" customWidth="1"/>
    <col min="11014" max="11014" width="17" style="53" customWidth="1"/>
    <col min="11015" max="11015" width="22.28515625" style="53" customWidth="1"/>
    <col min="11016" max="11264" width="11.42578125" style="53"/>
    <col min="11265" max="11265" width="13.7109375" style="53" customWidth="1"/>
    <col min="11266" max="11266" width="43.7109375" style="53" customWidth="1"/>
    <col min="11267" max="11267" width="14.42578125" style="53" customWidth="1"/>
    <col min="11268" max="11268" width="22" style="53" customWidth="1"/>
    <col min="11269" max="11269" width="23.42578125" style="53" customWidth="1"/>
    <col min="11270" max="11270" width="17" style="53" customWidth="1"/>
    <col min="11271" max="11271" width="22.28515625" style="53" customWidth="1"/>
    <col min="11272" max="11520" width="11.42578125" style="53"/>
    <col min="11521" max="11521" width="13.7109375" style="53" customWidth="1"/>
    <col min="11522" max="11522" width="43.7109375" style="53" customWidth="1"/>
    <col min="11523" max="11523" width="14.42578125" style="53" customWidth="1"/>
    <col min="11524" max="11524" width="22" style="53" customWidth="1"/>
    <col min="11525" max="11525" width="23.42578125" style="53" customWidth="1"/>
    <col min="11526" max="11526" width="17" style="53" customWidth="1"/>
    <col min="11527" max="11527" width="22.28515625" style="53" customWidth="1"/>
    <col min="11528" max="11776" width="11.42578125" style="53"/>
    <col min="11777" max="11777" width="13.7109375" style="53" customWidth="1"/>
    <col min="11778" max="11778" width="43.7109375" style="53" customWidth="1"/>
    <col min="11779" max="11779" width="14.42578125" style="53" customWidth="1"/>
    <col min="11780" max="11780" width="22" style="53" customWidth="1"/>
    <col min="11781" max="11781" width="23.42578125" style="53" customWidth="1"/>
    <col min="11782" max="11782" width="17" style="53" customWidth="1"/>
    <col min="11783" max="11783" width="22.28515625" style="53" customWidth="1"/>
    <col min="11784" max="12032" width="11.42578125" style="53"/>
    <col min="12033" max="12033" width="13.7109375" style="53" customWidth="1"/>
    <col min="12034" max="12034" width="43.7109375" style="53" customWidth="1"/>
    <col min="12035" max="12035" width="14.42578125" style="53" customWidth="1"/>
    <col min="12036" max="12036" width="22" style="53" customWidth="1"/>
    <col min="12037" max="12037" width="23.42578125" style="53" customWidth="1"/>
    <col min="12038" max="12038" width="17" style="53" customWidth="1"/>
    <col min="12039" max="12039" width="22.28515625" style="53" customWidth="1"/>
    <col min="12040" max="12288" width="11.42578125" style="53"/>
    <col min="12289" max="12289" width="13.7109375" style="53" customWidth="1"/>
    <col min="12290" max="12290" width="43.7109375" style="53" customWidth="1"/>
    <col min="12291" max="12291" width="14.42578125" style="53" customWidth="1"/>
    <col min="12292" max="12292" width="22" style="53" customWidth="1"/>
    <col min="12293" max="12293" width="23.42578125" style="53" customWidth="1"/>
    <col min="12294" max="12294" width="17" style="53" customWidth="1"/>
    <col min="12295" max="12295" width="22.28515625" style="53" customWidth="1"/>
    <col min="12296" max="12544" width="11.42578125" style="53"/>
    <col min="12545" max="12545" width="13.7109375" style="53" customWidth="1"/>
    <col min="12546" max="12546" width="43.7109375" style="53" customWidth="1"/>
    <col min="12547" max="12547" width="14.42578125" style="53" customWidth="1"/>
    <col min="12548" max="12548" width="22" style="53" customWidth="1"/>
    <col min="12549" max="12549" width="23.42578125" style="53" customWidth="1"/>
    <col min="12550" max="12550" width="17" style="53" customWidth="1"/>
    <col min="12551" max="12551" width="22.28515625" style="53" customWidth="1"/>
    <col min="12552" max="12800" width="11.42578125" style="53"/>
    <col min="12801" max="12801" width="13.7109375" style="53" customWidth="1"/>
    <col min="12802" max="12802" width="43.7109375" style="53" customWidth="1"/>
    <col min="12803" max="12803" width="14.42578125" style="53" customWidth="1"/>
    <col min="12804" max="12804" width="22" style="53" customWidth="1"/>
    <col min="12805" max="12805" width="23.42578125" style="53" customWidth="1"/>
    <col min="12806" max="12806" width="17" style="53" customWidth="1"/>
    <col min="12807" max="12807" width="22.28515625" style="53" customWidth="1"/>
    <col min="12808" max="13056" width="11.42578125" style="53"/>
    <col min="13057" max="13057" width="13.7109375" style="53" customWidth="1"/>
    <col min="13058" max="13058" width="43.7109375" style="53" customWidth="1"/>
    <col min="13059" max="13059" width="14.42578125" style="53" customWidth="1"/>
    <col min="13060" max="13060" width="22" style="53" customWidth="1"/>
    <col min="13061" max="13061" width="23.42578125" style="53" customWidth="1"/>
    <col min="13062" max="13062" width="17" style="53" customWidth="1"/>
    <col min="13063" max="13063" width="22.28515625" style="53" customWidth="1"/>
    <col min="13064" max="13312" width="11.42578125" style="53"/>
    <col min="13313" max="13313" width="13.7109375" style="53" customWidth="1"/>
    <col min="13314" max="13314" width="43.7109375" style="53" customWidth="1"/>
    <col min="13315" max="13315" width="14.42578125" style="53" customWidth="1"/>
    <col min="13316" max="13316" width="22" style="53" customWidth="1"/>
    <col min="13317" max="13317" width="23.42578125" style="53" customWidth="1"/>
    <col min="13318" max="13318" width="17" style="53" customWidth="1"/>
    <col min="13319" max="13319" width="22.28515625" style="53" customWidth="1"/>
    <col min="13320" max="13568" width="11.42578125" style="53"/>
    <col min="13569" max="13569" width="13.7109375" style="53" customWidth="1"/>
    <col min="13570" max="13570" width="43.7109375" style="53" customWidth="1"/>
    <col min="13571" max="13571" width="14.42578125" style="53" customWidth="1"/>
    <col min="13572" max="13572" width="22" style="53" customWidth="1"/>
    <col min="13573" max="13573" width="23.42578125" style="53" customWidth="1"/>
    <col min="13574" max="13574" width="17" style="53" customWidth="1"/>
    <col min="13575" max="13575" width="22.28515625" style="53" customWidth="1"/>
    <col min="13576" max="13824" width="11.42578125" style="53"/>
    <col min="13825" max="13825" width="13.7109375" style="53" customWidth="1"/>
    <col min="13826" max="13826" width="43.7109375" style="53" customWidth="1"/>
    <col min="13827" max="13827" width="14.42578125" style="53" customWidth="1"/>
    <col min="13828" max="13828" width="22" style="53" customWidth="1"/>
    <col min="13829" max="13829" width="23.42578125" style="53" customWidth="1"/>
    <col min="13830" max="13830" width="17" style="53" customWidth="1"/>
    <col min="13831" max="13831" width="22.28515625" style="53" customWidth="1"/>
    <col min="13832" max="14080" width="11.42578125" style="53"/>
    <col min="14081" max="14081" width="13.7109375" style="53" customWidth="1"/>
    <col min="14082" max="14082" width="43.7109375" style="53" customWidth="1"/>
    <col min="14083" max="14083" width="14.42578125" style="53" customWidth="1"/>
    <col min="14084" max="14084" width="22" style="53" customWidth="1"/>
    <col min="14085" max="14085" width="23.42578125" style="53" customWidth="1"/>
    <col min="14086" max="14086" width="17" style="53" customWidth="1"/>
    <col min="14087" max="14087" width="22.28515625" style="53" customWidth="1"/>
    <col min="14088" max="14336" width="11.42578125" style="53"/>
    <col min="14337" max="14337" width="13.7109375" style="53" customWidth="1"/>
    <col min="14338" max="14338" width="43.7109375" style="53" customWidth="1"/>
    <col min="14339" max="14339" width="14.42578125" style="53" customWidth="1"/>
    <col min="14340" max="14340" width="22" style="53" customWidth="1"/>
    <col min="14341" max="14341" width="23.42578125" style="53" customWidth="1"/>
    <col min="14342" max="14342" width="17" style="53" customWidth="1"/>
    <col min="14343" max="14343" width="22.28515625" style="53" customWidth="1"/>
    <col min="14344" max="14592" width="11.42578125" style="53"/>
    <col min="14593" max="14593" width="13.7109375" style="53" customWidth="1"/>
    <col min="14594" max="14594" width="43.7109375" style="53" customWidth="1"/>
    <col min="14595" max="14595" width="14.42578125" style="53" customWidth="1"/>
    <col min="14596" max="14596" width="22" style="53" customWidth="1"/>
    <col min="14597" max="14597" width="23.42578125" style="53" customWidth="1"/>
    <col min="14598" max="14598" width="17" style="53" customWidth="1"/>
    <col min="14599" max="14599" width="22.28515625" style="53" customWidth="1"/>
    <col min="14600" max="14848" width="11.42578125" style="53"/>
    <col min="14849" max="14849" width="13.7109375" style="53" customWidth="1"/>
    <col min="14850" max="14850" width="43.7109375" style="53" customWidth="1"/>
    <col min="14851" max="14851" width="14.42578125" style="53" customWidth="1"/>
    <col min="14852" max="14852" width="22" style="53" customWidth="1"/>
    <col min="14853" max="14853" width="23.42578125" style="53" customWidth="1"/>
    <col min="14854" max="14854" width="17" style="53" customWidth="1"/>
    <col min="14855" max="14855" width="22.28515625" style="53" customWidth="1"/>
    <col min="14856" max="15104" width="11.42578125" style="53"/>
    <col min="15105" max="15105" width="13.7109375" style="53" customWidth="1"/>
    <col min="15106" max="15106" width="43.7109375" style="53" customWidth="1"/>
    <col min="15107" max="15107" width="14.42578125" style="53" customWidth="1"/>
    <col min="15108" max="15108" width="22" style="53" customWidth="1"/>
    <col min="15109" max="15109" width="23.42578125" style="53" customWidth="1"/>
    <col min="15110" max="15110" width="17" style="53" customWidth="1"/>
    <col min="15111" max="15111" width="22.28515625" style="53" customWidth="1"/>
    <col min="15112" max="15360" width="11.42578125" style="53"/>
    <col min="15361" max="15361" width="13.7109375" style="53" customWidth="1"/>
    <col min="15362" max="15362" width="43.7109375" style="53" customWidth="1"/>
    <col min="15363" max="15363" width="14.42578125" style="53" customWidth="1"/>
    <col min="15364" max="15364" width="22" style="53" customWidth="1"/>
    <col min="15365" max="15365" width="23.42578125" style="53" customWidth="1"/>
    <col min="15366" max="15366" width="17" style="53" customWidth="1"/>
    <col min="15367" max="15367" width="22.28515625" style="53" customWidth="1"/>
    <col min="15368" max="15616" width="11.42578125" style="53"/>
    <col min="15617" max="15617" width="13.7109375" style="53" customWidth="1"/>
    <col min="15618" max="15618" width="43.7109375" style="53" customWidth="1"/>
    <col min="15619" max="15619" width="14.42578125" style="53" customWidth="1"/>
    <col min="15620" max="15620" width="22" style="53" customWidth="1"/>
    <col min="15621" max="15621" width="23.42578125" style="53" customWidth="1"/>
    <col min="15622" max="15622" width="17" style="53" customWidth="1"/>
    <col min="15623" max="15623" width="22.28515625" style="53" customWidth="1"/>
    <col min="15624" max="15872" width="11.42578125" style="53"/>
    <col min="15873" max="15873" width="13.7109375" style="53" customWidth="1"/>
    <col min="15874" max="15874" width="43.7109375" style="53" customWidth="1"/>
    <col min="15875" max="15875" width="14.42578125" style="53" customWidth="1"/>
    <col min="15876" max="15876" width="22" style="53" customWidth="1"/>
    <col min="15877" max="15877" width="23.42578125" style="53" customWidth="1"/>
    <col min="15878" max="15878" width="17" style="53" customWidth="1"/>
    <col min="15879" max="15879" width="22.28515625" style="53" customWidth="1"/>
    <col min="15880" max="16128" width="11.42578125" style="53"/>
    <col min="16129" max="16129" width="13.7109375" style="53" customWidth="1"/>
    <col min="16130" max="16130" width="43.7109375" style="53" customWidth="1"/>
    <col min="16131" max="16131" width="14.42578125" style="53" customWidth="1"/>
    <col min="16132" max="16132" width="22" style="53" customWidth="1"/>
    <col min="16133" max="16133" width="23.42578125" style="53" customWidth="1"/>
    <col min="16134" max="16134" width="17" style="53" customWidth="1"/>
    <col min="16135" max="16135" width="22.28515625" style="53" customWidth="1"/>
    <col min="16136" max="16384" width="11.42578125" style="53"/>
  </cols>
  <sheetData>
    <row r="1" spans="1:5" s="47" customFormat="1" ht="33" customHeight="1" x14ac:dyDescent="0.25">
      <c r="A1" s="978" t="s">
        <v>281</v>
      </c>
      <c r="B1" s="978"/>
      <c r="C1" s="978"/>
      <c r="E1" s="48"/>
    </row>
    <row r="2" spans="1:5" s="47" customFormat="1" ht="20.25" customHeight="1" x14ac:dyDescent="0.25">
      <c r="A2" s="49"/>
      <c r="B2" s="50" t="s">
        <v>282</v>
      </c>
      <c r="C2" s="51" t="s">
        <v>51</v>
      </c>
      <c r="E2" s="48"/>
    </row>
    <row r="3" spans="1:5" s="47" customFormat="1" ht="13.5" customHeight="1" x14ac:dyDescent="0.25">
      <c r="A3" s="49">
        <v>1</v>
      </c>
      <c r="B3" s="52" t="s">
        <v>283</v>
      </c>
      <c r="C3" s="47">
        <v>4.7300000000000004</v>
      </c>
      <c r="E3" s="48"/>
    </row>
    <row r="4" spans="1:5" s="47" customFormat="1" ht="13.5" customHeight="1" x14ac:dyDescent="0.25">
      <c r="A4" s="49">
        <v>2</v>
      </c>
      <c r="B4" s="52" t="s">
        <v>284</v>
      </c>
      <c r="C4" s="47">
        <v>4.33</v>
      </c>
      <c r="E4" s="48"/>
    </row>
    <row r="5" spans="1:5" s="47" customFormat="1" ht="13.5" customHeight="1" x14ac:dyDescent="0.25">
      <c r="A5" s="49">
        <v>3</v>
      </c>
      <c r="B5" s="52" t="s">
        <v>285</v>
      </c>
      <c r="C5" s="47">
        <v>8.14</v>
      </c>
      <c r="E5" s="48"/>
    </row>
    <row r="6" spans="1:5" s="47" customFormat="1" ht="13.5" customHeight="1" x14ac:dyDescent="0.25">
      <c r="A6" s="49">
        <v>4</v>
      </c>
      <c r="B6" s="52" t="s">
        <v>286</v>
      </c>
      <c r="C6" s="47">
        <v>10</v>
      </c>
      <c r="E6" s="48"/>
    </row>
    <row r="7" spans="1:5" s="47" customFormat="1" ht="13.5" customHeight="1" x14ac:dyDescent="0.25">
      <c r="A7" s="49">
        <v>5</v>
      </c>
      <c r="B7" s="52" t="s">
        <v>287</v>
      </c>
      <c r="C7" s="47">
        <v>1</v>
      </c>
      <c r="E7" s="48"/>
    </row>
    <row r="8" spans="1:5" s="47" customFormat="1" ht="13.5" customHeight="1" x14ac:dyDescent="0.25">
      <c r="A8" s="49">
        <v>6</v>
      </c>
      <c r="B8" s="52" t="s">
        <v>288</v>
      </c>
      <c r="C8" s="47">
        <v>8.33</v>
      </c>
      <c r="E8" s="48"/>
    </row>
    <row r="9" spans="1:5" s="47" customFormat="1" ht="13.5" customHeight="1" x14ac:dyDescent="0.25">
      <c r="A9" s="49">
        <v>7</v>
      </c>
      <c r="B9" s="52" t="s">
        <v>86</v>
      </c>
      <c r="C9" s="47">
        <v>5.6</v>
      </c>
      <c r="E9" s="48"/>
    </row>
    <row r="10" spans="1:5" s="47" customFormat="1" ht="13.5" customHeight="1" x14ac:dyDescent="0.25">
      <c r="A10" s="49">
        <v>8</v>
      </c>
      <c r="B10" s="52" t="s">
        <v>289</v>
      </c>
      <c r="C10" s="47">
        <v>3.7</v>
      </c>
      <c r="E10" s="48"/>
    </row>
    <row r="11" spans="1:5" s="47" customFormat="1" ht="13.5" customHeight="1" x14ac:dyDescent="0.25">
      <c r="A11" s="49">
        <v>9</v>
      </c>
      <c r="B11" s="52" t="s">
        <v>290</v>
      </c>
      <c r="C11" s="47">
        <v>4.1399999999999997</v>
      </c>
      <c r="E11" s="48"/>
    </row>
    <row r="12" spans="1:5" s="47" customFormat="1" ht="13.5" customHeight="1" x14ac:dyDescent="0.25">
      <c r="A12" s="49">
        <v>10</v>
      </c>
      <c r="B12" s="52" t="s">
        <v>291</v>
      </c>
      <c r="C12" s="47">
        <v>2.2000000000000002</v>
      </c>
      <c r="E12" s="48"/>
    </row>
    <row r="13" spans="1:5" ht="13.5" customHeight="1" x14ac:dyDescent="0.25">
      <c r="A13" s="49">
        <v>11</v>
      </c>
      <c r="B13" s="52" t="s">
        <v>292</v>
      </c>
      <c r="C13" s="47">
        <v>3.5</v>
      </c>
    </row>
    <row r="14" spans="1:5" ht="15.75" customHeight="1" x14ac:dyDescent="0.25">
      <c r="A14" s="49"/>
      <c r="B14" s="54" t="s">
        <v>293</v>
      </c>
    </row>
    <row r="15" spans="1:5" ht="15.75" customHeight="1" x14ac:dyDescent="0.25">
      <c r="A15" s="49">
        <v>12</v>
      </c>
      <c r="B15" s="52" t="s">
        <v>294</v>
      </c>
      <c r="C15" s="47">
        <v>14.26</v>
      </c>
    </row>
    <row r="16" spans="1:5" ht="15.75" customHeight="1" x14ac:dyDescent="0.25">
      <c r="A16" s="49">
        <v>13</v>
      </c>
      <c r="B16" s="52" t="s">
        <v>295</v>
      </c>
      <c r="C16" s="47">
        <v>4.93</v>
      </c>
    </row>
    <row r="17" spans="1:7" ht="15.75" customHeight="1" x14ac:dyDescent="0.25">
      <c r="A17" s="49">
        <v>14</v>
      </c>
      <c r="B17" s="52" t="s">
        <v>296</v>
      </c>
      <c r="C17" s="47">
        <f>G17-D19</f>
        <v>7.13</v>
      </c>
      <c r="G17" s="53">
        <f>C15/2</f>
        <v>7.13</v>
      </c>
    </row>
    <row r="18" spans="1:7" ht="15.75" customHeight="1" x14ac:dyDescent="0.25">
      <c r="A18" s="49">
        <v>15</v>
      </c>
      <c r="B18" s="52" t="s">
        <v>297</v>
      </c>
      <c r="C18" s="47">
        <v>5</v>
      </c>
    </row>
    <row r="19" spans="1:7" ht="15.75" customHeight="1" x14ac:dyDescent="0.25">
      <c r="A19" s="49">
        <v>16</v>
      </c>
      <c r="B19" s="52" t="s">
        <v>298</v>
      </c>
      <c r="C19" s="55">
        <v>3</v>
      </c>
    </row>
    <row r="20" spans="1:7" ht="18" customHeight="1" x14ac:dyDescent="0.25">
      <c r="A20" s="186"/>
      <c r="B20" s="186" t="s">
        <v>299</v>
      </c>
      <c r="C20" s="76">
        <f>C19+C18+C17+C16+C15+C13+C12+C11+C10+C9+C8+C7+C6+C5+C4+C3</f>
        <v>89.990000000000009</v>
      </c>
    </row>
    <row r="38" spans="1:4" s="48" customFormat="1" x14ac:dyDescent="0.25">
      <c r="A38" s="979"/>
      <c r="B38" s="979"/>
      <c r="C38" s="979"/>
      <c r="D38" s="979"/>
    </row>
    <row r="39" spans="1:4" s="48" customFormat="1" x14ac:dyDescent="0.25">
      <c r="A39" s="47"/>
    </row>
    <row r="40" spans="1:4" s="48" customFormat="1" x14ac:dyDescent="0.25">
      <c r="A40" s="47"/>
    </row>
    <row r="41" spans="1:4" s="48" customFormat="1" x14ac:dyDescent="0.25">
      <c r="A41" s="47"/>
    </row>
    <row r="42" spans="1:4" s="48" customFormat="1" x14ac:dyDescent="0.25">
      <c r="A42" s="47"/>
    </row>
    <row r="43" spans="1:4" s="48" customFormat="1" x14ac:dyDescent="0.25">
      <c r="A43" s="47"/>
    </row>
    <row r="44" spans="1:4" s="48" customFormat="1" ht="18" customHeight="1" x14ac:dyDescent="0.25">
      <c r="A44" s="47"/>
    </row>
    <row r="45" spans="1:4" s="48" customFormat="1" x14ac:dyDescent="0.25">
      <c r="A45" s="47"/>
    </row>
    <row r="46" spans="1:4" s="48" customFormat="1" ht="20.25" customHeight="1" x14ac:dyDescent="0.25">
      <c r="A46" s="47"/>
    </row>
  </sheetData>
  <mergeCells count="2">
    <mergeCell ref="A1:C1"/>
    <mergeCell ref="A38:D38"/>
  </mergeCells>
  <pageMargins left="1.1811023622047245" right="0.78740157480314965" top="0.78740157480314965" bottom="0.59055118110236227" header="0" footer="0"/>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outlinePr summaryBelow="0"/>
  </sheetPr>
  <dimension ref="A1:H151"/>
  <sheetViews>
    <sheetView zoomScale="110" zoomScaleNormal="110" zoomScaleSheetLayoutView="117" zoomScalePageLayoutView="108" workbookViewId="0">
      <pane xSplit="3" ySplit="4" topLeftCell="D137" activePane="bottomRight" state="frozen"/>
      <selection pane="topRight" activeCell="D1" sqref="D1"/>
      <selection pane="bottomLeft" activeCell="A5" sqref="A5"/>
      <selection pane="bottomRight" activeCell="F147" sqref="F147"/>
    </sheetView>
  </sheetViews>
  <sheetFormatPr baseColWidth="10" defaultColWidth="11.42578125" defaultRowHeight="14.25" x14ac:dyDescent="0.2"/>
  <cols>
    <col min="1" max="2" width="7.7109375" style="390" customWidth="1"/>
    <col min="3" max="3" width="14.85546875" style="390" customWidth="1"/>
    <col min="4" max="4" width="85.42578125" style="391" customWidth="1"/>
    <col min="5" max="5" width="12.85546875" style="392" customWidth="1"/>
    <col min="6" max="6" width="25.7109375" style="374" customWidth="1"/>
    <col min="7" max="16384" width="11.42578125" style="374"/>
  </cols>
  <sheetData>
    <row r="1" spans="1:6" s="140" customFormat="1" ht="51.75" customHeight="1" x14ac:dyDescent="0.25">
      <c r="A1" s="980" t="s">
        <v>1682</v>
      </c>
      <c r="B1" s="980"/>
      <c r="C1" s="980"/>
      <c r="D1" s="980"/>
      <c r="E1" s="980"/>
      <c r="F1" s="980"/>
    </row>
    <row r="2" spans="1:6" s="377" customFormat="1" ht="30" customHeight="1" x14ac:dyDescent="0.25">
      <c r="A2" s="375" t="s">
        <v>83</v>
      </c>
      <c r="B2" s="376" t="s">
        <v>98</v>
      </c>
      <c r="C2" s="376" t="s">
        <v>1683</v>
      </c>
      <c r="D2" s="375" t="s">
        <v>2</v>
      </c>
      <c r="E2" s="375" t="s">
        <v>3</v>
      </c>
      <c r="F2" s="395" t="s">
        <v>4</v>
      </c>
    </row>
    <row r="3" spans="1:6" s="377" customFormat="1" ht="15" collapsed="1" x14ac:dyDescent="0.25">
      <c r="A3" s="13" t="s">
        <v>71</v>
      </c>
      <c r="B3" s="13"/>
      <c r="C3" s="13"/>
      <c r="D3" s="14" t="s">
        <v>1051</v>
      </c>
      <c r="E3" s="15"/>
      <c r="F3" s="378"/>
    </row>
    <row r="4" spans="1:6" s="377" customFormat="1" x14ac:dyDescent="0.25">
      <c r="A4" s="379"/>
      <c r="B4" s="379"/>
      <c r="C4" s="379" t="s">
        <v>7</v>
      </c>
      <c r="D4" s="380" t="s">
        <v>1053</v>
      </c>
      <c r="E4" s="381" t="s">
        <v>12</v>
      </c>
      <c r="F4" s="382">
        <f>+'LIST_APUS CIVILES'!$G$89</f>
        <v>113308</v>
      </c>
    </row>
    <row r="5" spans="1:6" s="377" customFormat="1" x14ac:dyDescent="0.25">
      <c r="A5" s="379"/>
      <c r="B5" s="379"/>
      <c r="C5" s="379" t="s">
        <v>8</v>
      </c>
      <c r="D5" s="380" t="s">
        <v>1055</v>
      </c>
      <c r="E5" s="381" t="s">
        <v>12</v>
      </c>
      <c r="F5" s="382">
        <f>+'LIST_APUS CIVILES'!$G$126</f>
        <v>8168</v>
      </c>
    </row>
    <row r="6" spans="1:6" s="377" customFormat="1" x14ac:dyDescent="0.25">
      <c r="A6" s="379"/>
      <c r="B6" s="379"/>
      <c r="C6" s="379" t="s">
        <v>627</v>
      </c>
      <c r="D6" s="380" t="s">
        <v>755</v>
      </c>
      <c r="E6" s="381" t="s">
        <v>12</v>
      </c>
      <c r="F6" s="382">
        <f>+'LIST_APUS CIVILES'!$G$169</f>
        <v>4483</v>
      </c>
    </row>
    <row r="7" spans="1:6" s="3" customFormat="1" x14ac:dyDescent="0.25">
      <c r="A7" s="17"/>
      <c r="B7" s="17"/>
      <c r="C7" s="379" t="s">
        <v>757</v>
      </c>
      <c r="D7" s="29" t="s">
        <v>1054</v>
      </c>
      <c r="E7" s="30" t="s">
        <v>12</v>
      </c>
      <c r="F7" s="383">
        <f>+'LIST_APUS CIVILES'!$G$205</f>
        <v>10204</v>
      </c>
    </row>
    <row r="8" spans="1:6" s="377" customFormat="1" x14ac:dyDescent="0.25">
      <c r="A8" s="379"/>
      <c r="B8" s="379"/>
      <c r="C8" s="379" t="s">
        <v>1052</v>
      </c>
      <c r="D8" s="29" t="s">
        <v>1056</v>
      </c>
      <c r="E8" s="30" t="s">
        <v>11</v>
      </c>
      <c r="F8" s="382">
        <f>+'LIST_APUS CIVILES'!$G$240</f>
        <v>27187</v>
      </c>
    </row>
    <row r="9" spans="1:6" s="377" customFormat="1" ht="15" x14ac:dyDescent="0.25">
      <c r="A9" s="13" t="s">
        <v>72</v>
      </c>
      <c r="B9" s="13"/>
      <c r="C9" s="13"/>
      <c r="D9" s="14" t="s">
        <v>754</v>
      </c>
      <c r="E9" s="27"/>
      <c r="F9" s="396"/>
    </row>
    <row r="10" spans="1:6" s="377" customFormat="1" ht="15" x14ac:dyDescent="0.25">
      <c r="A10" s="13"/>
      <c r="B10" s="13" t="s">
        <v>9</v>
      </c>
      <c r="C10" s="13"/>
      <c r="D10" s="149" t="s">
        <v>756</v>
      </c>
      <c r="E10" s="27"/>
      <c r="F10" s="397"/>
    </row>
    <row r="11" spans="1:6" s="377" customFormat="1" x14ac:dyDescent="0.25">
      <c r="A11" s="379"/>
      <c r="B11" s="379"/>
      <c r="C11" s="384" t="s">
        <v>1058</v>
      </c>
      <c r="D11" s="385" t="s">
        <v>1705</v>
      </c>
      <c r="E11" s="30" t="s">
        <v>11</v>
      </c>
      <c r="F11" s="383">
        <f>+'LIST_APUS CIVILES'!$G$275</f>
        <v>36108</v>
      </c>
    </row>
    <row r="12" spans="1:6" s="377" customFormat="1" ht="28.5" x14ac:dyDescent="0.25">
      <c r="A12" s="379"/>
      <c r="B12" s="379"/>
      <c r="C12" s="384" t="s">
        <v>1059</v>
      </c>
      <c r="D12" s="385" t="s">
        <v>2234</v>
      </c>
      <c r="E12" s="30" t="s">
        <v>11</v>
      </c>
      <c r="F12" s="383">
        <f>+'LIST_APUS CIVILES'!$G$311</f>
        <v>200134</v>
      </c>
    </row>
    <row r="13" spans="1:6" s="377" customFormat="1" x14ac:dyDescent="0.25">
      <c r="A13" s="379"/>
      <c r="B13" s="379"/>
      <c r="C13" s="384" t="s">
        <v>1060</v>
      </c>
      <c r="D13" s="385" t="s">
        <v>1085</v>
      </c>
      <c r="E13" s="30" t="s">
        <v>11</v>
      </c>
      <c r="F13" s="383">
        <f>+'LIST_APUS CIVILES'!$G$346</f>
        <v>22089</v>
      </c>
    </row>
    <row r="14" spans="1:6" s="377" customFormat="1" x14ac:dyDescent="0.25">
      <c r="A14" s="379"/>
      <c r="B14" s="379"/>
      <c r="C14" s="384" t="s">
        <v>1061</v>
      </c>
      <c r="D14" s="29" t="s">
        <v>1056</v>
      </c>
      <c r="E14" s="30" t="s">
        <v>11</v>
      </c>
      <c r="F14" s="383">
        <f>+'LIST_APUS CIVILES'!$G$240</f>
        <v>27187</v>
      </c>
    </row>
    <row r="15" spans="1:6" s="377" customFormat="1" ht="15" x14ac:dyDescent="0.25">
      <c r="A15" s="13"/>
      <c r="B15" s="13" t="s">
        <v>10</v>
      </c>
      <c r="C15" s="13"/>
      <c r="D15" s="149" t="s">
        <v>1057</v>
      </c>
      <c r="E15" s="27"/>
      <c r="F15" s="397"/>
    </row>
    <row r="16" spans="1:6" s="377" customFormat="1" x14ac:dyDescent="0.25">
      <c r="A16" s="379"/>
      <c r="B16" s="379"/>
      <c r="C16" s="384" t="s">
        <v>1062</v>
      </c>
      <c r="D16" s="386" t="s">
        <v>1066</v>
      </c>
      <c r="E16" s="30" t="s">
        <v>11</v>
      </c>
      <c r="F16" s="383">
        <f>+'LIST_APUS CIVILES'!$G$382</f>
        <v>31615</v>
      </c>
    </row>
    <row r="17" spans="1:6" s="377" customFormat="1" x14ac:dyDescent="0.25">
      <c r="A17" s="379"/>
      <c r="B17" s="379"/>
      <c r="C17" s="384" t="s">
        <v>1063</v>
      </c>
      <c r="D17" s="386" t="s">
        <v>1067</v>
      </c>
      <c r="E17" s="30" t="s">
        <v>11</v>
      </c>
      <c r="F17" s="383">
        <f>+'LIST_APUS CIVILES'!$G$418</f>
        <v>88513</v>
      </c>
    </row>
    <row r="18" spans="1:6" s="377" customFormat="1" x14ac:dyDescent="0.25">
      <c r="A18" s="379"/>
      <c r="B18" s="379"/>
      <c r="C18" s="384" t="s">
        <v>1064</v>
      </c>
      <c r="D18" s="386" t="s">
        <v>1068</v>
      </c>
      <c r="E18" s="30" t="s">
        <v>11</v>
      </c>
      <c r="F18" s="383">
        <f>+'LIST_APUS CIVILES'!G$453</f>
        <v>116928</v>
      </c>
    </row>
    <row r="19" spans="1:6" s="377" customFormat="1" x14ac:dyDescent="0.25">
      <c r="A19" s="379"/>
      <c r="B19" s="379"/>
      <c r="C19" s="384" t="s">
        <v>1065</v>
      </c>
      <c r="D19" s="386" t="s">
        <v>1709</v>
      </c>
      <c r="E19" s="30" t="s">
        <v>12</v>
      </c>
      <c r="F19" s="383">
        <f>+'LIST_APUS CIVILES'!$G$488</f>
        <v>7127</v>
      </c>
    </row>
    <row r="20" spans="1:6" s="377" customFormat="1" ht="15" x14ac:dyDescent="0.25">
      <c r="A20" s="13" t="s">
        <v>73</v>
      </c>
      <c r="B20" s="13"/>
      <c r="C20" s="13"/>
      <c r="D20" s="14" t="s">
        <v>1069</v>
      </c>
      <c r="E20" s="27"/>
      <c r="F20" s="396"/>
    </row>
    <row r="21" spans="1:6" s="377" customFormat="1" x14ac:dyDescent="0.25">
      <c r="A21" s="384"/>
      <c r="B21" s="384"/>
      <c r="C21" s="384" t="s">
        <v>74</v>
      </c>
      <c r="D21" s="385" t="s">
        <v>759</v>
      </c>
      <c r="E21" s="30" t="s">
        <v>11</v>
      </c>
      <c r="F21" s="398">
        <f>+'LIST_APUS CIVILES'!$G$523</f>
        <v>900942</v>
      </c>
    </row>
    <row r="22" spans="1:6" s="377" customFormat="1" ht="31.5" customHeight="1" x14ac:dyDescent="0.25">
      <c r="A22" s="384"/>
      <c r="B22" s="384"/>
      <c r="C22" s="384" t="s">
        <v>75</v>
      </c>
      <c r="D22" s="385" t="s">
        <v>760</v>
      </c>
      <c r="E22" s="30" t="s">
        <v>11</v>
      </c>
      <c r="F22" s="398">
        <f>+'LIST_APUS CIVILES'!$G$558</f>
        <v>924081</v>
      </c>
    </row>
    <row r="23" spans="1:6" s="377" customFormat="1" x14ac:dyDescent="0.25">
      <c r="A23" s="384"/>
      <c r="B23" s="384"/>
      <c r="C23" s="384" t="s">
        <v>1117</v>
      </c>
      <c r="D23" s="385" t="s">
        <v>685</v>
      </c>
      <c r="E23" s="30" t="s">
        <v>11</v>
      </c>
      <c r="F23" s="398">
        <f>+'LIST_APUS CIVILES'!$G$593</f>
        <v>1081074</v>
      </c>
    </row>
    <row r="24" spans="1:6" s="377" customFormat="1" ht="28.5" x14ac:dyDescent="0.25">
      <c r="A24" s="384"/>
      <c r="B24" s="384"/>
      <c r="C24" s="384" t="s">
        <v>1118</v>
      </c>
      <c r="D24" s="385" t="s">
        <v>758</v>
      </c>
      <c r="E24" s="30" t="s">
        <v>11</v>
      </c>
      <c r="F24" s="398">
        <f>+'LIST_APUS CIVILES'!$G$628</f>
        <v>933890</v>
      </c>
    </row>
    <row r="25" spans="1:6" s="377" customFormat="1" x14ac:dyDescent="0.25">
      <c r="A25" s="384"/>
      <c r="B25" s="384"/>
      <c r="C25" s="384" t="s">
        <v>1732</v>
      </c>
      <c r="D25" s="386" t="s">
        <v>1070</v>
      </c>
      <c r="E25" s="381" t="s">
        <v>12</v>
      </c>
      <c r="F25" s="398">
        <f>+'LIST_APUS CIVILES'!G665</f>
        <v>196923</v>
      </c>
    </row>
    <row r="26" spans="1:6" s="377" customFormat="1" x14ac:dyDescent="0.25">
      <c r="A26" s="384"/>
      <c r="B26" s="384"/>
      <c r="C26" s="384" t="s">
        <v>1733</v>
      </c>
      <c r="D26" s="386" t="s">
        <v>1134</v>
      </c>
      <c r="E26" s="381" t="s">
        <v>705</v>
      </c>
      <c r="F26" s="398">
        <f>+'LIST_APUS CIVILES'!G701</f>
        <v>59811</v>
      </c>
    </row>
    <row r="27" spans="1:6" s="377" customFormat="1" x14ac:dyDescent="0.25">
      <c r="A27" s="384"/>
      <c r="B27" s="384"/>
      <c r="C27" s="384" t="s">
        <v>1734</v>
      </c>
      <c r="D27" s="386" t="s">
        <v>1135</v>
      </c>
      <c r="E27" s="381" t="s">
        <v>705</v>
      </c>
      <c r="F27" s="398">
        <f>+'LIST_APUS CIVILES'!G737</f>
        <v>80654</v>
      </c>
    </row>
    <row r="28" spans="1:6" s="377" customFormat="1" ht="28.5" x14ac:dyDescent="0.25">
      <c r="A28" s="384"/>
      <c r="B28" s="384"/>
      <c r="C28" s="384" t="s">
        <v>1735</v>
      </c>
      <c r="D28" s="386" t="s">
        <v>1071</v>
      </c>
      <c r="E28" s="381" t="s">
        <v>705</v>
      </c>
      <c r="F28" s="398">
        <f>+'LIST_APUS CIVILES'!G772</f>
        <v>60625</v>
      </c>
    </row>
    <row r="29" spans="1:6" s="377" customFormat="1" x14ac:dyDescent="0.25">
      <c r="A29" s="384"/>
      <c r="B29" s="384"/>
      <c r="C29" s="384" t="s">
        <v>1736</v>
      </c>
      <c r="D29" s="386" t="s">
        <v>1072</v>
      </c>
      <c r="E29" s="381" t="s">
        <v>12</v>
      </c>
      <c r="F29" s="398">
        <f>+'LIST_APUS CIVILES'!G807</f>
        <v>69815</v>
      </c>
    </row>
    <row r="30" spans="1:6" s="377" customFormat="1" x14ac:dyDescent="0.25">
      <c r="A30" s="384"/>
      <c r="B30" s="384"/>
      <c r="C30" s="384" t="s">
        <v>1737</v>
      </c>
      <c r="D30" s="386" t="s">
        <v>1076</v>
      </c>
      <c r="E30" s="381" t="s">
        <v>12</v>
      </c>
      <c r="F30" s="398">
        <f>+'LIST_APUS CIVILES'!G842</f>
        <v>78488</v>
      </c>
    </row>
    <row r="31" spans="1:6" s="377" customFormat="1" ht="57.75" customHeight="1" x14ac:dyDescent="0.25">
      <c r="A31" s="384"/>
      <c r="B31" s="384"/>
      <c r="C31" s="384" t="s">
        <v>1738</v>
      </c>
      <c r="D31" s="386" t="s">
        <v>1073</v>
      </c>
      <c r="E31" s="381" t="s">
        <v>12</v>
      </c>
      <c r="F31" s="398">
        <f>+'LIST_APUS CIVILES'!G884</f>
        <v>237965</v>
      </c>
    </row>
    <row r="32" spans="1:6" s="377" customFormat="1" ht="57.75" customHeight="1" x14ac:dyDescent="0.25">
      <c r="A32" s="384"/>
      <c r="B32" s="384"/>
      <c r="C32" s="384" t="s">
        <v>1739</v>
      </c>
      <c r="D32" s="386" t="s">
        <v>1713</v>
      </c>
      <c r="E32" s="381" t="s">
        <v>12</v>
      </c>
      <c r="F32" s="398">
        <f>+'LIST_APUS CIVILES'!G926</f>
        <v>186798</v>
      </c>
    </row>
    <row r="33" spans="1:8" s="377" customFormat="1" x14ac:dyDescent="0.25">
      <c r="A33" s="384"/>
      <c r="B33" s="384"/>
      <c r="C33" s="384" t="s">
        <v>1740</v>
      </c>
      <c r="D33" s="386" t="s">
        <v>1137</v>
      </c>
      <c r="E33" s="381" t="s">
        <v>11</v>
      </c>
      <c r="F33" s="398">
        <f>+LIST_APUS_AUX!G120</f>
        <v>841990</v>
      </c>
    </row>
    <row r="34" spans="1:8" s="377" customFormat="1" ht="18" customHeight="1" x14ac:dyDescent="0.25">
      <c r="A34" s="384"/>
      <c r="B34" s="384"/>
      <c r="C34" s="384" t="s">
        <v>1741</v>
      </c>
      <c r="D34" s="386" t="s">
        <v>1074</v>
      </c>
      <c r="E34" s="30" t="s">
        <v>11</v>
      </c>
      <c r="F34" s="398">
        <f>+'LIST_APUS CIVILES'!G964</f>
        <v>1022118</v>
      </c>
    </row>
    <row r="35" spans="1:8" s="377" customFormat="1" ht="30.75" customHeight="1" x14ac:dyDescent="0.25">
      <c r="A35" s="384"/>
      <c r="B35" s="384"/>
      <c r="C35" s="872" t="s">
        <v>1742</v>
      </c>
      <c r="D35" s="29" t="s">
        <v>2367</v>
      </c>
      <c r="E35" s="30" t="s">
        <v>11</v>
      </c>
      <c r="F35" s="398">
        <f>+'LIST_APUS CIVILES'!G1002</f>
        <v>1018509</v>
      </c>
    </row>
    <row r="36" spans="1:8" s="377" customFormat="1" x14ac:dyDescent="0.25">
      <c r="A36" s="384"/>
      <c r="B36" s="384"/>
      <c r="C36" s="384" t="s">
        <v>1743</v>
      </c>
      <c r="D36" s="385" t="s">
        <v>1078</v>
      </c>
      <c r="E36" s="30" t="s">
        <v>11</v>
      </c>
      <c r="F36" s="398">
        <f>+'LIST_APUS CIVILES'!G1040</f>
        <v>1023146</v>
      </c>
    </row>
    <row r="37" spans="1:8" s="377" customFormat="1" x14ac:dyDescent="0.25">
      <c r="A37" s="384"/>
      <c r="B37" s="384"/>
      <c r="C37" s="384" t="s">
        <v>1744</v>
      </c>
      <c r="D37" s="385" t="s">
        <v>1075</v>
      </c>
      <c r="E37" s="381" t="s">
        <v>705</v>
      </c>
      <c r="F37" s="422">
        <f>+'LIST_APUS CIVILES'!G1075</f>
        <v>61031</v>
      </c>
    </row>
    <row r="38" spans="1:8" s="377" customFormat="1" ht="15" x14ac:dyDescent="0.25">
      <c r="A38" s="13" t="s">
        <v>76</v>
      </c>
      <c r="B38" s="13"/>
      <c r="C38" s="13"/>
      <c r="D38" s="387" t="s">
        <v>1714</v>
      </c>
      <c r="E38" s="27"/>
      <c r="F38" s="396"/>
    </row>
    <row r="39" spans="1:8" s="377" customFormat="1" x14ac:dyDescent="0.25">
      <c r="A39" s="404"/>
      <c r="B39" s="404"/>
      <c r="C39" s="404" t="s">
        <v>655</v>
      </c>
      <c r="D39" s="385" t="s">
        <v>1715</v>
      </c>
      <c r="E39" s="381" t="s">
        <v>468</v>
      </c>
      <c r="F39" s="383">
        <f>+LIST_APUS_AUX!G229</f>
        <v>7479</v>
      </c>
    </row>
    <row r="40" spans="1:8" s="377" customFormat="1" ht="15" collapsed="1" x14ac:dyDescent="0.25">
      <c r="A40" s="13" t="s">
        <v>656</v>
      </c>
      <c r="B40" s="13"/>
      <c r="C40" s="13"/>
      <c r="D40" s="387" t="s">
        <v>686</v>
      </c>
      <c r="E40" s="27"/>
      <c r="F40" s="396"/>
    </row>
    <row r="41" spans="1:8" s="377" customFormat="1" x14ac:dyDescent="0.25">
      <c r="A41" s="379"/>
      <c r="B41" s="379"/>
      <c r="C41" s="379" t="s">
        <v>657</v>
      </c>
      <c r="D41" s="385" t="s">
        <v>1086</v>
      </c>
      <c r="E41" s="381" t="s">
        <v>12</v>
      </c>
      <c r="F41" s="383">
        <f>+'LIST_APUS CIVILES'!G1113</f>
        <v>70082</v>
      </c>
    </row>
    <row r="42" spans="1:8" s="377" customFormat="1" x14ac:dyDescent="0.25">
      <c r="A42" s="379"/>
      <c r="B42" s="379"/>
      <c r="C42" s="404" t="s">
        <v>658</v>
      </c>
      <c r="D42" s="385" t="s">
        <v>1119</v>
      </c>
      <c r="E42" s="381" t="s">
        <v>12</v>
      </c>
      <c r="F42" s="383">
        <f>+'LIST_APUS CIVILES'!G1150</f>
        <v>24665</v>
      </c>
    </row>
    <row r="43" spans="1:8" s="377" customFormat="1" x14ac:dyDescent="0.25">
      <c r="A43" s="379"/>
      <c r="B43" s="379"/>
      <c r="C43" s="404" t="s">
        <v>692</v>
      </c>
      <c r="D43" s="385" t="s">
        <v>1120</v>
      </c>
      <c r="E43" s="381" t="s">
        <v>12</v>
      </c>
      <c r="F43" s="383">
        <f>+'LIST_APUS CIVILES'!G1187</f>
        <v>28662</v>
      </c>
    </row>
    <row r="44" spans="1:8" s="377" customFormat="1" x14ac:dyDescent="0.25">
      <c r="A44" s="379"/>
      <c r="B44" s="379"/>
      <c r="C44" s="404" t="s">
        <v>1122</v>
      </c>
      <c r="D44" s="385" t="s">
        <v>687</v>
      </c>
      <c r="E44" s="381" t="s">
        <v>12</v>
      </c>
      <c r="F44" s="412">
        <v>37000</v>
      </c>
      <c r="H44" s="411"/>
    </row>
    <row r="45" spans="1:8" s="377" customFormat="1" ht="15" collapsed="1" x14ac:dyDescent="0.25">
      <c r="A45" s="13" t="s">
        <v>694</v>
      </c>
      <c r="B45" s="13"/>
      <c r="C45" s="13"/>
      <c r="D45" s="14" t="s">
        <v>688</v>
      </c>
      <c r="E45" s="27"/>
      <c r="F45" s="396"/>
    </row>
    <row r="46" spans="1:8" s="377" customFormat="1" x14ac:dyDescent="0.25">
      <c r="A46" s="379"/>
      <c r="B46" s="379"/>
      <c r="C46" s="379" t="s">
        <v>697</v>
      </c>
      <c r="D46" s="385" t="s">
        <v>762</v>
      </c>
      <c r="E46" s="381" t="s">
        <v>12</v>
      </c>
      <c r="F46" s="383">
        <f>+'LIST_APUS CIVILES'!G1223</f>
        <v>23217</v>
      </c>
    </row>
    <row r="47" spans="1:8" s="377" customFormat="1" x14ac:dyDescent="0.25">
      <c r="A47" s="379"/>
      <c r="B47" s="379"/>
      <c r="C47" s="404" t="s">
        <v>1719</v>
      </c>
      <c r="D47" s="385" t="s">
        <v>763</v>
      </c>
      <c r="E47" s="381" t="s">
        <v>12</v>
      </c>
      <c r="F47" s="383">
        <f>+'LIST_APUS CIVILES'!G1259</f>
        <v>22991</v>
      </c>
    </row>
    <row r="48" spans="1:8" s="377" customFormat="1" x14ac:dyDescent="0.25">
      <c r="A48" s="379"/>
      <c r="B48" s="379"/>
      <c r="C48" s="404" t="s">
        <v>698</v>
      </c>
      <c r="D48" s="385" t="s">
        <v>1121</v>
      </c>
      <c r="E48" s="381" t="s">
        <v>12</v>
      </c>
      <c r="F48" s="383">
        <f>+'LIST_APUS CIVILES'!G1295</f>
        <v>23638</v>
      </c>
    </row>
    <row r="49" spans="1:6" s="377" customFormat="1" ht="15" collapsed="1" x14ac:dyDescent="0.25">
      <c r="A49" s="13" t="s">
        <v>699</v>
      </c>
      <c r="B49" s="13"/>
      <c r="C49" s="13"/>
      <c r="D49" s="14" t="s">
        <v>1123</v>
      </c>
      <c r="E49" s="27"/>
      <c r="F49" s="396"/>
    </row>
    <row r="50" spans="1:6" s="377" customFormat="1" x14ac:dyDescent="0.25">
      <c r="A50" s="379"/>
      <c r="B50" s="379"/>
      <c r="C50" s="379" t="s">
        <v>700</v>
      </c>
      <c r="D50" s="29" t="s">
        <v>1716</v>
      </c>
      <c r="E50" s="30" t="s">
        <v>12</v>
      </c>
      <c r="F50" s="383">
        <f>+'LIST_APUS CIVILES'!G1329</f>
        <v>34966</v>
      </c>
    </row>
    <row r="51" spans="1:6" s="377" customFormat="1" x14ac:dyDescent="0.25">
      <c r="A51" s="404"/>
      <c r="B51" s="404"/>
      <c r="C51" s="415" t="s">
        <v>701</v>
      </c>
      <c r="D51" s="29" t="s">
        <v>1781</v>
      </c>
      <c r="E51" s="30" t="s">
        <v>12</v>
      </c>
      <c r="F51" s="383">
        <f>+'LIST_APUS CIVILES'!G1363</f>
        <v>68808</v>
      </c>
    </row>
    <row r="52" spans="1:6" s="377" customFormat="1" x14ac:dyDescent="0.25">
      <c r="A52" s="415"/>
      <c r="B52" s="415"/>
      <c r="C52" s="415" t="s">
        <v>702</v>
      </c>
      <c r="D52" s="29" t="s">
        <v>1782</v>
      </c>
      <c r="E52" s="30" t="s">
        <v>12</v>
      </c>
      <c r="F52" s="383">
        <f>+'LIST_APUS CIVILES'!G1399</f>
        <v>126449</v>
      </c>
    </row>
    <row r="53" spans="1:6" s="377" customFormat="1" x14ac:dyDescent="0.25">
      <c r="A53" s="379"/>
      <c r="B53" s="379"/>
      <c r="C53" s="415" t="s">
        <v>703</v>
      </c>
      <c r="D53" s="29" t="s">
        <v>691</v>
      </c>
      <c r="E53" s="30" t="s">
        <v>12</v>
      </c>
      <c r="F53" s="383">
        <f>+'LIST_APUS CIVILES'!G1433</f>
        <v>65352</v>
      </c>
    </row>
    <row r="54" spans="1:6" s="377" customFormat="1" x14ac:dyDescent="0.25">
      <c r="A54" s="379"/>
      <c r="B54" s="379"/>
      <c r="C54" s="415" t="s">
        <v>704</v>
      </c>
      <c r="D54" s="29" t="s">
        <v>693</v>
      </c>
      <c r="E54" s="30" t="s">
        <v>15</v>
      </c>
      <c r="F54" s="548">
        <v>57260</v>
      </c>
    </row>
    <row r="55" spans="1:6" s="377" customFormat="1" ht="15" collapsed="1" x14ac:dyDescent="0.25">
      <c r="A55" s="13" t="s">
        <v>706</v>
      </c>
      <c r="B55" s="13"/>
      <c r="C55" s="13"/>
      <c r="D55" s="14" t="s">
        <v>689</v>
      </c>
      <c r="E55" s="27"/>
      <c r="F55" s="396"/>
    </row>
    <row r="56" spans="1:6" s="377" customFormat="1" x14ac:dyDescent="0.25">
      <c r="A56" s="379"/>
      <c r="B56" s="379"/>
      <c r="C56" s="379" t="s">
        <v>707</v>
      </c>
      <c r="D56" s="29" t="s">
        <v>764</v>
      </c>
      <c r="E56" s="30" t="s">
        <v>468</v>
      </c>
      <c r="F56" s="383">
        <f>+LIST_APUS_AUX!G264</f>
        <v>10329</v>
      </c>
    </row>
    <row r="57" spans="1:6" s="377" customFormat="1" x14ac:dyDescent="0.25">
      <c r="A57" s="379"/>
      <c r="B57" s="379"/>
      <c r="C57" s="404" t="s">
        <v>708</v>
      </c>
      <c r="D57" s="29" t="s">
        <v>1717</v>
      </c>
      <c r="E57" s="30" t="s">
        <v>12</v>
      </c>
      <c r="F57" s="383">
        <f>+'LIST_APUS CIVILES'!G1469</f>
        <v>113230</v>
      </c>
    </row>
    <row r="58" spans="1:6" s="377" customFormat="1" x14ac:dyDescent="0.25">
      <c r="A58" s="404"/>
      <c r="B58" s="404"/>
      <c r="C58" s="404" t="s">
        <v>696</v>
      </c>
      <c r="D58" s="29" t="s">
        <v>1718</v>
      </c>
      <c r="E58" s="381" t="s">
        <v>12</v>
      </c>
      <c r="F58" s="383">
        <f>+'LIST_APUS CIVILES'!G1505</f>
        <v>84208</v>
      </c>
    </row>
    <row r="59" spans="1:6" s="377" customFormat="1" x14ac:dyDescent="0.25">
      <c r="A59" s="379"/>
      <c r="B59" s="379"/>
      <c r="C59" s="404" t="s">
        <v>695</v>
      </c>
      <c r="D59" s="33" t="s">
        <v>1787</v>
      </c>
      <c r="E59" s="381" t="s">
        <v>12</v>
      </c>
      <c r="F59" s="383">
        <f>+'LIST_APUS CIVILES'!G1542</f>
        <v>87762</v>
      </c>
    </row>
    <row r="60" spans="1:6" s="377" customFormat="1" ht="18" customHeight="1" x14ac:dyDescent="0.25">
      <c r="A60" s="379"/>
      <c r="B60" s="379"/>
      <c r="C60" s="404" t="s">
        <v>709</v>
      </c>
      <c r="D60" s="33" t="s">
        <v>1720</v>
      </c>
      <c r="E60" s="381" t="s">
        <v>12</v>
      </c>
      <c r="F60" s="383">
        <f>+'LIST_APUS CIVILES'!G1577</f>
        <v>38280</v>
      </c>
    </row>
    <row r="61" spans="1:6" s="377" customFormat="1" ht="15" collapsed="1" x14ac:dyDescent="0.25">
      <c r="A61" s="13" t="s">
        <v>1745</v>
      </c>
      <c r="B61" s="13"/>
      <c r="C61" s="13"/>
      <c r="D61" s="14" t="s">
        <v>690</v>
      </c>
      <c r="E61" s="27"/>
      <c r="F61" s="396"/>
    </row>
    <row r="62" spans="1:6" s="377" customFormat="1" ht="15" x14ac:dyDescent="0.25">
      <c r="A62" s="13"/>
      <c r="B62" s="13" t="s">
        <v>1746</v>
      </c>
      <c r="C62" s="13"/>
      <c r="D62" s="14" t="s">
        <v>1794</v>
      </c>
      <c r="E62" s="27"/>
      <c r="F62" s="396"/>
    </row>
    <row r="63" spans="1:6" s="377" customFormat="1" ht="15" x14ac:dyDescent="0.25">
      <c r="A63" s="126"/>
      <c r="B63" s="126"/>
      <c r="C63" s="17" t="s">
        <v>1813</v>
      </c>
      <c r="D63" s="148" t="s">
        <v>1797</v>
      </c>
      <c r="E63" s="30" t="s">
        <v>13</v>
      </c>
      <c r="F63" s="383">
        <f>+'LIST_APUS CIVILES'!G1612</f>
        <v>5586027</v>
      </c>
    </row>
    <row r="64" spans="1:6" s="377" customFormat="1" ht="15" x14ac:dyDescent="0.25">
      <c r="A64" s="126"/>
      <c r="B64" s="126"/>
      <c r="C64" s="17" t="s">
        <v>1814</v>
      </c>
      <c r="D64" s="148" t="s">
        <v>1798</v>
      </c>
      <c r="E64" s="30" t="s">
        <v>13</v>
      </c>
      <c r="F64" s="383">
        <f>+'LIST_APUS CIVILES'!G1647</f>
        <v>2725092</v>
      </c>
    </row>
    <row r="65" spans="1:6" s="377" customFormat="1" ht="15" x14ac:dyDescent="0.25">
      <c r="A65" s="126"/>
      <c r="B65" s="126"/>
      <c r="C65" s="17" t="s">
        <v>1815</v>
      </c>
      <c r="D65" s="148" t="s">
        <v>1799</v>
      </c>
      <c r="E65" s="30" t="s">
        <v>13</v>
      </c>
      <c r="F65" s="383">
        <f>+'LIST_APUS CIVILES'!G1682</f>
        <v>2622092</v>
      </c>
    </row>
    <row r="66" spans="1:6" s="377" customFormat="1" ht="15" x14ac:dyDescent="0.25">
      <c r="A66" s="126"/>
      <c r="B66" s="126"/>
      <c r="C66" s="17" t="s">
        <v>1816</v>
      </c>
      <c r="D66" s="148" t="s">
        <v>1800</v>
      </c>
      <c r="E66" s="30" t="s">
        <v>13</v>
      </c>
      <c r="F66" s="383">
        <f>+'LIST_APUS CIVILES'!G1717</f>
        <v>2725092</v>
      </c>
    </row>
    <row r="67" spans="1:6" s="377" customFormat="1" ht="15" x14ac:dyDescent="0.25">
      <c r="A67" s="126"/>
      <c r="B67" s="126"/>
      <c r="C67" s="17" t="s">
        <v>1817</v>
      </c>
      <c r="D67" s="148" t="s">
        <v>1801</v>
      </c>
      <c r="E67" s="30" t="s">
        <v>13</v>
      </c>
      <c r="F67" s="383">
        <f>+'LIST_APUS CIVILES'!G1752</f>
        <v>2210092</v>
      </c>
    </row>
    <row r="68" spans="1:6" s="377" customFormat="1" ht="15" x14ac:dyDescent="0.25">
      <c r="A68" s="126"/>
      <c r="B68" s="126"/>
      <c r="C68" s="17" t="s">
        <v>1818</v>
      </c>
      <c r="D68" s="148" t="s">
        <v>1802</v>
      </c>
      <c r="E68" s="30" t="s">
        <v>13</v>
      </c>
      <c r="F68" s="383">
        <f>+'LIST_APUS CIVILES'!G1787</f>
        <v>2004092</v>
      </c>
    </row>
    <row r="69" spans="1:6" s="377" customFormat="1" ht="15" x14ac:dyDescent="0.25">
      <c r="A69" s="126"/>
      <c r="B69" s="126"/>
      <c r="C69" s="17" t="s">
        <v>1819</v>
      </c>
      <c r="D69" s="148" t="s">
        <v>1803</v>
      </c>
      <c r="E69" s="30" t="s">
        <v>13</v>
      </c>
      <c r="F69" s="383">
        <f>+'LIST_APUS CIVILES'!G1822</f>
        <v>2210092</v>
      </c>
    </row>
    <row r="70" spans="1:6" s="377" customFormat="1" ht="15" x14ac:dyDescent="0.25">
      <c r="A70" s="126"/>
      <c r="B70" s="126"/>
      <c r="C70" s="17" t="s">
        <v>1820</v>
      </c>
      <c r="D70" s="148" t="s">
        <v>1795</v>
      </c>
      <c r="E70" s="30" t="s">
        <v>13</v>
      </c>
      <c r="F70" s="383">
        <f>+'LIST_APUS CIVILES'!G1857</f>
        <v>4064092</v>
      </c>
    </row>
    <row r="71" spans="1:6" s="377" customFormat="1" ht="15" x14ac:dyDescent="0.25">
      <c r="A71" s="126"/>
      <c r="B71" s="126"/>
      <c r="C71" s="17" t="s">
        <v>1821</v>
      </c>
      <c r="D71" s="148" t="s">
        <v>1796</v>
      </c>
      <c r="E71" s="30" t="s">
        <v>13</v>
      </c>
      <c r="F71" s="383">
        <f>+'LIST_APUS CIVILES'!G1892</f>
        <v>4064092</v>
      </c>
    </row>
    <row r="72" spans="1:6" s="377" customFormat="1" ht="15" x14ac:dyDescent="0.25">
      <c r="A72" s="126"/>
      <c r="B72" s="126"/>
      <c r="C72" s="17" t="s">
        <v>1822</v>
      </c>
      <c r="D72" s="148" t="s">
        <v>1804</v>
      </c>
      <c r="E72" s="30" t="s">
        <v>13</v>
      </c>
      <c r="F72" s="383">
        <f>+'LIST_APUS CIVILES'!G1927</f>
        <v>1386092</v>
      </c>
    </row>
    <row r="73" spans="1:6" s="377" customFormat="1" ht="15" x14ac:dyDescent="0.25">
      <c r="A73" s="126"/>
      <c r="B73" s="126"/>
      <c r="C73" s="17" t="s">
        <v>1823</v>
      </c>
      <c r="D73" s="148" t="s">
        <v>1805</v>
      </c>
      <c r="E73" s="30" t="s">
        <v>13</v>
      </c>
      <c r="F73" s="383">
        <f>+'LIST_APUS CIVILES'!G1962</f>
        <v>1489092</v>
      </c>
    </row>
    <row r="74" spans="1:6" s="377" customFormat="1" ht="15" x14ac:dyDescent="0.25">
      <c r="A74" s="126"/>
      <c r="B74" s="126"/>
      <c r="C74" s="17" t="s">
        <v>1824</v>
      </c>
      <c r="D74" s="148" t="s">
        <v>1806</v>
      </c>
      <c r="E74" s="30" t="s">
        <v>13</v>
      </c>
      <c r="F74" s="383">
        <f>+'LIST_APUS CIVILES'!G1997</f>
        <v>1386092</v>
      </c>
    </row>
    <row r="75" spans="1:6" s="377" customFormat="1" ht="15" x14ac:dyDescent="0.25">
      <c r="A75" s="126"/>
      <c r="B75" s="126"/>
      <c r="C75" s="17" t="s">
        <v>1825</v>
      </c>
      <c r="D75" s="148" t="s">
        <v>1807</v>
      </c>
      <c r="E75" s="30" t="s">
        <v>13</v>
      </c>
      <c r="F75" s="383">
        <f>+'LIST_APUS CIVILES'!G2032</f>
        <v>1180092</v>
      </c>
    </row>
    <row r="76" spans="1:6" s="377" customFormat="1" ht="15" x14ac:dyDescent="0.25">
      <c r="A76" s="126"/>
      <c r="B76" s="126"/>
      <c r="C76" s="17" t="s">
        <v>1826</v>
      </c>
      <c r="D76" s="148" t="s">
        <v>1808</v>
      </c>
      <c r="E76" s="30" t="s">
        <v>13</v>
      </c>
      <c r="F76" s="383">
        <f>+'LIST_APUS CIVILES'!G2067</f>
        <v>1489092</v>
      </c>
    </row>
    <row r="77" spans="1:6" s="377" customFormat="1" ht="15" x14ac:dyDescent="0.25">
      <c r="A77" s="126"/>
      <c r="B77" s="126"/>
      <c r="C77" s="17" t="s">
        <v>1827</v>
      </c>
      <c r="D77" s="148" t="s">
        <v>1809</v>
      </c>
      <c r="E77" s="30" t="s">
        <v>13</v>
      </c>
      <c r="F77" s="383">
        <f>+'LIST_APUS CIVILES'!G2102</f>
        <v>1489092</v>
      </c>
    </row>
    <row r="78" spans="1:6" s="377" customFormat="1" ht="15" x14ac:dyDescent="0.25">
      <c r="A78" s="126"/>
      <c r="B78" s="126"/>
      <c r="C78" s="17" t="s">
        <v>1828</v>
      </c>
      <c r="D78" s="148" t="s">
        <v>1810</v>
      </c>
      <c r="E78" s="30" t="s">
        <v>13</v>
      </c>
      <c r="F78" s="383">
        <f>+'LIST_APUS CIVILES'!G2137</f>
        <v>1386092</v>
      </c>
    </row>
    <row r="79" spans="1:6" s="377" customFormat="1" ht="15" x14ac:dyDescent="0.25">
      <c r="A79" s="126"/>
      <c r="B79" s="126"/>
      <c r="C79" s="17" t="s">
        <v>1829</v>
      </c>
      <c r="D79" s="148" t="s">
        <v>1811</v>
      </c>
      <c r="E79" s="30" t="s">
        <v>13</v>
      </c>
      <c r="F79" s="383">
        <f>+'LIST_APUS CIVILES'!G2172</f>
        <v>2416092</v>
      </c>
    </row>
    <row r="80" spans="1:6" s="377" customFormat="1" ht="15" x14ac:dyDescent="0.25">
      <c r="A80" s="126"/>
      <c r="B80" s="126"/>
      <c r="C80" s="17" t="s">
        <v>1830</v>
      </c>
      <c r="D80" s="148" t="s">
        <v>1812</v>
      </c>
      <c r="E80" s="30" t="s">
        <v>13</v>
      </c>
      <c r="F80" s="383">
        <f>+'LIST_APUS CIVILES'!G2207</f>
        <v>2416092</v>
      </c>
    </row>
    <row r="81" spans="1:6" s="377" customFormat="1" ht="15" x14ac:dyDescent="0.25">
      <c r="A81" s="13"/>
      <c r="B81" s="13" t="s">
        <v>1747</v>
      </c>
      <c r="C81" s="13"/>
      <c r="D81" s="14" t="s">
        <v>1831</v>
      </c>
      <c r="E81" s="27"/>
      <c r="F81" s="397"/>
    </row>
    <row r="82" spans="1:6" s="377" customFormat="1" ht="15" x14ac:dyDescent="0.25">
      <c r="A82" s="126"/>
      <c r="B82" s="126"/>
      <c r="C82" s="17" t="s">
        <v>1843</v>
      </c>
      <c r="D82" s="148" t="s">
        <v>1832</v>
      </c>
      <c r="E82" s="30" t="s">
        <v>13</v>
      </c>
      <c r="F82" s="383">
        <f>+'LIST_APUS CIVILES'!G2242</f>
        <v>3034092</v>
      </c>
    </row>
    <row r="83" spans="1:6" s="377" customFormat="1" ht="15" x14ac:dyDescent="0.25">
      <c r="A83" s="126"/>
      <c r="B83" s="126"/>
      <c r="C83" s="17" t="s">
        <v>1846</v>
      </c>
      <c r="D83" s="148" t="s">
        <v>1833</v>
      </c>
      <c r="E83" s="30" t="s">
        <v>13</v>
      </c>
      <c r="F83" s="383">
        <f>+'LIST_APUS CIVILES'!G2277</f>
        <v>1386092</v>
      </c>
    </row>
    <row r="84" spans="1:6" s="377" customFormat="1" ht="15" x14ac:dyDescent="0.25">
      <c r="A84" s="126"/>
      <c r="B84" s="126"/>
      <c r="C84" s="17" t="s">
        <v>1847</v>
      </c>
      <c r="D84" s="148" t="s">
        <v>1834</v>
      </c>
      <c r="E84" s="30" t="s">
        <v>13</v>
      </c>
      <c r="F84" s="383">
        <f>+'LIST_APUS CIVILES'!G2312</f>
        <v>1180092</v>
      </c>
    </row>
    <row r="85" spans="1:6" s="377" customFormat="1" ht="15" x14ac:dyDescent="0.25">
      <c r="A85" s="126"/>
      <c r="B85" s="126"/>
      <c r="C85" s="17" t="s">
        <v>1844</v>
      </c>
      <c r="D85" s="148" t="s">
        <v>1835</v>
      </c>
      <c r="E85" s="30" t="s">
        <v>13</v>
      </c>
      <c r="F85" s="383">
        <f>+'LIST_APUS CIVILES'!G2347</f>
        <v>1180092</v>
      </c>
    </row>
    <row r="86" spans="1:6" s="377" customFormat="1" ht="15" x14ac:dyDescent="0.25">
      <c r="A86" s="126"/>
      <c r="B86" s="126"/>
      <c r="C86" s="17" t="s">
        <v>1848</v>
      </c>
      <c r="D86" s="148" t="s">
        <v>1836</v>
      </c>
      <c r="E86" s="30" t="s">
        <v>13</v>
      </c>
      <c r="F86" s="383">
        <f>+'LIST_APUS CIVILES'!G2382</f>
        <v>1180092</v>
      </c>
    </row>
    <row r="87" spans="1:6" s="377" customFormat="1" ht="15" x14ac:dyDescent="0.25">
      <c r="A87" s="126"/>
      <c r="B87" s="126"/>
      <c r="C87" s="17" t="s">
        <v>1845</v>
      </c>
      <c r="D87" s="148" t="s">
        <v>1837</v>
      </c>
      <c r="E87" s="30" t="s">
        <v>13</v>
      </c>
      <c r="F87" s="383">
        <f>+'LIST_APUS CIVILES'!G2417</f>
        <v>1386092</v>
      </c>
    </row>
    <row r="88" spans="1:6" s="377" customFormat="1" ht="15" x14ac:dyDescent="0.25">
      <c r="A88" s="126"/>
      <c r="B88" s="126"/>
      <c r="C88" s="17" t="s">
        <v>1849</v>
      </c>
      <c r="D88" s="148" t="s">
        <v>1838</v>
      </c>
      <c r="E88" s="30" t="s">
        <v>13</v>
      </c>
      <c r="F88" s="383">
        <f>+'LIST_APUS CIVILES'!G2452</f>
        <v>2725092</v>
      </c>
    </row>
    <row r="89" spans="1:6" s="377" customFormat="1" ht="15" x14ac:dyDescent="0.25">
      <c r="A89" s="126"/>
      <c r="B89" s="126"/>
      <c r="C89" s="17" t="s">
        <v>1850</v>
      </c>
      <c r="D89" s="148" t="s">
        <v>1839</v>
      </c>
      <c r="E89" s="30" t="s">
        <v>13</v>
      </c>
      <c r="F89" s="383">
        <f>+'LIST_APUS CIVILES'!G2487</f>
        <v>1180092</v>
      </c>
    </row>
    <row r="90" spans="1:6" s="377" customFormat="1" ht="15" x14ac:dyDescent="0.25">
      <c r="A90" s="126"/>
      <c r="B90" s="126"/>
      <c r="C90" s="17" t="s">
        <v>1851</v>
      </c>
      <c r="D90" s="148" t="s">
        <v>1840</v>
      </c>
      <c r="E90" s="30" t="s">
        <v>13</v>
      </c>
      <c r="F90" s="383">
        <f>+'LIST_APUS CIVILES'!G2522</f>
        <v>1180092</v>
      </c>
    </row>
    <row r="91" spans="1:6" s="377" customFormat="1" ht="15" x14ac:dyDescent="0.25">
      <c r="A91" s="126"/>
      <c r="B91" s="126"/>
      <c r="C91" s="17" t="s">
        <v>1852</v>
      </c>
      <c r="D91" s="148" t="s">
        <v>1841</v>
      </c>
      <c r="E91" s="30" t="s">
        <v>13</v>
      </c>
      <c r="F91" s="383">
        <f>+'LIST_APUS CIVILES'!G2557</f>
        <v>3240092</v>
      </c>
    </row>
    <row r="92" spans="1:6" s="377" customFormat="1" ht="15" x14ac:dyDescent="0.25">
      <c r="A92" s="126"/>
      <c r="B92" s="126"/>
      <c r="C92" s="17" t="s">
        <v>1853</v>
      </c>
      <c r="D92" s="148" t="s">
        <v>1842</v>
      </c>
      <c r="E92" s="30" t="s">
        <v>13</v>
      </c>
      <c r="F92" s="383">
        <f>+'LIST_APUS CIVILES'!G2592</f>
        <v>1695092</v>
      </c>
    </row>
    <row r="93" spans="1:6" s="377" customFormat="1" ht="15" x14ac:dyDescent="0.25">
      <c r="A93" s="13"/>
      <c r="B93" s="13" t="s">
        <v>1748</v>
      </c>
      <c r="C93" s="13"/>
      <c r="D93" s="14" t="s">
        <v>1854</v>
      </c>
      <c r="E93" s="27"/>
      <c r="F93" s="396"/>
    </row>
    <row r="94" spans="1:6" s="377" customFormat="1" ht="18" customHeight="1" x14ac:dyDescent="0.25">
      <c r="A94" s="415"/>
      <c r="B94" s="415"/>
      <c r="C94" s="415" t="s">
        <v>1856</v>
      </c>
      <c r="D94" s="29" t="s">
        <v>1894</v>
      </c>
      <c r="E94" s="30" t="s">
        <v>13</v>
      </c>
      <c r="F94" s="383">
        <f>+'LIST_APUS CIVILES'!G2627</f>
        <v>548842</v>
      </c>
    </row>
    <row r="95" spans="1:6" s="377" customFormat="1" x14ac:dyDescent="0.25">
      <c r="A95" s="415"/>
      <c r="B95" s="415"/>
      <c r="C95" s="415" t="s">
        <v>1857</v>
      </c>
      <c r="D95" s="29" t="s">
        <v>1893</v>
      </c>
      <c r="E95" s="30" t="s">
        <v>13</v>
      </c>
      <c r="F95" s="383">
        <f>+'LIST_APUS CIVILES'!G2662</f>
        <v>1141092</v>
      </c>
    </row>
    <row r="96" spans="1:6" s="377" customFormat="1" x14ac:dyDescent="0.25">
      <c r="A96" s="379"/>
      <c r="B96" s="379"/>
      <c r="C96" s="415" t="s">
        <v>1858</v>
      </c>
      <c r="D96" s="29" t="s">
        <v>1855</v>
      </c>
      <c r="E96" s="381" t="s">
        <v>705</v>
      </c>
      <c r="F96" s="383">
        <v>337937</v>
      </c>
    </row>
    <row r="97" spans="1:6" s="377" customFormat="1" x14ac:dyDescent="0.25">
      <c r="A97" s="379"/>
      <c r="B97" s="379"/>
      <c r="C97" s="415" t="s">
        <v>1859</v>
      </c>
      <c r="D97" s="29" t="s">
        <v>377</v>
      </c>
      <c r="E97" s="381" t="s">
        <v>705</v>
      </c>
      <c r="F97" s="383">
        <v>284100</v>
      </c>
    </row>
    <row r="98" spans="1:6" s="377" customFormat="1" x14ac:dyDescent="0.25">
      <c r="A98" s="404"/>
      <c r="B98" s="404"/>
      <c r="C98" s="415" t="s">
        <v>1860</v>
      </c>
      <c r="D98" s="29" t="s">
        <v>1775</v>
      </c>
      <c r="E98" s="381" t="s">
        <v>13</v>
      </c>
      <c r="F98" s="383">
        <f>950000*1.15</f>
        <v>1092500</v>
      </c>
    </row>
    <row r="99" spans="1:6" s="377" customFormat="1" ht="99.75" x14ac:dyDescent="0.25">
      <c r="A99" s="404"/>
      <c r="B99" s="404"/>
      <c r="C99" s="415" t="s">
        <v>1861</v>
      </c>
      <c r="D99" s="423" t="s">
        <v>1863</v>
      </c>
      <c r="E99" s="30" t="s">
        <v>12</v>
      </c>
      <c r="F99" s="383">
        <f>+'LIST_APUS CIVILES'!G2706</f>
        <v>256316</v>
      </c>
    </row>
    <row r="100" spans="1:6" s="377" customFormat="1" x14ac:dyDescent="0.25">
      <c r="A100" s="404"/>
      <c r="B100" s="404"/>
      <c r="C100" s="415" t="s">
        <v>1862</v>
      </c>
      <c r="D100" s="29" t="s">
        <v>1721</v>
      </c>
      <c r="E100" s="30" t="s">
        <v>12</v>
      </c>
      <c r="F100" s="383">
        <f>156890*1.2</f>
        <v>188268</v>
      </c>
    </row>
    <row r="101" spans="1:6" s="377" customFormat="1" ht="36" customHeight="1" x14ac:dyDescent="0.25">
      <c r="A101" s="13" t="s">
        <v>1749</v>
      </c>
      <c r="B101" s="388"/>
      <c r="C101" s="13"/>
      <c r="D101" s="14" t="s">
        <v>1035</v>
      </c>
      <c r="E101" s="27"/>
      <c r="F101" s="397"/>
    </row>
    <row r="102" spans="1:6" s="377" customFormat="1" ht="15" x14ac:dyDescent="0.25">
      <c r="A102" s="13"/>
      <c r="B102" s="13" t="s">
        <v>1750</v>
      </c>
      <c r="C102" s="13"/>
      <c r="D102" s="149" t="s">
        <v>1022</v>
      </c>
      <c r="E102" s="27"/>
      <c r="F102" s="397"/>
    </row>
    <row r="103" spans="1:6" s="377" customFormat="1" ht="28.5" x14ac:dyDescent="0.25">
      <c r="A103" s="126"/>
      <c r="B103" s="17"/>
      <c r="C103" s="17" t="s">
        <v>711</v>
      </c>
      <c r="D103" s="41" t="s">
        <v>1039</v>
      </c>
      <c r="E103" s="381" t="s">
        <v>705</v>
      </c>
      <c r="F103" s="383">
        <f>+LIST_APUS_HIDROSAN!G1333</f>
        <v>14646.6874398</v>
      </c>
    </row>
    <row r="104" spans="1:6" s="377" customFormat="1" ht="28.5" x14ac:dyDescent="0.25">
      <c r="A104" s="126"/>
      <c r="B104" s="17"/>
      <c r="C104" s="17" t="s">
        <v>712</v>
      </c>
      <c r="D104" s="41" t="s">
        <v>1040</v>
      </c>
      <c r="E104" s="381" t="s">
        <v>705</v>
      </c>
      <c r="F104" s="383">
        <f>+LIST_APUS_HIDROSAN!G1333</f>
        <v>14646.6874398</v>
      </c>
    </row>
    <row r="105" spans="1:6" s="377" customFormat="1" ht="28.5" x14ac:dyDescent="0.25">
      <c r="A105" s="126"/>
      <c r="B105" s="17"/>
      <c r="C105" s="17" t="s">
        <v>714</v>
      </c>
      <c r="D105" s="41" t="s">
        <v>1041</v>
      </c>
      <c r="E105" s="381" t="s">
        <v>705</v>
      </c>
      <c r="F105" s="383">
        <f>+LIST_APUS_HIDROSAN!G1289</f>
        <v>15956.960598800002</v>
      </c>
    </row>
    <row r="106" spans="1:6" s="377" customFormat="1" ht="28.5" x14ac:dyDescent="0.25">
      <c r="A106" s="126"/>
      <c r="B106" s="17"/>
      <c r="C106" s="17" t="s">
        <v>716</v>
      </c>
      <c r="D106" s="41" t="s">
        <v>1920</v>
      </c>
      <c r="E106" s="381" t="s">
        <v>705</v>
      </c>
      <c r="F106" s="383">
        <f>+LIST_APUS_HIDROSAN!G1244</f>
        <v>28492.580582700004</v>
      </c>
    </row>
    <row r="107" spans="1:6" s="377" customFormat="1" ht="15" x14ac:dyDescent="0.25">
      <c r="A107" s="126"/>
      <c r="B107" s="17"/>
      <c r="C107" s="17" t="s">
        <v>718</v>
      </c>
      <c r="D107" s="41" t="s">
        <v>1042</v>
      </c>
      <c r="E107" s="381" t="s">
        <v>13</v>
      </c>
      <c r="F107" s="383">
        <f>+LIST_APUS_HIDROSAN!G613</f>
        <v>62159.978882873329</v>
      </c>
    </row>
    <row r="108" spans="1:6" s="377" customFormat="1" ht="15" x14ac:dyDescent="0.25">
      <c r="A108" s="126"/>
      <c r="B108" s="17"/>
      <c r="C108" s="17" t="s">
        <v>720</v>
      </c>
      <c r="D108" s="41" t="s">
        <v>1043</v>
      </c>
      <c r="E108" s="381" t="s">
        <v>13</v>
      </c>
      <c r="F108" s="383">
        <f>+LIST_APUS_HIDROSAN!G613</f>
        <v>62159.978882873329</v>
      </c>
    </row>
    <row r="109" spans="1:6" s="377" customFormat="1" ht="15" x14ac:dyDescent="0.25">
      <c r="A109" s="126"/>
      <c r="B109" s="17"/>
      <c r="C109" s="17" t="s">
        <v>1752</v>
      </c>
      <c r="D109" s="41" t="s">
        <v>1044</v>
      </c>
      <c r="E109" s="381" t="s">
        <v>13</v>
      </c>
      <c r="F109" s="383">
        <f>+LIST_APUS_HIDROSAN!G613</f>
        <v>62159.978882873329</v>
      </c>
    </row>
    <row r="110" spans="1:6" s="377" customFormat="1" ht="15" x14ac:dyDescent="0.25">
      <c r="A110" s="126"/>
      <c r="B110" s="17"/>
      <c r="C110" s="17" t="s">
        <v>722</v>
      </c>
      <c r="D110" s="41" t="s">
        <v>1045</v>
      </c>
      <c r="E110" s="381" t="s">
        <v>13</v>
      </c>
      <c r="F110" s="383">
        <f>+LIST_APUS_HIDROSAN!G613</f>
        <v>62159.978882873329</v>
      </c>
    </row>
    <row r="111" spans="1:6" s="377" customFormat="1" ht="15" x14ac:dyDescent="0.25">
      <c r="A111" s="126"/>
      <c r="B111" s="17"/>
      <c r="C111" s="17" t="s">
        <v>724</v>
      </c>
      <c r="D111" s="41" t="s">
        <v>1046</v>
      </c>
      <c r="E111" s="381" t="s">
        <v>13</v>
      </c>
      <c r="F111" s="383">
        <f>+LIST_APUS_HIDROSAN!G937</f>
        <v>43534.089358304998</v>
      </c>
    </row>
    <row r="112" spans="1:6" s="377" customFormat="1" ht="15" x14ac:dyDescent="0.25">
      <c r="A112" s="126"/>
      <c r="B112" s="17"/>
      <c r="C112" s="17" t="s">
        <v>726</v>
      </c>
      <c r="D112" s="41" t="s">
        <v>1047</v>
      </c>
      <c r="E112" s="381" t="s">
        <v>13</v>
      </c>
      <c r="F112" s="383">
        <f>+LIST_APUS_HIDROSAN!G937</f>
        <v>43534.089358304998</v>
      </c>
    </row>
    <row r="113" spans="1:6" s="377" customFormat="1" ht="15" x14ac:dyDescent="0.25">
      <c r="A113" s="126"/>
      <c r="B113" s="17"/>
      <c r="C113" s="17" t="s">
        <v>728</v>
      </c>
      <c r="D113" s="41" t="s">
        <v>1048</v>
      </c>
      <c r="E113" s="381" t="s">
        <v>13</v>
      </c>
      <c r="F113" s="383">
        <f>+LIST_APUS_HIDROSAN!G937</f>
        <v>43534.089358304998</v>
      </c>
    </row>
    <row r="114" spans="1:6" s="377" customFormat="1" ht="28.5" x14ac:dyDescent="0.25">
      <c r="A114" s="126"/>
      <c r="B114" s="17"/>
      <c r="C114" s="17" t="s">
        <v>1753</v>
      </c>
      <c r="D114" s="453" t="s">
        <v>1915</v>
      </c>
      <c r="E114" s="381" t="s">
        <v>13</v>
      </c>
      <c r="F114" s="383">
        <f>+LIST_APUS_HIDROSAN!G1070</f>
        <v>5182323.8406800004</v>
      </c>
    </row>
    <row r="115" spans="1:6" s="377" customFormat="1" ht="15" x14ac:dyDescent="0.25">
      <c r="A115" s="126"/>
      <c r="B115" s="17"/>
      <c r="C115" s="17" t="s">
        <v>1754</v>
      </c>
      <c r="D115" s="423" t="s">
        <v>1908</v>
      </c>
      <c r="E115" s="381" t="s">
        <v>13</v>
      </c>
      <c r="F115" s="383">
        <v>857900</v>
      </c>
    </row>
    <row r="116" spans="1:6" s="377" customFormat="1" ht="28.5" x14ac:dyDescent="0.25">
      <c r="A116" s="126"/>
      <c r="B116" s="17"/>
      <c r="C116" s="17" t="s">
        <v>1919</v>
      </c>
      <c r="D116" s="423" t="s">
        <v>1050</v>
      </c>
      <c r="E116" s="381" t="s">
        <v>13</v>
      </c>
      <c r="F116" s="383">
        <v>40000000</v>
      </c>
    </row>
    <row r="117" spans="1:6" s="377" customFormat="1" ht="15" x14ac:dyDescent="0.25">
      <c r="A117" s="13"/>
      <c r="B117" s="13" t="s">
        <v>1755</v>
      </c>
      <c r="C117" s="13"/>
      <c r="D117" s="149" t="s">
        <v>1023</v>
      </c>
      <c r="E117" s="27"/>
      <c r="F117" s="397"/>
    </row>
    <row r="118" spans="1:6" s="377" customFormat="1" ht="30.75" customHeight="1" x14ac:dyDescent="0.25">
      <c r="A118" s="126"/>
      <c r="B118" s="126"/>
      <c r="C118" s="17" t="s">
        <v>731</v>
      </c>
      <c r="D118" s="41" t="s">
        <v>1024</v>
      </c>
      <c r="E118" s="381" t="s">
        <v>705</v>
      </c>
      <c r="F118" s="383">
        <f>+LIST_APUS_HIDROSAN!G169</f>
        <v>27002.775819890001</v>
      </c>
    </row>
    <row r="119" spans="1:6" s="377" customFormat="1" ht="28.5" x14ac:dyDescent="0.25">
      <c r="A119" s="126"/>
      <c r="B119" s="126"/>
      <c r="C119" s="17" t="s">
        <v>733</v>
      </c>
      <c r="D119" s="41" t="s">
        <v>1025</v>
      </c>
      <c r="E119" s="381" t="s">
        <v>705</v>
      </c>
      <c r="F119" s="383">
        <f>+LIST_APUS_HIDROSAN!G125</f>
        <v>51552.225732063336</v>
      </c>
    </row>
    <row r="120" spans="1:6" s="377" customFormat="1" ht="28.5" x14ac:dyDescent="0.25">
      <c r="A120" s="126"/>
      <c r="B120" s="126"/>
      <c r="C120" s="17" t="s">
        <v>735</v>
      </c>
      <c r="D120" s="41" t="s">
        <v>1026</v>
      </c>
      <c r="E120" s="381" t="s">
        <v>705</v>
      </c>
      <c r="F120" s="383">
        <f>+LIST_APUS_HIDROSAN!G41</f>
        <v>90961.282644183346</v>
      </c>
    </row>
    <row r="121" spans="1:6" s="377" customFormat="1" ht="15" x14ac:dyDescent="0.25">
      <c r="A121" s="126"/>
      <c r="B121" s="126"/>
      <c r="C121" s="17" t="s">
        <v>737</v>
      </c>
      <c r="D121" s="41" t="s">
        <v>1019</v>
      </c>
      <c r="E121" s="381" t="s">
        <v>13</v>
      </c>
      <c r="F121" s="383">
        <f>+LIST_APUS_HIDROSAN!G388</f>
        <v>48015.815807910003</v>
      </c>
    </row>
    <row r="122" spans="1:6" s="377" customFormat="1" ht="15" x14ac:dyDescent="0.25">
      <c r="A122" s="126"/>
      <c r="B122" s="126"/>
      <c r="C122" s="17" t="s">
        <v>738</v>
      </c>
      <c r="D122" s="41" t="s">
        <v>1021</v>
      </c>
      <c r="E122" s="381" t="s">
        <v>13</v>
      </c>
      <c r="F122" s="383">
        <f>+LIST_APUS_HIDROSAN!G388</f>
        <v>48015.815807910003</v>
      </c>
    </row>
    <row r="123" spans="1:6" s="377" customFormat="1" ht="15" x14ac:dyDescent="0.25">
      <c r="A123" s="126"/>
      <c r="B123" s="126"/>
      <c r="C123" s="17" t="s">
        <v>739</v>
      </c>
      <c r="D123" s="41" t="s">
        <v>1020</v>
      </c>
      <c r="E123" s="381" t="s">
        <v>13</v>
      </c>
      <c r="F123" s="383">
        <f>+LIST_APUS_HIDROSAN!G344</f>
        <v>73137.943198320005</v>
      </c>
    </row>
    <row r="124" spans="1:6" s="377" customFormat="1" ht="28.5" x14ac:dyDescent="0.25">
      <c r="A124" s="126"/>
      <c r="B124" s="126"/>
      <c r="C124" s="17" t="s">
        <v>740</v>
      </c>
      <c r="D124" s="41" t="s">
        <v>1027</v>
      </c>
      <c r="E124" s="381" t="s">
        <v>13</v>
      </c>
      <c r="F124" s="383">
        <f>+LIST_APUS_HIDROSAN!G213</f>
        <v>496529.93902405666</v>
      </c>
    </row>
    <row r="125" spans="1:6" s="377" customFormat="1" ht="28.5" x14ac:dyDescent="0.25">
      <c r="A125" s="126"/>
      <c r="B125" s="126"/>
      <c r="C125" s="17" t="s">
        <v>741</v>
      </c>
      <c r="D125" s="444" t="s">
        <v>1049</v>
      </c>
      <c r="E125" s="381" t="s">
        <v>13</v>
      </c>
      <c r="F125" s="383">
        <v>35000000</v>
      </c>
    </row>
    <row r="126" spans="1:6" s="377" customFormat="1" ht="15" x14ac:dyDescent="0.25">
      <c r="A126" s="126"/>
      <c r="B126" s="126"/>
      <c r="C126" s="17" t="s">
        <v>742</v>
      </c>
      <c r="D126" s="444" t="s">
        <v>1028</v>
      </c>
      <c r="E126" s="381" t="s">
        <v>13</v>
      </c>
      <c r="F126" s="383">
        <v>8500000</v>
      </c>
    </row>
    <row r="127" spans="1:6" s="377" customFormat="1" ht="15" x14ac:dyDescent="0.25">
      <c r="A127" s="126"/>
      <c r="B127" s="126"/>
      <c r="C127" s="17" t="s">
        <v>743</v>
      </c>
      <c r="D127" s="41" t="s">
        <v>1077</v>
      </c>
      <c r="E127" s="381" t="s">
        <v>13</v>
      </c>
      <c r="F127" s="383">
        <f>317800*1.1</f>
        <v>349580</v>
      </c>
    </row>
    <row r="128" spans="1:6" s="377" customFormat="1" ht="15" x14ac:dyDescent="0.25">
      <c r="A128" s="13"/>
      <c r="B128" s="13" t="s">
        <v>1756</v>
      </c>
      <c r="C128" s="13"/>
      <c r="D128" s="149" t="s">
        <v>1034</v>
      </c>
      <c r="E128" s="27"/>
      <c r="F128" s="397"/>
    </row>
    <row r="129" spans="1:6" s="377" customFormat="1" ht="28.5" x14ac:dyDescent="0.25">
      <c r="A129" s="126"/>
      <c r="B129" s="126"/>
      <c r="C129" s="17" t="s">
        <v>1757</v>
      </c>
      <c r="D129" s="41" t="s">
        <v>1029</v>
      </c>
      <c r="E129" s="381" t="s">
        <v>705</v>
      </c>
      <c r="F129" s="383">
        <f>+LIST_APUS_HIDROSAN!G169</f>
        <v>27002.775819890001</v>
      </c>
    </row>
    <row r="130" spans="1:6" s="377" customFormat="1" ht="28.5" x14ac:dyDescent="0.25">
      <c r="A130" s="126"/>
      <c r="B130" s="126"/>
      <c r="C130" s="17" t="s">
        <v>1758</v>
      </c>
      <c r="D130" s="41" t="s">
        <v>1030</v>
      </c>
      <c r="E130" s="381" t="s">
        <v>705</v>
      </c>
      <c r="F130" s="383">
        <f>+LIST_APUS_HIDROSAN!G125</f>
        <v>51552.225732063336</v>
      </c>
    </row>
    <row r="131" spans="1:6" s="377" customFormat="1" ht="28.5" x14ac:dyDescent="0.25">
      <c r="A131" s="126"/>
      <c r="B131" s="126"/>
      <c r="C131" s="17" t="s">
        <v>1751</v>
      </c>
      <c r="D131" s="41" t="s">
        <v>1031</v>
      </c>
      <c r="E131" s="381" t="s">
        <v>705</v>
      </c>
      <c r="F131" s="383">
        <f>+LIST_APUS_HIDROSAN!G41</f>
        <v>90961.282644183346</v>
      </c>
    </row>
    <row r="132" spans="1:6" s="377" customFormat="1" ht="15" x14ac:dyDescent="0.25">
      <c r="A132" s="126"/>
      <c r="B132" s="126"/>
      <c r="C132" s="17" t="s">
        <v>1759</v>
      </c>
      <c r="D132" s="41" t="s">
        <v>1032</v>
      </c>
      <c r="E132" s="381" t="s">
        <v>13</v>
      </c>
      <c r="F132" s="383">
        <f>+LIST_APUS_HIDROSAN!G388</f>
        <v>48015.815807910003</v>
      </c>
    </row>
    <row r="133" spans="1:6" s="377" customFormat="1" ht="28.5" x14ac:dyDescent="0.25">
      <c r="A133" s="126"/>
      <c r="B133" s="126"/>
      <c r="C133" s="17" t="s">
        <v>1760</v>
      </c>
      <c r="D133" s="41" t="s">
        <v>1033</v>
      </c>
      <c r="E133" s="381" t="s">
        <v>13</v>
      </c>
      <c r="F133" s="383">
        <f>+LIST_APUS_HIDROSAN!G213</f>
        <v>496529.93902405666</v>
      </c>
    </row>
    <row r="134" spans="1:6" s="377" customFormat="1" ht="15" x14ac:dyDescent="0.25">
      <c r="A134" s="13"/>
      <c r="B134" s="13" t="s">
        <v>1761</v>
      </c>
      <c r="C134" s="13"/>
      <c r="D134" s="149" t="s">
        <v>1036</v>
      </c>
      <c r="E134" s="27"/>
      <c r="F134" s="397"/>
    </row>
    <row r="135" spans="1:6" s="377" customFormat="1" ht="28.5" x14ac:dyDescent="0.25">
      <c r="A135" s="126"/>
      <c r="B135" s="126"/>
      <c r="C135" s="17" t="s">
        <v>1762</v>
      </c>
      <c r="D135" s="41" t="s">
        <v>1722</v>
      </c>
      <c r="E135" s="381" t="s">
        <v>705</v>
      </c>
      <c r="F135" s="383">
        <f>+LIST_APUS_HIDROSAN!G41</f>
        <v>90961.282644183346</v>
      </c>
    </row>
    <row r="136" spans="1:6" s="377" customFormat="1" ht="15" x14ac:dyDescent="0.25">
      <c r="A136" s="13"/>
      <c r="B136" s="13" t="s">
        <v>1763</v>
      </c>
      <c r="C136" s="13"/>
      <c r="D136" s="149" t="s">
        <v>1037</v>
      </c>
      <c r="E136" s="27"/>
      <c r="F136" s="397"/>
    </row>
    <row r="137" spans="1:6" s="377" customFormat="1" ht="15" x14ac:dyDescent="0.25">
      <c r="A137" s="126"/>
      <c r="B137" s="126"/>
      <c r="C137" s="17" t="s">
        <v>1764</v>
      </c>
      <c r="D137" s="41" t="s">
        <v>1723</v>
      </c>
      <c r="E137" s="30" t="s">
        <v>13</v>
      </c>
      <c r="F137" s="383">
        <f>1580000*1.3</f>
        <v>2054000</v>
      </c>
    </row>
    <row r="138" spans="1:6" s="377" customFormat="1" ht="15" x14ac:dyDescent="0.25">
      <c r="A138" s="126"/>
      <c r="B138" s="126"/>
      <c r="C138" s="17" t="s">
        <v>1765</v>
      </c>
      <c r="D138" s="41" t="s">
        <v>2233</v>
      </c>
      <c r="E138" s="30" t="s">
        <v>13</v>
      </c>
      <c r="F138" s="383">
        <f>55000*1.4</f>
        <v>77000</v>
      </c>
    </row>
    <row r="139" spans="1:6" s="377" customFormat="1" ht="15" x14ac:dyDescent="0.25">
      <c r="A139" s="126"/>
      <c r="B139" s="126"/>
      <c r="C139" s="17" t="s">
        <v>1766</v>
      </c>
      <c r="D139" s="41" t="s">
        <v>1724</v>
      </c>
      <c r="E139" s="381" t="s">
        <v>705</v>
      </c>
      <c r="F139" s="383">
        <f>135000*1.45</f>
        <v>195750</v>
      </c>
    </row>
    <row r="140" spans="1:6" s="377" customFormat="1" ht="15" x14ac:dyDescent="0.25">
      <c r="A140" s="126"/>
      <c r="B140" s="126"/>
      <c r="C140" s="17" t="s">
        <v>1767</v>
      </c>
      <c r="D140" s="41" t="s">
        <v>1725</v>
      </c>
      <c r="E140" s="381" t="s">
        <v>705</v>
      </c>
      <c r="F140" s="383">
        <f>111885*1.4</f>
        <v>156639</v>
      </c>
    </row>
    <row r="141" spans="1:6" s="377" customFormat="1" ht="15" x14ac:dyDescent="0.25">
      <c r="A141" s="126"/>
      <c r="B141" s="126"/>
      <c r="C141" s="17" t="s">
        <v>1768</v>
      </c>
      <c r="D141" s="41" t="s">
        <v>1726</v>
      </c>
      <c r="E141" s="30" t="s">
        <v>13</v>
      </c>
      <c r="F141" s="383">
        <f>450000*1.45</f>
        <v>652500</v>
      </c>
    </row>
    <row r="142" spans="1:6" s="377" customFormat="1" ht="15" x14ac:dyDescent="0.25">
      <c r="A142" s="13"/>
      <c r="B142" s="13" t="s">
        <v>1769</v>
      </c>
      <c r="C142" s="13"/>
      <c r="D142" s="149" t="s">
        <v>1038</v>
      </c>
      <c r="E142" s="27"/>
      <c r="F142" s="397"/>
    </row>
    <row r="143" spans="1:6" s="377" customFormat="1" x14ac:dyDescent="0.25">
      <c r="A143" s="404"/>
      <c r="B143" s="404"/>
      <c r="C143" s="17" t="s">
        <v>1770</v>
      </c>
      <c r="D143" s="423" t="s">
        <v>1727</v>
      </c>
      <c r="E143" s="30" t="s">
        <v>13</v>
      </c>
      <c r="F143" s="383">
        <v>80473.75</v>
      </c>
    </row>
    <row r="144" spans="1:6" s="377" customFormat="1" x14ac:dyDescent="0.25">
      <c r="A144" s="379"/>
      <c r="B144" s="379"/>
      <c r="C144" s="17" t="s">
        <v>1771</v>
      </c>
      <c r="D144" s="423" t="s">
        <v>1728</v>
      </c>
      <c r="E144" s="30" t="s">
        <v>13</v>
      </c>
      <c r="F144" s="383">
        <f>+LIST_APUS_HIDROSAN!G433</f>
        <v>506619.75863</v>
      </c>
    </row>
    <row r="145" spans="1:6" s="377" customFormat="1" x14ac:dyDescent="0.25">
      <c r="A145" s="379"/>
      <c r="B145" s="379"/>
      <c r="C145" s="17" t="s">
        <v>1772</v>
      </c>
      <c r="D145" s="423" t="s">
        <v>1731</v>
      </c>
      <c r="E145" s="30" t="s">
        <v>13</v>
      </c>
      <c r="F145" s="383">
        <f>+LIST_APUS_HIDROSAN!G477</f>
        <v>368283.42848499998</v>
      </c>
    </row>
    <row r="146" spans="1:6" s="377" customFormat="1" x14ac:dyDescent="0.25">
      <c r="A146" s="404"/>
      <c r="B146" s="404"/>
      <c r="C146" s="17" t="s">
        <v>1773</v>
      </c>
      <c r="D146" s="423" t="s">
        <v>1729</v>
      </c>
      <c r="E146" s="30" t="s">
        <v>13</v>
      </c>
      <c r="F146" s="383">
        <v>235600</v>
      </c>
    </row>
    <row r="147" spans="1:6" s="377" customFormat="1" x14ac:dyDescent="0.25">
      <c r="A147" s="379"/>
      <c r="B147" s="379"/>
      <c r="C147" s="17" t="s">
        <v>1774</v>
      </c>
      <c r="D147" s="423" t="s">
        <v>1730</v>
      </c>
      <c r="E147" s="30" t="s">
        <v>13</v>
      </c>
      <c r="F147" s="383">
        <v>175800</v>
      </c>
    </row>
    <row r="148" spans="1:6" s="377" customFormat="1" x14ac:dyDescent="0.25">
      <c r="A148" s="415"/>
      <c r="B148" s="415"/>
      <c r="C148" s="17" t="s">
        <v>2369</v>
      </c>
      <c r="D148" s="423" t="s">
        <v>2370</v>
      </c>
      <c r="E148" s="30" t="s">
        <v>13</v>
      </c>
      <c r="F148" s="383">
        <f>+LIST_APUS_HIDROSAN!G521</f>
        <v>523938.52704999998</v>
      </c>
    </row>
    <row r="149" spans="1:6" s="377" customFormat="1" ht="15" x14ac:dyDescent="0.25">
      <c r="A149" s="13" t="s">
        <v>1776</v>
      </c>
      <c r="B149" s="388"/>
      <c r="C149" s="13"/>
      <c r="D149" s="14" t="s">
        <v>1777</v>
      </c>
      <c r="E149" s="27"/>
      <c r="F149" s="397"/>
    </row>
    <row r="150" spans="1:6" s="377" customFormat="1" x14ac:dyDescent="0.25">
      <c r="A150" s="404"/>
      <c r="B150" s="404"/>
      <c r="C150" s="17" t="s">
        <v>1779</v>
      </c>
      <c r="D150" s="423" t="s">
        <v>629</v>
      </c>
      <c r="E150" s="30" t="s">
        <v>12</v>
      </c>
      <c r="F150" s="383">
        <v>2773</v>
      </c>
    </row>
    <row r="151" spans="1:6" s="377" customFormat="1" x14ac:dyDescent="0.25">
      <c r="A151" s="404"/>
      <c r="B151" s="404"/>
      <c r="C151" s="17" t="s">
        <v>1780</v>
      </c>
      <c r="D151" s="423" t="s">
        <v>1778</v>
      </c>
      <c r="E151" s="30" t="s">
        <v>13</v>
      </c>
      <c r="F151" s="383">
        <v>98560</v>
      </c>
    </row>
  </sheetData>
  <dataConsolidate/>
  <mergeCells count="1">
    <mergeCell ref="A1:F1"/>
  </mergeCells>
  <phoneticPr fontId="25" type="noConversion"/>
  <printOptions horizontalCentered="1"/>
  <pageMargins left="0.39370078740157483" right="0" top="0.94488188976377963" bottom="0.74803149606299213" header="0.31496062992125984" footer="0.31496062992125984"/>
  <pageSetup paperSize="9" scale="53" fitToHeight="0" orientation="portrait" r:id="rId1"/>
  <headerFooter alignWithMargins="0">
    <oddHeader>&amp;R]</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00B050"/>
    <outlinePr summaryBelow="0"/>
    <pageSetUpPr fitToPage="1"/>
  </sheetPr>
  <dimension ref="A1:J215"/>
  <sheetViews>
    <sheetView tabSelected="1" topLeftCell="A3" zoomScale="110" zoomScaleNormal="110" zoomScaleSheetLayoutView="125" zoomScalePageLayoutView="80" workbookViewId="0">
      <pane xSplit="3" ySplit="3" topLeftCell="D6" activePane="bottomRight" state="frozen"/>
      <selection activeCell="A3" sqref="A3"/>
      <selection pane="topRight" activeCell="D3" sqref="D3"/>
      <selection pane="bottomLeft" activeCell="A6" sqref="A6"/>
      <selection pane="bottomRight" activeCell="L173" sqref="L173"/>
    </sheetView>
  </sheetViews>
  <sheetFormatPr baseColWidth="10" defaultColWidth="11.42578125" defaultRowHeight="14.25" x14ac:dyDescent="0.2"/>
  <cols>
    <col min="1" max="2" width="7.7109375" style="390" customWidth="1"/>
    <col min="3" max="3" width="10.140625" style="390" customWidth="1"/>
    <col min="4" max="4" width="75.28515625" style="391" customWidth="1"/>
    <col min="5" max="5" width="12.85546875" style="392" customWidth="1"/>
    <col min="6" max="6" width="12.85546875" style="393" customWidth="1"/>
    <col min="7" max="7" width="18.28515625" style="394" customWidth="1"/>
    <col min="8" max="8" width="23" style="394" customWidth="1"/>
    <col min="9" max="9" width="3.140625" style="374" customWidth="1"/>
    <col min="10" max="10" width="20.28515625" style="374" bestFit="1" customWidth="1"/>
    <col min="11" max="16384" width="11.42578125" style="374"/>
  </cols>
  <sheetData>
    <row r="1" spans="1:8" s="140" customFormat="1" ht="54.75" customHeight="1" x14ac:dyDescent="0.25">
      <c r="A1" s="984" t="s">
        <v>684</v>
      </c>
      <c r="B1" s="984"/>
      <c r="C1" s="984"/>
      <c r="D1" s="984"/>
      <c r="E1" s="984"/>
      <c r="F1" s="984"/>
      <c r="G1" s="984"/>
      <c r="H1" s="984"/>
    </row>
    <row r="2" spans="1:8" ht="17.25" customHeight="1" x14ac:dyDescent="0.2">
      <c r="A2" s="985" t="s">
        <v>1</v>
      </c>
      <c r="B2" s="985"/>
      <c r="C2" s="985"/>
      <c r="D2" s="985"/>
      <c r="E2" s="985"/>
      <c r="F2" s="985"/>
      <c r="G2" s="985"/>
      <c r="H2" s="985"/>
    </row>
    <row r="3" spans="1:8" ht="22.5" customHeight="1" x14ac:dyDescent="0.2">
      <c r="A3" s="985" t="s">
        <v>0</v>
      </c>
      <c r="B3" s="985"/>
      <c r="C3" s="985"/>
      <c r="D3" s="985"/>
      <c r="E3" s="985"/>
      <c r="F3" s="985"/>
      <c r="G3" s="985"/>
      <c r="H3" s="985"/>
    </row>
    <row r="4" spans="1:8" s="377" customFormat="1" ht="30" customHeight="1" x14ac:dyDescent="0.25">
      <c r="A4" s="719" t="s">
        <v>83</v>
      </c>
      <c r="B4" s="720" t="s">
        <v>98</v>
      </c>
      <c r="C4" s="719" t="s">
        <v>91</v>
      </c>
      <c r="D4" s="719" t="s">
        <v>2</v>
      </c>
      <c r="E4" s="719" t="s">
        <v>3</v>
      </c>
      <c r="F4" s="721" t="s">
        <v>6</v>
      </c>
      <c r="G4" s="722" t="s">
        <v>4</v>
      </c>
      <c r="H4" s="723" t="s">
        <v>5</v>
      </c>
    </row>
    <row r="5" spans="1:8" s="377" customFormat="1" ht="15" collapsed="1" x14ac:dyDescent="0.25">
      <c r="A5" s="724" t="str">
        <f>+LIST_ACTIVIDADES!A3</f>
        <v>1.0</v>
      </c>
      <c r="B5" s="724"/>
      <c r="C5" s="724"/>
      <c r="D5" s="725" t="str">
        <f>+LIST_ACTIVIDADES!D3</f>
        <v>PRELIMINARES</v>
      </c>
      <c r="E5" s="726"/>
      <c r="F5" s="727"/>
      <c r="G5" s="728"/>
      <c r="H5" s="728">
        <f>SUM(H6:H8)</f>
        <v>22843174</v>
      </c>
    </row>
    <row r="6" spans="1:8" s="377" customFormat="1" ht="28.5" x14ac:dyDescent="0.25">
      <c r="A6" s="729"/>
      <c r="B6" s="729"/>
      <c r="C6" s="729" t="str">
        <f>+LIST_ACTIVIDADES!C4</f>
        <v>1.1</v>
      </c>
      <c r="D6" s="730" t="str">
        <f>+LIST_ACTIVIDADES!D4</f>
        <v>Campamento, incluye instalaciones provisionales para su correcto funcionamiento.</v>
      </c>
      <c r="E6" s="731" t="str">
        <f>+LIST_ACTIVIDADES!E4</f>
        <v>m²</v>
      </c>
      <c r="F6" s="732">
        <f>+MEMORIASCANT!S8</f>
        <v>90</v>
      </c>
      <c r="G6" s="733">
        <f>+LIST_ACTIVIDADES!F4</f>
        <v>113308</v>
      </c>
      <c r="H6" s="733">
        <f>ROUND(F6*G6,0)</f>
        <v>10197720</v>
      </c>
    </row>
    <row r="7" spans="1:8" s="377" customFormat="1" x14ac:dyDescent="0.25">
      <c r="A7" s="729"/>
      <c r="B7" s="729"/>
      <c r="C7" s="729" t="str">
        <f>+LIST_ACTIVIDADES!C5</f>
        <v>1.2</v>
      </c>
      <c r="D7" s="730" t="str">
        <f>+LIST_ACTIVIDADES!D5</f>
        <v>Cerramiento provisional en tela verde H=2.1 m, incluye estructura en madera</v>
      </c>
      <c r="E7" s="731" t="str">
        <f>+LIST_ACTIVIDADES!E5</f>
        <v>m²</v>
      </c>
      <c r="F7" s="732">
        <f>+MEMORIASCANT!S9</f>
        <v>500</v>
      </c>
      <c r="G7" s="733">
        <f>+LIST_ACTIVIDADES!F5</f>
        <v>8168</v>
      </c>
      <c r="H7" s="733">
        <f t="shared" ref="H7:H8" si="0">ROUND(F7*G7,0)</f>
        <v>4084000</v>
      </c>
    </row>
    <row r="8" spans="1:8" s="377" customFormat="1" x14ac:dyDescent="0.25">
      <c r="A8" s="729"/>
      <c r="B8" s="729"/>
      <c r="C8" s="729" t="str">
        <f>+LIST_ACTIVIDADES!C6</f>
        <v>1.3</v>
      </c>
      <c r="D8" s="730" t="str">
        <f>+LIST_ACTIVIDADES!D6</f>
        <v>Localización, trazado y replanteo</v>
      </c>
      <c r="E8" s="731" t="str">
        <f>+LIST_ACTIVIDADES!E6</f>
        <v>m²</v>
      </c>
      <c r="F8" s="732">
        <f>+'[13]Memorias Cantidades'!$T$11</f>
        <v>1909.7600000000002</v>
      </c>
      <c r="G8" s="733">
        <f>+LIST_ACTIVIDADES!F6</f>
        <v>4483</v>
      </c>
      <c r="H8" s="733">
        <f t="shared" si="0"/>
        <v>8561454</v>
      </c>
    </row>
    <row r="9" spans="1:8" s="377" customFormat="1" ht="15" x14ac:dyDescent="0.25">
      <c r="A9" s="724" t="str">
        <f>+LIST_ACTIVIDADES!A9</f>
        <v>2.0</v>
      </c>
      <c r="B9" s="724"/>
      <c r="C9" s="724"/>
      <c r="D9" s="725" t="str">
        <f>+LIST_ACTIVIDADES!D9</f>
        <v>MOVIMIENTOS DE TIERRA</v>
      </c>
      <c r="E9" s="726"/>
      <c r="F9" s="734"/>
      <c r="G9" s="735"/>
      <c r="H9" s="736">
        <f>+H10+H15</f>
        <v>128850929</v>
      </c>
    </row>
    <row r="10" spans="1:8" s="377" customFormat="1" ht="15" x14ac:dyDescent="0.25">
      <c r="A10" s="724"/>
      <c r="B10" s="724" t="str">
        <f>+LIST_ACTIVIDADES!B10</f>
        <v>2.1</v>
      </c>
      <c r="C10" s="724"/>
      <c r="D10" s="737" t="str">
        <f>+LIST_ACTIVIDADES!D10</f>
        <v>Excavaciones</v>
      </c>
      <c r="E10" s="726"/>
      <c r="F10" s="738"/>
      <c r="G10" s="735"/>
      <c r="H10" s="728">
        <f>SUM(H11:H14)</f>
        <v>50319496</v>
      </c>
    </row>
    <row r="11" spans="1:8" s="377" customFormat="1" x14ac:dyDescent="0.25">
      <c r="A11" s="729"/>
      <c r="B11" s="729"/>
      <c r="C11" s="739" t="str">
        <f>+LIST_ACTIVIDADES!C11</f>
        <v>2.1.1</v>
      </c>
      <c r="D11" s="730" t="str">
        <f>+LIST_ACTIVIDADES!D11</f>
        <v xml:space="preserve">Excavacion Manual en material Heterogeneo </v>
      </c>
      <c r="E11" s="731" t="str">
        <f>+LIST_ACTIVIDADES!E11</f>
        <v>m³</v>
      </c>
      <c r="F11" s="740">
        <f>+MEMORIASCANT!S26</f>
        <v>200</v>
      </c>
      <c r="G11" s="733">
        <f>+LIST_ACTIVIDADES!F11</f>
        <v>36108</v>
      </c>
      <c r="H11" s="733">
        <f t="shared" ref="H11:H19" si="1">ROUND(F11*G11,0)</f>
        <v>7221600</v>
      </c>
    </row>
    <row r="12" spans="1:8" s="377" customFormat="1" ht="28.5" x14ac:dyDescent="0.25">
      <c r="A12" s="729"/>
      <c r="B12" s="729"/>
      <c r="C12" s="739" t="str">
        <f>+LIST_ACTIVIDADES!C12</f>
        <v>2.1.2</v>
      </c>
      <c r="D12" s="730" t="str">
        <f>+LIST_ACTIVIDADES!D12</f>
        <v>Excavacion manual de pilas de diametro 1.0mts de 0 a 4 mts de profundidad  incluye anillo lateral de 0,1m de espesor bombeo de la misma.</v>
      </c>
      <c r="E12" s="731" t="str">
        <f>+LIST_ACTIVIDADES!E12</f>
        <v>m³</v>
      </c>
      <c r="F12" s="740">
        <f>+MEMORIASCANT!S27</f>
        <v>77.447269565217397</v>
      </c>
      <c r="G12" s="733">
        <f>+LIST_ACTIVIDADES!F12</f>
        <v>200134</v>
      </c>
      <c r="H12" s="733">
        <f t="shared" si="1"/>
        <v>15499832</v>
      </c>
    </row>
    <row r="13" spans="1:8" s="377" customFormat="1" x14ac:dyDescent="0.25">
      <c r="A13" s="729"/>
      <c r="B13" s="729"/>
      <c r="C13" s="739" t="str">
        <f>+LIST_ACTIVIDADES!C13</f>
        <v>2.1.3</v>
      </c>
      <c r="D13" s="730" t="str">
        <f>+LIST_ACTIVIDADES!D13</f>
        <v>Corte mecanico en material Heterogeneo</v>
      </c>
      <c r="E13" s="731" t="str">
        <f>+LIST_ACTIVIDADES!E13</f>
        <v>m³</v>
      </c>
      <c r="F13" s="740">
        <f>+MEMORIASCANT!S28</f>
        <v>912.48050000000012</v>
      </c>
      <c r="G13" s="733">
        <f>+LIST_ACTIVIDADES!F13</f>
        <v>22089</v>
      </c>
      <c r="H13" s="733">
        <f t="shared" si="1"/>
        <v>20155782</v>
      </c>
    </row>
    <row r="14" spans="1:8" s="377" customFormat="1" x14ac:dyDescent="0.25">
      <c r="A14" s="729"/>
      <c r="B14" s="729"/>
      <c r="C14" s="739" t="str">
        <f>+LIST_ACTIVIDADES!C14</f>
        <v>2.1.4</v>
      </c>
      <c r="D14" s="730" t="str">
        <f>+LIST_ACTIVIDADES!D14</f>
        <v>Retiro de material sobrante, cargue mecanico</v>
      </c>
      <c r="E14" s="731" t="str">
        <f>+LIST_ACTIVIDADES!E14</f>
        <v>m³</v>
      </c>
      <c r="F14" s="740">
        <f>+MEMORIASCANT!S37</f>
        <v>273.74415000000005</v>
      </c>
      <c r="G14" s="733">
        <f>+LIST_ACTIVIDADES!F14</f>
        <v>27187</v>
      </c>
      <c r="H14" s="733">
        <f t="shared" si="1"/>
        <v>7442282</v>
      </c>
    </row>
    <row r="15" spans="1:8" s="377" customFormat="1" ht="15" x14ac:dyDescent="0.25">
      <c r="A15" s="724"/>
      <c r="B15" s="724" t="str">
        <f>+LIST_ACTIVIDADES!B15</f>
        <v>2.2</v>
      </c>
      <c r="C15" s="724"/>
      <c r="D15" s="737" t="str">
        <f>+LIST_ACTIVIDADES!D15</f>
        <v>Llenos</v>
      </c>
      <c r="E15" s="726"/>
      <c r="F15" s="738"/>
      <c r="G15" s="735"/>
      <c r="H15" s="728">
        <f>SUM(H16:H19)</f>
        <v>78531433</v>
      </c>
    </row>
    <row r="16" spans="1:8" s="377" customFormat="1" x14ac:dyDescent="0.25">
      <c r="A16" s="729"/>
      <c r="B16" s="729"/>
      <c r="C16" s="739" t="str">
        <f>+LIST_ACTIVIDADES!C16</f>
        <v>2.2.1</v>
      </c>
      <c r="D16" s="730" t="str">
        <f>+LIST_ACTIVIDADES!D16</f>
        <v>Lleno compactado con material del sitio, Incluye transporte interno</v>
      </c>
      <c r="E16" s="731" t="str">
        <f>+LIST_ACTIVIDADES!E16</f>
        <v>m³</v>
      </c>
      <c r="F16" s="740">
        <f>+MEMORIASCANT!S39</f>
        <v>291.22239999999999</v>
      </c>
      <c r="G16" s="733">
        <f>+LIST_ACTIVIDADES!F16</f>
        <v>31615</v>
      </c>
      <c r="H16" s="733">
        <f t="shared" si="1"/>
        <v>9206996</v>
      </c>
    </row>
    <row r="17" spans="1:10" s="377" customFormat="1" x14ac:dyDescent="0.25">
      <c r="A17" s="729"/>
      <c r="B17" s="729"/>
      <c r="C17" s="739" t="str">
        <f>+LIST_ACTIVIDADES!C17</f>
        <v>2.2.2</v>
      </c>
      <c r="D17" s="730" t="str">
        <f>+LIST_ACTIVIDADES!D17</f>
        <v>Lleno compactado con material granular, Incluye transporte interno</v>
      </c>
      <c r="E17" s="731" t="str">
        <f>+LIST_ACTIVIDADES!E17</f>
        <v>m³</v>
      </c>
      <c r="F17" s="740">
        <f>+MEMORIASCANT!S40</f>
        <v>728.05599999999993</v>
      </c>
      <c r="G17" s="733">
        <f>+LIST_ACTIVIDADES!F17</f>
        <v>88513</v>
      </c>
      <c r="H17" s="733">
        <f t="shared" si="1"/>
        <v>64442421</v>
      </c>
    </row>
    <row r="18" spans="1:10" s="377" customFormat="1" x14ac:dyDescent="0.25">
      <c r="A18" s="729"/>
      <c r="B18" s="729"/>
      <c r="C18" s="739" t="str">
        <f>+LIST_ACTIVIDADES!C18</f>
        <v>2.2.3</v>
      </c>
      <c r="D18" s="730" t="str">
        <f>+LIST_ACTIVIDADES!D18</f>
        <v>Lleno con material filtrante</v>
      </c>
      <c r="E18" s="731" t="str">
        <f>+LIST_ACTIVIDADES!E18</f>
        <v>m³</v>
      </c>
      <c r="F18" s="740">
        <f>+MEMORIASCANT!S49</f>
        <v>32</v>
      </c>
      <c r="G18" s="733">
        <f>+LIST_ACTIVIDADES!F18</f>
        <v>116928</v>
      </c>
      <c r="H18" s="733">
        <f t="shared" si="1"/>
        <v>3741696</v>
      </c>
    </row>
    <row r="19" spans="1:10" s="377" customFormat="1" x14ac:dyDescent="0.25">
      <c r="A19" s="729"/>
      <c r="B19" s="729"/>
      <c r="C19" s="739" t="str">
        <f>+LIST_ACTIVIDADES!C19</f>
        <v>2.2.4</v>
      </c>
      <c r="D19" s="730" t="str">
        <f>+LIST_ACTIVIDADES!D19</f>
        <v xml:space="preserve">Geotextil No Tejido PP/1600S </v>
      </c>
      <c r="E19" s="731" t="str">
        <f>+LIST_ACTIVIDADES!E19</f>
        <v>m²</v>
      </c>
      <c r="F19" s="740">
        <f>+MEMORIASCANT!K50</f>
        <v>160</v>
      </c>
      <c r="G19" s="733">
        <f>+LIST_ACTIVIDADES!F19</f>
        <v>7127</v>
      </c>
      <c r="H19" s="733">
        <f t="shared" si="1"/>
        <v>1140320</v>
      </c>
    </row>
    <row r="20" spans="1:10" s="377" customFormat="1" ht="15" x14ac:dyDescent="0.25">
      <c r="A20" s="724" t="str">
        <f>+LIST_ACTIVIDADES!A20</f>
        <v>3.0</v>
      </c>
      <c r="B20" s="724"/>
      <c r="C20" s="724"/>
      <c r="D20" s="725" t="str">
        <f>+LIST_ACTIVIDADES!D20</f>
        <v xml:space="preserve">ELEMENTOS EN CONCRETO </v>
      </c>
      <c r="E20" s="726"/>
      <c r="F20" s="734"/>
      <c r="G20" s="735"/>
      <c r="H20" s="728">
        <f>SUM(H21:H35)</f>
        <v>414603299</v>
      </c>
    </row>
    <row r="21" spans="1:10" s="377" customFormat="1" x14ac:dyDescent="0.25">
      <c r="A21" s="739"/>
      <c r="B21" s="739"/>
      <c r="C21" s="739" t="str">
        <f>+LIST_ACTIVIDADES!C21</f>
        <v>3.1</v>
      </c>
      <c r="D21" s="730" t="str">
        <f>+LIST_ACTIVIDADES!D21</f>
        <v>Suministro e Instalación de concreto de 3000 psi para zapatas sin refuerzo</v>
      </c>
      <c r="E21" s="731" t="str">
        <f>+LIST_ACTIVIDADES!E21</f>
        <v>m³</v>
      </c>
      <c r="F21" s="741">
        <f>+MEMORIASCANT!S52</f>
        <v>1.1520000000000001</v>
      </c>
      <c r="G21" s="733">
        <f>+LIST_ACTIVIDADES!F21</f>
        <v>900942</v>
      </c>
      <c r="H21" s="733">
        <f t="shared" ref="H21:H58" si="2">ROUND(F21*G21,0)</f>
        <v>1037885</v>
      </c>
    </row>
    <row r="22" spans="1:10" s="377" customFormat="1" ht="26.1" customHeight="1" x14ac:dyDescent="0.25">
      <c r="A22" s="739"/>
      <c r="B22" s="739"/>
      <c r="C22" s="739" t="str">
        <f>+LIST_ACTIVIDADES!C22</f>
        <v>3.2</v>
      </c>
      <c r="D22" s="730" t="str">
        <f>+LIST_ACTIVIDADES!D22</f>
        <v>Suministro e Instalación de concreto de 3000 psi para vigas de cimentacion sin refuerzo</v>
      </c>
      <c r="E22" s="731" t="str">
        <f>+LIST_ACTIVIDADES!E22</f>
        <v>m³</v>
      </c>
      <c r="F22" s="741">
        <f>+MEMORIASCANT!S54</f>
        <v>16.432675000000003</v>
      </c>
      <c r="G22" s="733">
        <f>+LIST_ACTIVIDADES!F22</f>
        <v>924081</v>
      </c>
      <c r="H22" s="733">
        <f t="shared" si="2"/>
        <v>15185123</v>
      </c>
    </row>
    <row r="23" spans="1:10" s="377" customFormat="1" x14ac:dyDescent="0.25">
      <c r="A23" s="739"/>
      <c r="B23" s="739"/>
      <c r="C23" s="739" t="str">
        <f>+LIST_ACTIVIDADES!C23</f>
        <v>3.3</v>
      </c>
      <c r="D23" s="730" t="str">
        <f>+LIST_ACTIVIDADES!D23</f>
        <v>Suministro e Instalación de concreto de 4000 psi para columnas sin refuerzo</v>
      </c>
      <c r="E23" s="731" t="str">
        <f>+LIST_ACTIVIDADES!E23</f>
        <v>m³</v>
      </c>
      <c r="F23" s="741">
        <f>+MEMORIASCANT!S59</f>
        <v>40.904499999999999</v>
      </c>
      <c r="G23" s="733">
        <f>+LIST_ACTIVIDADES!F23</f>
        <v>1081074</v>
      </c>
      <c r="H23" s="733">
        <f t="shared" si="2"/>
        <v>44220791</v>
      </c>
    </row>
    <row r="24" spans="1:10" s="377" customFormat="1" ht="28.5" x14ac:dyDescent="0.25">
      <c r="A24" s="739"/>
      <c r="B24" s="739"/>
      <c r="C24" s="739" t="str">
        <f>+LIST_ACTIVIDADES!C24</f>
        <v>3.4</v>
      </c>
      <c r="D24" s="730" t="str">
        <f>+LIST_ACTIVIDADES!D24</f>
        <v>Suministro e Instalación de concreto de 3000 psi para vigas aereas y de remate sin refuerzo</v>
      </c>
      <c r="E24" s="731" t="str">
        <f>+LIST_ACTIVIDADES!E24</f>
        <v>m³</v>
      </c>
      <c r="F24" s="741">
        <f>+MEMORIASCANT!S64</f>
        <v>11.3</v>
      </c>
      <c r="G24" s="733">
        <f>+LIST_ACTIVIDADES!F24</f>
        <v>933890</v>
      </c>
      <c r="H24" s="733">
        <f t="shared" si="2"/>
        <v>10552957</v>
      </c>
    </row>
    <row r="25" spans="1:10" s="377" customFormat="1" ht="28.5" x14ac:dyDescent="0.25">
      <c r="A25" s="739"/>
      <c r="B25" s="739"/>
      <c r="C25" s="739" t="str">
        <f>+LIST_ACTIVIDADES!C25</f>
        <v>3.5</v>
      </c>
      <c r="D25" s="730" t="str">
        <f>+LIST_ACTIVIDADES!D25</f>
        <v>Placa Steeldeck y/o Metaldeck en concreto de 3000psi, sin refuerzo, según diseño</v>
      </c>
      <c r="E25" s="731" t="str">
        <f>+LIST_ACTIVIDADES!E25</f>
        <v>m²</v>
      </c>
      <c r="F25" s="741">
        <f>+MEMORIASCANT!S67</f>
        <v>378.77</v>
      </c>
      <c r="G25" s="733">
        <f>+LIST_ACTIVIDADES!F25</f>
        <v>196923</v>
      </c>
      <c r="H25" s="733">
        <f t="shared" si="2"/>
        <v>74588525</v>
      </c>
    </row>
    <row r="26" spans="1:10" s="377" customFormat="1" x14ac:dyDescent="0.25">
      <c r="A26" s="739"/>
      <c r="B26" s="739"/>
      <c r="C26" s="739" t="str">
        <f>+LIST_ACTIVIDADES!C26</f>
        <v>3.6</v>
      </c>
      <c r="D26" s="730" t="str">
        <f>+LIST_ACTIVIDADES!D26</f>
        <v>Dintel en concreto de 3000psi de 0,12 x 0,20 m, incluye refuerzo</v>
      </c>
      <c r="E26" s="731" t="str">
        <f>+LIST_ACTIVIDADES!E26</f>
        <v>m</v>
      </c>
      <c r="F26" s="741">
        <f>+MEMORIASCANT!F71</f>
        <v>123</v>
      </c>
      <c r="G26" s="733">
        <f>+LIST_ACTIVIDADES!F26</f>
        <v>59811</v>
      </c>
      <c r="H26" s="733">
        <f t="shared" si="2"/>
        <v>7356753</v>
      </c>
    </row>
    <row r="27" spans="1:10" s="377" customFormat="1" x14ac:dyDescent="0.25">
      <c r="A27" s="739"/>
      <c r="B27" s="739"/>
      <c r="C27" s="739" t="str">
        <f>+LIST_ACTIVIDADES!C27</f>
        <v>3.7</v>
      </c>
      <c r="D27" s="730" t="str">
        <f>+LIST_ACTIVIDADES!D27</f>
        <v>Columnetas en concreto de 3000psi de 0,12 x 0,20 m, incluye refuerzo</v>
      </c>
      <c r="E27" s="731" t="str">
        <f>+LIST_ACTIVIDADES!E27</f>
        <v>m</v>
      </c>
      <c r="F27" s="741">
        <f>+MEMORIASCANT!F72</f>
        <v>144</v>
      </c>
      <c r="G27" s="733">
        <f>+LIST_ACTIVIDADES!F27</f>
        <v>80654</v>
      </c>
      <c r="H27" s="733">
        <f t="shared" si="2"/>
        <v>11614176</v>
      </c>
    </row>
    <row r="28" spans="1:10" s="377" customFormat="1" ht="28.5" x14ac:dyDescent="0.25">
      <c r="A28" s="739"/>
      <c r="B28" s="739"/>
      <c r="C28" s="739" t="str">
        <f>+LIST_ACTIVIDADES!C28</f>
        <v>3.8</v>
      </c>
      <c r="D28" s="730" t="str">
        <f>+LIST_ACTIVIDADES!D28</f>
        <v>Alfajía en concreto de 3000ps para remate de muro y ventana, incluye
refuerzo</v>
      </c>
      <c r="E28" s="731" t="str">
        <f>+LIST_ACTIVIDADES!E28</f>
        <v>m</v>
      </c>
      <c r="F28" s="741">
        <f>+MEMORIASCANT!F73</f>
        <v>243</v>
      </c>
      <c r="G28" s="733">
        <f>+LIST_ACTIVIDADES!F28</f>
        <v>60625</v>
      </c>
      <c r="H28" s="733">
        <f t="shared" si="2"/>
        <v>14731875</v>
      </c>
    </row>
    <row r="29" spans="1:10" s="377" customFormat="1" x14ac:dyDescent="0.25">
      <c r="A29" s="739"/>
      <c r="B29" s="739"/>
      <c r="C29" s="739" t="str">
        <f>+LIST_ACTIVIDADES!C29</f>
        <v>3.9</v>
      </c>
      <c r="D29" s="730" t="str">
        <f>+LIST_ACTIVIDADES!D29</f>
        <v>Anden en concreto de 20,7 Mpa (3.000 psi) e = 0,10 m</v>
      </c>
      <c r="E29" s="731" t="str">
        <f>+LIST_ACTIVIDADES!E29</f>
        <v>m²</v>
      </c>
      <c r="F29" s="741">
        <f>+MEMORIASCANT!K74</f>
        <v>368.11</v>
      </c>
      <c r="G29" s="733">
        <f>+LIST_ACTIVIDADES!F29</f>
        <v>69815</v>
      </c>
      <c r="H29" s="733">
        <f t="shared" si="2"/>
        <v>25699600</v>
      </c>
    </row>
    <row r="30" spans="1:10" s="377" customFormat="1" x14ac:dyDescent="0.25">
      <c r="A30" s="739"/>
      <c r="B30" s="739"/>
      <c r="C30" s="739" t="str">
        <f>+LIST_ACTIVIDADES!C30</f>
        <v>3.10</v>
      </c>
      <c r="D30" s="730" t="str">
        <f>+LIST_ACTIVIDADES!D30</f>
        <v>Rampa en concreto de 20,7 Mpa (3.000 psi) e = 0,10 m</v>
      </c>
      <c r="E30" s="731" t="str">
        <f>+LIST_ACTIVIDADES!E30</f>
        <v>m²</v>
      </c>
      <c r="F30" s="741">
        <f>+MEMORIASCANT!K75</f>
        <v>15.940000000000001</v>
      </c>
      <c r="G30" s="733">
        <f>+LIST_ACTIVIDADES!F30</f>
        <v>78488</v>
      </c>
      <c r="H30" s="733">
        <f t="shared" si="2"/>
        <v>1251099</v>
      </c>
    </row>
    <row r="31" spans="1:10" s="377" customFormat="1" x14ac:dyDescent="0.25">
      <c r="A31" s="739"/>
      <c r="B31" s="739"/>
      <c r="C31" s="739" t="str">
        <f>+LIST_ACTIVIDADES!C33</f>
        <v>3.13</v>
      </c>
      <c r="D31" s="730" t="str">
        <f>+LIST_ACTIVIDADES!D33</f>
        <v>Concreto de 3000psi para pilas de cimentacion, no incluye acero de refuerzo</v>
      </c>
      <c r="E31" s="731" t="str">
        <f>+LIST_ACTIVIDADES!E33</f>
        <v>m³</v>
      </c>
      <c r="F31" s="741">
        <f>+MEMORIASCANT!S78</f>
        <v>46.850817391304339</v>
      </c>
      <c r="G31" s="733">
        <f>+LIST_ACTIVIDADES!F33</f>
        <v>841990</v>
      </c>
      <c r="H31" s="733">
        <f t="shared" si="2"/>
        <v>39447920</v>
      </c>
      <c r="J31" s="377">
        <f>40/2.3</f>
        <v>17.39130434782609</v>
      </c>
    </row>
    <row r="32" spans="1:10" s="377" customFormat="1" x14ac:dyDescent="0.25">
      <c r="A32" s="739"/>
      <c r="B32" s="739"/>
      <c r="C32" s="742" t="str">
        <f>+LIST_ACTIVIDADES!C34</f>
        <v>3.14</v>
      </c>
      <c r="D32" s="730" t="str">
        <f>+LIST_ACTIVIDADES!D34</f>
        <v>Muro de contención en concreto 20,7 Mpa (3000 psi), no incluye refuerzo</v>
      </c>
      <c r="E32" s="731" t="str">
        <f>+LIST_ACTIVIDADES!E34</f>
        <v>m³</v>
      </c>
      <c r="F32" s="741">
        <f>+MEMORIASCANT!S79</f>
        <v>100</v>
      </c>
      <c r="G32" s="733">
        <f>+LIST_ACTIVIDADES!F34</f>
        <v>1022118</v>
      </c>
      <c r="H32" s="733">
        <f t="shared" si="2"/>
        <v>102211800</v>
      </c>
    </row>
    <row r="33" spans="1:8" s="377" customFormat="1" ht="28.5" x14ac:dyDescent="0.25">
      <c r="A33" s="739"/>
      <c r="B33" s="739"/>
      <c r="C33" s="742" t="str">
        <f>+LIST_ACTIVIDADES!C35</f>
        <v>3.15</v>
      </c>
      <c r="D33" s="730" t="str">
        <f>+LIST_ACTIVIDADES!D35</f>
        <v xml:space="preserve">Pantalla en concreto 3000psi, e=20cm, incluye formaleta y anclajes estructurales en tanque subterraneo </v>
      </c>
      <c r="E33" s="731" t="str">
        <f>+LIST_ACTIVIDADES!E35</f>
        <v>m³</v>
      </c>
      <c r="F33" s="741">
        <f>+MEMORIASCANT!S80</f>
        <v>8.5079999999999991</v>
      </c>
      <c r="G33" s="733">
        <f>+LIST_ACTIVIDADES!F35</f>
        <v>1018509</v>
      </c>
      <c r="H33" s="733">
        <f t="shared" si="2"/>
        <v>8665475</v>
      </c>
    </row>
    <row r="34" spans="1:8" s="377" customFormat="1" x14ac:dyDescent="0.25">
      <c r="A34" s="739"/>
      <c r="B34" s="739"/>
      <c r="C34" s="742" t="str">
        <f>+LIST_ACTIVIDADES!C36</f>
        <v>3.16</v>
      </c>
      <c r="D34" s="730" t="str">
        <f>+LIST_ACTIVIDADES!D36</f>
        <v xml:space="preserve">Box coulvert en concreto </v>
      </c>
      <c r="E34" s="731" t="str">
        <f>+LIST_ACTIVIDADES!E36</f>
        <v>m³</v>
      </c>
      <c r="F34" s="741">
        <f>+MEMORIASCANT!S83</f>
        <v>30</v>
      </c>
      <c r="G34" s="733">
        <f>+LIST_ACTIVIDADES!F36</f>
        <v>1023146</v>
      </c>
      <c r="H34" s="733">
        <f t="shared" si="2"/>
        <v>30694380</v>
      </c>
    </row>
    <row r="35" spans="1:8" s="377" customFormat="1" x14ac:dyDescent="0.25">
      <c r="A35" s="742"/>
      <c r="B35" s="742"/>
      <c r="C35" s="739" t="str">
        <f>+LIST_ACTIVIDADES!C37</f>
        <v>3.17</v>
      </c>
      <c r="D35" s="730" t="str">
        <f>+LIST_ACTIVIDADES!D37</f>
        <v>Sardinel en concreto de 3000psi, incluye refuerzo</v>
      </c>
      <c r="E35" s="731" t="str">
        <f>+LIST_ACTIVIDADES!E37</f>
        <v>m</v>
      </c>
      <c r="F35" s="741">
        <f>+MEMORIASCANT!S84</f>
        <v>448.05000000000007</v>
      </c>
      <c r="G35" s="733">
        <f>+LIST_ACTIVIDADES!F37</f>
        <v>61031</v>
      </c>
      <c r="H35" s="733">
        <f t="shared" si="2"/>
        <v>27344940</v>
      </c>
    </row>
    <row r="36" spans="1:8" s="377" customFormat="1" ht="15" x14ac:dyDescent="0.25">
      <c r="A36" s="743" t="str">
        <f>+LIST_ACTIVIDADES!A38</f>
        <v>4.0</v>
      </c>
      <c r="B36" s="743"/>
      <c r="C36" s="743"/>
      <c r="D36" s="725" t="str">
        <f>+LIST_ACTIVIDADES!D38</f>
        <v>ACEROS</v>
      </c>
      <c r="E36" s="726"/>
      <c r="F36" s="744"/>
      <c r="G36" s="735"/>
      <c r="H36" s="728">
        <f>SUM(H37:H37)</f>
        <v>316733520</v>
      </c>
    </row>
    <row r="37" spans="1:8" s="377" customFormat="1" x14ac:dyDescent="0.25">
      <c r="A37" s="742"/>
      <c r="B37" s="742"/>
      <c r="C37" s="742" t="str">
        <f>+LIST_ACTIVIDADES!C39</f>
        <v>4.1</v>
      </c>
      <c r="D37" s="730" t="str">
        <f>+LIST_ACTIVIDADES!D39</f>
        <v xml:space="preserve">Acero Fy = 60.000 psi </v>
      </c>
      <c r="E37" s="731" t="str">
        <f>+LIST_ACTIVIDADES!E39</f>
        <v>kg</v>
      </c>
      <c r="F37" s="745">
        <f>+CUADRO_ACERO!N174</f>
        <v>42349.71516</v>
      </c>
      <c r="G37" s="733">
        <f>+LIST_ACTIVIDADES!F39</f>
        <v>7479</v>
      </c>
      <c r="H37" s="733">
        <f t="shared" si="2"/>
        <v>316733520</v>
      </c>
    </row>
    <row r="38" spans="1:8" s="377" customFormat="1" ht="15" x14ac:dyDescent="0.25">
      <c r="A38" s="724" t="str">
        <f>+LIST_ACTIVIDADES!A40</f>
        <v>5.0</v>
      </c>
      <c r="B38" s="724"/>
      <c r="C38" s="724"/>
      <c r="D38" s="725" t="str">
        <f>+LIST_ACTIVIDADES!D40</f>
        <v>MAMPOSTERIA, PAÑETE Y PLOMADO</v>
      </c>
      <c r="E38" s="726"/>
      <c r="F38" s="738"/>
      <c r="G38" s="735"/>
      <c r="H38" s="728">
        <f>SUM(H39:H42)</f>
        <v>238298665</v>
      </c>
    </row>
    <row r="39" spans="1:8" s="377" customFormat="1" x14ac:dyDescent="0.25">
      <c r="A39" s="746"/>
      <c r="B39" s="746"/>
      <c r="C39" s="746" t="str">
        <f>+LIST_ACTIVIDADES!C41</f>
        <v>5.1</v>
      </c>
      <c r="D39" s="730" t="str">
        <f>+LIST_ACTIVIDADES!D41</f>
        <v>Muro en bloque de cemento (paredes) 0.12m</v>
      </c>
      <c r="E39" s="731" t="str">
        <f>+LIST_ACTIVIDADES!E41</f>
        <v>m²</v>
      </c>
      <c r="F39" s="747">
        <f>+MEMORIASCANT!S87</f>
        <v>1945.9169999999999</v>
      </c>
      <c r="G39" s="733">
        <f>+LIST_ACTIVIDADES!F41</f>
        <v>70082</v>
      </c>
      <c r="H39" s="733">
        <f t="shared" si="2"/>
        <v>136373755</v>
      </c>
    </row>
    <row r="40" spans="1:8" s="377" customFormat="1" x14ac:dyDescent="0.25">
      <c r="A40" s="746"/>
      <c r="B40" s="746"/>
      <c r="C40" s="746" t="str">
        <f>+LIST_ACTIVIDADES!C42</f>
        <v>5.2</v>
      </c>
      <c r="D40" s="730" t="str">
        <f>+LIST_ACTIVIDADES!D42</f>
        <v>Revoque muro incluye dilataciones y filos</v>
      </c>
      <c r="E40" s="731" t="str">
        <f>+LIST_ACTIVIDADES!E42</f>
        <v>m²</v>
      </c>
      <c r="F40" s="747">
        <f>+MEMORIASCANT!S465</f>
        <v>3334.7639999999997</v>
      </c>
      <c r="G40" s="733">
        <f>+LIST_ACTIVIDADES!F42</f>
        <v>24665</v>
      </c>
      <c r="H40" s="733">
        <f t="shared" si="2"/>
        <v>82251954</v>
      </c>
    </row>
    <row r="41" spans="1:8" s="377" customFormat="1" x14ac:dyDescent="0.25">
      <c r="A41" s="746"/>
      <c r="B41" s="746"/>
      <c r="C41" s="746" t="str">
        <f>+LIST_ACTIVIDADES!C43</f>
        <v>5.3</v>
      </c>
      <c r="D41" s="730" t="str">
        <f>+LIST_ACTIVIDADES!D43</f>
        <v>Revoque muro impermeabilizado, incluye dilataciones y filos</v>
      </c>
      <c r="E41" s="731" t="str">
        <f>+LIST_ACTIVIDADES!E43</f>
        <v>m²</v>
      </c>
      <c r="F41" s="747">
        <f>+MEMORIASCANT!S466</f>
        <v>557.07000000000005</v>
      </c>
      <c r="G41" s="733">
        <f>+LIST_ACTIVIDADES!F43</f>
        <v>28662</v>
      </c>
      <c r="H41" s="733">
        <f t="shared" si="2"/>
        <v>15966740</v>
      </c>
    </row>
    <row r="42" spans="1:8" s="377" customFormat="1" ht="15" collapsed="1" x14ac:dyDescent="0.25">
      <c r="A42" s="748"/>
      <c r="B42" s="748"/>
      <c r="C42" s="746" t="str">
        <f>+LIST_ACTIVIDADES!C44</f>
        <v>5.4</v>
      </c>
      <c r="D42" s="730" t="str">
        <f>+LIST_ACTIVIDADES!D44</f>
        <v>Revestimiento en lámina de plomo para muros, losa y puerta para rayos X</v>
      </c>
      <c r="E42" s="731" t="str">
        <f>+LIST_ACTIVIDADES!E44</f>
        <v>m²</v>
      </c>
      <c r="F42" s="745">
        <f>+MEMORIASCANT!S467</f>
        <v>100.16799999999999</v>
      </c>
      <c r="G42" s="733">
        <f>+LIST_ACTIVIDADES!F44</f>
        <v>37000</v>
      </c>
      <c r="H42" s="733">
        <f t="shared" si="2"/>
        <v>3706216</v>
      </c>
    </row>
    <row r="43" spans="1:8" s="377" customFormat="1" ht="15" x14ac:dyDescent="0.25">
      <c r="A43" s="724" t="str">
        <f>+LIST_ACTIVIDADES!A45</f>
        <v>6.0</v>
      </c>
      <c r="B43" s="724"/>
      <c r="C43" s="724"/>
      <c r="D43" s="725" t="str">
        <f>+LIST_ACTIVIDADES!D45</f>
        <v>ESTUCO Y PINTURA</v>
      </c>
      <c r="E43" s="726"/>
      <c r="F43" s="738"/>
      <c r="G43" s="735"/>
      <c r="H43" s="728">
        <f>SUM(H44:H46)</f>
        <v>193001886</v>
      </c>
    </row>
    <row r="44" spans="1:8" s="377" customFormat="1" x14ac:dyDescent="0.25">
      <c r="A44" s="746"/>
      <c r="B44" s="746"/>
      <c r="C44" s="746" t="str">
        <f>+LIST_ACTIVIDADES!C46</f>
        <v>6.1</v>
      </c>
      <c r="D44" s="730" t="str">
        <f>+LIST_ACTIVIDADES!D46</f>
        <v xml:space="preserve">Estuco interior </v>
      </c>
      <c r="E44" s="731" t="str">
        <f>+LIST_ACTIVIDADES!E46</f>
        <v>m²</v>
      </c>
      <c r="F44" s="747">
        <f>+MEMORIASCANT!S472</f>
        <v>3891.8339999999998</v>
      </c>
      <c r="G44" s="733">
        <f>+LIST_ACTIVIDADES!F46</f>
        <v>23217</v>
      </c>
      <c r="H44" s="733">
        <f t="shared" si="2"/>
        <v>90356710</v>
      </c>
    </row>
    <row r="45" spans="1:8" s="377" customFormat="1" x14ac:dyDescent="0.25">
      <c r="A45" s="746"/>
      <c r="B45" s="746"/>
      <c r="C45" s="746" t="str">
        <f>+LIST_ACTIVIDADES!C47</f>
        <v>6.2</v>
      </c>
      <c r="D45" s="730" t="str">
        <f>+LIST_ACTIVIDADES!D47</f>
        <v>Pintura interior en vinilo tipo 1 a 2 manos</v>
      </c>
      <c r="E45" s="731" t="str">
        <f>+LIST_ACTIVIDADES!E47</f>
        <v>m²</v>
      </c>
      <c r="F45" s="747">
        <f>+MEMORIASCANT!S473</f>
        <v>3891.8339999999998</v>
      </c>
      <c r="G45" s="733">
        <f>+LIST_ACTIVIDADES!F47</f>
        <v>22991</v>
      </c>
      <c r="H45" s="733">
        <f t="shared" si="2"/>
        <v>89477155</v>
      </c>
    </row>
    <row r="46" spans="1:8" s="377" customFormat="1" ht="15" collapsed="1" x14ac:dyDescent="0.25">
      <c r="A46" s="748"/>
      <c r="B46" s="748"/>
      <c r="C46" s="746" t="str">
        <f>+LIST_ACTIVIDADES!C48</f>
        <v>6.3</v>
      </c>
      <c r="D46" s="730" t="str">
        <f>+LIST_ACTIVIDADES!D48</f>
        <v>Pintura exteriores (koraza o similar)</v>
      </c>
      <c r="E46" s="731" t="str">
        <f>+LIST_ACTIVIDADES!E48</f>
        <v>m²</v>
      </c>
      <c r="F46" s="745">
        <f>+MEMORIASCANT!S474</f>
        <v>557.07000000000005</v>
      </c>
      <c r="G46" s="733">
        <f>+LIST_ACTIVIDADES!F48</f>
        <v>23638</v>
      </c>
      <c r="H46" s="733">
        <f t="shared" si="2"/>
        <v>13168021</v>
      </c>
    </row>
    <row r="47" spans="1:8" s="377" customFormat="1" ht="15" x14ac:dyDescent="0.25">
      <c r="A47" s="724" t="str">
        <f>+LIST_ACTIVIDADES!A49</f>
        <v>7.0</v>
      </c>
      <c r="B47" s="724"/>
      <c r="C47" s="724"/>
      <c r="D47" s="725" t="str">
        <f>+LIST_ACTIVIDADES!D49</f>
        <v>PISO</v>
      </c>
      <c r="E47" s="726"/>
      <c r="F47" s="738"/>
      <c r="G47" s="735"/>
      <c r="H47" s="728">
        <f>SUM(H48:H52)</f>
        <v>282857807</v>
      </c>
    </row>
    <row r="48" spans="1:8" s="377" customFormat="1" x14ac:dyDescent="0.25">
      <c r="A48" s="746"/>
      <c r="B48" s="746"/>
      <c r="C48" s="746" t="str">
        <f>+LIST_ACTIVIDADES!C50</f>
        <v>7.1</v>
      </c>
      <c r="D48" s="730" t="str">
        <f>+LIST_ACTIVIDADES!D50</f>
        <v>Mortero de nivelacion e=0,05m parra pisos</v>
      </c>
      <c r="E48" s="731" t="str">
        <f>+LIST_ACTIVIDADES!E50</f>
        <v>m²</v>
      </c>
      <c r="F48" s="747">
        <f>+MEMORIASCANT!S476</f>
        <v>816.61</v>
      </c>
      <c r="G48" s="733">
        <f>+LIST_ACTIVIDADES!F50</f>
        <v>34966</v>
      </c>
      <c r="H48" s="733">
        <f t="shared" si="2"/>
        <v>28553585</v>
      </c>
    </row>
    <row r="49" spans="1:8" s="377" customFormat="1" x14ac:dyDescent="0.25">
      <c r="A49" s="746"/>
      <c r="B49" s="746"/>
      <c r="C49" s="746" t="str">
        <f>+LIST_ACTIVIDADES!C51</f>
        <v>7.2</v>
      </c>
      <c r="D49" s="730" t="str">
        <f>+LIST_ACTIVIDADES!D51</f>
        <v xml:space="preserve">Placa de contrapiso en concreto de 30000psi, e = 0.10m </v>
      </c>
      <c r="E49" s="731" t="str">
        <f>+LIST_ACTIVIDADES!E51</f>
        <v>m²</v>
      </c>
      <c r="F49" s="747">
        <f>+MEMORIASCANT!S477</f>
        <v>816.61</v>
      </c>
      <c r="G49" s="733">
        <f>+LIST_ACTIVIDADES!F51</f>
        <v>68808</v>
      </c>
      <c r="H49" s="733">
        <f t="shared" si="2"/>
        <v>56189301</v>
      </c>
    </row>
    <row r="50" spans="1:8" s="377" customFormat="1" x14ac:dyDescent="0.25">
      <c r="A50" s="746"/>
      <c r="B50" s="746"/>
      <c r="C50" s="746" t="str">
        <f>+LIST_ACTIVIDADES!C52</f>
        <v>7.3</v>
      </c>
      <c r="D50" s="730" t="str">
        <f>+LIST_ACTIVIDADES!D52</f>
        <v>Piso en baldosa trafico pesado (granito)</v>
      </c>
      <c r="E50" s="731" t="str">
        <f>+LIST_ACTIVIDADES!E52</f>
        <v>m²</v>
      </c>
      <c r="F50" s="747">
        <f>+MEMORIASCANT!S478</f>
        <v>816.61</v>
      </c>
      <c r="G50" s="733">
        <f>+LIST_ACTIVIDADES!F52</f>
        <v>126449</v>
      </c>
      <c r="H50" s="733">
        <f t="shared" si="2"/>
        <v>103259518</v>
      </c>
    </row>
    <row r="51" spans="1:8" s="377" customFormat="1" x14ac:dyDescent="0.25">
      <c r="A51" s="746"/>
      <c r="B51" s="746"/>
      <c r="C51" s="746" t="str">
        <f>+LIST_ACTIVIDADES!C53</f>
        <v>7.4</v>
      </c>
      <c r="D51" s="730" t="str">
        <f>+LIST_ACTIVIDADES!D53</f>
        <v>Destronque, pulida y brillada de piso</v>
      </c>
      <c r="E51" s="731" t="str">
        <f>+LIST_ACTIVIDADES!E53</f>
        <v>m²</v>
      </c>
      <c r="F51" s="747">
        <f>+MEMORIASCANT!S479</f>
        <v>816.61</v>
      </c>
      <c r="G51" s="733">
        <f>+LIST_ACTIVIDADES!F53</f>
        <v>65352</v>
      </c>
      <c r="H51" s="733">
        <f t="shared" si="2"/>
        <v>53367097</v>
      </c>
    </row>
    <row r="52" spans="1:8" s="377" customFormat="1" x14ac:dyDescent="0.25">
      <c r="A52" s="746"/>
      <c r="B52" s="746"/>
      <c r="C52" s="746" t="str">
        <f>+LIST_ACTIVIDADES!C54</f>
        <v>7.5</v>
      </c>
      <c r="D52" s="730" t="str">
        <f>+LIST_ACTIVIDADES!D54</f>
        <v>Mediacaña en granito pulido y brillado</v>
      </c>
      <c r="E52" s="731" t="str">
        <f>+LIST_ACTIVIDADES!E54</f>
        <v>ml</v>
      </c>
      <c r="F52" s="747">
        <f>+MEMORIASCANT!S480</f>
        <v>724.56</v>
      </c>
      <c r="G52" s="733">
        <f>+LIST_ACTIVIDADES!F54</f>
        <v>57260</v>
      </c>
      <c r="H52" s="733">
        <f t="shared" si="2"/>
        <v>41488306</v>
      </c>
    </row>
    <row r="53" spans="1:8" s="377" customFormat="1" ht="15" x14ac:dyDescent="0.25">
      <c r="A53" s="724" t="str">
        <f>+LIST_ACTIVIDADES!A55</f>
        <v>8.0</v>
      </c>
      <c r="B53" s="724"/>
      <c r="C53" s="724"/>
      <c r="D53" s="725" t="str">
        <f>+LIST_ACTIVIDADES!D55</f>
        <v>CUBIERTA Y CIELO RASO</v>
      </c>
      <c r="E53" s="726"/>
      <c r="F53" s="738"/>
      <c r="G53" s="735"/>
      <c r="H53" s="728">
        <f>SUM(H54:H58)</f>
        <v>264289178</v>
      </c>
    </row>
    <row r="54" spans="1:8" s="377" customFormat="1" ht="15" collapsed="1" x14ac:dyDescent="0.25">
      <c r="A54" s="748"/>
      <c r="B54" s="748"/>
      <c r="C54" s="746" t="str">
        <f>+LIST_ACTIVIDADES!C56</f>
        <v>8.1</v>
      </c>
      <c r="D54" s="730" t="str">
        <f>+LIST_ACTIVIDADES!D56</f>
        <v>Estructura metalica para cubierta, según diseño</v>
      </c>
      <c r="E54" s="731" t="str">
        <f>+LIST_ACTIVIDADES!E56</f>
        <v>kg</v>
      </c>
      <c r="F54" s="745">
        <f>+ACERO_ESTRCUBIERTA!N22</f>
        <v>6622.67749</v>
      </c>
      <c r="G54" s="733">
        <f>+LIST_ACTIVIDADES!F56</f>
        <v>10329</v>
      </c>
      <c r="H54" s="733">
        <f t="shared" si="2"/>
        <v>68405636</v>
      </c>
    </row>
    <row r="55" spans="1:8" s="377" customFormat="1" x14ac:dyDescent="0.25">
      <c r="A55" s="746"/>
      <c r="B55" s="746"/>
      <c r="C55" s="746" t="str">
        <f>+LIST_ACTIVIDADES!C57</f>
        <v>8.2</v>
      </c>
      <c r="D55" s="730" t="str">
        <f>+LIST_ACTIVIDADES!D57</f>
        <v>Techo en lámina arquitectónica pintada</v>
      </c>
      <c r="E55" s="731" t="str">
        <f>+LIST_ACTIVIDADES!E57</f>
        <v>m²</v>
      </c>
      <c r="F55" s="747">
        <f>+MEMORIASCANT!S483</f>
        <v>783.7</v>
      </c>
      <c r="G55" s="733">
        <f>+LIST_ACTIVIDADES!F57</f>
        <v>113230</v>
      </c>
      <c r="H55" s="733">
        <f t="shared" si="2"/>
        <v>88738351</v>
      </c>
    </row>
    <row r="56" spans="1:8" s="377" customFormat="1" x14ac:dyDescent="0.25">
      <c r="A56" s="746"/>
      <c r="B56" s="746"/>
      <c r="C56" s="746" t="str">
        <f>+LIST_ACTIVIDADES!C58</f>
        <v>8.3</v>
      </c>
      <c r="D56" s="730" t="str">
        <f>+LIST_ACTIVIDADES!D58</f>
        <v>Techo en lámina policarbonato</v>
      </c>
      <c r="E56" s="731" t="str">
        <f>+LIST_ACTIVIDADES!E58</f>
        <v>m²</v>
      </c>
      <c r="F56" s="747">
        <f>+MEMORIASCANT!S484</f>
        <v>146.41999999999999</v>
      </c>
      <c r="G56" s="733">
        <f>+LIST_ACTIVIDADES!F58</f>
        <v>84208</v>
      </c>
      <c r="H56" s="733">
        <f t="shared" si="2"/>
        <v>12329735</v>
      </c>
    </row>
    <row r="57" spans="1:8" s="377" customFormat="1" x14ac:dyDescent="0.25">
      <c r="A57" s="746"/>
      <c r="B57" s="746"/>
      <c r="C57" s="746" t="str">
        <f>+LIST_ACTIVIDADES!C59</f>
        <v>8.4</v>
      </c>
      <c r="D57" s="730" t="str">
        <f>+LIST_ACTIVIDADES!D59</f>
        <v>Cielo falso en superboard, incluye estructura</v>
      </c>
      <c r="E57" s="731" t="str">
        <f>+LIST_ACTIVIDADES!E59</f>
        <v>m²</v>
      </c>
      <c r="F57" s="747">
        <f>+MEMORIASCANT!S485</f>
        <v>970.45300000000009</v>
      </c>
      <c r="G57" s="733">
        <f>+LIST_ACTIVIDADES!F59</f>
        <v>87762</v>
      </c>
      <c r="H57" s="733">
        <f t="shared" si="2"/>
        <v>85168896</v>
      </c>
    </row>
    <row r="58" spans="1:8" s="377" customFormat="1" ht="18" customHeight="1" x14ac:dyDescent="0.25">
      <c r="A58" s="746"/>
      <c r="B58" s="746"/>
      <c r="C58" s="746" t="str">
        <f>+LIST_ACTIVIDADES!C60</f>
        <v>8.5</v>
      </c>
      <c r="D58" s="730" t="str">
        <f>+LIST_ACTIVIDADES!D60</f>
        <v>Manto bituminoso para control de humedades, incluye cintas asfalticas</v>
      </c>
      <c r="E58" s="731" t="str">
        <f>+LIST_ACTIVIDADES!E60</f>
        <v>m²</v>
      </c>
      <c r="F58" s="747">
        <f>+MEMORIASCANT!S486</f>
        <v>252</v>
      </c>
      <c r="G58" s="733">
        <f>+LIST_ACTIVIDADES!F60</f>
        <v>38280</v>
      </c>
      <c r="H58" s="733">
        <f t="shared" si="2"/>
        <v>9646560</v>
      </c>
    </row>
    <row r="59" spans="1:8" s="377" customFormat="1" ht="18" customHeight="1" x14ac:dyDescent="0.25">
      <c r="A59" s="724" t="str">
        <f>+LIST_ACTIVIDADES!A61</f>
        <v>9.0</v>
      </c>
      <c r="B59" s="724"/>
      <c r="C59" s="724"/>
      <c r="D59" s="725" t="str">
        <f>+LIST_ACTIVIDADES!D61</f>
        <v>CARPINTERIA METALICA</v>
      </c>
      <c r="E59" s="726"/>
      <c r="F59" s="738"/>
      <c r="G59" s="735"/>
      <c r="H59" s="736">
        <f>+H60+H79+H91</f>
        <v>552550676</v>
      </c>
    </row>
    <row r="60" spans="1:8" s="377" customFormat="1" ht="15" x14ac:dyDescent="0.25">
      <c r="A60" s="724"/>
      <c r="B60" s="724" t="str">
        <f>+LIST_ACTIVIDADES!B62</f>
        <v>9.1</v>
      </c>
      <c r="C60" s="724"/>
      <c r="D60" s="737" t="str">
        <f>+LIST_ACTIVIDADES!D62</f>
        <v>Puertas</v>
      </c>
      <c r="E60" s="726"/>
      <c r="F60" s="738"/>
      <c r="G60" s="735"/>
      <c r="H60" s="728">
        <f>SUM(H61:H78)</f>
        <v>151213847</v>
      </c>
    </row>
    <row r="61" spans="1:8" s="377" customFormat="1" ht="28.5" x14ac:dyDescent="0.25">
      <c r="A61" s="746"/>
      <c r="B61" s="746"/>
      <c r="C61" s="746" t="str">
        <f>+LIST_ACTIVIDADES!C63</f>
        <v>9.1.1</v>
      </c>
      <c r="D61" s="730" t="str">
        <f>+LIST_ACTIVIDADES!D63</f>
        <v>Puerta Corrediza (P1) en aluminio y vidrio 3+3 de 2,10 x 3,6mts, según diseños</v>
      </c>
      <c r="E61" s="749" t="str">
        <f>+LIST_ACTIVIDADES!E63</f>
        <v>und</v>
      </c>
      <c r="F61" s="747">
        <f>+MEMORIASCANT!S489</f>
        <v>1</v>
      </c>
      <c r="G61" s="733">
        <f>+LIST_ACTIVIDADES!F63</f>
        <v>5586027</v>
      </c>
      <c r="H61" s="733">
        <f t="shared" ref="H61:H98" si="3">ROUND(F61*G61,0)</f>
        <v>5586027</v>
      </c>
    </row>
    <row r="62" spans="1:8" s="377" customFormat="1" ht="28.5" collapsed="1" x14ac:dyDescent="0.25">
      <c r="A62" s="748"/>
      <c r="B62" s="748"/>
      <c r="C62" s="746" t="str">
        <f>+LIST_ACTIVIDADES!C64</f>
        <v>9.1.2</v>
      </c>
      <c r="D62" s="730" t="str">
        <f>+LIST_ACTIVIDADES!D64</f>
        <v>Puerta Doble Vatiente (P2) en aluminio y vidrio 3+3 de 2,10 x 2,0mts, según diseños</v>
      </c>
      <c r="E62" s="749" t="str">
        <f>+LIST_ACTIVIDADES!E64</f>
        <v>und</v>
      </c>
      <c r="F62" s="747">
        <f>+MEMORIASCANT!S490</f>
        <v>2</v>
      </c>
      <c r="G62" s="733">
        <f>+LIST_ACTIVIDADES!F64</f>
        <v>2725092</v>
      </c>
      <c r="H62" s="733">
        <f t="shared" si="3"/>
        <v>5450184</v>
      </c>
    </row>
    <row r="63" spans="1:8" s="377" customFormat="1" ht="28.5" x14ac:dyDescent="0.25">
      <c r="A63" s="746"/>
      <c r="B63" s="746"/>
      <c r="C63" s="746" t="str">
        <f>+LIST_ACTIVIDADES!C65</f>
        <v>9.1.3</v>
      </c>
      <c r="D63" s="730" t="str">
        <f>+LIST_ACTIVIDADES!D65</f>
        <v>Puerta Doble Vatiente (P3) en aluminio y vidrio 3+3 de 2,10 x 1,8mts, según diseños</v>
      </c>
      <c r="E63" s="749" t="str">
        <f>+LIST_ACTIVIDADES!E65</f>
        <v>und</v>
      </c>
      <c r="F63" s="747">
        <f>+MEMORIASCANT!S491</f>
        <v>1</v>
      </c>
      <c r="G63" s="733">
        <f>+LIST_ACTIVIDADES!F65</f>
        <v>2622092</v>
      </c>
      <c r="H63" s="733">
        <f t="shared" si="3"/>
        <v>2622092</v>
      </c>
    </row>
    <row r="64" spans="1:8" s="377" customFormat="1" ht="28.5" x14ac:dyDescent="0.25">
      <c r="A64" s="746"/>
      <c r="B64" s="746"/>
      <c r="C64" s="746" t="str">
        <f>+LIST_ACTIVIDADES!C66</f>
        <v>9.1.4</v>
      </c>
      <c r="D64" s="730" t="str">
        <f>+LIST_ACTIVIDADES!D66</f>
        <v>Puerta Doble Vatiente (P4) en aluminio y vidrio 3+3  de 2,10 x 2,0mts, según diseños</v>
      </c>
      <c r="E64" s="749" t="str">
        <f>+LIST_ACTIVIDADES!E66</f>
        <v>und</v>
      </c>
      <c r="F64" s="747">
        <f>+MEMORIASCANT!S492</f>
        <v>3</v>
      </c>
      <c r="G64" s="733">
        <f>+LIST_ACTIVIDADES!F66</f>
        <v>2725092</v>
      </c>
      <c r="H64" s="733">
        <f t="shared" si="3"/>
        <v>8175276</v>
      </c>
    </row>
    <row r="65" spans="1:8" s="377" customFormat="1" ht="28.5" x14ac:dyDescent="0.25">
      <c r="A65" s="746"/>
      <c r="B65" s="746"/>
      <c r="C65" s="746" t="str">
        <f>+LIST_ACTIVIDADES!C67</f>
        <v>9.1.5</v>
      </c>
      <c r="D65" s="730" t="str">
        <f>+LIST_ACTIVIDADES!D67</f>
        <v>Puerta Doble Vatiente (P5) en aluminio y vidrio 3+3 de 2,10 x 1,5mts, según diseños</v>
      </c>
      <c r="E65" s="749" t="str">
        <f>+LIST_ACTIVIDADES!E67</f>
        <v>und</v>
      </c>
      <c r="F65" s="747">
        <f>+MEMORIASCANT!S493</f>
        <v>5</v>
      </c>
      <c r="G65" s="733">
        <f>+LIST_ACTIVIDADES!F67</f>
        <v>2210092</v>
      </c>
      <c r="H65" s="733">
        <f t="shared" si="3"/>
        <v>11050460</v>
      </c>
    </row>
    <row r="66" spans="1:8" s="377" customFormat="1" ht="28.5" x14ac:dyDescent="0.25">
      <c r="A66" s="746"/>
      <c r="B66" s="746"/>
      <c r="C66" s="746" t="str">
        <f>+LIST_ACTIVIDADES!C68</f>
        <v>9.1.6</v>
      </c>
      <c r="D66" s="730" t="str">
        <f>+LIST_ACTIVIDADES!D68</f>
        <v>Puerta Doble Vatiente (P6) en aluminio y vidrio 3+3 de 2,10 x 1,20mts, según diseños</v>
      </c>
      <c r="E66" s="749" t="str">
        <f>+LIST_ACTIVIDADES!E68</f>
        <v>und</v>
      </c>
      <c r="F66" s="747">
        <f>+MEMORIASCANT!S494</f>
        <v>1</v>
      </c>
      <c r="G66" s="733">
        <f>+LIST_ACTIVIDADES!F68</f>
        <v>2004092</v>
      </c>
      <c r="H66" s="733">
        <f t="shared" si="3"/>
        <v>2004092</v>
      </c>
    </row>
    <row r="67" spans="1:8" s="377" customFormat="1" ht="28.5" x14ac:dyDescent="0.25">
      <c r="A67" s="746"/>
      <c r="B67" s="746"/>
      <c r="C67" s="746" t="str">
        <f>+LIST_ACTIVIDADES!C69</f>
        <v>9.1.7</v>
      </c>
      <c r="D67" s="730" t="str">
        <f>+LIST_ACTIVIDADES!D69</f>
        <v>Puerta Doble Vatiente (P7) en aluminio y vidrio 3+3 de 2,10 x 1,40mts, según diseños</v>
      </c>
      <c r="E67" s="749" t="str">
        <f>+LIST_ACTIVIDADES!E69</f>
        <v>und</v>
      </c>
      <c r="F67" s="747">
        <f>+MEMORIASCANT!S495</f>
        <v>1</v>
      </c>
      <c r="G67" s="733">
        <f>+LIST_ACTIVIDADES!F69</f>
        <v>2210092</v>
      </c>
      <c r="H67" s="733">
        <f t="shared" si="3"/>
        <v>2210092</v>
      </c>
    </row>
    <row r="68" spans="1:8" s="377" customFormat="1" ht="28.5" x14ac:dyDescent="0.25">
      <c r="A68" s="746"/>
      <c r="B68" s="746"/>
      <c r="C68" s="746" t="str">
        <f>+LIST_ACTIVIDADES!C70</f>
        <v>9.1.8</v>
      </c>
      <c r="D68" s="730" t="str">
        <f>+LIST_ACTIVIDADES!D70</f>
        <v>Puerta Vatiente Izq (P8) en aluminio y PLOMO de 2,10 x 1,30mts, según diseños</v>
      </c>
      <c r="E68" s="749" t="str">
        <f>+LIST_ACTIVIDADES!E70</f>
        <v>und</v>
      </c>
      <c r="F68" s="747">
        <f>+MEMORIASCANT!S496</f>
        <v>1</v>
      </c>
      <c r="G68" s="733">
        <f>+LIST_ACTIVIDADES!F70</f>
        <v>4064092</v>
      </c>
      <c r="H68" s="733">
        <f t="shared" si="3"/>
        <v>4064092</v>
      </c>
    </row>
    <row r="69" spans="1:8" s="377" customFormat="1" ht="28.5" x14ac:dyDescent="0.25">
      <c r="A69" s="746"/>
      <c r="B69" s="746"/>
      <c r="C69" s="746" t="str">
        <f>+LIST_ACTIVIDADES!C71</f>
        <v>9.1.9</v>
      </c>
      <c r="D69" s="730" t="str">
        <f>+LIST_ACTIVIDADES!D71</f>
        <v>Puerta Corrediza (P9) en aluminio y PLOMO de 2,10 x 1,40mts, según diseños</v>
      </c>
      <c r="E69" s="749" t="str">
        <f>+LIST_ACTIVIDADES!E71</f>
        <v>und</v>
      </c>
      <c r="F69" s="747">
        <f>+MEMORIASCANT!S497</f>
        <v>1</v>
      </c>
      <c r="G69" s="733">
        <f>+LIST_ACTIVIDADES!F71</f>
        <v>4064092</v>
      </c>
      <c r="H69" s="733">
        <f t="shared" si="3"/>
        <v>4064092</v>
      </c>
    </row>
    <row r="70" spans="1:8" s="377" customFormat="1" ht="28.5" x14ac:dyDescent="0.25">
      <c r="A70" s="746"/>
      <c r="B70" s="746"/>
      <c r="C70" s="746" t="str">
        <f>+LIST_ACTIVIDADES!C72</f>
        <v>9.1.10</v>
      </c>
      <c r="D70" s="730" t="str">
        <f>+LIST_ACTIVIDADES!D72</f>
        <v>Puerta Vatiente Izq (P10) en aluminio y vidrio 3+3 de 2,10 x 0,9mts, según diseños</v>
      </c>
      <c r="E70" s="749" t="str">
        <f>+LIST_ACTIVIDADES!E72</f>
        <v>und</v>
      </c>
      <c r="F70" s="747">
        <f>+MEMORIASCANT!S498</f>
        <v>5</v>
      </c>
      <c r="G70" s="733">
        <f>+LIST_ACTIVIDADES!F72</f>
        <v>1386092</v>
      </c>
      <c r="H70" s="733">
        <f t="shared" si="3"/>
        <v>6930460</v>
      </c>
    </row>
    <row r="71" spans="1:8" s="377" customFormat="1" ht="28.5" x14ac:dyDescent="0.25">
      <c r="A71" s="746"/>
      <c r="B71" s="746"/>
      <c r="C71" s="746" t="str">
        <f>+LIST_ACTIVIDADES!C73</f>
        <v>9.1.11</v>
      </c>
      <c r="D71" s="730" t="str">
        <f>+LIST_ACTIVIDADES!D73</f>
        <v>Puerta Vatiente Izq (P11) en aluminio y vidrio 3+3 de 2,10 x 1,00mts, según diseños</v>
      </c>
      <c r="E71" s="749" t="str">
        <f>+LIST_ACTIVIDADES!E73</f>
        <v>und</v>
      </c>
      <c r="F71" s="747">
        <f>+MEMORIASCANT!S499</f>
        <v>13</v>
      </c>
      <c r="G71" s="733">
        <f>+LIST_ACTIVIDADES!F73</f>
        <v>1489092</v>
      </c>
      <c r="H71" s="733">
        <f t="shared" si="3"/>
        <v>19358196</v>
      </c>
    </row>
    <row r="72" spans="1:8" s="377" customFormat="1" ht="28.5" x14ac:dyDescent="0.25">
      <c r="A72" s="746"/>
      <c r="B72" s="746"/>
      <c r="C72" s="746" t="str">
        <f>+LIST_ACTIVIDADES!C74</f>
        <v>9.1.12</v>
      </c>
      <c r="D72" s="730" t="str">
        <f>+LIST_ACTIVIDADES!D74</f>
        <v>Puerta Vatiente Der (P12) en aluminio y vidrio 3+3 de 2,10 x 0,9mts, según diseños</v>
      </c>
      <c r="E72" s="749" t="str">
        <f>+LIST_ACTIVIDADES!E74</f>
        <v>und</v>
      </c>
      <c r="F72" s="747">
        <f>+MEMORIASCANT!S500</f>
        <v>5</v>
      </c>
      <c r="G72" s="733">
        <f>+LIST_ACTIVIDADES!F74</f>
        <v>1386092</v>
      </c>
      <c r="H72" s="733">
        <f t="shared" si="3"/>
        <v>6930460</v>
      </c>
    </row>
    <row r="73" spans="1:8" s="377" customFormat="1" ht="28.5" x14ac:dyDescent="0.25">
      <c r="A73" s="746"/>
      <c r="B73" s="746"/>
      <c r="C73" s="746" t="str">
        <f>+LIST_ACTIVIDADES!C75</f>
        <v>9.1.13</v>
      </c>
      <c r="D73" s="730" t="str">
        <f>+LIST_ACTIVIDADES!D75</f>
        <v>Puerta Vatiente Izq (P13) en aluminio y vidrio 3+3 de 2,10 x 0,7mts, según diseños</v>
      </c>
      <c r="E73" s="749" t="str">
        <f>+LIST_ACTIVIDADES!E75</f>
        <v>und</v>
      </c>
      <c r="F73" s="747">
        <f>+MEMORIASCANT!S501</f>
        <v>26</v>
      </c>
      <c r="G73" s="733">
        <f>+LIST_ACTIVIDADES!F75</f>
        <v>1180092</v>
      </c>
      <c r="H73" s="733">
        <f t="shared" si="3"/>
        <v>30682392</v>
      </c>
    </row>
    <row r="74" spans="1:8" s="377" customFormat="1" ht="28.5" x14ac:dyDescent="0.25">
      <c r="A74" s="746"/>
      <c r="B74" s="746"/>
      <c r="C74" s="746" t="str">
        <f>+LIST_ACTIVIDADES!C76</f>
        <v>9.1.14</v>
      </c>
      <c r="D74" s="730" t="str">
        <f>+LIST_ACTIVIDADES!D76</f>
        <v>Puerta Corrediza (P14) en aluminio y vidrio 3+3 de 2,10 x 1,00mts, según diseños</v>
      </c>
      <c r="E74" s="749" t="str">
        <f>+LIST_ACTIVIDADES!E76</f>
        <v>und</v>
      </c>
      <c r="F74" s="747">
        <f>+MEMORIASCANT!S502</f>
        <v>2</v>
      </c>
      <c r="G74" s="733">
        <f>+LIST_ACTIVIDADES!F76</f>
        <v>1489092</v>
      </c>
      <c r="H74" s="733">
        <f t="shared" si="3"/>
        <v>2978184</v>
      </c>
    </row>
    <row r="75" spans="1:8" s="377" customFormat="1" ht="28.5" x14ac:dyDescent="0.25">
      <c r="A75" s="746"/>
      <c r="B75" s="746"/>
      <c r="C75" s="746" t="str">
        <f>+LIST_ACTIVIDADES!C77</f>
        <v>9.1.15</v>
      </c>
      <c r="D75" s="730" t="str">
        <f>+LIST_ACTIVIDADES!D77</f>
        <v>Puerta Vatiente izq (P15) en aluminio y vidrio 3+3 de 2,10 x 1,00mts, según diseños</v>
      </c>
      <c r="E75" s="749" t="str">
        <f>+LIST_ACTIVIDADES!E77</f>
        <v>und</v>
      </c>
      <c r="F75" s="747">
        <f>+MEMORIASCANT!S503</f>
        <v>4</v>
      </c>
      <c r="G75" s="733">
        <f>+LIST_ACTIVIDADES!F77</f>
        <v>1489092</v>
      </c>
      <c r="H75" s="733">
        <f t="shared" si="3"/>
        <v>5956368</v>
      </c>
    </row>
    <row r="76" spans="1:8" s="377" customFormat="1" ht="28.5" x14ac:dyDescent="0.25">
      <c r="A76" s="746"/>
      <c r="B76" s="746"/>
      <c r="C76" s="746" t="str">
        <f>+LIST_ACTIVIDADES!C78</f>
        <v>9.1.16</v>
      </c>
      <c r="D76" s="730" t="str">
        <f>+LIST_ACTIVIDADES!D78</f>
        <v>Puerta Vatiente izq (P16) en aluminio y vidrio 3+3 de 2,10 x 0,80mts, según diseños</v>
      </c>
      <c r="E76" s="749" t="str">
        <f>+LIST_ACTIVIDADES!E78</f>
        <v>und</v>
      </c>
      <c r="F76" s="747">
        <f>+MEMORIASCANT!S504</f>
        <v>3</v>
      </c>
      <c r="G76" s="733">
        <f>+LIST_ACTIVIDADES!F78</f>
        <v>1386092</v>
      </c>
      <c r="H76" s="733">
        <f t="shared" si="3"/>
        <v>4158276</v>
      </c>
    </row>
    <row r="77" spans="1:8" s="377" customFormat="1" ht="28.5" x14ac:dyDescent="0.25">
      <c r="A77" s="746"/>
      <c r="B77" s="746"/>
      <c r="C77" s="746" t="str">
        <f>+LIST_ACTIVIDADES!C79</f>
        <v>9.1.17</v>
      </c>
      <c r="D77" s="730" t="str">
        <f>+LIST_ACTIVIDADES!D79</f>
        <v>Puerta Corrediza (P17) en aluminio y vidrio 3+3 de 2,10 x 0,9mts, según diseños</v>
      </c>
      <c r="E77" s="749" t="str">
        <f>+LIST_ACTIVIDADES!E79</f>
        <v>und</v>
      </c>
      <c r="F77" s="747">
        <f>+MEMORIASCANT!S505</f>
        <v>10</v>
      </c>
      <c r="G77" s="733">
        <f>+LIST_ACTIVIDADES!F79</f>
        <v>2416092</v>
      </c>
      <c r="H77" s="733">
        <f t="shared" si="3"/>
        <v>24160920</v>
      </c>
    </row>
    <row r="78" spans="1:8" s="377" customFormat="1" ht="28.5" x14ac:dyDescent="0.25">
      <c r="A78" s="746"/>
      <c r="B78" s="746"/>
      <c r="C78" s="746" t="str">
        <f>+LIST_ACTIVIDADES!C80</f>
        <v>9.1.18</v>
      </c>
      <c r="D78" s="730" t="str">
        <f>+LIST_ACTIVIDADES!D80</f>
        <v>Puerta Corrediza (P18) en aluminio y vidrio 3+3 de 2,10 x 1,20mts, según diseños</v>
      </c>
      <c r="E78" s="749" t="str">
        <f>+LIST_ACTIVIDADES!E80</f>
        <v>und</v>
      </c>
      <c r="F78" s="747">
        <f>+MEMORIASCANT!S506</f>
        <v>2</v>
      </c>
      <c r="G78" s="733">
        <f>+LIST_ACTIVIDADES!F80</f>
        <v>2416092</v>
      </c>
      <c r="H78" s="733">
        <f t="shared" si="3"/>
        <v>4832184</v>
      </c>
    </row>
    <row r="79" spans="1:8" s="377" customFormat="1" ht="15" x14ac:dyDescent="0.25">
      <c r="A79" s="724"/>
      <c r="B79" s="724" t="str">
        <f>+LIST_ACTIVIDADES!B81</f>
        <v>9.2</v>
      </c>
      <c r="C79" s="724"/>
      <c r="D79" s="737" t="str">
        <f>+LIST_ACTIVIDADES!D81</f>
        <v>Ventanas</v>
      </c>
      <c r="E79" s="750"/>
      <c r="F79" s="738"/>
      <c r="G79" s="735"/>
      <c r="H79" s="728">
        <f>SUM(H80:H90)</f>
        <v>43951760</v>
      </c>
    </row>
    <row r="80" spans="1:8" s="377" customFormat="1" ht="28.5" x14ac:dyDescent="0.25">
      <c r="A80" s="746"/>
      <c r="B80" s="746"/>
      <c r="C80" s="746" t="str">
        <f>+LIST_ACTIVIDADES!C82</f>
        <v>9.2.1</v>
      </c>
      <c r="D80" s="730" t="str">
        <f>+LIST_ACTIVIDADES!D82</f>
        <v>Ventana Corrediza (V1) en aluminio y vridrio 3+3 de 4,03 x 1,10mts, según diseños</v>
      </c>
      <c r="E80" s="749" t="str">
        <f>+LIST_ACTIVIDADES!E82</f>
        <v>und</v>
      </c>
      <c r="F80" s="747">
        <f>+MEMORIASCANT!S508</f>
        <v>1</v>
      </c>
      <c r="G80" s="733">
        <f>+LIST_ACTIVIDADES!F82</f>
        <v>3034092</v>
      </c>
      <c r="H80" s="733">
        <f t="shared" si="3"/>
        <v>3034092</v>
      </c>
    </row>
    <row r="81" spans="1:8" s="377" customFormat="1" ht="28.5" x14ac:dyDescent="0.25">
      <c r="A81" s="746"/>
      <c r="B81" s="746"/>
      <c r="C81" s="746" t="str">
        <f>+LIST_ACTIVIDADES!C83</f>
        <v>9.2.2</v>
      </c>
      <c r="D81" s="730" t="str">
        <f>+LIST_ACTIVIDADES!D83</f>
        <v>Ventana Corrediza (V2) en aluminio y vridrio 3+3 de 2,00 x 1,10mts, según diseños</v>
      </c>
      <c r="E81" s="749" t="str">
        <f>+LIST_ACTIVIDADES!E83</f>
        <v>und</v>
      </c>
      <c r="F81" s="747">
        <f>+MEMORIASCANT!S509</f>
        <v>3</v>
      </c>
      <c r="G81" s="733">
        <f>+LIST_ACTIVIDADES!F83</f>
        <v>1386092</v>
      </c>
      <c r="H81" s="733">
        <f t="shared" si="3"/>
        <v>4158276</v>
      </c>
    </row>
    <row r="82" spans="1:8" s="377" customFormat="1" ht="28.5" x14ac:dyDescent="0.25">
      <c r="A82" s="746"/>
      <c r="B82" s="746"/>
      <c r="C82" s="746" t="str">
        <f>+LIST_ACTIVIDADES!C84</f>
        <v>9.2.3</v>
      </c>
      <c r="D82" s="730" t="str">
        <f>+LIST_ACTIVIDADES!D84</f>
        <v>Ventana Corrediza (V3) en aluminio y vridrio 3+3 de 1,20 x 1,10mts, según diseños</v>
      </c>
      <c r="E82" s="749" t="str">
        <f>+LIST_ACTIVIDADES!E84</f>
        <v>und</v>
      </c>
      <c r="F82" s="747">
        <f>+MEMORIASCANT!S510</f>
        <v>3</v>
      </c>
      <c r="G82" s="733">
        <f>+LIST_ACTIVIDADES!F84</f>
        <v>1180092</v>
      </c>
      <c r="H82" s="733">
        <f t="shared" si="3"/>
        <v>3540276</v>
      </c>
    </row>
    <row r="83" spans="1:8" s="377" customFormat="1" ht="28.5" x14ac:dyDescent="0.25">
      <c r="A83" s="746"/>
      <c r="B83" s="746"/>
      <c r="C83" s="746" t="str">
        <f>+LIST_ACTIVIDADES!C85</f>
        <v>9.2.4</v>
      </c>
      <c r="D83" s="730" t="str">
        <f>+LIST_ACTIVIDADES!D85</f>
        <v>Ventana Corrediza (V4) en aluminio y vridrio 3+3 de 0,9 x 1,10mts, según diseños</v>
      </c>
      <c r="E83" s="749" t="str">
        <f>+LIST_ACTIVIDADES!E85</f>
        <v>und</v>
      </c>
      <c r="F83" s="747">
        <f>+MEMORIASCANT!S511</f>
        <v>4</v>
      </c>
      <c r="G83" s="733">
        <f>+LIST_ACTIVIDADES!F85</f>
        <v>1180092</v>
      </c>
      <c r="H83" s="733">
        <f t="shared" si="3"/>
        <v>4720368</v>
      </c>
    </row>
    <row r="84" spans="1:8" s="377" customFormat="1" ht="28.5" x14ac:dyDescent="0.25">
      <c r="A84" s="746"/>
      <c r="B84" s="746"/>
      <c r="C84" s="746" t="str">
        <f>+LIST_ACTIVIDADES!C86</f>
        <v>9.2.5</v>
      </c>
      <c r="D84" s="730" t="str">
        <f>+LIST_ACTIVIDADES!D86</f>
        <v>Ventana Corrediza (V5) en aluminio y vridrio 3+3 de 0,6 x 1,10mts, según diseños</v>
      </c>
      <c r="E84" s="749" t="str">
        <f>+LIST_ACTIVIDADES!E86</f>
        <v>und</v>
      </c>
      <c r="F84" s="747">
        <f>+MEMORIASCANT!S512</f>
        <v>3</v>
      </c>
      <c r="G84" s="733">
        <f>+LIST_ACTIVIDADES!F86</f>
        <v>1180092</v>
      </c>
      <c r="H84" s="733">
        <f t="shared" si="3"/>
        <v>3540276</v>
      </c>
    </row>
    <row r="85" spans="1:8" s="377" customFormat="1" ht="28.5" x14ac:dyDescent="0.25">
      <c r="A85" s="746"/>
      <c r="B85" s="746"/>
      <c r="C85" s="746" t="str">
        <f>+LIST_ACTIVIDADES!C87</f>
        <v>9.2.6</v>
      </c>
      <c r="D85" s="730" t="str">
        <f>+LIST_ACTIVIDADES!D87</f>
        <v>Ventana Corrediza (V6) en aluminio y vridrio 3+3 de 1,00 x 1,10mts, según diseños</v>
      </c>
      <c r="E85" s="749" t="str">
        <f>+LIST_ACTIVIDADES!E87</f>
        <v>und</v>
      </c>
      <c r="F85" s="747">
        <f>+MEMORIASCANT!S513</f>
        <v>2</v>
      </c>
      <c r="G85" s="733">
        <f>+LIST_ACTIVIDADES!F87</f>
        <v>1386092</v>
      </c>
      <c r="H85" s="733">
        <f t="shared" si="3"/>
        <v>2772184</v>
      </c>
    </row>
    <row r="86" spans="1:8" s="377" customFormat="1" ht="28.5" x14ac:dyDescent="0.25">
      <c r="A86" s="746"/>
      <c r="B86" s="746"/>
      <c r="C86" s="746" t="str">
        <f>+LIST_ACTIVIDADES!C88</f>
        <v>9.2.7</v>
      </c>
      <c r="D86" s="730" t="str">
        <f>+LIST_ACTIVIDADES!D88</f>
        <v>Ventana Corrediza (V7) en aluminio y vridrio 3+3 de 3,00 x 0,40mts, según diseños</v>
      </c>
      <c r="E86" s="749" t="str">
        <f>+LIST_ACTIVIDADES!E88</f>
        <v>und</v>
      </c>
      <c r="F86" s="747">
        <f>+MEMORIASCANT!S514</f>
        <v>2</v>
      </c>
      <c r="G86" s="733">
        <f>+LIST_ACTIVIDADES!F88</f>
        <v>2725092</v>
      </c>
      <c r="H86" s="733">
        <f t="shared" si="3"/>
        <v>5450184</v>
      </c>
    </row>
    <row r="87" spans="1:8" s="377" customFormat="1" ht="28.5" x14ac:dyDescent="0.25">
      <c r="A87" s="746"/>
      <c r="B87" s="746"/>
      <c r="C87" s="746" t="str">
        <f>+LIST_ACTIVIDADES!C89</f>
        <v>9.2.8</v>
      </c>
      <c r="D87" s="730" t="str">
        <f>+LIST_ACTIVIDADES!D89</f>
        <v>Ventana Corrediza (V8) en aluminio y vridrio 3+3 de 1,00 x 0,40mts, según diseños</v>
      </c>
      <c r="E87" s="749" t="str">
        <f>+LIST_ACTIVIDADES!E89</f>
        <v>und</v>
      </c>
      <c r="F87" s="747">
        <f>+MEMORIASCANT!S515</f>
        <v>8</v>
      </c>
      <c r="G87" s="733">
        <f>+LIST_ACTIVIDADES!F89</f>
        <v>1180092</v>
      </c>
      <c r="H87" s="733">
        <f t="shared" si="3"/>
        <v>9440736</v>
      </c>
    </row>
    <row r="88" spans="1:8" s="377" customFormat="1" ht="28.5" x14ac:dyDescent="0.25">
      <c r="A88" s="746"/>
      <c r="B88" s="746"/>
      <c r="C88" s="746" t="str">
        <f>+LIST_ACTIVIDADES!C90</f>
        <v>9.2.9</v>
      </c>
      <c r="D88" s="730" t="str">
        <f>+LIST_ACTIVIDADES!D90</f>
        <v>Ventana Corrediza (V9) en aluminio y vridrio 3+3 de 0,90 x 0,40mts, según diseños</v>
      </c>
      <c r="E88" s="749" t="str">
        <f>+LIST_ACTIVIDADES!E90</f>
        <v>und</v>
      </c>
      <c r="F88" s="747">
        <f>+MEMORIASCANT!S516</f>
        <v>2</v>
      </c>
      <c r="G88" s="733">
        <f>+LIST_ACTIVIDADES!F90</f>
        <v>1180092</v>
      </c>
      <c r="H88" s="733">
        <f t="shared" si="3"/>
        <v>2360184</v>
      </c>
    </row>
    <row r="89" spans="1:8" s="377" customFormat="1" ht="28.5" x14ac:dyDescent="0.25">
      <c r="A89" s="746"/>
      <c r="B89" s="746"/>
      <c r="C89" s="746" t="str">
        <f>+LIST_ACTIVIDADES!C91</f>
        <v>9.2.10</v>
      </c>
      <c r="D89" s="730" t="str">
        <f>+LIST_ACTIVIDADES!D91</f>
        <v>Ventana Corrediza (V10) en aluminio y PLOMO 3+3 de 0,90 x 0,40mts, según diseños</v>
      </c>
      <c r="E89" s="749" t="str">
        <f>+LIST_ACTIVIDADES!E91</f>
        <v>und</v>
      </c>
      <c r="F89" s="747">
        <f>+MEMORIASCANT!S517</f>
        <v>1</v>
      </c>
      <c r="G89" s="733">
        <f>+LIST_ACTIVIDADES!F91</f>
        <v>3240092</v>
      </c>
      <c r="H89" s="733">
        <f t="shared" si="3"/>
        <v>3240092</v>
      </c>
    </row>
    <row r="90" spans="1:8" s="377" customFormat="1" x14ac:dyDescent="0.25">
      <c r="A90" s="746"/>
      <c r="B90" s="746"/>
      <c r="C90" s="746" t="str">
        <f>+LIST_ACTIVIDADES!C92</f>
        <v>9.2.11</v>
      </c>
      <c r="D90" s="730" t="str">
        <f>+LIST_ACTIVIDADES!D92</f>
        <v>Ventana Corrediza (V11) en aluminio de 3,70 x 0,60mts, según diseños</v>
      </c>
      <c r="E90" s="749" t="str">
        <f>+LIST_ACTIVIDADES!E92</f>
        <v>und</v>
      </c>
      <c r="F90" s="747">
        <f>+MEMORIASCANT!S518</f>
        <v>1</v>
      </c>
      <c r="G90" s="733">
        <f>+LIST_ACTIVIDADES!F92</f>
        <v>1695092</v>
      </c>
      <c r="H90" s="733">
        <f t="shared" si="3"/>
        <v>1695092</v>
      </c>
    </row>
    <row r="91" spans="1:8" s="377" customFormat="1" ht="15" x14ac:dyDescent="0.25">
      <c r="A91" s="724"/>
      <c r="B91" s="724" t="str">
        <f>+LIST_ACTIVIDADES!B93</f>
        <v>9.3</v>
      </c>
      <c r="C91" s="724"/>
      <c r="D91" s="737" t="str">
        <f>+LIST_ACTIVIDADES!D93</f>
        <v>Varios</v>
      </c>
      <c r="E91" s="750"/>
      <c r="F91" s="738"/>
      <c r="G91" s="735"/>
      <c r="H91" s="728">
        <f>SUM(H92:H98)</f>
        <v>357385069</v>
      </c>
    </row>
    <row r="92" spans="1:8" s="377" customFormat="1" ht="28.5" x14ac:dyDescent="0.25">
      <c r="A92" s="746"/>
      <c r="B92" s="746"/>
      <c r="C92" s="746" t="str">
        <f>+LIST_ACTIVIDADES!C94</f>
        <v>9.3.1</v>
      </c>
      <c r="D92" s="730" t="str">
        <f>+LIST_ACTIVIDADES!D94</f>
        <v>Division para baño en acero inoxidable anclada con perno expansivo, de 1.56 * 1.8 m.</v>
      </c>
      <c r="E92" s="749" t="str">
        <f>+LIST_ACTIVIDADES!E94</f>
        <v>und</v>
      </c>
      <c r="F92" s="747">
        <f>+MEMORIASCANT!S520</f>
        <v>5</v>
      </c>
      <c r="G92" s="733">
        <f>+LIST_ACTIVIDADES!F94</f>
        <v>548842</v>
      </c>
      <c r="H92" s="733">
        <f t="shared" si="3"/>
        <v>2744210</v>
      </c>
    </row>
    <row r="93" spans="1:8" s="377" customFormat="1" ht="28.5" x14ac:dyDescent="0.25">
      <c r="A93" s="746"/>
      <c r="B93" s="746"/>
      <c r="C93" s="746" t="str">
        <f>+LIST_ACTIVIDADES!C95</f>
        <v>9.3.2</v>
      </c>
      <c r="D93" s="730" t="str">
        <f>+LIST_ACTIVIDADES!D95</f>
        <v>Puerta para baño en acero inoxidable anclada con perno expansivo, de 0.9 * 1.8 m.</v>
      </c>
      <c r="E93" s="749" t="str">
        <f>+LIST_ACTIVIDADES!E95</f>
        <v>und</v>
      </c>
      <c r="F93" s="747">
        <f>+MEMORIASCANT!S521</f>
        <v>8</v>
      </c>
      <c r="G93" s="733">
        <f>+LIST_ACTIVIDADES!F95</f>
        <v>1141092</v>
      </c>
      <c r="H93" s="733">
        <f t="shared" si="3"/>
        <v>9128736</v>
      </c>
    </row>
    <row r="94" spans="1:8" s="377" customFormat="1" x14ac:dyDescent="0.25">
      <c r="A94" s="746"/>
      <c r="B94" s="746"/>
      <c r="C94" s="746" t="str">
        <f>+LIST_ACTIVIDADES!C96</f>
        <v>9.3.3</v>
      </c>
      <c r="D94" s="730" t="str">
        <f>+LIST_ACTIVIDADES!D96</f>
        <v>Pasamanos  hierro forjado, incluye anclajes, pintura anticorrosiva y esmalte.</v>
      </c>
      <c r="E94" s="749" t="str">
        <f>+LIST_ACTIVIDADES!E96</f>
        <v>m</v>
      </c>
      <c r="F94" s="747">
        <f>+MEMORIASCANT!S522</f>
        <v>17</v>
      </c>
      <c r="G94" s="733">
        <f>+LIST_ACTIVIDADES!F96</f>
        <v>337937</v>
      </c>
      <c r="H94" s="733">
        <f t="shared" si="3"/>
        <v>5744929</v>
      </c>
    </row>
    <row r="95" spans="1:8" s="377" customFormat="1" x14ac:dyDescent="0.25">
      <c r="A95" s="746"/>
      <c r="B95" s="746"/>
      <c r="C95" s="746" t="str">
        <f>+LIST_ACTIVIDADES!C97</f>
        <v>9.3.4</v>
      </c>
      <c r="D95" s="730" t="str">
        <f>+LIST_ACTIVIDADES!D97</f>
        <v>Meson en acero inoxidable</v>
      </c>
      <c r="E95" s="749" t="str">
        <f>+LIST_ACTIVIDADES!E97</f>
        <v>m</v>
      </c>
      <c r="F95" s="747">
        <f>+MEMORIASCANT!S523</f>
        <v>33.81</v>
      </c>
      <c r="G95" s="733">
        <f>+LIST_ACTIVIDADES!F97</f>
        <v>284100</v>
      </c>
      <c r="H95" s="733">
        <f t="shared" si="3"/>
        <v>9605421</v>
      </c>
    </row>
    <row r="96" spans="1:8" s="377" customFormat="1" x14ac:dyDescent="0.25">
      <c r="A96" s="746"/>
      <c r="B96" s="746"/>
      <c r="C96" s="746" t="str">
        <f>+LIST_ACTIVIDADES!C98</f>
        <v>9.3.5</v>
      </c>
      <c r="D96" s="730" t="str">
        <f>+LIST_ACTIVIDADES!D98</f>
        <v>Barra de seguridad en acero inoxidable</v>
      </c>
      <c r="E96" s="749" t="str">
        <f>+LIST_ACTIVIDADES!E98</f>
        <v>und</v>
      </c>
      <c r="F96" s="747">
        <f>+MEMORIASCANT!S524</f>
        <v>5</v>
      </c>
      <c r="G96" s="733">
        <f>+LIST_ACTIVIDADES!F98</f>
        <v>1092500</v>
      </c>
      <c r="H96" s="733">
        <f t="shared" si="3"/>
        <v>5462500</v>
      </c>
    </row>
    <row r="97" spans="1:10" s="377" customFormat="1" ht="120" customHeight="1" x14ac:dyDescent="0.25">
      <c r="A97" s="746"/>
      <c r="B97" s="746"/>
      <c r="C97" s="746" t="str">
        <f>+LIST_ACTIVIDADES!C99</f>
        <v>9.3.6</v>
      </c>
      <c r="D97" s="730" t="str">
        <f>+LIST_ACTIVIDADES!D99</f>
        <v xml:space="preserve">Fabricacion e instalacion de malla eslabonada para cerramiento perimetral, incluye excavacion manual en material heterogeneo, zapata de 80x80cm, columnas de 30x30cm, viga de 25cmx25cm todo en concreto reforzado de 3000 psi,  mamposteria de concreto de 12x20x40 a la vista prensado, postes verticales longitudinales diagonales y riostras en tuberia en hierro galvanizado de 2" exterior calibre 16 - separados cada 2,3mts, malla eslabonada galvanizada 5cm, pintura para acabado final y todos los elementos necesarios para su correcta instalacion. </v>
      </c>
      <c r="E97" s="749" t="str">
        <f>+LIST_ACTIVIDADES!E99</f>
        <v>m²</v>
      </c>
      <c r="F97" s="747">
        <f>+MEMORIASCANT!S525</f>
        <v>566.33710000000008</v>
      </c>
      <c r="G97" s="733">
        <f>+LIST_ACTIVIDADES!F99</f>
        <v>256316</v>
      </c>
      <c r="H97" s="733">
        <f t="shared" si="3"/>
        <v>145161260</v>
      </c>
    </row>
    <row r="98" spans="1:10" s="377" customFormat="1" x14ac:dyDescent="0.25">
      <c r="A98" s="746"/>
      <c r="B98" s="746"/>
      <c r="C98" s="746" t="str">
        <f>+LIST_ACTIVIDADES!C100</f>
        <v>9.3.7</v>
      </c>
      <c r="D98" s="730" t="str">
        <f>+LIST_ACTIVIDADES!D100</f>
        <v>Fachada flotante en lamina microperforada, según diseños y detalles</v>
      </c>
      <c r="E98" s="749" t="str">
        <f>+LIST_ACTIVIDADES!E100</f>
        <v>m²</v>
      </c>
      <c r="F98" s="747">
        <f>+MEMORIASCANT!S526</f>
        <v>953.62999999999988</v>
      </c>
      <c r="G98" s="751">
        <f>+LIST_ACTIVIDADES!F100</f>
        <v>188268</v>
      </c>
      <c r="H98" s="733">
        <f t="shared" si="3"/>
        <v>179538013</v>
      </c>
    </row>
    <row r="99" spans="1:10" s="377" customFormat="1" ht="30" x14ac:dyDescent="0.25">
      <c r="A99" s="724" t="str">
        <f>+LIST_ACTIVIDADES!A101</f>
        <v>10.0</v>
      </c>
      <c r="B99" s="724"/>
      <c r="C99" s="724"/>
      <c r="D99" s="725" t="str">
        <f>+LIST_ACTIVIDADES!D101</f>
        <v>INSTALACIONES HIDROSANITARIAS, PATOGENAS, AGUAS LLUVIAS, CONTRAINCENDIO, ENCHAPES Y APARATOS SANITARIOS</v>
      </c>
      <c r="E99" s="726"/>
      <c r="F99" s="738"/>
      <c r="G99" s="735"/>
      <c r="H99" s="736">
        <f>+H100+H114+H125+H131+H133+H139</f>
        <v>296374756</v>
      </c>
    </row>
    <row r="100" spans="1:10" s="377" customFormat="1" ht="15" x14ac:dyDescent="0.25">
      <c r="A100" s="724"/>
      <c r="B100" s="724" t="str">
        <f>+LIST_ACTIVIDADES!B102</f>
        <v>10.1</v>
      </c>
      <c r="C100" s="724"/>
      <c r="D100" s="737" t="str">
        <f>+LIST_ACTIVIDADES!D102</f>
        <v>Red e Instalaciones Hidraulicas</v>
      </c>
      <c r="E100" s="726"/>
      <c r="F100" s="738"/>
      <c r="G100" s="735"/>
      <c r="H100" s="728">
        <f>SUM(H101:H113)</f>
        <v>56675742</v>
      </c>
      <c r="J100" s="935">
        <v>56675742</v>
      </c>
    </row>
    <row r="101" spans="1:10" s="377" customFormat="1" ht="28.5" x14ac:dyDescent="0.25">
      <c r="A101" s="748"/>
      <c r="B101" s="746"/>
      <c r="C101" s="746" t="str">
        <f>+LIST_ACTIVIDADES!C103</f>
        <v>10.1.1</v>
      </c>
      <c r="D101" s="730" t="str">
        <f>+LIST_ACTIVIDADES!D103</f>
        <v>Tuberia PVC - Presion, con un Diametro de 1/2", empotradas por losas y/o colgadas. Incluye Accesorios</v>
      </c>
      <c r="E101" s="731" t="str">
        <f>+LIST_ACTIVIDADES!E103</f>
        <v>m</v>
      </c>
      <c r="F101" s="747">
        <f>+MEMORIASCANT!S532</f>
        <v>139.23799999999997</v>
      </c>
      <c r="G101" s="733">
        <f>+LIST_ACTIVIDADES!F103</f>
        <v>14646.6874398</v>
      </c>
      <c r="H101" s="733">
        <f t="shared" ref="H101:H113" si="4">ROUND(F101*G101,0)</f>
        <v>2039375</v>
      </c>
      <c r="J101" s="941">
        <f>H100-J100</f>
        <v>0</v>
      </c>
    </row>
    <row r="102" spans="1:10" s="377" customFormat="1" ht="28.5" x14ac:dyDescent="0.25">
      <c r="A102" s="748"/>
      <c r="B102" s="746"/>
      <c r="C102" s="746" t="str">
        <f>+LIST_ACTIVIDADES!C104</f>
        <v>10.1.2</v>
      </c>
      <c r="D102" s="730" t="str">
        <f>+LIST_ACTIVIDADES!D104</f>
        <v>Tuberia PVC - Presion, con un Diametro de 3/4", empotradas por losas y/o colgadas. Incluye Accesorios</v>
      </c>
      <c r="E102" s="731" t="str">
        <f>+LIST_ACTIVIDADES!E104</f>
        <v>m</v>
      </c>
      <c r="F102" s="747">
        <f>+MEMORIASCANT!S533</f>
        <v>169.94000000000003</v>
      </c>
      <c r="G102" s="733">
        <f>+LIST_ACTIVIDADES!F104</f>
        <v>14646.6874398</v>
      </c>
      <c r="H102" s="733">
        <f t="shared" si="4"/>
        <v>2489058</v>
      </c>
    </row>
    <row r="103" spans="1:10" s="377" customFormat="1" ht="28.5" x14ac:dyDescent="0.25">
      <c r="A103" s="748"/>
      <c r="B103" s="746"/>
      <c r="C103" s="746" t="str">
        <f>+LIST_ACTIVIDADES!C105</f>
        <v>10.1.3</v>
      </c>
      <c r="D103" s="730" t="str">
        <f>+LIST_ACTIVIDADES!D105</f>
        <v>Tuberia PVC - Presion, con un Diametro de 1", empotradas por losas y/o colgadas. Incluye Accesorios</v>
      </c>
      <c r="E103" s="731" t="str">
        <f>+LIST_ACTIVIDADES!E105</f>
        <v>m</v>
      </c>
      <c r="F103" s="747">
        <f>+MEMORIASCANT!S534</f>
        <v>14</v>
      </c>
      <c r="G103" s="733">
        <f>+LIST_ACTIVIDADES!F105</f>
        <v>15956.960598800002</v>
      </c>
      <c r="H103" s="733">
        <f t="shared" si="4"/>
        <v>223397</v>
      </c>
    </row>
    <row r="104" spans="1:10" s="377" customFormat="1" ht="15" x14ac:dyDescent="0.25">
      <c r="A104" s="748"/>
      <c r="B104" s="746"/>
      <c r="C104" s="746"/>
      <c r="D104" s="730"/>
      <c r="E104" s="731"/>
      <c r="F104" s="747"/>
      <c r="G104" s="733"/>
      <c r="H104" s="733"/>
    </row>
    <row r="105" spans="1:10" s="377" customFormat="1" ht="15" x14ac:dyDescent="0.25">
      <c r="A105" s="748"/>
      <c r="B105" s="746"/>
      <c r="C105" s="746" t="str">
        <f>+LIST_ACTIVIDADES!C107</f>
        <v>10.1.5</v>
      </c>
      <c r="D105" s="730" t="str">
        <f>+LIST_ACTIVIDADES!D107</f>
        <v>Punto Hidraulico Diametro de 1/2"</v>
      </c>
      <c r="E105" s="731" t="str">
        <f>+LIST_ACTIVIDADES!E107</f>
        <v>und</v>
      </c>
      <c r="F105" s="747">
        <f>+MEMORIASCANT!S536</f>
        <v>86</v>
      </c>
      <c r="G105" s="733">
        <f>+LIST_ACTIVIDADES!F107</f>
        <v>62159.978882873329</v>
      </c>
      <c r="H105" s="733">
        <f t="shared" si="4"/>
        <v>5345758</v>
      </c>
    </row>
    <row r="106" spans="1:10" s="377" customFormat="1" ht="15" x14ac:dyDescent="0.25">
      <c r="A106" s="748"/>
      <c r="B106" s="746"/>
      <c r="C106" s="746" t="str">
        <f>+LIST_ACTIVIDADES!C108</f>
        <v>10.1.6</v>
      </c>
      <c r="D106" s="730" t="str">
        <f>+LIST_ACTIVIDADES!D108</f>
        <v>Punto Hidraulico Diametro de 1/2" incluye llave terminal</v>
      </c>
      <c r="E106" s="731" t="str">
        <f>+LIST_ACTIVIDADES!E108</f>
        <v>und</v>
      </c>
      <c r="F106" s="747">
        <f>+MEMORIASCANT!S537</f>
        <v>8</v>
      </c>
      <c r="G106" s="733">
        <v>66675.025653312099</v>
      </c>
      <c r="H106" s="733">
        <f t="shared" si="4"/>
        <v>533400</v>
      </c>
    </row>
    <row r="107" spans="1:10" s="377" customFormat="1" ht="15" x14ac:dyDescent="0.25">
      <c r="A107" s="748"/>
      <c r="B107" s="746"/>
      <c r="C107" s="746" t="str">
        <f>+LIST_ACTIVIDADES!C109</f>
        <v>10.1.7</v>
      </c>
      <c r="D107" s="730" t="str">
        <f>+LIST_ACTIVIDADES!D109</f>
        <v>Punto Hidraulico Diametro de 3/4"</v>
      </c>
      <c r="E107" s="731" t="str">
        <f>+LIST_ACTIVIDADES!E109</f>
        <v>und</v>
      </c>
      <c r="F107" s="747">
        <f>+MEMORIASCANT!S538</f>
        <v>5</v>
      </c>
      <c r="G107" s="733">
        <f>+LIST_APUS_HIDROSAN!G709</f>
        <v>64019.978882873329</v>
      </c>
      <c r="H107" s="733">
        <f t="shared" si="4"/>
        <v>320100</v>
      </c>
    </row>
    <row r="108" spans="1:10" s="377" customFormat="1" ht="15" x14ac:dyDescent="0.25">
      <c r="A108" s="748"/>
      <c r="B108" s="746"/>
      <c r="C108" s="746" t="str">
        <f>+LIST_ACTIVIDADES!C110</f>
        <v>10.1.8</v>
      </c>
      <c r="D108" s="730" t="str">
        <f>+LIST_ACTIVIDADES!D110</f>
        <v>Punto Hidraulico Diametro de 1"</v>
      </c>
      <c r="E108" s="731" t="str">
        <f>+LIST_ACTIVIDADES!E110</f>
        <v>und</v>
      </c>
      <c r="F108" s="747">
        <f>+MEMORIASCANT!S539</f>
        <v>5</v>
      </c>
      <c r="G108" s="733">
        <f>+LIST_APUS_HIDROSAN!G757</f>
        <v>65219.978882873329</v>
      </c>
      <c r="H108" s="733">
        <f t="shared" si="4"/>
        <v>326100</v>
      </c>
    </row>
    <row r="109" spans="1:10" s="377" customFormat="1" ht="15" x14ac:dyDescent="0.25">
      <c r="A109" s="748"/>
      <c r="B109" s="746"/>
      <c r="C109" s="746" t="str">
        <f>+LIST_ACTIVIDADES!C111</f>
        <v>10.1.9</v>
      </c>
      <c r="D109" s="730" t="str">
        <f>+LIST_ACTIVIDADES!D111</f>
        <v>Llave de paso Diametro de 1/2"</v>
      </c>
      <c r="E109" s="731" t="str">
        <f>+LIST_ACTIVIDADES!E111</f>
        <v>und</v>
      </c>
      <c r="F109" s="747">
        <f>+MEMORIASCANT!S540</f>
        <v>40</v>
      </c>
      <c r="G109" s="733">
        <f>+LIST_APUS_HIDROSAN!G937</f>
        <v>43534.089358304998</v>
      </c>
      <c r="H109" s="733">
        <f t="shared" si="4"/>
        <v>1741364</v>
      </c>
    </row>
    <row r="110" spans="1:10" s="377" customFormat="1" ht="15" x14ac:dyDescent="0.25">
      <c r="A110" s="748"/>
      <c r="B110" s="746"/>
      <c r="C110" s="746" t="str">
        <f>+LIST_ACTIVIDADES!C112</f>
        <v>10.1.10</v>
      </c>
      <c r="D110" s="730" t="str">
        <f>+LIST_ACTIVIDADES!D112</f>
        <v>Llave de paso Diametro de 3/4"</v>
      </c>
      <c r="E110" s="731" t="str">
        <f>+LIST_ACTIVIDADES!E112</f>
        <v>und</v>
      </c>
      <c r="F110" s="747">
        <f>+MEMORIASCANT!S541</f>
        <v>2</v>
      </c>
      <c r="G110" s="733">
        <f>+LIST_APUS_HIDROSAN!G1027</f>
        <v>44554.089358304998</v>
      </c>
      <c r="H110" s="733">
        <f t="shared" si="4"/>
        <v>89108</v>
      </c>
    </row>
    <row r="111" spans="1:10" s="377" customFormat="1" ht="15" x14ac:dyDescent="0.25">
      <c r="A111" s="748"/>
      <c r="B111" s="746"/>
      <c r="C111" s="746" t="str">
        <f>+LIST_ACTIVIDADES!C113</f>
        <v>10.1.11</v>
      </c>
      <c r="D111" s="730" t="str">
        <f>+LIST_ACTIVIDADES!D113</f>
        <v>Llave de paso Diametro de 1"</v>
      </c>
      <c r="E111" s="731" t="str">
        <f>+LIST_ACTIVIDADES!E113</f>
        <v>und</v>
      </c>
      <c r="F111" s="747">
        <f>+MEMORIASCANT!S542</f>
        <v>3</v>
      </c>
      <c r="G111" s="733">
        <f>+LIST_APUS_HIDROSAN!G983</f>
        <v>45494.089358304998</v>
      </c>
      <c r="H111" s="733">
        <f t="shared" si="4"/>
        <v>136482</v>
      </c>
    </row>
    <row r="112" spans="1:10" s="377" customFormat="1" ht="15" x14ac:dyDescent="0.25">
      <c r="A112" s="748"/>
      <c r="B112" s="746"/>
      <c r="C112" s="746" t="str">
        <f>+LIST_ACTIVIDADES!C115</f>
        <v>10.1.13</v>
      </c>
      <c r="D112" s="730" t="str">
        <f>+LIST_ACTIVIDADES!D115</f>
        <v>Tanque plástico 2000 Litros, con tapa, incluye accesorios</v>
      </c>
      <c r="E112" s="731" t="str">
        <f>+LIST_ACTIVIDADES!E115</f>
        <v>und</v>
      </c>
      <c r="F112" s="747">
        <f>+MEMORIASCANT!S544</f>
        <v>4</v>
      </c>
      <c r="G112" s="733">
        <f>+LIST_ACTIVIDADES!F115</f>
        <v>857900</v>
      </c>
      <c r="H112" s="733">
        <f t="shared" si="4"/>
        <v>3431600</v>
      </c>
    </row>
    <row r="113" spans="1:8" s="377" customFormat="1" ht="28.5" x14ac:dyDescent="0.25">
      <c r="A113" s="748"/>
      <c r="B113" s="746"/>
      <c r="C113" s="746" t="str">
        <f>+LIST_ACTIVIDADES!C116</f>
        <v>10.1.14</v>
      </c>
      <c r="D113" s="730" t="str">
        <f>+LIST_ACTIVIDADES!D116</f>
        <v>Sistema de Planta de Tratamiento de Agua Potable (PTAP), incluye accesorios para su correcto funcionamiento</v>
      </c>
      <c r="E113" s="731" t="str">
        <f>+LIST_ACTIVIDADES!E116</f>
        <v>und</v>
      </c>
      <c r="F113" s="747">
        <f>+MEMORIASCANT!S545</f>
        <v>1</v>
      </c>
      <c r="G113" s="733">
        <f>+LIST_ACTIVIDADES!F116</f>
        <v>40000000</v>
      </c>
      <c r="H113" s="733">
        <f t="shared" si="4"/>
        <v>40000000</v>
      </c>
    </row>
    <row r="114" spans="1:8" s="377" customFormat="1" ht="15" x14ac:dyDescent="0.25">
      <c r="A114" s="724"/>
      <c r="B114" s="724" t="str">
        <f>+LIST_ACTIVIDADES!B117</f>
        <v>10.2</v>
      </c>
      <c r="C114" s="724"/>
      <c r="D114" s="737" t="str">
        <f>+LIST_ACTIVIDADES!D117</f>
        <v>Red e Instalaciones Sanitarias</v>
      </c>
      <c r="E114" s="726"/>
      <c r="F114" s="738"/>
      <c r="G114" s="735"/>
      <c r="H114" s="728">
        <f>SUM(H115:H124)</f>
        <v>84708827</v>
      </c>
    </row>
    <row r="115" spans="1:8" s="377" customFormat="1" ht="28.5" x14ac:dyDescent="0.25">
      <c r="A115" s="748"/>
      <c r="B115" s="746"/>
      <c r="C115" s="746" t="str">
        <f>+LIST_ACTIVIDADES!C118</f>
        <v>10.2.1</v>
      </c>
      <c r="D115" s="730" t="str">
        <f>+LIST_ACTIVIDADES!D118</f>
        <v>Tuberia PVC - Sanitaria, con un Diametro de 2", para aguas residuales enterrada, empotradas por losas y/o colgadas. Incluye Accesorios</v>
      </c>
      <c r="E115" s="731" t="str">
        <f>+LIST_ACTIVIDADES!E118</f>
        <v>m</v>
      </c>
      <c r="F115" s="747">
        <f>+MEMORIASCANT!S547</f>
        <v>37.5</v>
      </c>
      <c r="G115" s="733">
        <f>+LIST_ACTIVIDADES!F118</f>
        <v>27002.775819890001</v>
      </c>
      <c r="H115" s="733">
        <f t="shared" ref="H115:H124" si="5">ROUND(F115*G115,0)</f>
        <v>1012604</v>
      </c>
    </row>
    <row r="116" spans="1:8" s="377" customFormat="1" ht="28.5" x14ac:dyDescent="0.25">
      <c r="A116" s="748"/>
      <c r="B116" s="748"/>
      <c r="C116" s="746" t="str">
        <f>+LIST_ACTIVIDADES!C119</f>
        <v>10.2.2</v>
      </c>
      <c r="D116" s="730" t="str">
        <f>+LIST_ACTIVIDADES!D119</f>
        <v>Tuberia PVC - Sanitaria, con un Diametro de 4", para aguas residuales enterrada, empotradas por losas y/o colgadas. Incluye Accesorios</v>
      </c>
      <c r="E116" s="731" t="str">
        <f>+LIST_ACTIVIDADES!E119</f>
        <v>m</v>
      </c>
      <c r="F116" s="747">
        <f>+MEMORIASCANT!S548</f>
        <v>118.37</v>
      </c>
      <c r="G116" s="733">
        <f>+LIST_ACTIVIDADES!F119</f>
        <v>51552.225732063336</v>
      </c>
      <c r="H116" s="733">
        <f t="shared" si="5"/>
        <v>6102237</v>
      </c>
    </row>
    <row r="117" spans="1:8" s="377" customFormat="1" ht="30.75" customHeight="1" x14ac:dyDescent="0.25">
      <c r="A117" s="748"/>
      <c r="B117" s="748"/>
      <c r="C117" s="746" t="str">
        <f>+LIST_ACTIVIDADES!C120</f>
        <v>10.2.3</v>
      </c>
      <c r="D117" s="730" t="str">
        <f>+LIST_ACTIVIDADES!D120</f>
        <v>Tuberia PVC - Sanitaria, con un Diametro de 6",para aguas residuales enterrada, empotradas por losas y/o colgadas Incluye Accesorios</v>
      </c>
      <c r="E117" s="731" t="str">
        <f>+LIST_ACTIVIDADES!E120</f>
        <v>m</v>
      </c>
      <c r="F117" s="747">
        <f>+MEMORIASCANT!S549</f>
        <v>201.50000000000003</v>
      </c>
      <c r="G117" s="733">
        <f>+LIST_ACTIVIDADES!F120</f>
        <v>90961.282644183346</v>
      </c>
      <c r="H117" s="733">
        <f t="shared" si="5"/>
        <v>18328698</v>
      </c>
    </row>
    <row r="118" spans="1:8" s="377" customFormat="1" ht="15" x14ac:dyDescent="0.25">
      <c r="A118" s="748"/>
      <c r="B118" s="748"/>
      <c r="C118" s="746" t="str">
        <f>+LIST_ACTIVIDADES!C121</f>
        <v>10.2.4</v>
      </c>
      <c r="D118" s="730" t="str">
        <f>+LIST_ACTIVIDADES!D121</f>
        <v>Punto Sanitario con Diametro de 2"</v>
      </c>
      <c r="E118" s="731" t="str">
        <f>+LIST_ACTIVIDADES!E121</f>
        <v>und</v>
      </c>
      <c r="F118" s="747">
        <f>+MEMORIASCANT!S550</f>
        <v>39</v>
      </c>
      <c r="G118" s="733">
        <f>+LIST_ACTIVIDADES!F121</f>
        <v>48015.815807910003</v>
      </c>
      <c r="H118" s="733">
        <f t="shared" si="5"/>
        <v>1872617</v>
      </c>
    </row>
    <row r="119" spans="1:8" s="377" customFormat="1" ht="15" x14ac:dyDescent="0.25">
      <c r="A119" s="748"/>
      <c r="B119" s="748"/>
      <c r="C119" s="746" t="str">
        <f>+LIST_ACTIVIDADES!C122</f>
        <v>10.2.5</v>
      </c>
      <c r="D119" s="730" t="str">
        <f>+LIST_ACTIVIDADES!D122</f>
        <v>Punto PVC - Sifon de piso con Diametro de 2"</v>
      </c>
      <c r="E119" s="731" t="str">
        <f>+LIST_ACTIVIDADES!E122</f>
        <v>und</v>
      </c>
      <c r="F119" s="747">
        <f>+MEMORIASCANT!S551</f>
        <v>23</v>
      </c>
      <c r="G119" s="733">
        <f>+LIST_ACTIVIDADES!F122</f>
        <v>48015.815807910003</v>
      </c>
      <c r="H119" s="733">
        <f t="shared" si="5"/>
        <v>1104364</v>
      </c>
    </row>
    <row r="120" spans="1:8" s="377" customFormat="1" ht="15" x14ac:dyDescent="0.25">
      <c r="A120" s="748"/>
      <c r="B120" s="748"/>
      <c r="C120" s="746" t="str">
        <f>+LIST_ACTIVIDADES!C123</f>
        <v>10.2.6</v>
      </c>
      <c r="D120" s="730" t="str">
        <f>+LIST_ACTIVIDADES!D123</f>
        <v>Punto Sanitario con Diametro de 4"</v>
      </c>
      <c r="E120" s="731" t="str">
        <f>+LIST_ACTIVIDADES!E123</f>
        <v>und</v>
      </c>
      <c r="F120" s="747">
        <f>+MEMORIASCANT!S552</f>
        <v>30</v>
      </c>
      <c r="G120" s="733">
        <f>+LIST_ACTIVIDADES!F123</f>
        <v>73137.943198320005</v>
      </c>
      <c r="H120" s="733">
        <f t="shared" si="5"/>
        <v>2194138</v>
      </c>
    </row>
    <row r="121" spans="1:8" s="377" customFormat="1" ht="28.5" x14ac:dyDescent="0.25">
      <c r="A121" s="748"/>
      <c r="B121" s="748"/>
      <c r="C121" s="746" t="str">
        <f>+LIST_ACTIVIDADES!C124</f>
        <v>10.2.7</v>
      </c>
      <c r="D121" s="730" t="str">
        <f>+LIST_ACTIVIDADES!D124</f>
        <v>Construcción de Caja de inspección Sanitaria en concreto de 3000 psi con sección libre (80x80 cm) h/variable.</v>
      </c>
      <c r="E121" s="731" t="str">
        <f>+LIST_ACTIVIDADES!E124</f>
        <v>und</v>
      </c>
      <c r="F121" s="747">
        <f>+MEMORIASCANT!S553</f>
        <v>15</v>
      </c>
      <c r="G121" s="733">
        <f>+LIST_ACTIVIDADES!F124</f>
        <v>496529.93902405666</v>
      </c>
      <c r="H121" s="733">
        <f t="shared" si="5"/>
        <v>7447949</v>
      </c>
    </row>
    <row r="122" spans="1:8" s="377" customFormat="1" ht="28.5" x14ac:dyDescent="0.25">
      <c r="A122" s="748"/>
      <c r="B122" s="748"/>
      <c r="C122" s="746" t="str">
        <f>+LIST_ACTIVIDADES!C125</f>
        <v>10.2.8</v>
      </c>
      <c r="D122" s="730" t="str">
        <f>+LIST_ACTIVIDADES!D125</f>
        <v>Sistema de Planta de Tratamiento de Aguas Residules (PTAR), incluye emisario final y accesorios para su correcto funcionamiento</v>
      </c>
      <c r="E122" s="731" t="str">
        <f>+LIST_ACTIVIDADES!E125</f>
        <v>und</v>
      </c>
      <c r="F122" s="747">
        <f>+MEMORIASCANT!S554</f>
        <v>1</v>
      </c>
      <c r="G122" s="733">
        <f>+LIST_ACTIVIDADES!F125</f>
        <v>35000000</v>
      </c>
      <c r="H122" s="733">
        <f t="shared" si="5"/>
        <v>35000000</v>
      </c>
    </row>
    <row r="123" spans="1:8" s="377" customFormat="1" ht="15" x14ac:dyDescent="0.25">
      <c r="A123" s="748"/>
      <c r="B123" s="748"/>
      <c r="C123" s="746" t="str">
        <f>+LIST_ACTIVIDADES!C126</f>
        <v>10.2.9</v>
      </c>
      <c r="D123" s="730" t="str">
        <f>+LIST_ACTIVIDADES!D126</f>
        <v>Sistema de Trampa de Grasas</v>
      </c>
      <c r="E123" s="731" t="str">
        <f>+LIST_ACTIVIDADES!E126</f>
        <v>und</v>
      </c>
      <c r="F123" s="747">
        <f>+MEMORIASCANT!S555</f>
        <v>1</v>
      </c>
      <c r="G123" s="733">
        <f>+LIST_ACTIVIDADES!F126</f>
        <v>8500000</v>
      </c>
      <c r="H123" s="733">
        <f t="shared" si="5"/>
        <v>8500000</v>
      </c>
    </row>
    <row r="124" spans="1:8" s="377" customFormat="1" ht="15" x14ac:dyDescent="0.25">
      <c r="A124" s="748"/>
      <c r="B124" s="748"/>
      <c r="C124" s="746" t="str">
        <f>+LIST_ACTIVIDADES!C127</f>
        <v>10.2.10</v>
      </c>
      <c r="D124" s="730" t="str">
        <f>+LIST_ACTIVIDADES!D127</f>
        <v xml:space="preserve">Suministro e instalacion de tubos en concreto para alcantarilla D = 36" </v>
      </c>
      <c r="E124" s="731" t="str">
        <f>+LIST_ACTIVIDADES!E127</f>
        <v>und</v>
      </c>
      <c r="F124" s="747">
        <f>+MEMORIASCANT!S556</f>
        <v>9</v>
      </c>
      <c r="G124" s="733">
        <f>+LIST_ACTIVIDADES!F127</f>
        <v>349580</v>
      </c>
      <c r="H124" s="733">
        <f t="shared" si="5"/>
        <v>3146220</v>
      </c>
    </row>
    <row r="125" spans="1:8" s="377" customFormat="1" ht="15" x14ac:dyDescent="0.25">
      <c r="A125" s="724"/>
      <c r="B125" s="724" t="str">
        <f>+LIST_ACTIVIDADES!B128</f>
        <v>10.3</v>
      </c>
      <c r="C125" s="724"/>
      <c r="D125" s="737" t="str">
        <f>+LIST_ACTIVIDADES!D128</f>
        <v>Red e Instalaciones Patogenas</v>
      </c>
      <c r="E125" s="726"/>
      <c r="F125" s="738"/>
      <c r="G125" s="735"/>
      <c r="H125" s="728">
        <f>SUM(H126:H130)</f>
        <v>23183007</v>
      </c>
    </row>
    <row r="126" spans="1:8" s="377" customFormat="1" ht="28.5" x14ac:dyDescent="0.25">
      <c r="A126" s="748"/>
      <c r="B126" s="748"/>
      <c r="C126" s="746" t="str">
        <f>+LIST_ACTIVIDADES!C129</f>
        <v>10.3.1</v>
      </c>
      <c r="D126" s="730" t="str">
        <f>+LIST_ACTIVIDADES!D129</f>
        <v>Tuberia PVC - Patogena, con un Diametro de 2", para aguas residuales enterrada, empotradas por losas y/o colgadas. Incluye Accesorios</v>
      </c>
      <c r="E126" s="731" t="str">
        <f>+LIST_ACTIVIDADES!E129</f>
        <v>m</v>
      </c>
      <c r="F126" s="747">
        <f>+MEMORIASCANT!S558</f>
        <v>6.19</v>
      </c>
      <c r="G126" s="733">
        <f>+LIST_ACTIVIDADES!F129</f>
        <v>27002.775819890001</v>
      </c>
      <c r="H126" s="733">
        <f t="shared" ref="H126:H130" si="6">ROUND(F126*G126,0)</f>
        <v>167147</v>
      </c>
    </row>
    <row r="127" spans="1:8" s="377" customFormat="1" ht="28.5" x14ac:dyDescent="0.25">
      <c r="A127" s="748"/>
      <c r="B127" s="748"/>
      <c r="C127" s="746" t="str">
        <f>+LIST_ACTIVIDADES!C130</f>
        <v>10.3.2</v>
      </c>
      <c r="D127" s="730" t="str">
        <f>+LIST_ACTIVIDADES!D130</f>
        <v>Tuberia PVC - Patogena, con un Diametro de 4", para aguas residuales enterrada, empotradas por losas y/o colgadas. Incluye Accesorios</v>
      </c>
      <c r="E127" s="731" t="str">
        <f>+LIST_ACTIVIDADES!E130</f>
        <v>m</v>
      </c>
      <c r="F127" s="747">
        <f>+MEMORIASCANT!S559</f>
        <v>72.529999999999987</v>
      </c>
      <c r="G127" s="733">
        <f>+LIST_ACTIVIDADES!F130</f>
        <v>51552.225732063336</v>
      </c>
      <c r="H127" s="733">
        <f t="shared" si="6"/>
        <v>3739083</v>
      </c>
    </row>
    <row r="128" spans="1:8" s="377" customFormat="1" ht="28.5" x14ac:dyDescent="0.25">
      <c r="A128" s="748"/>
      <c r="B128" s="748"/>
      <c r="C128" s="746" t="str">
        <f>+LIST_ACTIVIDADES!C131</f>
        <v>10.3.3</v>
      </c>
      <c r="D128" s="730" t="str">
        <f>+LIST_ACTIVIDADES!D131</f>
        <v>Tuberia PVC - Patogena, con un Diametro de 6", para aguas residuales enterrada, empotradas por losas y/o colgadas. Incluye Accesorios</v>
      </c>
      <c r="E128" s="731" t="str">
        <f>+LIST_ACTIVIDADES!E131</f>
        <v>m</v>
      </c>
      <c r="F128" s="747">
        <f>+MEMORIASCANT!S560</f>
        <v>148.88999999999999</v>
      </c>
      <c r="G128" s="733">
        <f>+LIST_ACTIVIDADES!F131</f>
        <v>90961.282644183346</v>
      </c>
      <c r="H128" s="733">
        <f t="shared" si="6"/>
        <v>13543225</v>
      </c>
    </row>
    <row r="129" spans="1:8" s="377" customFormat="1" ht="15" x14ac:dyDescent="0.25">
      <c r="A129" s="748"/>
      <c r="B129" s="748"/>
      <c r="C129" s="746" t="str">
        <f>+LIST_ACTIVIDADES!C132</f>
        <v>10.3.4</v>
      </c>
      <c r="D129" s="730" t="str">
        <f>+LIST_ACTIVIDADES!D132</f>
        <v>Punto Patogeno con Diametro de 2"</v>
      </c>
      <c r="E129" s="731" t="str">
        <f>+LIST_ACTIVIDADES!E132</f>
        <v>und</v>
      </c>
      <c r="F129" s="747">
        <f>+MEMORIASCANT!S561</f>
        <v>16</v>
      </c>
      <c r="G129" s="733">
        <f>+LIST_ACTIVIDADES!F132</f>
        <v>48015.815807910003</v>
      </c>
      <c r="H129" s="733">
        <f t="shared" si="6"/>
        <v>768253</v>
      </c>
    </row>
    <row r="130" spans="1:8" s="377" customFormat="1" ht="28.5" x14ac:dyDescent="0.25">
      <c r="A130" s="748"/>
      <c r="B130" s="748"/>
      <c r="C130" s="746" t="str">
        <f>+LIST_ACTIVIDADES!C133</f>
        <v>10.3.5</v>
      </c>
      <c r="D130" s="730" t="str">
        <f>+LIST_ACTIVIDADES!D133</f>
        <v>Construcción de Caja de inspección Patogena en concreto de 3000 psi con sección libre (80x80 cm) h/variable.</v>
      </c>
      <c r="E130" s="731" t="str">
        <f>+LIST_ACTIVIDADES!E133</f>
        <v>und</v>
      </c>
      <c r="F130" s="747">
        <f>+MEMORIASCANT!S562</f>
        <v>10</v>
      </c>
      <c r="G130" s="733">
        <f>+LIST_ACTIVIDADES!F133</f>
        <v>496529.93902405666</v>
      </c>
      <c r="H130" s="733">
        <f t="shared" si="6"/>
        <v>4965299</v>
      </c>
    </row>
    <row r="131" spans="1:8" s="377" customFormat="1" ht="15" x14ac:dyDescent="0.25">
      <c r="A131" s="724"/>
      <c r="B131" s="724" t="str">
        <f>+LIST_ACTIVIDADES!B134</f>
        <v>10.4</v>
      </c>
      <c r="C131" s="724"/>
      <c r="D131" s="737" t="str">
        <f>+LIST_ACTIVIDADES!D134</f>
        <v>Red e Instalaciones Aguas lluvias</v>
      </c>
      <c r="E131" s="726"/>
      <c r="F131" s="738"/>
      <c r="G131" s="735"/>
      <c r="H131" s="728">
        <f>SUM(H132)</f>
        <v>5189341</v>
      </c>
    </row>
    <row r="132" spans="1:8" s="377" customFormat="1" ht="28.5" x14ac:dyDescent="0.25">
      <c r="A132" s="748"/>
      <c r="B132" s="748"/>
      <c r="C132" s="746" t="str">
        <f>+LIST_ACTIVIDADES!C135</f>
        <v>10.4.1</v>
      </c>
      <c r="D132" s="730" t="str">
        <f>+LIST_ACTIVIDADES!D135</f>
        <v>Tuberia PVC - Sanitaria, con un Diametro de 6", para aguas lluvias, enterrada, empotradas por losas y/o colgadas. Incluye Accesorios</v>
      </c>
      <c r="E132" s="731" t="str">
        <f>+LIST_ACTIVIDADES!E135</f>
        <v>m</v>
      </c>
      <c r="F132" s="747">
        <f>+MEMORIASCANT!S564</f>
        <v>57.05</v>
      </c>
      <c r="G132" s="733">
        <f>+LIST_ACTIVIDADES!F135</f>
        <v>90961.282644183346</v>
      </c>
      <c r="H132" s="733">
        <f t="shared" ref="H132" si="7">ROUND(F132*G132,0)</f>
        <v>5189341</v>
      </c>
    </row>
    <row r="133" spans="1:8" s="377" customFormat="1" ht="15" x14ac:dyDescent="0.25">
      <c r="A133" s="724"/>
      <c r="B133" s="724" t="str">
        <f>+LIST_ACTIVIDADES!B136</f>
        <v>10.5</v>
      </c>
      <c r="C133" s="724"/>
      <c r="D133" s="737" t="str">
        <f>+LIST_ACTIVIDADES!D136</f>
        <v>Red e Instalaciones ContraIncendio</v>
      </c>
      <c r="E133" s="726"/>
      <c r="F133" s="738"/>
      <c r="G133" s="735"/>
      <c r="H133" s="728">
        <f>SUM(H134:H138)</f>
        <v>48509960</v>
      </c>
    </row>
    <row r="134" spans="1:8" s="377" customFormat="1" ht="15" x14ac:dyDescent="0.25">
      <c r="A134" s="748"/>
      <c r="B134" s="748"/>
      <c r="C134" s="746" t="str">
        <f>+LIST_ACTIVIDADES!C137</f>
        <v>10.5.1</v>
      </c>
      <c r="D134" s="730" t="str">
        <f>+LIST_ACTIVIDADES!D137</f>
        <v>Gabinete contra incendios</v>
      </c>
      <c r="E134" s="731" t="str">
        <f>+LIST_ACTIVIDADES!E137</f>
        <v>und</v>
      </c>
      <c r="F134" s="747">
        <f>+MEMORIASCANT!S566</f>
        <v>2</v>
      </c>
      <c r="G134" s="733">
        <f>+LIST_ACTIVIDADES!F137</f>
        <v>2054000</v>
      </c>
      <c r="H134" s="733">
        <f t="shared" ref="H134:H138" si="8">ROUND(F134*G134,0)</f>
        <v>4108000</v>
      </c>
    </row>
    <row r="135" spans="1:8" s="377" customFormat="1" ht="15" x14ac:dyDescent="0.25">
      <c r="A135" s="748"/>
      <c r="B135" s="748"/>
      <c r="C135" s="746" t="str">
        <f>+LIST_ACTIVIDADES!C138</f>
        <v>10.5.2</v>
      </c>
      <c r="D135" s="730" t="str">
        <f>+LIST_ACTIVIDADES!D138</f>
        <v xml:space="preserve">Rociadores </v>
      </c>
      <c r="E135" s="731" t="str">
        <f>+LIST_ACTIVIDADES!E138</f>
        <v>und</v>
      </c>
      <c r="F135" s="747">
        <f>+MEMORIASCANT!S567</f>
        <v>80</v>
      </c>
      <c r="G135" s="733">
        <f>+LIST_ACTIVIDADES!F138</f>
        <v>77000</v>
      </c>
      <c r="H135" s="733">
        <f t="shared" si="8"/>
        <v>6160000</v>
      </c>
    </row>
    <row r="136" spans="1:8" s="377" customFormat="1" ht="15" x14ac:dyDescent="0.25">
      <c r="A136" s="748"/>
      <c r="B136" s="748"/>
      <c r="C136" s="746" t="str">
        <f>+LIST_ACTIVIDADES!C139</f>
        <v>10.5.3</v>
      </c>
      <c r="D136" s="730" t="str">
        <f>+LIST_ACTIVIDADES!D139</f>
        <v>Tuberia HG 1" hasta H=3M (incluye accesorios)</v>
      </c>
      <c r="E136" s="731" t="str">
        <f>+LIST_ACTIVIDADES!E139</f>
        <v>m</v>
      </c>
      <c r="F136" s="747">
        <f>+MEMORIASCANT!S568</f>
        <v>80</v>
      </c>
      <c r="G136" s="733">
        <f>+LIST_ACTIVIDADES!F139</f>
        <v>195750</v>
      </c>
      <c r="H136" s="733">
        <f t="shared" si="8"/>
        <v>15660000</v>
      </c>
    </row>
    <row r="137" spans="1:8" s="377" customFormat="1" ht="15" x14ac:dyDescent="0.25">
      <c r="A137" s="748"/>
      <c r="B137" s="748"/>
      <c r="C137" s="746" t="str">
        <f>+LIST_ACTIVIDADES!C140</f>
        <v>10.5.4</v>
      </c>
      <c r="D137" s="730" t="str">
        <f>+LIST_ACTIVIDADES!D140</f>
        <v>Tuberia HG 2" hasta H=3M (incluye accesorios)</v>
      </c>
      <c r="E137" s="731" t="str">
        <f>+LIST_ACTIVIDADES!E140</f>
        <v>m</v>
      </c>
      <c r="F137" s="747">
        <f>+MEMORIASCANT!S569</f>
        <v>140</v>
      </c>
      <c r="G137" s="733">
        <f>+LIST_ACTIVIDADES!F140</f>
        <v>156639</v>
      </c>
      <c r="H137" s="733">
        <f t="shared" si="8"/>
        <v>21929460</v>
      </c>
    </row>
    <row r="138" spans="1:8" s="377" customFormat="1" ht="15" x14ac:dyDescent="0.25">
      <c r="A138" s="748"/>
      <c r="B138" s="748"/>
      <c r="C138" s="746" t="str">
        <f>+LIST_ACTIVIDADES!C141</f>
        <v>10.5.5</v>
      </c>
      <c r="D138" s="730" t="str">
        <f>+LIST_ACTIVIDADES!D141</f>
        <v>Valvula Siamesa</v>
      </c>
      <c r="E138" s="731" t="str">
        <f>+LIST_ACTIVIDADES!E141</f>
        <v>und</v>
      </c>
      <c r="F138" s="747">
        <f>+MEMORIASCANT!S570</f>
        <v>1</v>
      </c>
      <c r="G138" s="733">
        <f>+LIST_ACTIVIDADES!F141</f>
        <v>652500</v>
      </c>
      <c r="H138" s="733">
        <f t="shared" si="8"/>
        <v>652500</v>
      </c>
    </row>
    <row r="139" spans="1:8" s="377" customFormat="1" ht="15" x14ac:dyDescent="0.25">
      <c r="A139" s="724"/>
      <c r="B139" s="724" t="str">
        <f>+LIST_ACTIVIDADES!B142</f>
        <v>10.6</v>
      </c>
      <c r="C139" s="724"/>
      <c r="D139" s="737" t="str">
        <f>+LIST_ACTIVIDADES!D142</f>
        <v>Enchapes y Aparatos Sanitarios</v>
      </c>
      <c r="E139" s="726"/>
      <c r="F139" s="738"/>
      <c r="G139" s="735"/>
      <c r="H139" s="728">
        <f>SUM(H140:H144)</f>
        <v>78107879</v>
      </c>
    </row>
    <row r="140" spans="1:8" s="377" customFormat="1" ht="15" x14ac:dyDescent="0.25">
      <c r="A140" s="748"/>
      <c r="B140" s="748"/>
      <c r="C140" s="746" t="str">
        <f>+LIST_ACTIVIDADES!C143</f>
        <v>10.6.1</v>
      </c>
      <c r="D140" s="730" t="str">
        <f>+LIST_ACTIVIDADES!D143</f>
        <v>Enchape piso-pared en ceramica de 1ra de 20 x 20cm</v>
      </c>
      <c r="E140" s="731" t="str">
        <f>+LIST_ACTIVIDADES!E143</f>
        <v>und</v>
      </c>
      <c r="F140" s="747">
        <f>+MEMORIASCANT!S573</f>
        <v>650.04999999999995</v>
      </c>
      <c r="G140" s="733">
        <f>+LIST_ACTIVIDADES!F143</f>
        <v>80473.75</v>
      </c>
      <c r="H140" s="733">
        <f t="shared" ref="H140:H145" si="9">ROUND(F140*G140,0)</f>
        <v>52311961</v>
      </c>
    </row>
    <row r="141" spans="1:8" s="377" customFormat="1" x14ac:dyDescent="0.25">
      <c r="A141" s="746"/>
      <c r="B141" s="746"/>
      <c r="C141" s="746" t="str">
        <f>+LIST_ACTIVIDADES!C144</f>
        <v>10.6.2</v>
      </c>
      <c r="D141" s="730" t="str">
        <f>+LIST_ACTIVIDADES!D144</f>
        <v>Sanitario tipo avanti de bajo consumo</v>
      </c>
      <c r="E141" s="731" t="str">
        <f>+LIST_ACTIVIDADES!E144</f>
        <v>und</v>
      </c>
      <c r="F141" s="747">
        <f>+MEMORIASCANT!S574</f>
        <v>27</v>
      </c>
      <c r="G141" s="733">
        <f>+LIST_ACTIVIDADES!F144</f>
        <v>506619.75863</v>
      </c>
      <c r="H141" s="733">
        <f t="shared" si="9"/>
        <v>13678733</v>
      </c>
    </row>
    <row r="142" spans="1:8" s="377" customFormat="1" x14ac:dyDescent="0.25">
      <c r="A142" s="746"/>
      <c r="B142" s="746"/>
      <c r="C142" s="746" t="str">
        <f>+LIST_ACTIVIDADES!C145</f>
        <v>10.6.3</v>
      </c>
      <c r="D142" s="730" t="str">
        <f>+LIST_ACTIVIDADES!D145</f>
        <v>Lavamanos tipo avanti de pedestal con griferia, incluye griferia tipo llave</v>
      </c>
      <c r="E142" s="731" t="str">
        <f>+LIST_ACTIVIDADES!E145</f>
        <v>und</v>
      </c>
      <c r="F142" s="747">
        <v>19</v>
      </c>
      <c r="G142" s="733">
        <f>+LIST_ACTIVIDADES!F145</f>
        <v>368283.42848499998</v>
      </c>
      <c r="H142" s="733">
        <f t="shared" si="9"/>
        <v>6997385</v>
      </c>
    </row>
    <row r="143" spans="1:8" s="377" customFormat="1" x14ac:dyDescent="0.25">
      <c r="A143" s="746"/>
      <c r="B143" s="746"/>
      <c r="C143" s="746" t="str">
        <f>+LIST_ACTIVIDADES!C146</f>
        <v>10.6.4</v>
      </c>
      <c r="D143" s="730" t="str">
        <f>+LIST_ACTIVIDADES!D146</f>
        <v>Poceta de aseo prefabricada en balsoda</v>
      </c>
      <c r="E143" s="731" t="str">
        <f>+LIST_ACTIVIDADES!E146</f>
        <v>und</v>
      </c>
      <c r="F143" s="747">
        <f>+MEMORIASCANT!S576</f>
        <v>18</v>
      </c>
      <c r="G143" s="733">
        <f>+LIST_ACTIVIDADES!F146</f>
        <v>235600</v>
      </c>
      <c r="H143" s="733">
        <f t="shared" si="9"/>
        <v>4240800</v>
      </c>
    </row>
    <row r="144" spans="1:8" s="377" customFormat="1" x14ac:dyDescent="0.25">
      <c r="A144" s="746"/>
      <c r="B144" s="746"/>
      <c r="C144" s="746" t="str">
        <f>+LIST_ACTIVIDADES!C147</f>
        <v>10.6.5</v>
      </c>
      <c r="D144" s="730" t="str">
        <f>+LIST_ACTIVIDADES!D147</f>
        <v>Ducha cromada de 1/2" con mezclador</v>
      </c>
      <c r="E144" s="731" t="str">
        <f>+LIST_ACTIVIDADES!E147</f>
        <v>und</v>
      </c>
      <c r="F144" s="747">
        <f>+MEMORIASCANT!S577</f>
        <v>5</v>
      </c>
      <c r="G144" s="733">
        <f>+LIST_ACTIVIDADES!F147</f>
        <v>175800</v>
      </c>
      <c r="H144" s="733">
        <f t="shared" si="9"/>
        <v>879000</v>
      </c>
    </row>
    <row r="145" spans="1:8" s="377" customFormat="1" x14ac:dyDescent="0.25">
      <c r="A145" s="746"/>
      <c r="B145" s="746"/>
      <c r="C145" s="746" t="str">
        <f>+LIST_ACTIVIDADES!C148</f>
        <v>10.6.6</v>
      </c>
      <c r="D145" s="730" t="str">
        <f>+LIST_ACTIVIDADES!D148</f>
        <v>Lavamanos en acero con escurridero</v>
      </c>
      <c r="E145" s="731" t="str">
        <f>+LIST_ACTIVIDADES!E148</f>
        <v>und</v>
      </c>
      <c r="F145" s="747">
        <v>0</v>
      </c>
      <c r="G145" s="733">
        <f>+LIST_ACTIVIDADES!F148</f>
        <v>523938.52704999998</v>
      </c>
      <c r="H145" s="733">
        <f t="shared" si="9"/>
        <v>0</v>
      </c>
    </row>
    <row r="146" spans="1:8" s="377" customFormat="1" ht="15" x14ac:dyDescent="0.25">
      <c r="A146" s="724" t="str">
        <f>+LIST_ACTIVIDADES!A149</f>
        <v>11.0</v>
      </c>
      <c r="B146" s="724"/>
      <c r="C146" s="724"/>
      <c r="D146" s="725" t="str">
        <f>+LIST_ACTIVIDADES!D149</f>
        <v>ZONAS VERDES</v>
      </c>
      <c r="E146" s="726"/>
      <c r="F146" s="738"/>
      <c r="G146" s="735"/>
      <c r="H146" s="728">
        <f>SUM(H147:H148)</f>
        <v>3243147</v>
      </c>
    </row>
    <row r="147" spans="1:8" s="377" customFormat="1" x14ac:dyDescent="0.25">
      <c r="A147" s="746"/>
      <c r="B147" s="746"/>
      <c r="C147" s="746" t="str">
        <f>+LIST_ACTIVIDADES!C150</f>
        <v>11.1</v>
      </c>
      <c r="D147" s="730" t="str">
        <f>+LIST_ACTIVIDADES!D150</f>
        <v>Semilla vegetal zonas verdes y jardines, incluye abono</v>
      </c>
      <c r="E147" s="731" t="str">
        <f>+LIST_ACTIVIDADES!E150</f>
        <v>m²</v>
      </c>
      <c r="F147" s="747">
        <f>+MEMORIASCANT!S579</f>
        <v>458.69</v>
      </c>
      <c r="G147" s="733">
        <f>+LIST_ACTIVIDADES!F150</f>
        <v>2773</v>
      </c>
      <c r="H147" s="733">
        <f t="shared" ref="H147:H148" si="10">ROUND(F147*G147,0)</f>
        <v>1271947</v>
      </c>
    </row>
    <row r="148" spans="1:8" s="377" customFormat="1" x14ac:dyDescent="0.25">
      <c r="A148" s="746"/>
      <c r="B148" s="746"/>
      <c r="C148" s="746" t="str">
        <f>+LIST_ACTIVIDADES!C151</f>
        <v>11.2</v>
      </c>
      <c r="D148" s="730" t="str">
        <f>+LIST_ACTIVIDADES!D151</f>
        <v>Arboles o especies nativas.</v>
      </c>
      <c r="E148" s="731" t="str">
        <f>+LIST_ACTIVIDADES!E151</f>
        <v>und</v>
      </c>
      <c r="F148" s="747">
        <f>+MEMORIASCANT!S580</f>
        <v>20</v>
      </c>
      <c r="G148" s="733">
        <f>+LIST_ACTIVIDADES!F151</f>
        <v>98560</v>
      </c>
      <c r="H148" s="733">
        <f t="shared" si="10"/>
        <v>1971200</v>
      </c>
    </row>
    <row r="149" spans="1:8" s="377" customFormat="1" ht="15" x14ac:dyDescent="0.25">
      <c r="A149" s="724" t="s">
        <v>1924</v>
      </c>
      <c r="B149" s="724"/>
      <c r="C149" s="724"/>
      <c r="D149" s="725" t="s">
        <v>84</v>
      </c>
      <c r="E149" s="726"/>
      <c r="F149" s="738"/>
      <c r="G149" s="735"/>
      <c r="H149" s="728">
        <f>+H150+H160</f>
        <v>277609628</v>
      </c>
    </row>
    <row r="150" spans="1:8" s="377" customFormat="1" ht="15" x14ac:dyDescent="0.25">
      <c r="A150" s="724"/>
      <c r="B150" s="724" t="s">
        <v>748</v>
      </c>
      <c r="C150" s="724"/>
      <c r="D150" s="737" t="s">
        <v>710</v>
      </c>
      <c r="E150" s="726"/>
      <c r="F150" s="738"/>
      <c r="G150" s="735"/>
      <c r="H150" s="728">
        <f>SUM(H151:H159)</f>
        <v>19655234</v>
      </c>
    </row>
    <row r="151" spans="1:8" s="377" customFormat="1" ht="28.5" x14ac:dyDescent="0.25">
      <c r="A151" s="746"/>
      <c r="B151" s="746"/>
      <c r="C151" s="746" t="s">
        <v>1948</v>
      </c>
      <c r="D151" s="730" t="s">
        <v>713</v>
      </c>
      <c r="E151" s="731" t="s">
        <v>13</v>
      </c>
      <c r="F151" s="747">
        <v>1</v>
      </c>
      <c r="G151" s="733">
        <v>1569925</v>
      </c>
      <c r="H151" s="733">
        <f t="shared" ref="H151:H190" si="11">ROUND(F151*G151,0)</f>
        <v>1569925</v>
      </c>
    </row>
    <row r="152" spans="1:8" s="377" customFormat="1" x14ac:dyDescent="0.25">
      <c r="A152" s="746"/>
      <c r="B152" s="746"/>
      <c r="C152" s="746" t="s">
        <v>1949</v>
      </c>
      <c r="D152" s="730" t="s">
        <v>715</v>
      </c>
      <c r="E152" s="731" t="s">
        <v>13</v>
      </c>
      <c r="F152" s="747">
        <v>30</v>
      </c>
      <c r="G152" s="733">
        <v>87725</v>
      </c>
      <c r="H152" s="733">
        <f t="shared" si="11"/>
        <v>2631750</v>
      </c>
    </row>
    <row r="153" spans="1:8" s="377" customFormat="1" x14ac:dyDescent="0.25">
      <c r="A153" s="746"/>
      <c r="B153" s="746"/>
      <c r="C153" s="746" t="s">
        <v>1950</v>
      </c>
      <c r="D153" s="730" t="s">
        <v>717</v>
      </c>
      <c r="E153" s="731" t="s">
        <v>13</v>
      </c>
      <c r="F153" s="747">
        <v>1</v>
      </c>
      <c r="G153" s="733">
        <v>254750</v>
      </c>
      <c r="H153" s="733">
        <f t="shared" si="11"/>
        <v>254750</v>
      </c>
    </row>
    <row r="154" spans="1:8" s="377" customFormat="1" ht="42.75" x14ac:dyDescent="0.25">
      <c r="A154" s="746"/>
      <c r="B154" s="746"/>
      <c r="C154" s="746" t="s">
        <v>1951</v>
      </c>
      <c r="D154" s="730" t="s">
        <v>719</v>
      </c>
      <c r="E154" s="731" t="s">
        <v>15</v>
      </c>
      <c r="F154" s="747">
        <v>70</v>
      </c>
      <c r="G154" s="733">
        <v>44673</v>
      </c>
      <c r="H154" s="733">
        <f t="shared" si="11"/>
        <v>3127110</v>
      </c>
    </row>
    <row r="155" spans="1:8" s="377" customFormat="1" x14ac:dyDescent="0.25">
      <c r="A155" s="746"/>
      <c r="B155" s="746"/>
      <c r="C155" s="746" t="s">
        <v>1952</v>
      </c>
      <c r="D155" s="730" t="s">
        <v>721</v>
      </c>
      <c r="E155" s="731" t="s">
        <v>13</v>
      </c>
      <c r="F155" s="747">
        <v>1</v>
      </c>
      <c r="G155" s="733">
        <v>2491986</v>
      </c>
      <c r="H155" s="733">
        <f t="shared" si="11"/>
        <v>2491986</v>
      </c>
    </row>
    <row r="156" spans="1:8" s="377" customFormat="1" ht="28.5" x14ac:dyDescent="0.25">
      <c r="A156" s="746"/>
      <c r="B156" s="746"/>
      <c r="C156" s="746" t="s">
        <v>1953</v>
      </c>
      <c r="D156" s="730" t="s">
        <v>723</v>
      </c>
      <c r="E156" s="731" t="s">
        <v>15</v>
      </c>
      <c r="F156" s="747">
        <v>50</v>
      </c>
      <c r="G156" s="733">
        <v>14189</v>
      </c>
      <c r="H156" s="733">
        <f t="shared" si="11"/>
        <v>709450</v>
      </c>
    </row>
    <row r="157" spans="1:8" s="377" customFormat="1" ht="28.5" x14ac:dyDescent="0.25">
      <c r="A157" s="746"/>
      <c r="B157" s="746"/>
      <c r="C157" s="746" t="s">
        <v>1954</v>
      </c>
      <c r="D157" s="730" t="s">
        <v>725</v>
      </c>
      <c r="E157" s="731" t="s">
        <v>13</v>
      </c>
      <c r="F157" s="747">
        <v>1</v>
      </c>
      <c r="G157" s="733">
        <v>708013</v>
      </c>
      <c r="H157" s="733">
        <f t="shared" si="11"/>
        <v>708013</v>
      </c>
    </row>
    <row r="158" spans="1:8" s="377" customFormat="1" ht="28.5" x14ac:dyDescent="0.25">
      <c r="A158" s="746"/>
      <c r="B158" s="746"/>
      <c r="C158" s="746" t="s">
        <v>1955</v>
      </c>
      <c r="D158" s="730" t="s">
        <v>727</v>
      </c>
      <c r="E158" s="731" t="s">
        <v>13</v>
      </c>
      <c r="F158" s="747">
        <v>6</v>
      </c>
      <c r="G158" s="733">
        <v>240725</v>
      </c>
      <c r="H158" s="733">
        <f t="shared" si="11"/>
        <v>1444350</v>
      </c>
    </row>
    <row r="159" spans="1:8" s="377" customFormat="1" x14ac:dyDescent="0.25">
      <c r="A159" s="746"/>
      <c r="B159" s="746"/>
      <c r="C159" s="746" t="s">
        <v>1956</v>
      </c>
      <c r="D159" s="730" t="s">
        <v>729</v>
      </c>
      <c r="E159" s="731" t="s">
        <v>13</v>
      </c>
      <c r="F159" s="747">
        <v>2</v>
      </c>
      <c r="G159" s="733">
        <v>3358950</v>
      </c>
      <c r="H159" s="733">
        <f t="shared" si="11"/>
        <v>6717900</v>
      </c>
    </row>
    <row r="160" spans="1:8" s="377" customFormat="1" ht="15" x14ac:dyDescent="0.25">
      <c r="A160" s="752"/>
      <c r="B160" s="724" t="s">
        <v>749</v>
      </c>
      <c r="C160" s="752"/>
      <c r="D160" s="737" t="s">
        <v>730</v>
      </c>
      <c r="E160" s="753"/>
      <c r="F160" s="754"/>
      <c r="G160" s="735"/>
      <c r="H160" s="728">
        <f>SUM(H161:H190)</f>
        <v>257954394</v>
      </c>
    </row>
    <row r="161" spans="1:10" s="377" customFormat="1" x14ac:dyDescent="0.25">
      <c r="A161" s="746"/>
      <c r="B161" s="746"/>
      <c r="C161" s="746" t="s">
        <v>1957</v>
      </c>
      <c r="D161" s="730" t="s">
        <v>732</v>
      </c>
      <c r="E161" s="731" t="s">
        <v>13</v>
      </c>
      <c r="F161" s="747">
        <v>1</v>
      </c>
      <c r="G161" s="733">
        <v>5336250</v>
      </c>
      <c r="H161" s="733">
        <f t="shared" si="11"/>
        <v>5336250</v>
      </c>
    </row>
    <row r="162" spans="1:10" s="377" customFormat="1" ht="29.1" customHeight="1" x14ac:dyDescent="0.25">
      <c r="A162" s="746"/>
      <c r="B162" s="746"/>
      <c r="C162" s="746" t="s">
        <v>1958</v>
      </c>
      <c r="D162" s="730" t="s">
        <v>1925</v>
      </c>
      <c r="E162" s="731" t="s">
        <v>13</v>
      </c>
      <c r="F162" s="747">
        <v>2</v>
      </c>
      <c r="G162" s="733">
        <v>820300</v>
      </c>
      <c r="H162" s="733">
        <f t="shared" si="11"/>
        <v>1640600</v>
      </c>
    </row>
    <row r="163" spans="1:10" s="377" customFormat="1" ht="28.5" x14ac:dyDescent="0.25">
      <c r="A163" s="746"/>
      <c r="B163" s="746"/>
      <c r="C163" s="746" t="s">
        <v>1959</v>
      </c>
      <c r="D163" s="730" t="s">
        <v>1926</v>
      </c>
      <c r="E163" s="731" t="s">
        <v>13</v>
      </c>
      <c r="F163" s="747">
        <v>2</v>
      </c>
      <c r="G163" s="733">
        <v>735000</v>
      </c>
      <c r="H163" s="733">
        <f t="shared" si="11"/>
        <v>1470000</v>
      </c>
    </row>
    <row r="164" spans="1:10" s="377" customFormat="1" ht="28.5" x14ac:dyDescent="0.25">
      <c r="A164" s="746"/>
      <c r="B164" s="746"/>
      <c r="C164" s="746" t="s">
        <v>1960</v>
      </c>
      <c r="D164" s="730" t="s">
        <v>734</v>
      </c>
      <c r="E164" s="731" t="s">
        <v>13</v>
      </c>
      <c r="F164" s="747">
        <v>3</v>
      </c>
      <c r="G164" s="733">
        <v>631100</v>
      </c>
      <c r="H164" s="733">
        <f t="shared" si="11"/>
        <v>1893300</v>
      </c>
    </row>
    <row r="165" spans="1:10" s="377" customFormat="1" x14ac:dyDescent="0.25">
      <c r="A165" s="746"/>
      <c r="B165" s="746"/>
      <c r="C165" s="746" t="s">
        <v>1961</v>
      </c>
      <c r="D165" s="730" t="s">
        <v>736</v>
      </c>
      <c r="E165" s="731" t="s">
        <v>13</v>
      </c>
      <c r="F165" s="747">
        <v>1</v>
      </c>
      <c r="G165" s="733">
        <v>569000</v>
      </c>
      <c r="H165" s="733">
        <f t="shared" si="11"/>
        <v>569000</v>
      </c>
    </row>
    <row r="166" spans="1:10" s="377" customFormat="1" ht="42.75" x14ac:dyDescent="0.25">
      <c r="A166" s="746"/>
      <c r="B166" s="746"/>
      <c r="C166" s="746" t="s">
        <v>1962</v>
      </c>
      <c r="D166" s="730" t="s">
        <v>1927</v>
      </c>
      <c r="E166" s="731" t="s">
        <v>13</v>
      </c>
      <c r="F166" s="747">
        <v>58</v>
      </c>
      <c r="G166" s="733">
        <v>273683</v>
      </c>
      <c r="H166" s="733">
        <f t="shared" si="11"/>
        <v>15873614</v>
      </c>
    </row>
    <row r="167" spans="1:10" s="377" customFormat="1" ht="42.75" x14ac:dyDescent="0.25">
      <c r="A167" s="746"/>
      <c r="B167" s="746"/>
      <c r="C167" s="746" t="s">
        <v>1963</v>
      </c>
      <c r="D167" s="730" t="s">
        <v>1928</v>
      </c>
      <c r="E167" s="731" t="s">
        <v>13</v>
      </c>
      <c r="F167" s="747">
        <v>27</v>
      </c>
      <c r="G167" s="733">
        <v>222000</v>
      </c>
      <c r="H167" s="733">
        <f t="shared" si="11"/>
        <v>5994000</v>
      </c>
    </row>
    <row r="168" spans="1:10" s="377" customFormat="1" ht="42.75" x14ac:dyDescent="0.25">
      <c r="A168" s="746"/>
      <c r="B168" s="746"/>
      <c r="C168" s="746" t="s">
        <v>1964</v>
      </c>
      <c r="D168" s="730" t="s">
        <v>1929</v>
      </c>
      <c r="E168" s="731" t="s">
        <v>13</v>
      </c>
      <c r="F168" s="747">
        <v>57</v>
      </c>
      <c r="G168" s="733">
        <v>167875</v>
      </c>
      <c r="H168" s="733">
        <f t="shared" si="11"/>
        <v>9568875</v>
      </c>
    </row>
    <row r="169" spans="1:10" s="377" customFormat="1" ht="28.5" x14ac:dyDescent="0.25">
      <c r="A169" s="746"/>
      <c r="B169" s="746"/>
      <c r="C169" s="746" t="s">
        <v>1965</v>
      </c>
      <c r="D169" s="730" t="s">
        <v>1930</v>
      </c>
      <c r="E169" s="731" t="s">
        <v>13</v>
      </c>
      <c r="F169" s="747">
        <v>87</v>
      </c>
      <c r="G169" s="733">
        <f>+LIST_APUS_ELEC_2!G449</f>
        <v>107779.71264369272</v>
      </c>
      <c r="H169" s="733">
        <f t="shared" si="11"/>
        <v>9376835</v>
      </c>
      <c r="J169" s="733"/>
    </row>
    <row r="170" spans="1:10" s="377" customFormat="1" ht="28.5" x14ac:dyDescent="0.25">
      <c r="A170" s="746"/>
      <c r="B170" s="746"/>
      <c r="C170" s="746" t="s">
        <v>1966</v>
      </c>
      <c r="D170" s="730" t="s">
        <v>1931</v>
      </c>
      <c r="E170" s="731" t="s">
        <v>13</v>
      </c>
      <c r="F170" s="747">
        <v>52</v>
      </c>
      <c r="G170" s="751">
        <f>+LIST_APUS_ELEC_2!G495</f>
        <v>103757.5</v>
      </c>
      <c r="H170" s="733">
        <f t="shared" si="11"/>
        <v>5395390</v>
      </c>
      <c r="J170" s="935"/>
    </row>
    <row r="171" spans="1:10" s="377" customFormat="1" ht="28.5" x14ac:dyDescent="0.25">
      <c r="A171" s="746"/>
      <c r="B171" s="746"/>
      <c r="C171" s="746" t="s">
        <v>1967</v>
      </c>
      <c r="D171" s="730" t="s">
        <v>1932</v>
      </c>
      <c r="E171" s="731" t="s">
        <v>13</v>
      </c>
      <c r="F171" s="747">
        <v>15</v>
      </c>
      <c r="G171" s="733">
        <f>+LIST_APUS_ELEC_2!G586</f>
        <v>134382.5</v>
      </c>
      <c r="H171" s="733">
        <f t="shared" si="11"/>
        <v>2015738</v>
      </c>
      <c r="J171" s="411"/>
    </row>
    <row r="172" spans="1:10" s="377" customFormat="1" x14ac:dyDescent="0.25">
      <c r="A172" s="746"/>
      <c r="B172" s="746"/>
      <c r="C172" s="746" t="s">
        <v>1968</v>
      </c>
      <c r="D172" s="730" t="s">
        <v>1933</v>
      </c>
      <c r="E172" s="731" t="s">
        <v>13</v>
      </c>
      <c r="F172" s="747">
        <v>33</v>
      </c>
      <c r="G172" s="733">
        <f>+LIST_APUS_ELEC_2!G538</f>
        <v>138497.64423077393</v>
      </c>
      <c r="H172" s="733">
        <f t="shared" si="11"/>
        <v>4570422</v>
      </c>
    </row>
    <row r="173" spans="1:10" s="377" customFormat="1" x14ac:dyDescent="0.25">
      <c r="A173" s="746"/>
      <c r="B173" s="746"/>
      <c r="C173" s="746" t="s">
        <v>1969</v>
      </c>
      <c r="D173" s="730" t="s">
        <v>1934</v>
      </c>
      <c r="E173" s="731" t="s">
        <v>13</v>
      </c>
      <c r="F173" s="747">
        <v>27</v>
      </c>
      <c r="G173" s="733">
        <v>150590</v>
      </c>
      <c r="H173" s="733">
        <f t="shared" si="11"/>
        <v>4065930</v>
      </c>
    </row>
    <row r="174" spans="1:10" s="377" customFormat="1" x14ac:dyDescent="0.25">
      <c r="A174" s="746"/>
      <c r="B174" s="746"/>
      <c r="C174" s="746" t="s">
        <v>1970</v>
      </c>
      <c r="D174" s="730" t="s">
        <v>744</v>
      </c>
      <c r="E174" s="731" t="s">
        <v>13</v>
      </c>
      <c r="F174" s="747">
        <v>26</v>
      </c>
      <c r="G174" s="733">
        <v>666757</v>
      </c>
      <c r="H174" s="733">
        <f t="shared" si="11"/>
        <v>17335682</v>
      </c>
    </row>
    <row r="175" spans="1:10" s="377" customFormat="1" x14ac:dyDescent="0.25">
      <c r="A175" s="746"/>
      <c r="B175" s="746"/>
      <c r="C175" s="746" t="s">
        <v>1971</v>
      </c>
      <c r="D175" s="730" t="s">
        <v>1935</v>
      </c>
      <c r="E175" s="731" t="s">
        <v>13</v>
      </c>
      <c r="F175" s="747">
        <v>40</v>
      </c>
      <c r="G175" s="733">
        <v>126683</v>
      </c>
      <c r="H175" s="733">
        <f t="shared" si="11"/>
        <v>5067320</v>
      </c>
    </row>
    <row r="176" spans="1:10" s="377" customFormat="1" x14ac:dyDescent="0.25">
      <c r="A176" s="746"/>
      <c r="B176" s="746"/>
      <c r="C176" s="746" t="s">
        <v>1972</v>
      </c>
      <c r="D176" s="730" t="s">
        <v>1936</v>
      </c>
      <c r="E176" s="731" t="s">
        <v>15</v>
      </c>
      <c r="F176" s="747">
        <v>60</v>
      </c>
      <c r="G176" s="733">
        <v>425912.85</v>
      </c>
      <c r="H176" s="733">
        <f t="shared" si="11"/>
        <v>25554771</v>
      </c>
    </row>
    <row r="177" spans="1:10" s="377" customFormat="1" x14ac:dyDescent="0.25">
      <c r="A177" s="746"/>
      <c r="B177" s="746"/>
      <c r="C177" s="746" t="s">
        <v>1973</v>
      </c>
      <c r="D177" s="730" t="s">
        <v>2435</v>
      </c>
      <c r="E177" s="731" t="s">
        <v>15</v>
      </c>
      <c r="F177" s="747">
        <v>60</v>
      </c>
      <c r="G177" s="733">
        <v>388876.95</v>
      </c>
      <c r="H177" s="733">
        <f t="shared" si="11"/>
        <v>23332617</v>
      </c>
    </row>
    <row r="178" spans="1:10" s="377" customFormat="1" x14ac:dyDescent="0.25">
      <c r="A178" s="746"/>
      <c r="B178" s="746"/>
      <c r="C178" s="746" t="s">
        <v>1974</v>
      </c>
      <c r="D178" s="730" t="s">
        <v>745</v>
      </c>
      <c r="E178" s="731" t="s">
        <v>15</v>
      </c>
      <c r="F178" s="747">
        <v>60</v>
      </c>
      <c r="G178" s="733">
        <v>370359</v>
      </c>
      <c r="H178" s="733">
        <f t="shared" si="11"/>
        <v>22221540</v>
      </c>
    </row>
    <row r="179" spans="1:10" s="377" customFormat="1" x14ac:dyDescent="0.25">
      <c r="A179" s="746"/>
      <c r="B179" s="746"/>
      <c r="C179" s="746" t="s">
        <v>1975</v>
      </c>
      <c r="D179" s="730" t="s">
        <v>746</v>
      </c>
      <c r="E179" s="731" t="s">
        <v>15</v>
      </c>
      <c r="F179" s="747">
        <v>60</v>
      </c>
      <c r="G179" s="733">
        <v>331846</v>
      </c>
      <c r="H179" s="733">
        <f t="shared" si="11"/>
        <v>19910760</v>
      </c>
    </row>
    <row r="180" spans="1:10" s="377" customFormat="1" x14ac:dyDescent="0.25">
      <c r="A180" s="746"/>
      <c r="B180" s="746"/>
      <c r="C180" s="746" t="s">
        <v>1976</v>
      </c>
      <c r="D180" s="730" t="s">
        <v>1937</v>
      </c>
      <c r="E180" s="731" t="s">
        <v>13</v>
      </c>
      <c r="F180" s="747">
        <v>66</v>
      </c>
      <c r="G180" s="751">
        <f>+LIST_APUS_ELEC_2!G965</f>
        <v>248484.99999999965</v>
      </c>
      <c r="H180" s="733">
        <f t="shared" si="11"/>
        <v>16400010</v>
      </c>
      <c r="J180" s="733"/>
    </row>
    <row r="181" spans="1:10" s="377" customFormat="1" x14ac:dyDescent="0.25">
      <c r="A181" s="746"/>
      <c r="B181" s="746"/>
      <c r="C181" s="746" t="s">
        <v>1977</v>
      </c>
      <c r="D181" s="730" t="s">
        <v>1938</v>
      </c>
      <c r="E181" s="731" t="s">
        <v>13</v>
      </c>
      <c r="F181" s="747">
        <v>66</v>
      </c>
      <c r="G181" s="733">
        <f>+LIST_APUS_ELEC_2!G1014</f>
        <v>238414.99999999997</v>
      </c>
      <c r="H181" s="733">
        <f t="shared" si="11"/>
        <v>15735390</v>
      </c>
      <c r="J181" s="733"/>
    </row>
    <row r="182" spans="1:10" s="377" customFormat="1" ht="28.5" x14ac:dyDescent="0.25">
      <c r="A182" s="746"/>
      <c r="B182" s="746"/>
      <c r="C182" s="746" t="s">
        <v>1978</v>
      </c>
      <c r="D182" s="730" t="s">
        <v>1939</v>
      </c>
      <c r="E182" s="731" t="s">
        <v>13</v>
      </c>
      <c r="F182" s="747">
        <v>9</v>
      </c>
      <c r="G182" s="733">
        <v>515000</v>
      </c>
      <c r="H182" s="733">
        <f t="shared" si="11"/>
        <v>4635000</v>
      </c>
      <c r="J182" s="411"/>
    </row>
    <row r="183" spans="1:10" s="377" customFormat="1" ht="42.75" x14ac:dyDescent="0.25">
      <c r="A183" s="746"/>
      <c r="B183" s="746"/>
      <c r="C183" s="746" t="s">
        <v>1979</v>
      </c>
      <c r="D183" s="730" t="s">
        <v>1940</v>
      </c>
      <c r="E183" s="731" t="s">
        <v>13</v>
      </c>
      <c r="F183" s="747">
        <v>48</v>
      </c>
      <c r="G183" s="733">
        <v>147275</v>
      </c>
      <c r="H183" s="733">
        <f t="shared" si="11"/>
        <v>7069200</v>
      </c>
    </row>
    <row r="184" spans="1:10" s="377" customFormat="1" x14ac:dyDescent="0.25">
      <c r="A184" s="746"/>
      <c r="B184" s="746"/>
      <c r="C184" s="746" t="s">
        <v>1980</v>
      </c>
      <c r="D184" s="730" t="s">
        <v>1941</v>
      </c>
      <c r="E184" s="731" t="s">
        <v>15</v>
      </c>
      <c r="F184" s="747">
        <v>50</v>
      </c>
      <c r="G184" s="733">
        <v>13500</v>
      </c>
      <c r="H184" s="733">
        <f t="shared" si="11"/>
        <v>675000</v>
      </c>
    </row>
    <row r="185" spans="1:10" s="377" customFormat="1" x14ac:dyDescent="0.25">
      <c r="A185" s="746"/>
      <c r="B185" s="746"/>
      <c r="C185" s="746" t="s">
        <v>1981</v>
      </c>
      <c r="D185" s="730" t="s">
        <v>1942</v>
      </c>
      <c r="E185" s="731" t="s">
        <v>13</v>
      </c>
      <c r="F185" s="747">
        <v>1</v>
      </c>
      <c r="G185" s="733">
        <v>26948650</v>
      </c>
      <c r="H185" s="733">
        <f t="shared" si="11"/>
        <v>26948650</v>
      </c>
    </row>
    <row r="186" spans="1:10" s="377" customFormat="1" x14ac:dyDescent="0.25">
      <c r="A186" s="746"/>
      <c r="B186" s="746"/>
      <c r="C186" s="746" t="s">
        <v>1982</v>
      </c>
      <c r="D186" s="730" t="s">
        <v>1943</v>
      </c>
      <c r="E186" s="731" t="s">
        <v>13</v>
      </c>
      <c r="F186" s="747">
        <v>1</v>
      </c>
      <c r="G186" s="733">
        <v>680000</v>
      </c>
      <c r="H186" s="733">
        <f t="shared" si="11"/>
        <v>680000</v>
      </c>
    </row>
    <row r="187" spans="1:10" s="377" customFormat="1" x14ac:dyDescent="0.25">
      <c r="A187" s="746"/>
      <c r="B187" s="746"/>
      <c r="C187" s="746" t="s">
        <v>1983</v>
      </c>
      <c r="D187" s="730" t="s">
        <v>1944</v>
      </c>
      <c r="E187" s="731" t="s">
        <v>13</v>
      </c>
      <c r="F187" s="747">
        <v>1</v>
      </c>
      <c r="G187" s="733">
        <v>360000</v>
      </c>
      <c r="H187" s="733">
        <f t="shared" si="11"/>
        <v>360000</v>
      </c>
    </row>
    <row r="188" spans="1:10" s="377" customFormat="1" x14ac:dyDescent="0.25">
      <c r="A188" s="746"/>
      <c r="B188" s="746"/>
      <c r="C188" s="746" t="s">
        <v>1984</v>
      </c>
      <c r="D188" s="730" t="s">
        <v>1945</v>
      </c>
      <c r="E188" s="731" t="s">
        <v>13</v>
      </c>
      <c r="F188" s="747">
        <v>1</v>
      </c>
      <c r="G188" s="733">
        <v>1249500</v>
      </c>
      <c r="H188" s="733">
        <f t="shared" si="11"/>
        <v>1249500</v>
      </c>
    </row>
    <row r="189" spans="1:10" s="377" customFormat="1" x14ac:dyDescent="0.25">
      <c r="A189" s="746"/>
      <c r="B189" s="746"/>
      <c r="C189" s="746" t="s">
        <v>1985</v>
      </c>
      <c r="D189" s="730" t="s">
        <v>1946</v>
      </c>
      <c r="E189" s="731" t="s">
        <v>13</v>
      </c>
      <c r="F189" s="747">
        <v>1</v>
      </c>
      <c r="G189" s="733">
        <v>714000</v>
      </c>
      <c r="H189" s="733">
        <f t="shared" si="11"/>
        <v>714000</v>
      </c>
    </row>
    <row r="190" spans="1:10" s="377" customFormat="1" x14ac:dyDescent="0.25">
      <c r="A190" s="746"/>
      <c r="B190" s="746"/>
      <c r="C190" s="746" t="s">
        <v>1986</v>
      </c>
      <c r="D190" s="730" t="s">
        <v>1947</v>
      </c>
      <c r="E190" s="731" t="s">
        <v>1987</v>
      </c>
      <c r="F190" s="747">
        <v>1</v>
      </c>
      <c r="G190" s="733">
        <v>2295000</v>
      </c>
      <c r="H190" s="733">
        <f t="shared" si="11"/>
        <v>2295000</v>
      </c>
    </row>
    <row r="191" spans="1:10" ht="12.75" customHeight="1" x14ac:dyDescent="0.2">
      <c r="A191" s="752"/>
      <c r="B191" s="752"/>
      <c r="C191" s="752"/>
      <c r="D191" s="755"/>
      <c r="E191" s="756"/>
      <c r="F191" s="754"/>
      <c r="G191" s="757"/>
      <c r="H191" s="757"/>
    </row>
    <row r="192" spans="1:10" ht="15" customHeight="1" x14ac:dyDescent="0.2">
      <c r="A192" s="987" t="s">
        <v>70</v>
      </c>
      <c r="B192" s="987"/>
      <c r="C192" s="987"/>
      <c r="D192" s="987"/>
      <c r="E192" s="987"/>
      <c r="F192" s="987"/>
      <c r="G192" s="987"/>
      <c r="H192" s="758">
        <f>+H5+H9+H20+H36+H38+H43+H47+H53+H59+H99+H146+H149</f>
        <v>2991256665</v>
      </c>
    </row>
    <row r="193" spans="1:10" ht="15" x14ac:dyDescent="0.2">
      <c r="A193" s="729"/>
      <c r="B193" s="729"/>
      <c r="C193" s="729"/>
      <c r="D193" s="759" t="s">
        <v>17</v>
      </c>
      <c r="E193" s="760">
        <v>0.2</v>
      </c>
      <c r="F193" s="761"/>
      <c r="G193" s="762"/>
      <c r="H193" s="762">
        <f>+H192*E193</f>
        <v>598251333</v>
      </c>
    </row>
    <row r="194" spans="1:10" ht="15" x14ac:dyDescent="0.2">
      <c r="A194" s="729"/>
      <c r="B194" s="729"/>
      <c r="C194" s="729"/>
      <c r="D194" s="759" t="s">
        <v>18</v>
      </c>
      <c r="E194" s="760">
        <v>0.05</v>
      </c>
      <c r="F194" s="761"/>
      <c r="G194" s="762"/>
      <c r="H194" s="762">
        <f>+H192*E194</f>
        <v>149562833.25</v>
      </c>
    </row>
    <row r="195" spans="1:10" ht="15" x14ac:dyDescent="0.2">
      <c r="A195" s="729"/>
      <c r="B195" s="729"/>
      <c r="C195" s="729"/>
      <c r="D195" s="759" t="s">
        <v>19</v>
      </c>
      <c r="E195" s="760">
        <v>0.05</v>
      </c>
      <c r="F195" s="761"/>
      <c r="G195" s="762"/>
      <c r="H195" s="762">
        <f>+H192*E195</f>
        <v>149562833.25</v>
      </c>
    </row>
    <row r="196" spans="1:10" ht="15" customHeight="1" x14ac:dyDescent="0.2">
      <c r="A196" s="987" t="s">
        <v>16</v>
      </c>
      <c r="B196" s="987"/>
      <c r="C196" s="987"/>
      <c r="D196" s="987"/>
      <c r="E196" s="987"/>
      <c r="F196" s="987"/>
      <c r="G196" s="987"/>
      <c r="H196" s="842">
        <f>SUM(H193:H195)</f>
        <v>897376999.5</v>
      </c>
    </row>
    <row r="197" spans="1:10" ht="15" x14ac:dyDescent="0.2">
      <c r="A197" s="986" t="s">
        <v>2177</v>
      </c>
      <c r="B197" s="986"/>
      <c r="C197" s="986"/>
      <c r="D197" s="986"/>
      <c r="E197" s="986"/>
      <c r="F197" s="986"/>
      <c r="G197" s="986"/>
      <c r="H197" s="758">
        <f>SUM(+H192+H196)</f>
        <v>3888633664.5</v>
      </c>
    </row>
    <row r="198" spans="1:10" ht="9" customHeight="1" x14ac:dyDescent="0.2">
      <c r="A198" s="983"/>
      <c r="B198" s="983"/>
      <c r="C198" s="983"/>
      <c r="D198" s="983"/>
      <c r="E198" s="983"/>
      <c r="F198" s="983"/>
      <c r="G198" s="983"/>
      <c r="H198" s="983"/>
    </row>
    <row r="199" spans="1:10" ht="21.75" customHeight="1" x14ac:dyDescent="0.2">
      <c r="A199" s="724" t="s">
        <v>2108</v>
      </c>
      <c r="B199" s="724"/>
      <c r="C199" s="724"/>
      <c r="D199" s="725" t="s">
        <v>747</v>
      </c>
      <c r="E199" s="763"/>
      <c r="F199" s="754"/>
      <c r="G199" s="757"/>
      <c r="H199" s="764">
        <f>SUM(H200:H203)</f>
        <v>242284668.39999998</v>
      </c>
    </row>
    <row r="200" spans="1:10" ht="21.75" customHeight="1" x14ac:dyDescent="0.2">
      <c r="A200" s="724"/>
      <c r="B200" s="724"/>
      <c r="C200" s="858" t="s">
        <v>2341</v>
      </c>
      <c r="D200" s="859" t="s">
        <v>2353</v>
      </c>
      <c r="E200" s="860" t="s">
        <v>13</v>
      </c>
      <c r="F200" s="861">
        <v>1</v>
      </c>
      <c r="G200" s="862">
        <v>185450876</v>
      </c>
      <c r="H200" s="767">
        <f t="shared" ref="H200:H202" si="12">ROUND(F200*G200,0)</f>
        <v>185450876</v>
      </c>
      <c r="J200" s="703"/>
    </row>
    <row r="201" spans="1:10" s="716" customFormat="1" x14ac:dyDescent="0.2">
      <c r="A201" s="729"/>
      <c r="B201" s="729"/>
      <c r="C201" s="729" t="s">
        <v>2340</v>
      </c>
      <c r="D201" s="730" t="s">
        <v>750</v>
      </c>
      <c r="E201" s="765" t="s">
        <v>13</v>
      </c>
      <c r="F201" s="766">
        <v>1</v>
      </c>
      <c r="G201" s="767">
        <v>9500000</v>
      </c>
      <c r="H201" s="767">
        <f t="shared" si="12"/>
        <v>9500000</v>
      </c>
      <c r="J201" s="857"/>
    </row>
    <row r="202" spans="1:10" s="716" customFormat="1" x14ac:dyDescent="0.2">
      <c r="A202" s="729"/>
      <c r="B202" s="729"/>
      <c r="C202" s="729" t="s">
        <v>2344</v>
      </c>
      <c r="D202" s="759" t="s">
        <v>751</v>
      </c>
      <c r="E202" s="765" t="s">
        <v>13</v>
      </c>
      <c r="F202" s="766">
        <v>1</v>
      </c>
      <c r="G202" s="767">
        <v>4522000</v>
      </c>
      <c r="H202" s="767">
        <f t="shared" si="12"/>
        <v>4522000</v>
      </c>
      <c r="J202" s="857"/>
    </row>
    <row r="203" spans="1:10" ht="28.5" x14ac:dyDescent="0.2">
      <c r="A203" s="752"/>
      <c r="B203" s="752"/>
      <c r="C203" s="752">
        <v>13.5</v>
      </c>
      <c r="D203" s="845" t="s">
        <v>2368</v>
      </c>
      <c r="E203" s="763" t="s">
        <v>13</v>
      </c>
      <c r="F203" s="768">
        <v>1</v>
      </c>
      <c r="G203" s="757">
        <v>42811792.399999976</v>
      </c>
      <c r="H203" s="767">
        <f>G203*F203</f>
        <v>42811792.399999976</v>
      </c>
    </row>
    <row r="204" spans="1:10" ht="15" x14ac:dyDescent="0.2">
      <c r="A204" s="987" t="s">
        <v>70</v>
      </c>
      <c r="B204" s="987"/>
      <c r="C204" s="987"/>
      <c r="D204" s="987"/>
      <c r="E204" s="987"/>
      <c r="F204" s="987"/>
      <c r="G204" s="987"/>
      <c r="H204" s="758">
        <f>+H199</f>
        <v>242284668.39999998</v>
      </c>
    </row>
    <row r="205" spans="1:10" ht="15" x14ac:dyDescent="0.2">
      <c r="A205" s="729"/>
      <c r="B205" s="729"/>
      <c r="C205" s="729"/>
      <c r="D205" s="759" t="s">
        <v>659</v>
      </c>
      <c r="E205" s="760"/>
      <c r="F205" s="761"/>
      <c r="G205" s="762"/>
      <c r="H205" s="762">
        <f>+H204*E205</f>
        <v>0</v>
      </c>
    </row>
    <row r="206" spans="1:10" ht="15" customHeight="1" x14ac:dyDescent="0.2">
      <c r="A206" s="988" t="s">
        <v>2178</v>
      </c>
      <c r="B206" s="988"/>
      <c r="C206" s="988"/>
      <c r="D206" s="988"/>
      <c r="E206" s="988"/>
      <c r="F206" s="988"/>
      <c r="G206" s="988"/>
      <c r="H206" s="758">
        <f>+H204+H205</f>
        <v>242284668.39999998</v>
      </c>
    </row>
    <row r="207" spans="1:10" ht="12" customHeight="1" x14ac:dyDescent="0.2">
      <c r="A207" s="720"/>
      <c r="B207" s="720"/>
      <c r="C207" s="720"/>
      <c r="D207" s="720"/>
      <c r="E207" s="720"/>
      <c r="F207" s="720"/>
      <c r="G207" s="720"/>
      <c r="H207" s="758"/>
    </row>
    <row r="208" spans="1:10" ht="21" customHeight="1" x14ac:dyDescent="0.2">
      <c r="A208" s="986" t="s">
        <v>2179</v>
      </c>
      <c r="B208" s="986"/>
      <c r="C208" s="986"/>
      <c r="D208" s="986"/>
      <c r="E208" s="986"/>
      <c r="F208" s="986"/>
      <c r="G208" s="986"/>
      <c r="H208" s="758">
        <f>+H197+H206</f>
        <v>4130918332.9000001</v>
      </c>
    </row>
    <row r="209" spans="1:10" ht="15" x14ac:dyDescent="0.25">
      <c r="A209" s="981"/>
      <c r="B209" s="981"/>
      <c r="C209" s="981"/>
      <c r="D209" s="981"/>
      <c r="E209" s="981"/>
      <c r="F209" s="981"/>
      <c r="G209" s="981"/>
      <c r="H209" s="769"/>
    </row>
    <row r="210" spans="1:10" ht="28.5" customHeight="1" x14ac:dyDescent="0.2">
      <c r="A210" s="982" t="s">
        <v>2180</v>
      </c>
      <c r="B210" s="982"/>
      <c r="C210" s="982"/>
      <c r="D210" s="982"/>
      <c r="E210" s="982"/>
      <c r="F210" s="982"/>
      <c r="G210" s="982"/>
      <c r="H210" s="770">
        <f>+H208+H209</f>
        <v>4130918332.9000001</v>
      </c>
      <c r="J210" s="703"/>
    </row>
    <row r="211" spans="1:10" x14ac:dyDescent="0.2">
      <c r="J211" s="703"/>
    </row>
    <row r="212" spans="1:10" ht="15" x14ac:dyDescent="0.25">
      <c r="D212" s="718"/>
      <c r="H212" s="879"/>
    </row>
    <row r="214" spans="1:10" x14ac:dyDescent="0.2">
      <c r="H214" s="705"/>
    </row>
    <row r="215" spans="1:10" ht="15" x14ac:dyDescent="0.25">
      <c r="D215" s="718" t="s">
        <v>2263</v>
      </c>
    </row>
  </sheetData>
  <dataConsolidate/>
  <mergeCells count="12">
    <mergeCell ref="A209:G209"/>
    <mergeCell ref="A210:G210"/>
    <mergeCell ref="A198:H198"/>
    <mergeCell ref="A1:H1"/>
    <mergeCell ref="A2:H2"/>
    <mergeCell ref="A3:H3"/>
    <mergeCell ref="A197:G197"/>
    <mergeCell ref="A192:G192"/>
    <mergeCell ref="A196:G196"/>
    <mergeCell ref="A204:G204"/>
    <mergeCell ref="A206:G206"/>
    <mergeCell ref="A208:G208"/>
  </mergeCells>
  <phoneticPr fontId="25" type="noConversion"/>
  <printOptions horizontalCentered="1"/>
  <pageMargins left="0.39370078740157483" right="0" top="0.94488188976377963" bottom="0.35433070866141736" header="0.31496062992125984" footer="0.31496062992125984"/>
  <pageSetup scale="56" fitToHeight="0" orientation="portrait" r:id="rId1"/>
  <headerFooter alignWithMargins="0">
    <oddHeader>&amp;L                                        &amp;G&amp;C&amp;"Arial,Negrita"&amp;16
&amp;18EVALUACION ECONOMICA&amp;R&amp;G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outlinePr summaryBelow="0"/>
    <pageSetUpPr fitToPage="1"/>
  </sheetPr>
  <dimension ref="A1:W745"/>
  <sheetViews>
    <sheetView topLeftCell="A5" zoomScale="110" zoomScaleNormal="80" zoomScaleSheetLayoutView="90" zoomScalePageLayoutView="125" workbookViewId="0">
      <pane xSplit="4" ySplit="3" topLeftCell="E560" activePane="bottomRight" state="frozen"/>
      <selection activeCell="A5" sqref="A5"/>
      <selection pane="topRight" activeCell="E5" sqref="E5"/>
      <selection pane="bottomLeft" activeCell="A8" sqref="A8"/>
      <selection pane="bottomRight" activeCell="J570" sqref="J570"/>
    </sheetView>
  </sheetViews>
  <sheetFormatPr baseColWidth="10" defaultColWidth="11.42578125" defaultRowHeight="14.25" x14ac:dyDescent="0.2"/>
  <cols>
    <col min="1" max="2" width="7.42578125" style="8" customWidth="1"/>
    <col min="3" max="3" width="9" style="8" customWidth="1"/>
    <col min="4" max="4" width="72.85546875" style="9" customWidth="1"/>
    <col min="5" max="5" width="9.42578125" style="10" customWidth="1"/>
    <col min="6" max="6" width="8.7109375" style="1" customWidth="1"/>
    <col min="7" max="7" width="9.140625" style="7" customWidth="1"/>
    <col min="8" max="8" width="8.42578125" style="1" customWidth="1"/>
    <col min="9" max="9" width="8.85546875" style="1" customWidth="1"/>
    <col min="10" max="10" width="14.7109375" style="1" customWidth="1"/>
    <col min="11" max="11" width="11.7109375" style="1" customWidth="1"/>
    <col min="12" max="12" width="12.140625" style="1" customWidth="1"/>
    <col min="13" max="13" width="16.7109375" style="1" hidden="1" customWidth="1"/>
    <col min="14" max="14" width="8.140625" style="1" customWidth="1"/>
    <col min="15" max="16" width="8.42578125" style="1" customWidth="1"/>
    <col min="17" max="18" width="12.140625" style="1" customWidth="1"/>
    <col min="19" max="19" width="13.140625" style="8" customWidth="1"/>
    <col min="20" max="16384" width="11.42578125" style="1"/>
  </cols>
  <sheetData>
    <row r="1" spans="1:23" ht="33.75" hidden="1" customHeight="1" x14ac:dyDescent="0.2">
      <c r="A1" s="990" t="s">
        <v>88</v>
      </c>
      <c r="B1" s="990"/>
      <c r="C1" s="990"/>
      <c r="D1" s="990"/>
      <c r="E1" s="990"/>
      <c r="F1" s="990"/>
      <c r="G1" s="990"/>
      <c r="H1" s="990"/>
      <c r="I1" s="990"/>
      <c r="J1" s="990"/>
      <c r="K1" s="990"/>
      <c r="L1" s="990"/>
      <c r="M1" s="990"/>
      <c r="N1" s="990"/>
      <c r="O1" s="990"/>
      <c r="P1" s="990"/>
      <c r="Q1" s="990"/>
      <c r="R1" s="990"/>
      <c r="S1" s="990"/>
    </row>
    <row r="2" spans="1:23" s="2" customFormat="1" ht="24.75" hidden="1" customHeight="1" x14ac:dyDescent="0.25">
      <c r="A2" s="989" t="str">
        <f>+'PRESUPUESTO DE OBRA'!A1:H1</f>
        <v>TERMINACION DE LA CONSTRUCCION  UNIDAD INTERMEDIA "EL CARAÑO", MUNICIPIO DE QUIBDÓ, DEPARTAMENTO DEL CHOCÓ</v>
      </c>
      <c r="B2" s="989"/>
      <c r="C2" s="989"/>
      <c r="D2" s="989"/>
      <c r="E2" s="989"/>
      <c r="F2" s="989"/>
      <c r="G2" s="989"/>
      <c r="H2" s="989"/>
      <c r="I2" s="989"/>
      <c r="J2" s="989"/>
      <c r="K2" s="989"/>
      <c r="L2" s="989"/>
      <c r="M2" s="989"/>
      <c r="N2" s="989"/>
      <c r="O2" s="989"/>
      <c r="P2" s="989"/>
      <c r="Q2" s="989"/>
      <c r="R2" s="989"/>
      <c r="S2" s="989"/>
    </row>
    <row r="3" spans="1:23" ht="15" hidden="1" x14ac:dyDescent="0.2">
      <c r="A3" s="989" t="s">
        <v>1</v>
      </c>
      <c r="B3" s="989"/>
      <c r="C3" s="989"/>
      <c r="D3" s="989"/>
      <c r="E3" s="989"/>
      <c r="F3" s="989"/>
      <c r="G3" s="989"/>
      <c r="H3" s="989"/>
      <c r="I3" s="989"/>
      <c r="J3" s="989"/>
      <c r="K3" s="989"/>
      <c r="L3" s="989"/>
      <c r="M3" s="989"/>
      <c r="N3" s="989"/>
      <c r="O3" s="989"/>
      <c r="P3" s="989"/>
      <c r="Q3" s="989"/>
      <c r="R3" s="989"/>
      <c r="S3" s="989"/>
    </row>
    <row r="4" spans="1:23" ht="15.75" hidden="1" customHeight="1" x14ac:dyDescent="0.2">
      <c r="A4" s="989" t="s">
        <v>0</v>
      </c>
      <c r="B4" s="989"/>
      <c r="C4" s="989"/>
      <c r="D4" s="989"/>
      <c r="E4" s="989"/>
      <c r="F4" s="989"/>
      <c r="G4" s="989"/>
      <c r="H4" s="989"/>
      <c r="I4" s="989"/>
      <c r="J4" s="989"/>
      <c r="K4" s="989"/>
      <c r="L4" s="989"/>
      <c r="M4" s="989"/>
      <c r="N4" s="989"/>
      <c r="O4" s="989"/>
      <c r="P4" s="989"/>
      <c r="Q4" s="989"/>
      <c r="R4" s="989"/>
      <c r="S4" s="989"/>
    </row>
    <row r="5" spans="1:23" ht="15.75" customHeight="1" x14ac:dyDescent="0.2">
      <c r="A5" s="143"/>
      <c r="B5" s="143"/>
      <c r="C5" s="143"/>
      <c r="D5" s="143"/>
      <c r="E5" s="143"/>
      <c r="F5" s="143"/>
      <c r="G5" s="143"/>
      <c r="H5" s="143"/>
      <c r="I5" s="143"/>
      <c r="J5" s="143"/>
      <c r="K5" s="143"/>
      <c r="L5" s="143"/>
      <c r="M5" s="989" t="s">
        <v>993</v>
      </c>
      <c r="N5" s="989"/>
      <c r="O5" s="989"/>
      <c r="P5" s="989"/>
      <c r="Q5" s="989"/>
      <c r="R5" s="989"/>
      <c r="S5" s="143"/>
    </row>
    <row r="6" spans="1:23" s="3" customFormat="1" ht="40.5" customHeight="1" x14ac:dyDescent="0.25">
      <c r="A6" s="11" t="s">
        <v>83</v>
      </c>
      <c r="B6" s="12" t="s">
        <v>98</v>
      </c>
      <c r="C6" s="11" t="s">
        <v>91</v>
      </c>
      <c r="D6" s="11" t="s">
        <v>2</v>
      </c>
      <c r="E6" s="12" t="s">
        <v>3</v>
      </c>
      <c r="F6" s="12" t="s">
        <v>89</v>
      </c>
      <c r="G6" s="12" t="s">
        <v>82</v>
      </c>
      <c r="H6" s="12" t="s">
        <v>22</v>
      </c>
      <c r="I6" s="12" t="s">
        <v>90</v>
      </c>
      <c r="J6" s="12" t="s">
        <v>92</v>
      </c>
      <c r="K6" s="12" t="s">
        <v>20</v>
      </c>
      <c r="L6" s="12" t="s">
        <v>21</v>
      </c>
      <c r="M6" s="12" t="s">
        <v>844</v>
      </c>
      <c r="N6" s="12" t="s">
        <v>82</v>
      </c>
      <c r="O6" s="12" t="s">
        <v>998</v>
      </c>
      <c r="P6" s="12" t="s">
        <v>22</v>
      </c>
      <c r="Q6" s="12" t="s">
        <v>20</v>
      </c>
      <c r="R6" s="12" t="s">
        <v>21</v>
      </c>
      <c r="S6" s="12" t="s">
        <v>44</v>
      </c>
    </row>
    <row r="7" spans="1:23" s="5" customFormat="1" ht="24.75" customHeight="1" x14ac:dyDescent="0.25">
      <c r="A7" s="13"/>
      <c r="B7" s="13"/>
      <c r="C7" s="13"/>
      <c r="D7" s="14" t="str">
        <f>+'PRESUPUESTO DE OBRA'!D5</f>
        <v>PRELIMINARES</v>
      </c>
      <c r="E7" s="15"/>
      <c r="F7" s="16"/>
      <c r="G7" s="16"/>
      <c r="H7" s="16"/>
      <c r="I7" s="16"/>
      <c r="J7" s="16"/>
      <c r="K7" s="16"/>
      <c r="L7" s="16"/>
      <c r="M7" s="16"/>
      <c r="N7" s="16"/>
      <c r="O7" s="16"/>
      <c r="P7" s="16"/>
      <c r="Q7" s="16"/>
      <c r="R7" s="16"/>
      <c r="S7" s="16"/>
      <c r="T7" s="4"/>
      <c r="U7" s="4"/>
      <c r="V7" s="4"/>
      <c r="W7" s="4"/>
    </row>
    <row r="8" spans="1:23" s="5" customFormat="1" ht="28.5" customHeight="1" x14ac:dyDescent="0.25">
      <c r="A8" s="17"/>
      <c r="B8" s="17"/>
      <c r="C8" s="17"/>
      <c r="D8" s="18" t="str">
        <f>+'PRESUPUESTO DE OBRA'!D6</f>
        <v>Campamento, incluye instalaciones provisionales para su correcto funcionamiento.</v>
      </c>
      <c r="E8" s="26" t="str">
        <f>+'PRESUPUESTO DE OBRA'!E6</f>
        <v>m²</v>
      </c>
      <c r="F8" s="20">
        <v>6</v>
      </c>
      <c r="G8" s="20">
        <v>15</v>
      </c>
      <c r="H8" s="20"/>
      <c r="I8" s="20"/>
      <c r="J8" s="20"/>
      <c r="K8" s="21">
        <f>+F8*G8</f>
        <v>90</v>
      </c>
      <c r="L8" s="21"/>
      <c r="M8" s="21"/>
      <c r="N8" s="21"/>
      <c r="O8" s="21"/>
      <c r="P8" s="21"/>
      <c r="Q8" s="21"/>
      <c r="R8" s="21"/>
      <c r="S8" s="22">
        <f>+K8</f>
        <v>90</v>
      </c>
      <c r="T8" s="6"/>
      <c r="U8" s="6"/>
      <c r="V8" s="6"/>
      <c r="W8" s="6"/>
    </row>
    <row r="9" spans="1:23" s="5" customFormat="1" ht="28.5" customHeight="1" x14ac:dyDescent="0.25">
      <c r="A9" s="17"/>
      <c r="B9" s="17"/>
      <c r="C9" s="17"/>
      <c r="D9" s="18" t="str">
        <f>+'PRESUPUESTO DE OBRA'!D7</f>
        <v>Cerramiento provisional en tela verde H=2.1 m, incluye estructura en madera</v>
      </c>
      <c r="E9" s="26" t="str">
        <f>+'PRESUPUESTO DE OBRA'!E7</f>
        <v>m²</v>
      </c>
      <c r="F9" s="20">
        <v>250</v>
      </c>
      <c r="G9" s="20"/>
      <c r="H9" s="20">
        <v>2</v>
      </c>
      <c r="I9" s="20"/>
      <c r="J9" s="20"/>
      <c r="K9" s="21">
        <f>+F9*H9</f>
        <v>500</v>
      </c>
      <c r="L9" s="21"/>
      <c r="M9" s="21"/>
      <c r="N9" s="21"/>
      <c r="O9" s="21"/>
      <c r="P9" s="21"/>
      <c r="Q9" s="21"/>
      <c r="R9" s="21"/>
      <c r="S9" s="22">
        <f>+K9</f>
        <v>500</v>
      </c>
      <c r="T9" s="6"/>
      <c r="U9" s="6"/>
      <c r="V9" s="6"/>
      <c r="W9" s="6"/>
    </row>
    <row r="10" spans="1:23" s="5" customFormat="1" ht="33.75" customHeight="1" x14ac:dyDescent="0.25">
      <c r="A10" s="17"/>
      <c r="B10" s="17"/>
      <c r="C10" s="17"/>
      <c r="D10" s="18" t="str">
        <f>+'PRESUPUESTO DE OBRA'!D8</f>
        <v>Localización, trazado y replanteo</v>
      </c>
      <c r="E10" s="26" t="str">
        <f>+'PRESUPUESTO DE OBRA'!E8</f>
        <v>m²</v>
      </c>
      <c r="F10" s="20"/>
      <c r="G10" s="20"/>
      <c r="H10" s="20"/>
      <c r="I10" s="20"/>
      <c r="J10" s="20"/>
      <c r="K10" s="21"/>
      <c r="L10" s="21"/>
      <c r="M10" s="21"/>
      <c r="N10" s="21"/>
      <c r="O10" s="21"/>
      <c r="P10" s="21"/>
      <c r="Q10" s="21"/>
      <c r="R10" s="21"/>
      <c r="S10" s="22">
        <f>+K11+K12+K13+K14+K15</f>
        <v>1910.0800000000004</v>
      </c>
      <c r="T10" s="6"/>
      <c r="U10" s="6"/>
      <c r="V10" s="6"/>
      <c r="W10" s="6"/>
    </row>
    <row r="11" spans="1:23" s="5" customFormat="1" ht="15" x14ac:dyDescent="0.25">
      <c r="A11" s="17"/>
      <c r="B11" s="17"/>
      <c r="C11" s="17"/>
      <c r="D11" s="125" t="s">
        <v>1124</v>
      </c>
      <c r="E11" s="26"/>
      <c r="F11" s="20"/>
      <c r="G11" s="20"/>
      <c r="H11" s="20"/>
      <c r="I11" s="20"/>
      <c r="J11" s="20"/>
      <c r="K11" s="21">
        <v>157</v>
      </c>
      <c r="L11" s="21"/>
      <c r="M11" s="21"/>
      <c r="N11" s="21"/>
      <c r="O11" s="21"/>
      <c r="P11" s="21"/>
      <c r="Q11" s="21"/>
      <c r="R11" s="21"/>
      <c r="S11" s="22"/>
      <c r="T11" s="6"/>
      <c r="U11" s="6"/>
      <c r="V11" s="6"/>
      <c r="W11" s="6"/>
    </row>
    <row r="12" spans="1:23" s="5" customFormat="1" ht="15" x14ac:dyDescent="0.25">
      <c r="A12" s="17"/>
      <c r="B12" s="17"/>
      <c r="C12" s="17"/>
      <c r="D12" s="125" t="s">
        <v>1921</v>
      </c>
      <c r="E12" s="26"/>
      <c r="F12" s="20"/>
      <c r="G12" s="20"/>
      <c r="H12" s="20"/>
      <c r="I12" s="20"/>
      <c r="J12" s="20"/>
      <c r="K12" s="21">
        <v>367.16</v>
      </c>
      <c r="L12" s="21"/>
      <c r="M12" s="21"/>
      <c r="N12" s="21"/>
      <c r="O12" s="21"/>
      <c r="P12" s="21"/>
      <c r="Q12" s="21"/>
      <c r="R12" s="21"/>
      <c r="S12" s="22"/>
      <c r="T12" s="6"/>
      <c r="U12" s="6"/>
      <c r="V12" s="6"/>
      <c r="W12" s="6"/>
    </row>
    <row r="13" spans="1:23" s="5" customFormat="1" ht="15" x14ac:dyDescent="0.25">
      <c r="A13" s="17"/>
      <c r="B13" s="17"/>
      <c r="C13" s="17"/>
      <c r="D13" s="125" t="s">
        <v>1922</v>
      </c>
      <c r="E13" s="26"/>
      <c r="F13" s="20"/>
      <c r="G13" s="20"/>
      <c r="H13" s="20"/>
      <c r="I13" s="20"/>
      <c r="J13" s="20"/>
      <c r="K13" s="21">
        <v>983.16</v>
      </c>
      <c r="L13" s="21"/>
      <c r="M13" s="21"/>
      <c r="N13" s="21"/>
      <c r="O13" s="21"/>
      <c r="P13" s="21"/>
      <c r="Q13" s="21"/>
      <c r="R13" s="21"/>
      <c r="S13" s="22"/>
      <c r="T13" s="6"/>
      <c r="U13" s="6"/>
      <c r="V13" s="6"/>
      <c r="W13" s="6"/>
    </row>
    <row r="14" spans="1:23" s="5" customFormat="1" ht="15" x14ac:dyDescent="0.25">
      <c r="A14" s="17"/>
      <c r="B14" s="17"/>
      <c r="C14" s="17"/>
      <c r="D14" s="125" t="s">
        <v>1125</v>
      </c>
      <c r="E14" s="26"/>
      <c r="F14" s="20"/>
      <c r="G14" s="20"/>
      <c r="H14" s="20"/>
      <c r="I14" s="20"/>
      <c r="J14" s="20"/>
      <c r="K14" s="21">
        <f>27.33+312.43+11.5+16.85</f>
        <v>368.11</v>
      </c>
      <c r="L14" s="21"/>
      <c r="M14" s="21"/>
      <c r="N14" s="21"/>
      <c r="O14" s="21"/>
      <c r="P14" s="21"/>
      <c r="Q14" s="21"/>
      <c r="R14" s="21"/>
      <c r="S14" s="22"/>
      <c r="T14" s="6"/>
      <c r="U14" s="6"/>
      <c r="V14" s="6"/>
      <c r="W14" s="6"/>
    </row>
    <row r="15" spans="1:23" s="5" customFormat="1" ht="15" x14ac:dyDescent="0.25">
      <c r="A15" s="17"/>
      <c r="B15" s="17"/>
      <c r="C15" s="17"/>
      <c r="D15" s="125" t="s">
        <v>1126</v>
      </c>
      <c r="E15" s="26"/>
      <c r="F15" s="20"/>
      <c r="G15" s="20"/>
      <c r="H15" s="20"/>
      <c r="I15" s="20"/>
      <c r="J15" s="20"/>
      <c r="K15" s="21">
        <f>3.85*9</f>
        <v>34.65</v>
      </c>
      <c r="L15" s="21"/>
      <c r="M15" s="21"/>
      <c r="N15" s="21"/>
      <c r="O15" s="21"/>
      <c r="P15" s="21"/>
      <c r="Q15" s="21"/>
      <c r="R15" s="21"/>
      <c r="S15" s="22"/>
      <c r="T15" s="6"/>
      <c r="U15" s="6"/>
      <c r="V15" s="6"/>
      <c r="W15" s="6"/>
    </row>
    <row r="16" spans="1:23" s="5" customFormat="1" ht="15" x14ac:dyDescent="0.25">
      <c r="A16" s="17"/>
      <c r="B16" s="17"/>
      <c r="C16" s="17"/>
      <c r="D16" s="18" t="e">
        <f>+'PRESUPUESTO DE OBRA'!#REF!</f>
        <v>#REF!</v>
      </c>
      <c r="E16" s="26" t="e">
        <f>+'PRESUPUESTO DE OBRA'!#REF!</f>
        <v>#REF!</v>
      </c>
      <c r="F16" s="20"/>
      <c r="G16" s="20"/>
      <c r="H16" s="20"/>
      <c r="I16" s="20"/>
      <c r="J16" s="20"/>
      <c r="K16" s="21"/>
      <c r="L16" s="21"/>
      <c r="M16" s="21"/>
      <c r="N16" s="21"/>
      <c r="O16" s="21"/>
      <c r="P16" s="21"/>
      <c r="Q16" s="21"/>
      <c r="R16" s="21"/>
      <c r="S16" s="22">
        <f>+K17+K18+K19+K20+K21+K22</f>
        <v>3110.0800000000004</v>
      </c>
      <c r="T16" s="6"/>
      <c r="U16" s="6"/>
      <c r="V16" s="6"/>
      <c r="W16" s="6"/>
    </row>
    <row r="17" spans="1:23" s="5" customFormat="1" ht="15" x14ac:dyDescent="0.25">
      <c r="A17" s="17"/>
      <c r="B17" s="17"/>
      <c r="C17" s="17"/>
      <c r="D17" s="125" t="s">
        <v>1124</v>
      </c>
      <c r="E17" s="26"/>
      <c r="F17" s="20"/>
      <c r="G17" s="20"/>
      <c r="H17" s="20"/>
      <c r="I17" s="20"/>
      <c r="J17" s="20"/>
      <c r="K17" s="21">
        <v>157</v>
      </c>
      <c r="L17" s="21"/>
      <c r="M17" s="21"/>
      <c r="N17" s="21"/>
      <c r="O17" s="21"/>
      <c r="P17" s="21"/>
      <c r="Q17" s="21"/>
      <c r="R17" s="21"/>
      <c r="S17" s="22"/>
      <c r="T17" s="6"/>
      <c r="U17" s="6"/>
      <c r="V17" s="6"/>
      <c r="W17" s="6"/>
    </row>
    <row r="18" spans="1:23" s="5" customFormat="1" ht="15" x14ac:dyDescent="0.25">
      <c r="A18" s="17"/>
      <c r="B18" s="17"/>
      <c r="C18" s="17"/>
      <c r="D18" s="125" t="s">
        <v>1921</v>
      </c>
      <c r="E18" s="26"/>
      <c r="F18" s="20"/>
      <c r="G18" s="20"/>
      <c r="H18" s="20"/>
      <c r="I18" s="20"/>
      <c r="J18" s="20"/>
      <c r="K18" s="21">
        <v>367.16</v>
      </c>
      <c r="L18" s="21"/>
      <c r="M18" s="21"/>
      <c r="N18" s="21"/>
      <c r="O18" s="21"/>
      <c r="P18" s="21"/>
      <c r="Q18" s="21"/>
      <c r="R18" s="21"/>
      <c r="S18" s="22"/>
      <c r="T18" s="6"/>
      <c r="U18" s="6"/>
      <c r="V18" s="6"/>
      <c r="W18" s="6"/>
    </row>
    <row r="19" spans="1:23" s="5" customFormat="1" ht="15" x14ac:dyDescent="0.25">
      <c r="A19" s="17"/>
      <c r="B19" s="17"/>
      <c r="C19" s="17"/>
      <c r="D19" s="125" t="s">
        <v>1922</v>
      </c>
      <c r="E19" s="26"/>
      <c r="F19" s="20"/>
      <c r="G19" s="20"/>
      <c r="H19" s="20"/>
      <c r="I19" s="20"/>
      <c r="J19" s="20"/>
      <c r="K19" s="21">
        <v>983.16</v>
      </c>
      <c r="L19" s="21"/>
      <c r="M19" s="21"/>
      <c r="N19" s="21"/>
      <c r="O19" s="21"/>
      <c r="P19" s="21"/>
      <c r="Q19" s="21"/>
      <c r="R19" s="21"/>
      <c r="S19" s="22"/>
      <c r="T19" s="6"/>
      <c r="U19" s="6"/>
      <c r="V19" s="6"/>
      <c r="W19" s="6"/>
    </row>
    <row r="20" spans="1:23" s="5" customFormat="1" ht="15" x14ac:dyDescent="0.25">
      <c r="A20" s="17"/>
      <c r="B20" s="17"/>
      <c r="C20" s="17"/>
      <c r="D20" s="125" t="s">
        <v>1125</v>
      </c>
      <c r="E20" s="26"/>
      <c r="F20" s="20"/>
      <c r="G20" s="20"/>
      <c r="H20" s="20"/>
      <c r="I20" s="20"/>
      <c r="J20" s="20"/>
      <c r="K20" s="21">
        <f>27.33+312.43+11.5+16.85</f>
        <v>368.11</v>
      </c>
      <c r="L20" s="21"/>
      <c r="M20" s="21"/>
      <c r="N20" s="21"/>
      <c r="O20" s="21"/>
      <c r="P20" s="21"/>
      <c r="Q20" s="21"/>
      <c r="R20" s="21"/>
      <c r="S20" s="22"/>
      <c r="T20" s="6"/>
      <c r="U20" s="6"/>
      <c r="V20" s="6"/>
      <c r="W20" s="6"/>
    </row>
    <row r="21" spans="1:23" s="5" customFormat="1" ht="15" x14ac:dyDescent="0.25">
      <c r="A21" s="17"/>
      <c r="B21" s="17"/>
      <c r="C21" s="17"/>
      <c r="D21" s="125" t="s">
        <v>1126</v>
      </c>
      <c r="E21" s="26"/>
      <c r="F21" s="20"/>
      <c r="G21" s="20"/>
      <c r="H21" s="20"/>
      <c r="I21" s="20"/>
      <c r="J21" s="20"/>
      <c r="K21" s="21">
        <f>3.85*9</f>
        <v>34.65</v>
      </c>
      <c r="L21" s="21"/>
      <c r="M21" s="21"/>
      <c r="N21" s="21"/>
      <c r="O21" s="21"/>
      <c r="P21" s="21"/>
      <c r="Q21" s="21"/>
      <c r="R21" s="21"/>
      <c r="S21" s="22"/>
      <c r="T21" s="6"/>
      <c r="U21" s="6"/>
      <c r="V21" s="6"/>
      <c r="W21" s="6"/>
    </row>
    <row r="22" spans="1:23" s="5" customFormat="1" ht="15" x14ac:dyDescent="0.25">
      <c r="A22" s="17"/>
      <c r="B22" s="17"/>
      <c r="C22" s="17"/>
      <c r="D22" s="125" t="s">
        <v>1083</v>
      </c>
      <c r="E22" s="26"/>
      <c r="F22" s="20"/>
      <c r="G22" s="20"/>
      <c r="H22" s="20"/>
      <c r="I22" s="20"/>
      <c r="J22" s="20"/>
      <c r="K22" s="21">
        <v>1200</v>
      </c>
      <c r="L22" s="21"/>
      <c r="M22" s="21"/>
      <c r="N22" s="21"/>
      <c r="O22" s="21"/>
      <c r="P22" s="21"/>
      <c r="Q22" s="21"/>
      <c r="R22" s="21"/>
      <c r="S22" s="22"/>
      <c r="T22" s="6"/>
      <c r="U22" s="6"/>
      <c r="V22" s="6"/>
      <c r="W22" s="6"/>
    </row>
    <row r="23" spans="1:23" s="5" customFormat="1" ht="15" x14ac:dyDescent="0.25">
      <c r="A23" s="17"/>
      <c r="B23" s="17"/>
      <c r="C23" s="17"/>
      <c r="D23" s="18" t="e">
        <f>+'PRESUPUESTO DE OBRA'!#REF!</f>
        <v>#REF!</v>
      </c>
      <c r="E23" s="26" t="e">
        <f>+'PRESUPUESTO DE OBRA'!#REF!</f>
        <v>#REF!</v>
      </c>
      <c r="F23" s="20"/>
      <c r="G23" s="20"/>
      <c r="H23" s="20">
        <v>0.1</v>
      </c>
      <c r="I23" s="20"/>
      <c r="J23" s="20"/>
      <c r="K23" s="21">
        <f>+S16</f>
        <v>3110.0800000000004</v>
      </c>
      <c r="L23" s="21">
        <f>+H23*K23</f>
        <v>311.00800000000004</v>
      </c>
      <c r="M23" s="21"/>
      <c r="N23" s="21"/>
      <c r="O23" s="21"/>
      <c r="P23" s="21"/>
      <c r="Q23" s="21"/>
      <c r="R23" s="21"/>
      <c r="S23" s="22">
        <f>+L23</f>
        <v>311.00800000000004</v>
      </c>
      <c r="T23" s="6"/>
      <c r="U23" s="6"/>
      <c r="V23" s="6"/>
      <c r="W23" s="6"/>
    </row>
    <row r="24" spans="1:23" s="5" customFormat="1" ht="18" customHeight="1" x14ac:dyDescent="0.25">
      <c r="A24" s="13"/>
      <c r="B24" s="13"/>
      <c r="C24" s="13"/>
      <c r="D24" s="14" t="str">
        <f>+'PRESUPUESTO DE OBRA'!D9</f>
        <v>MOVIMIENTOS DE TIERRA</v>
      </c>
      <c r="E24" s="15"/>
      <c r="F24" s="16"/>
      <c r="G24" s="16"/>
      <c r="H24" s="16"/>
      <c r="I24" s="16"/>
      <c r="J24" s="16"/>
      <c r="K24" s="16"/>
      <c r="L24" s="16"/>
      <c r="M24" s="16"/>
      <c r="N24" s="16"/>
      <c r="O24" s="16"/>
      <c r="P24" s="16"/>
      <c r="Q24" s="16"/>
      <c r="R24" s="16"/>
      <c r="S24" s="16"/>
      <c r="T24" s="6"/>
      <c r="U24" s="6"/>
      <c r="V24" s="6"/>
      <c r="W24" s="6"/>
    </row>
    <row r="25" spans="1:23" s="5" customFormat="1" ht="28.5" customHeight="1" x14ac:dyDescent="0.25">
      <c r="A25" s="13"/>
      <c r="B25" s="13"/>
      <c r="C25" s="13"/>
      <c r="D25" s="149" t="str">
        <f>+'PRESUPUESTO DE OBRA'!D10</f>
        <v>Excavaciones</v>
      </c>
      <c r="E25" s="15"/>
      <c r="F25" s="16"/>
      <c r="G25" s="16"/>
      <c r="H25" s="16"/>
      <c r="I25" s="16"/>
      <c r="J25" s="16"/>
      <c r="K25" s="16"/>
      <c r="L25" s="16"/>
      <c r="M25" s="16"/>
      <c r="N25" s="16"/>
      <c r="O25" s="16"/>
      <c r="P25" s="16"/>
      <c r="Q25" s="16"/>
      <c r="R25" s="16"/>
      <c r="S25" s="16"/>
      <c r="T25" s="6"/>
      <c r="U25" s="6"/>
      <c r="V25" s="6"/>
      <c r="W25" s="6"/>
    </row>
    <row r="26" spans="1:23" s="5" customFormat="1" ht="15" x14ac:dyDescent="0.25">
      <c r="A26" s="17"/>
      <c r="B26" s="17"/>
      <c r="C26" s="17"/>
      <c r="D26" s="148" t="str">
        <f>+'PRESUPUESTO DE OBRA'!D11</f>
        <v xml:space="preserve">Excavacion Manual en material Heterogeneo </v>
      </c>
      <c r="E26" s="26" t="str">
        <f>+'PRESUPUESTO DE OBRA'!E11</f>
        <v>m³</v>
      </c>
      <c r="F26" s="20"/>
      <c r="G26" s="20"/>
      <c r="H26" s="20"/>
      <c r="I26" s="20"/>
      <c r="J26" s="20"/>
      <c r="K26" s="21"/>
      <c r="L26" s="21"/>
      <c r="M26" s="21"/>
      <c r="N26" s="21"/>
      <c r="O26" s="21"/>
      <c r="P26" s="21"/>
      <c r="Q26" s="21"/>
      <c r="R26" s="21"/>
      <c r="S26" s="22">
        <v>200</v>
      </c>
      <c r="T26" s="6"/>
      <c r="U26" s="6"/>
      <c r="V26" s="6"/>
      <c r="W26" s="6"/>
    </row>
    <row r="27" spans="1:23" s="5" customFormat="1" ht="46.5" customHeight="1" x14ac:dyDescent="0.25">
      <c r="A27" s="17"/>
      <c r="B27" s="17"/>
      <c r="C27" s="17"/>
      <c r="D27" s="148" t="str">
        <f>+'PRESUPUESTO DE OBRA'!D12</f>
        <v>Excavacion manual de pilas de diametro 1.0mts de 0 a 4 mts de profundidad  incluye anillo lateral de 0,1m de espesor bombeo de la misma.</v>
      </c>
      <c r="E27" s="26" t="str">
        <f>+'PRESUPUESTO DE OBRA'!E13</f>
        <v>m³</v>
      </c>
      <c r="F27" s="20"/>
      <c r="G27" s="20"/>
      <c r="H27" s="20">
        <v>3.5</v>
      </c>
      <c r="I27" s="20">
        <f>(40/2.3)*2</f>
        <v>34.782608695652179</v>
      </c>
      <c r="J27" s="20"/>
      <c r="K27" s="21">
        <f>+(3.1416*0.9*0.9)/4</f>
        <v>0.63617400000000002</v>
      </c>
      <c r="L27" s="21">
        <f>+H27*I27*K27</f>
        <v>77.447269565217397</v>
      </c>
      <c r="M27" s="21"/>
      <c r="N27" s="21"/>
      <c r="O27" s="21"/>
      <c r="P27" s="21"/>
      <c r="Q27" s="21"/>
      <c r="R27" s="21"/>
      <c r="S27" s="22">
        <f>+L27</f>
        <v>77.447269565217397</v>
      </c>
      <c r="T27" s="6"/>
      <c r="U27" s="6"/>
      <c r="V27" s="6"/>
      <c r="W27" s="6"/>
    </row>
    <row r="28" spans="1:23" s="5" customFormat="1" ht="15" x14ac:dyDescent="0.25">
      <c r="A28" s="17"/>
      <c r="B28" s="17"/>
      <c r="C28" s="17"/>
      <c r="D28" s="148" t="str">
        <f>+'PRESUPUESTO DE OBRA'!D13</f>
        <v>Corte mecanico en material Heterogeneo</v>
      </c>
      <c r="E28" s="26" t="str">
        <f>+'PRESUPUESTO DE OBRA'!E14</f>
        <v>m³</v>
      </c>
      <c r="F28" s="20"/>
      <c r="G28" s="20"/>
      <c r="H28" s="20"/>
      <c r="I28" s="20"/>
      <c r="J28" s="20"/>
      <c r="K28" s="21"/>
      <c r="L28" s="21"/>
      <c r="M28" s="21"/>
      <c r="N28" s="21"/>
      <c r="O28" s="21"/>
      <c r="P28" s="21"/>
      <c r="Q28" s="21"/>
      <c r="R28" s="21"/>
      <c r="S28" s="22">
        <f>+L29+L30+L31+L32+L33+L34+L35+L36</f>
        <v>912.48050000000012</v>
      </c>
      <c r="T28" s="6"/>
      <c r="U28" s="6"/>
      <c r="V28" s="6"/>
      <c r="W28" s="6"/>
    </row>
    <row r="29" spans="1:23" s="5" customFormat="1" ht="15" x14ac:dyDescent="0.25">
      <c r="A29" s="17"/>
      <c r="B29" s="17"/>
      <c r="C29" s="17"/>
      <c r="D29" s="125" t="s">
        <v>1124</v>
      </c>
      <c r="E29" s="26"/>
      <c r="F29" s="20"/>
      <c r="G29" s="20"/>
      <c r="H29" s="20">
        <v>0.3</v>
      </c>
      <c r="I29" s="20"/>
      <c r="J29" s="20"/>
      <c r="K29" s="21">
        <v>157</v>
      </c>
      <c r="L29" s="22">
        <f>+H29*K29</f>
        <v>47.1</v>
      </c>
      <c r="M29" s="21"/>
      <c r="N29" s="21"/>
      <c r="O29" s="21"/>
      <c r="P29" s="21"/>
      <c r="Q29" s="21"/>
      <c r="R29" s="21"/>
      <c r="S29" s="22"/>
      <c r="T29" s="6"/>
      <c r="U29" s="6"/>
      <c r="V29" s="6"/>
      <c r="W29" s="6"/>
    </row>
    <row r="30" spans="1:23" s="5" customFormat="1" ht="15" x14ac:dyDescent="0.25">
      <c r="A30" s="17"/>
      <c r="B30" s="17"/>
      <c r="C30" s="17"/>
      <c r="D30" s="125" t="s">
        <v>1921</v>
      </c>
      <c r="E30" s="26"/>
      <c r="F30" s="20"/>
      <c r="G30" s="20"/>
      <c r="H30" s="20">
        <v>0.3</v>
      </c>
      <c r="I30" s="20"/>
      <c r="J30" s="20"/>
      <c r="K30" s="21">
        <v>367.16</v>
      </c>
      <c r="L30" s="22">
        <f t="shared" ref="L30:L35" si="0">+H30*K30</f>
        <v>110.14800000000001</v>
      </c>
      <c r="M30" s="21"/>
      <c r="N30" s="21"/>
      <c r="O30" s="21"/>
      <c r="P30" s="21"/>
      <c r="Q30" s="21"/>
      <c r="R30" s="21"/>
      <c r="S30" s="22"/>
      <c r="T30" s="6"/>
      <c r="U30" s="6"/>
      <c r="V30" s="6"/>
      <c r="W30" s="6"/>
    </row>
    <row r="31" spans="1:23" s="5" customFormat="1" ht="15" x14ac:dyDescent="0.25">
      <c r="A31" s="17"/>
      <c r="B31" s="17"/>
      <c r="C31" s="17"/>
      <c r="D31" s="125" t="s">
        <v>1922</v>
      </c>
      <c r="E31" s="26"/>
      <c r="F31" s="20"/>
      <c r="G31" s="20"/>
      <c r="H31" s="20">
        <v>0.3</v>
      </c>
      <c r="I31" s="20"/>
      <c r="J31" s="20"/>
      <c r="K31" s="21">
        <v>983.16</v>
      </c>
      <c r="L31" s="22">
        <f t="shared" si="0"/>
        <v>294.94799999999998</v>
      </c>
      <c r="M31" s="21"/>
      <c r="N31" s="21"/>
      <c r="O31" s="21"/>
      <c r="P31" s="21"/>
      <c r="Q31" s="21"/>
      <c r="R31" s="21"/>
      <c r="S31" s="22"/>
      <c r="T31" s="6"/>
      <c r="U31" s="6"/>
      <c r="V31" s="6"/>
      <c r="W31" s="6"/>
    </row>
    <row r="32" spans="1:23" s="5" customFormat="1" ht="15" x14ac:dyDescent="0.25">
      <c r="A32" s="17"/>
      <c r="B32" s="17"/>
      <c r="C32" s="17"/>
      <c r="D32" s="125" t="s">
        <v>1125</v>
      </c>
      <c r="E32" s="26"/>
      <c r="F32" s="20"/>
      <c r="G32" s="20"/>
      <c r="H32" s="20">
        <v>0.2</v>
      </c>
      <c r="I32" s="20"/>
      <c r="J32" s="20"/>
      <c r="K32" s="21">
        <f>27.33+312.43+11.5+16.85</f>
        <v>368.11</v>
      </c>
      <c r="L32" s="22">
        <f t="shared" si="0"/>
        <v>73.622</v>
      </c>
      <c r="M32" s="21"/>
      <c r="N32" s="21"/>
      <c r="O32" s="21"/>
      <c r="P32" s="21"/>
      <c r="Q32" s="21"/>
      <c r="R32" s="21"/>
      <c r="S32" s="22"/>
      <c r="T32" s="6"/>
      <c r="U32" s="6"/>
      <c r="V32" s="6"/>
      <c r="W32" s="6"/>
    </row>
    <row r="33" spans="1:23" s="5" customFormat="1" ht="15" x14ac:dyDescent="0.25">
      <c r="A33" s="17"/>
      <c r="B33" s="17"/>
      <c r="C33" s="17"/>
      <c r="D33" s="125" t="s">
        <v>1126</v>
      </c>
      <c r="E33" s="26"/>
      <c r="F33" s="20"/>
      <c r="G33" s="20"/>
      <c r="H33" s="20">
        <v>0.25</v>
      </c>
      <c r="I33" s="20"/>
      <c r="J33" s="20"/>
      <c r="K33" s="21">
        <f>3.85*9</f>
        <v>34.65</v>
      </c>
      <c r="L33" s="22">
        <f t="shared" si="0"/>
        <v>8.6624999999999996</v>
      </c>
      <c r="M33" s="21"/>
      <c r="N33" s="21"/>
      <c r="O33" s="21"/>
      <c r="P33" s="21"/>
      <c r="Q33" s="21"/>
      <c r="R33" s="21"/>
      <c r="S33" s="22"/>
      <c r="T33" s="6"/>
      <c r="U33" s="6"/>
      <c r="V33" s="6"/>
      <c r="W33" s="6"/>
    </row>
    <row r="34" spans="1:23" s="5" customFormat="1" ht="15" x14ac:dyDescent="0.25">
      <c r="A34" s="17"/>
      <c r="B34" s="17"/>
      <c r="C34" s="17"/>
      <c r="D34" s="125" t="s">
        <v>1083</v>
      </c>
      <c r="E34" s="26"/>
      <c r="F34" s="20"/>
      <c r="G34" s="20"/>
      <c r="H34" s="20">
        <v>0.15</v>
      </c>
      <c r="I34" s="20"/>
      <c r="J34" s="20"/>
      <c r="K34" s="21">
        <v>1200</v>
      </c>
      <c r="L34" s="22">
        <f t="shared" si="0"/>
        <v>180</v>
      </c>
      <c r="M34" s="21"/>
      <c r="N34" s="21"/>
      <c r="O34" s="21"/>
      <c r="P34" s="21"/>
      <c r="Q34" s="21"/>
      <c r="R34" s="21"/>
      <c r="S34" s="22"/>
      <c r="T34" s="6"/>
      <c r="U34" s="6"/>
      <c r="V34" s="6"/>
      <c r="W34" s="6"/>
    </row>
    <row r="35" spans="1:23" s="5" customFormat="1" ht="15" x14ac:dyDescent="0.25">
      <c r="A35" s="17"/>
      <c r="B35" s="17"/>
      <c r="C35" s="17"/>
      <c r="D35" s="125" t="s">
        <v>1084</v>
      </c>
      <c r="E35" s="26"/>
      <c r="F35" s="20"/>
      <c r="G35" s="20"/>
      <c r="H35" s="20">
        <v>2.2000000000000002</v>
      </c>
      <c r="I35" s="20"/>
      <c r="J35" s="20"/>
      <c r="K35" s="21">
        <f>9*4</f>
        <v>36</v>
      </c>
      <c r="L35" s="22">
        <f t="shared" si="0"/>
        <v>79.2</v>
      </c>
      <c r="M35" s="21"/>
      <c r="N35" s="21"/>
      <c r="O35" s="21"/>
      <c r="P35" s="21"/>
      <c r="Q35" s="21"/>
      <c r="R35" s="21"/>
      <c r="S35" s="22"/>
      <c r="T35" s="6"/>
      <c r="U35" s="6"/>
      <c r="V35" s="6"/>
      <c r="W35" s="6"/>
    </row>
    <row r="36" spans="1:23" s="5" customFormat="1" ht="15" x14ac:dyDescent="0.25">
      <c r="A36" s="17"/>
      <c r="B36" s="17"/>
      <c r="C36" s="17"/>
      <c r="D36" s="125" t="s">
        <v>761</v>
      </c>
      <c r="E36" s="26"/>
      <c r="F36" s="20">
        <v>40</v>
      </c>
      <c r="G36" s="20">
        <v>1.35</v>
      </c>
      <c r="H36" s="20">
        <v>2.2000000000000002</v>
      </c>
      <c r="I36" s="20"/>
      <c r="J36" s="20"/>
      <c r="K36" s="21"/>
      <c r="L36" s="22">
        <f>+F36*G36*H36</f>
        <v>118.80000000000001</v>
      </c>
      <c r="M36" s="21"/>
      <c r="N36" s="21"/>
      <c r="O36" s="21"/>
      <c r="P36" s="21"/>
      <c r="Q36" s="21"/>
      <c r="R36" s="21"/>
      <c r="S36" s="22"/>
      <c r="T36" s="6"/>
      <c r="U36" s="6"/>
      <c r="V36" s="6"/>
      <c r="W36" s="6"/>
    </row>
    <row r="37" spans="1:23" s="5" customFormat="1" ht="15" x14ac:dyDescent="0.25">
      <c r="A37" s="126"/>
      <c r="B37" s="126"/>
      <c r="C37" s="126"/>
      <c r="D37" s="148" t="str">
        <f>+'PRESUPUESTO DE OBRA'!D14</f>
        <v>Retiro de material sobrante, cargue mecanico</v>
      </c>
      <c r="E37" s="26" t="str">
        <f>+'PRESUPUESTO DE OBRA'!E14</f>
        <v>m³</v>
      </c>
      <c r="F37" s="22"/>
      <c r="G37" s="22"/>
      <c r="H37" s="22"/>
      <c r="I37" s="22"/>
      <c r="J37" s="22"/>
      <c r="K37" s="22"/>
      <c r="L37" s="22">
        <f>+S28*0.3</f>
        <v>273.74415000000005</v>
      </c>
      <c r="M37" s="22"/>
      <c r="N37" s="22"/>
      <c r="O37" s="22"/>
      <c r="P37" s="22"/>
      <c r="Q37" s="22"/>
      <c r="R37" s="22"/>
      <c r="S37" s="22">
        <f>+L37</f>
        <v>273.74415000000005</v>
      </c>
      <c r="T37" s="6"/>
      <c r="U37" s="6"/>
      <c r="V37" s="6"/>
      <c r="W37" s="6"/>
    </row>
    <row r="38" spans="1:23" s="5" customFormat="1" ht="17.25" customHeight="1" x14ac:dyDescent="0.25">
      <c r="A38" s="13"/>
      <c r="B38" s="13"/>
      <c r="C38" s="13"/>
      <c r="D38" s="149" t="str">
        <f>+'PRESUPUESTO DE OBRA'!D15</f>
        <v>Llenos</v>
      </c>
      <c r="E38" s="150"/>
      <c r="F38" s="16"/>
      <c r="G38" s="16"/>
      <c r="H38" s="16"/>
      <c r="I38" s="16"/>
      <c r="J38" s="16"/>
      <c r="K38" s="16"/>
      <c r="L38" s="16"/>
      <c r="M38" s="16"/>
      <c r="N38" s="16"/>
      <c r="O38" s="16"/>
      <c r="P38" s="16"/>
      <c r="Q38" s="16"/>
      <c r="R38" s="16"/>
      <c r="S38" s="16">
        <f t="shared" ref="S38" si="1">+I38</f>
        <v>0</v>
      </c>
      <c r="T38" s="6"/>
      <c r="U38" s="6"/>
      <c r="V38" s="6"/>
      <c r="W38" s="6"/>
    </row>
    <row r="39" spans="1:23" s="5" customFormat="1" ht="17.25" customHeight="1" x14ac:dyDescent="0.25">
      <c r="A39" s="17"/>
      <c r="B39" s="17"/>
      <c r="C39" s="17"/>
      <c r="D39" s="148" t="str">
        <f>+'PRESUPUESTO DE OBRA'!D16</f>
        <v>Lleno compactado con material del sitio, Incluye transporte interno</v>
      </c>
      <c r="E39" s="26" t="str">
        <f>+'PRESUPUESTO DE OBRA'!E16</f>
        <v>m³</v>
      </c>
      <c r="F39" s="20"/>
      <c r="G39" s="20"/>
      <c r="H39" s="20"/>
      <c r="I39" s="20"/>
      <c r="J39" s="20"/>
      <c r="K39" s="21"/>
      <c r="L39" s="21">
        <f>+S40*0.4</f>
        <v>291.22239999999999</v>
      </c>
      <c r="M39" s="21"/>
      <c r="N39" s="21"/>
      <c r="O39" s="21"/>
      <c r="P39" s="21"/>
      <c r="Q39" s="21"/>
      <c r="R39" s="21"/>
      <c r="S39" s="22">
        <f>+L39</f>
        <v>291.22239999999999</v>
      </c>
      <c r="T39" s="6"/>
      <c r="U39" s="6"/>
      <c r="V39" s="6"/>
      <c r="W39" s="6"/>
    </row>
    <row r="40" spans="1:23" s="5" customFormat="1" ht="17.25" customHeight="1" x14ac:dyDescent="0.25">
      <c r="A40" s="17"/>
      <c r="B40" s="17"/>
      <c r="C40" s="17"/>
      <c r="D40" s="148" t="str">
        <f>+'PRESUPUESTO DE OBRA'!D17</f>
        <v>Lleno compactado con material granular, Incluye transporte interno</v>
      </c>
      <c r="E40" s="26" t="str">
        <f>+'PRESUPUESTO DE OBRA'!E17</f>
        <v>m³</v>
      </c>
      <c r="F40" s="20"/>
      <c r="G40" s="20"/>
      <c r="H40" s="20"/>
      <c r="I40" s="20"/>
      <c r="J40" s="20"/>
      <c r="K40" s="21"/>
      <c r="L40" s="21"/>
      <c r="M40" s="21"/>
      <c r="N40" s="21"/>
      <c r="O40" s="21"/>
      <c r="P40" s="21"/>
      <c r="Q40" s="21"/>
      <c r="R40" s="21"/>
      <c r="S40" s="22">
        <f>+L41+L42+L43+L44+L45+L46+L47+L48</f>
        <v>728.05599999999993</v>
      </c>
      <c r="T40" s="6"/>
      <c r="U40" s="6"/>
      <c r="V40" s="6"/>
      <c r="W40" s="6"/>
    </row>
    <row r="41" spans="1:23" s="5" customFormat="1" ht="17.25" customHeight="1" x14ac:dyDescent="0.25">
      <c r="A41" s="17"/>
      <c r="B41" s="17"/>
      <c r="C41" s="17"/>
      <c r="D41" s="125" t="s">
        <v>1124</v>
      </c>
      <c r="E41" s="26"/>
      <c r="F41" s="20"/>
      <c r="G41" s="20"/>
      <c r="H41" s="20">
        <v>0.2</v>
      </c>
      <c r="I41" s="20"/>
      <c r="J41" s="20"/>
      <c r="K41" s="21">
        <v>157</v>
      </c>
      <c r="L41" s="22">
        <f>+H41*K41</f>
        <v>31.400000000000002</v>
      </c>
      <c r="M41" s="21"/>
      <c r="N41" s="21"/>
      <c r="O41" s="21"/>
      <c r="P41" s="21"/>
      <c r="Q41" s="21"/>
      <c r="R41" s="21"/>
      <c r="S41" s="22"/>
      <c r="T41" s="6"/>
      <c r="U41" s="6"/>
      <c r="V41" s="6"/>
      <c r="W41" s="6"/>
    </row>
    <row r="42" spans="1:23" s="5" customFormat="1" ht="17.25" customHeight="1" x14ac:dyDescent="0.25">
      <c r="A42" s="17"/>
      <c r="B42" s="17"/>
      <c r="C42" s="17"/>
      <c r="D42" s="125" t="s">
        <v>1921</v>
      </c>
      <c r="E42" s="26"/>
      <c r="F42" s="20"/>
      <c r="G42" s="20"/>
      <c r="H42" s="20">
        <v>0.2</v>
      </c>
      <c r="I42" s="20"/>
      <c r="J42" s="20"/>
      <c r="K42" s="21">
        <v>367.16</v>
      </c>
      <c r="L42" s="22">
        <f t="shared" ref="L42:L47" si="2">+H42*K42</f>
        <v>73.432000000000002</v>
      </c>
      <c r="M42" s="21"/>
      <c r="N42" s="21"/>
      <c r="O42" s="21"/>
      <c r="P42" s="21"/>
      <c r="Q42" s="21"/>
      <c r="R42" s="21"/>
      <c r="S42" s="22"/>
      <c r="T42" s="6"/>
      <c r="U42" s="6"/>
      <c r="V42" s="6"/>
      <c r="W42" s="6"/>
    </row>
    <row r="43" spans="1:23" s="5" customFormat="1" ht="17.25" customHeight="1" x14ac:dyDescent="0.25">
      <c r="A43" s="17"/>
      <c r="B43" s="17"/>
      <c r="C43" s="17"/>
      <c r="D43" s="125" t="s">
        <v>1922</v>
      </c>
      <c r="E43" s="26"/>
      <c r="F43" s="20"/>
      <c r="G43" s="20"/>
      <c r="H43" s="20">
        <v>0.3</v>
      </c>
      <c r="I43" s="20"/>
      <c r="J43" s="20"/>
      <c r="K43" s="21">
        <v>983.16</v>
      </c>
      <c r="L43" s="22">
        <f t="shared" si="2"/>
        <v>294.94799999999998</v>
      </c>
      <c r="M43" s="21"/>
      <c r="N43" s="21"/>
      <c r="O43" s="21"/>
      <c r="P43" s="21"/>
      <c r="Q43" s="21"/>
      <c r="R43" s="21"/>
      <c r="S43" s="22"/>
      <c r="T43" s="6"/>
      <c r="U43" s="6"/>
      <c r="V43" s="6"/>
      <c r="W43" s="6"/>
    </row>
    <row r="44" spans="1:23" s="5" customFormat="1" ht="17.25" customHeight="1" x14ac:dyDescent="0.25">
      <c r="A44" s="17"/>
      <c r="B44" s="17"/>
      <c r="C44" s="17"/>
      <c r="D44" s="125" t="s">
        <v>1125</v>
      </c>
      <c r="E44" s="26"/>
      <c r="F44" s="20"/>
      <c r="G44" s="20"/>
      <c r="H44" s="20">
        <v>0.1</v>
      </c>
      <c r="I44" s="20"/>
      <c r="J44" s="20"/>
      <c r="K44" s="21">
        <f>27.33+312.43+11.5+16.85</f>
        <v>368.11</v>
      </c>
      <c r="L44" s="22">
        <f t="shared" si="2"/>
        <v>36.811</v>
      </c>
      <c r="M44" s="21"/>
      <c r="N44" s="21"/>
      <c r="O44" s="21"/>
      <c r="P44" s="21"/>
      <c r="Q44" s="21"/>
      <c r="R44" s="21"/>
      <c r="S44" s="22"/>
      <c r="T44" s="6"/>
      <c r="U44" s="6"/>
      <c r="V44" s="6"/>
      <c r="W44" s="6"/>
    </row>
    <row r="45" spans="1:23" s="5" customFormat="1" ht="17.25" customHeight="1" x14ac:dyDescent="0.25">
      <c r="A45" s="17"/>
      <c r="B45" s="17"/>
      <c r="C45" s="17"/>
      <c r="D45" s="125" t="s">
        <v>1126</v>
      </c>
      <c r="E45" s="26"/>
      <c r="F45" s="20"/>
      <c r="G45" s="20"/>
      <c r="H45" s="20">
        <v>0.1</v>
      </c>
      <c r="I45" s="20"/>
      <c r="J45" s="20"/>
      <c r="K45" s="21">
        <f>3.85*9</f>
        <v>34.65</v>
      </c>
      <c r="L45" s="22">
        <f t="shared" si="2"/>
        <v>3.4649999999999999</v>
      </c>
      <c r="M45" s="21"/>
      <c r="N45" s="21"/>
      <c r="O45" s="21"/>
      <c r="P45" s="21"/>
      <c r="Q45" s="21"/>
      <c r="R45" s="21"/>
      <c r="S45" s="22"/>
      <c r="T45" s="6"/>
      <c r="U45" s="6"/>
      <c r="V45" s="6"/>
      <c r="W45" s="6"/>
    </row>
    <row r="46" spans="1:23" s="5" customFormat="1" ht="17.25" customHeight="1" x14ac:dyDescent="0.25">
      <c r="A46" s="17"/>
      <c r="B46" s="17"/>
      <c r="C46" s="17"/>
      <c r="D46" s="125" t="s">
        <v>1083</v>
      </c>
      <c r="E46" s="26"/>
      <c r="F46" s="20"/>
      <c r="G46" s="20"/>
      <c r="H46" s="20">
        <v>0.1</v>
      </c>
      <c r="I46" s="20"/>
      <c r="J46" s="20"/>
      <c r="K46" s="21">
        <v>1200</v>
      </c>
      <c r="L46" s="22">
        <f t="shared" si="2"/>
        <v>120</v>
      </c>
      <c r="M46" s="21"/>
      <c r="N46" s="21"/>
      <c r="O46" s="21"/>
      <c r="P46" s="21"/>
      <c r="Q46" s="21"/>
      <c r="R46" s="21"/>
      <c r="S46" s="22"/>
      <c r="T46" s="6"/>
      <c r="U46" s="6"/>
      <c r="V46" s="6"/>
      <c r="W46" s="6"/>
    </row>
    <row r="47" spans="1:23" s="5" customFormat="1" ht="17.25" customHeight="1" x14ac:dyDescent="0.25">
      <c r="A47" s="17"/>
      <c r="B47" s="17"/>
      <c r="C47" s="17"/>
      <c r="D47" s="125" t="s">
        <v>1084</v>
      </c>
      <c r="E47" s="26"/>
      <c r="F47" s="20"/>
      <c r="G47" s="20"/>
      <c r="H47" s="20">
        <v>2</v>
      </c>
      <c r="I47" s="20"/>
      <c r="J47" s="20"/>
      <c r="K47" s="21">
        <f>9*4</f>
        <v>36</v>
      </c>
      <c r="L47" s="22">
        <f t="shared" si="2"/>
        <v>72</v>
      </c>
      <c r="M47" s="21"/>
      <c r="N47" s="21"/>
      <c r="O47" s="21"/>
      <c r="P47" s="21"/>
      <c r="Q47" s="21"/>
      <c r="R47" s="21"/>
      <c r="S47" s="22"/>
      <c r="T47" s="6"/>
      <c r="U47" s="6"/>
      <c r="V47" s="6"/>
      <c r="W47" s="6"/>
    </row>
    <row r="48" spans="1:23" s="5" customFormat="1" ht="17.25" customHeight="1" x14ac:dyDescent="0.25">
      <c r="A48" s="17"/>
      <c r="B48" s="17"/>
      <c r="C48" s="17"/>
      <c r="D48" s="125" t="s">
        <v>761</v>
      </c>
      <c r="E48" s="26"/>
      <c r="F48" s="20">
        <v>40</v>
      </c>
      <c r="G48" s="20">
        <v>1.2</v>
      </c>
      <c r="H48" s="20">
        <v>2</v>
      </c>
      <c r="I48" s="20"/>
      <c r="J48" s="20"/>
      <c r="K48" s="21"/>
      <c r="L48" s="22">
        <f>+F48*G48*H48</f>
        <v>96</v>
      </c>
      <c r="M48" s="21"/>
      <c r="N48" s="21"/>
      <c r="O48" s="21"/>
      <c r="P48" s="21"/>
      <c r="Q48" s="21"/>
      <c r="R48" s="21"/>
      <c r="S48" s="22"/>
      <c r="T48" s="6"/>
      <c r="U48" s="6"/>
      <c r="V48" s="6"/>
      <c r="W48" s="6"/>
    </row>
    <row r="49" spans="1:23" s="5" customFormat="1" ht="15" x14ac:dyDescent="0.25">
      <c r="A49" s="17"/>
      <c r="B49" s="17"/>
      <c r="C49" s="17"/>
      <c r="D49" s="148" t="str">
        <f>+'PRESUPUESTO DE OBRA'!D18</f>
        <v>Lleno con material filtrante</v>
      </c>
      <c r="E49" s="26" t="str">
        <f>+'PRESUPUESTO DE OBRA'!E18</f>
        <v>m³</v>
      </c>
      <c r="F49" s="20">
        <v>40</v>
      </c>
      <c r="G49" s="20">
        <v>0.4</v>
      </c>
      <c r="H49" s="20">
        <v>2</v>
      </c>
      <c r="I49" s="20"/>
      <c r="J49" s="20"/>
      <c r="K49" s="21"/>
      <c r="L49" s="22">
        <f>+F49*G49*H49</f>
        <v>32</v>
      </c>
      <c r="M49" s="21"/>
      <c r="N49" s="21"/>
      <c r="O49" s="21"/>
      <c r="P49" s="21"/>
      <c r="Q49" s="21"/>
      <c r="R49" s="21"/>
      <c r="S49" s="22">
        <f>+L49</f>
        <v>32</v>
      </c>
      <c r="T49" s="6"/>
      <c r="U49" s="6"/>
      <c r="V49" s="6"/>
      <c r="W49" s="6"/>
    </row>
    <row r="50" spans="1:23" s="5" customFormat="1" ht="17.25" customHeight="1" x14ac:dyDescent="0.25">
      <c r="A50" s="17"/>
      <c r="B50" s="17"/>
      <c r="C50" s="17"/>
      <c r="D50" s="148" t="str">
        <f>+'PRESUPUESTO DE OBRA'!D19</f>
        <v xml:space="preserve">Geotextil No Tejido PP/1600S </v>
      </c>
      <c r="E50" s="26" t="str">
        <f>+'PRESUPUESTO DE OBRA'!E19</f>
        <v>m²</v>
      </c>
      <c r="F50" s="20">
        <v>40</v>
      </c>
      <c r="G50" s="20"/>
      <c r="H50" s="20">
        <v>4</v>
      </c>
      <c r="I50" s="20"/>
      <c r="J50" s="20"/>
      <c r="K50" s="21">
        <f>+F50*H50</f>
        <v>160</v>
      </c>
      <c r="L50" s="21"/>
      <c r="M50" s="21"/>
      <c r="N50" s="21"/>
      <c r="O50" s="21"/>
      <c r="P50" s="21"/>
      <c r="Q50" s="21"/>
      <c r="R50" s="21"/>
      <c r="S50" s="22"/>
      <c r="T50" s="6"/>
      <c r="U50" s="6"/>
      <c r="V50" s="6"/>
      <c r="W50" s="6"/>
    </row>
    <row r="51" spans="1:23" s="5" customFormat="1" ht="34.5" customHeight="1" x14ac:dyDescent="0.25">
      <c r="A51" s="13"/>
      <c r="B51" s="13"/>
      <c r="C51" s="13"/>
      <c r="D51" s="14" t="str">
        <f>+'PRESUPUESTO DE OBRA'!D20</f>
        <v xml:space="preserve">ELEMENTOS EN CONCRETO </v>
      </c>
      <c r="E51" s="15"/>
      <c r="F51" s="16"/>
      <c r="G51" s="16"/>
      <c r="H51" s="16"/>
      <c r="I51" s="16"/>
      <c r="J51" s="16"/>
      <c r="K51" s="16"/>
      <c r="L51" s="16"/>
      <c r="M51" s="16"/>
      <c r="N51" s="16"/>
      <c r="O51" s="16"/>
      <c r="P51" s="16"/>
      <c r="Q51" s="16"/>
      <c r="R51" s="16"/>
      <c r="S51" s="16"/>
      <c r="T51" s="6"/>
      <c r="U51" s="6"/>
      <c r="V51" s="6"/>
      <c r="W51" s="6"/>
    </row>
    <row r="52" spans="1:23" s="5" customFormat="1" ht="29.25" customHeight="1" x14ac:dyDescent="0.25">
      <c r="A52" s="17"/>
      <c r="B52" s="17"/>
      <c r="C52" s="17"/>
      <c r="D52" s="18" t="str">
        <f>+'PRESUPUESTO DE OBRA'!D21</f>
        <v>Suministro e Instalación de concreto de 3000 psi para zapatas sin refuerzo</v>
      </c>
      <c r="E52" s="26" t="str">
        <f>+'PRESUPUESTO DE OBRA'!E21</f>
        <v>m³</v>
      </c>
      <c r="F52" s="20"/>
      <c r="G52" s="20"/>
      <c r="H52" s="20"/>
      <c r="I52" s="20"/>
      <c r="J52" s="20"/>
      <c r="K52" s="21"/>
      <c r="L52" s="21"/>
      <c r="M52" s="21"/>
      <c r="N52" s="21"/>
      <c r="O52" s="21"/>
      <c r="P52" s="21"/>
      <c r="Q52" s="21"/>
      <c r="R52" s="21"/>
      <c r="S52" s="22">
        <f>+L53</f>
        <v>1.1520000000000001</v>
      </c>
      <c r="T52" s="6"/>
      <c r="U52" s="6"/>
      <c r="V52" s="6"/>
      <c r="W52" s="6"/>
    </row>
    <row r="53" spans="1:23" s="5" customFormat="1" ht="15" x14ac:dyDescent="0.25">
      <c r="A53" s="17"/>
      <c r="B53" s="17"/>
      <c r="C53" s="17"/>
      <c r="D53" s="125" t="s">
        <v>1126</v>
      </c>
      <c r="E53" s="26"/>
      <c r="F53" s="20">
        <v>0.8</v>
      </c>
      <c r="G53" s="20">
        <v>0.8</v>
      </c>
      <c r="H53" s="20">
        <v>0.3</v>
      </c>
      <c r="I53" s="20">
        <v>6</v>
      </c>
      <c r="J53" s="20"/>
      <c r="K53" s="21"/>
      <c r="L53" s="21">
        <f>+F53*G53*H53*I53</f>
        <v>1.1520000000000001</v>
      </c>
      <c r="M53" s="21"/>
      <c r="N53" s="21"/>
      <c r="O53" s="21"/>
      <c r="P53" s="21"/>
      <c r="Q53" s="21"/>
      <c r="R53" s="21"/>
      <c r="S53" s="22"/>
      <c r="T53" s="6"/>
      <c r="U53" s="6"/>
      <c r="V53" s="6"/>
      <c r="W53" s="6"/>
    </row>
    <row r="54" spans="1:23" s="5" customFormat="1" ht="28.5" customHeight="1" x14ac:dyDescent="0.25">
      <c r="A54" s="17"/>
      <c r="B54" s="17"/>
      <c r="C54" s="17"/>
      <c r="D54" s="18" t="str">
        <f>+'PRESUPUESTO DE OBRA'!D22</f>
        <v>Suministro e Instalación de concreto de 3000 psi para vigas de cimentacion sin refuerzo</v>
      </c>
      <c r="E54" s="26" t="str">
        <f>+'PRESUPUESTO DE OBRA'!E24</f>
        <v>m³</v>
      </c>
      <c r="F54" s="20"/>
      <c r="G54" s="20"/>
      <c r="H54" s="20"/>
      <c r="I54" s="20"/>
      <c r="J54" s="20"/>
      <c r="K54" s="21"/>
      <c r="L54" s="21">
        <f>+F54*G54*H54</f>
        <v>0</v>
      </c>
      <c r="M54" s="21"/>
      <c r="N54" s="21"/>
      <c r="O54" s="21"/>
      <c r="P54" s="21"/>
      <c r="Q54" s="21"/>
      <c r="R54" s="21"/>
      <c r="S54" s="22">
        <f>+L55+L56+L57+L58</f>
        <v>16.432675000000003</v>
      </c>
      <c r="T54" s="6"/>
      <c r="U54" s="6"/>
      <c r="V54" s="6"/>
      <c r="W54" s="6"/>
    </row>
    <row r="55" spans="1:23" s="5" customFormat="1" ht="15" x14ac:dyDescent="0.25">
      <c r="A55" s="17"/>
      <c r="B55" s="17"/>
      <c r="C55" s="17"/>
      <c r="D55" s="125" t="s">
        <v>1126</v>
      </c>
      <c r="E55" s="26"/>
      <c r="F55" s="20">
        <f>3.25*3+4.05*4</f>
        <v>25.95</v>
      </c>
      <c r="G55" s="20">
        <v>0.3</v>
      </c>
      <c r="H55" s="20">
        <v>0.35</v>
      </c>
      <c r="I55" s="20"/>
      <c r="J55" s="20"/>
      <c r="K55" s="21"/>
      <c r="L55" s="21">
        <f>+F55*G55*H55</f>
        <v>2.7247499999999998</v>
      </c>
      <c r="M55" s="21"/>
      <c r="N55" s="21"/>
      <c r="O55" s="21"/>
      <c r="P55" s="21"/>
      <c r="Q55" s="21"/>
      <c r="R55" s="21"/>
      <c r="S55" s="22"/>
      <c r="T55" s="6"/>
      <c r="U55" s="6"/>
      <c r="V55" s="6"/>
      <c r="W55" s="6"/>
    </row>
    <row r="56" spans="1:23" s="5" customFormat="1" ht="15" x14ac:dyDescent="0.25">
      <c r="A56" s="17"/>
      <c r="B56" s="17"/>
      <c r="C56" s="17"/>
      <c r="D56" s="125" t="s">
        <v>1127</v>
      </c>
      <c r="E56" s="26"/>
      <c r="F56" s="20">
        <f>7.18+1.8*2</f>
        <v>10.78</v>
      </c>
      <c r="G56" s="20">
        <v>0.4</v>
      </c>
      <c r="H56" s="20">
        <v>0.4</v>
      </c>
      <c r="I56" s="20"/>
      <c r="J56" s="20"/>
      <c r="K56" s="21"/>
      <c r="L56" s="21">
        <f>+F56*G56*H56</f>
        <v>1.7248000000000001</v>
      </c>
      <c r="M56" s="21"/>
      <c r="N56" s="21"/>
      <c r="O56" s="21"/>
      <c r="P56" s="21"/>
      <c r="Q56" s="21"/>
      <c r="R56" s="21"/>
      <c r="S56" s="22"/>
      <c r="T56" s="6"/>
      <c r="U56" s="6"/>
      <c r="V56" s="6"/>
      <c r="W56" s="6"/>
    </row>
    <row r="57" spans="1:23" s="5" customFormat="1" ht="15" x14ac:dyDescent="0.25">
      <c r="A57" s="17"/>
      <c r="B57" s="17"/>
      <c r="C57" s="17"/>
      <c r="D57" s="125" t="s">
        <v>1128</v>
      </c>
      <c r="E57" s="26"/>
      <c r="F57" s="20">
        <f>181.43+10.3</f>
        <v>191.73000000000002</v>
      </c>
      <c r="G57" s="20">
        <v>0.25</v>
      </c>
      <c r="H57" s="20">
        <v>0.25</v>
      </c>
      <c r="I57" s="20"/>
      <c r="J57" s="20"/>
      <c r="K57" s="21"/>
      <c r="L57" s="21">
        <f>+F57*G57*H57</f>
        <v>11.983125000000001</v>
      </c>
      <c r="M57" s="21"/>
      <c r="N57" s="21"/>
      <c r="O57" s="21"/>
      <c r="P57" s="21"/>
      <c r="Q57" s="21"/>
      <c r="R57" s="21"/>
      <c r="S57" s="22"/>
      <c r="T57" s="6"/>
      <c r="U57" s="6"/>
      <c r="V57" s="6"/>
      <c r="W57" s="6"/>
    </row>
    <row r="58" spans="1:23" s="5" customFormat="1" ht="15" x14ac:dyDescent="0.25">
      <c r="A58" s="17"/>
      <c r="B58" s="17"/>
      <c r="C58" s="17"/>
      <c r="D58" s="125" t="s">
        <v>1129</v>
      </c>
      <c r="E58" s="26"/>
      <c r="F58" s="20"/>
      <c r="G58" s="20"/>
      <c r="H58" s="20"/>
      <c r="I58" s="20"/>
      <c r="J58" s="20"/>
      <c r="K58" s="21"/>
      <c r="L58" s="21"/>
      <c r="M58" s="21"/>
      <c r="N58" s="21"/>
      <c r="O58" s="21"/>
      <c r="P58" s="21"/>
      <c r="Q58" s="21"/>
      <c r="R58" s="21"/>
      <c r="S58" s="22"/>
      <c r="T58" s="6"/>
      <c r="U58" s="6"/>
      <c r="V58" s="6"/>
      <c r="W58" s="6"/>
    </row>
    <row r="59" spans="1:23" s="5" customFormat="1" ht="27.75" customHeight="1" x14ac:dyDescent="0.25">
      <c r="A59" s="17"/>
      <c r="B59" s="17"/>
      <c r="C59" s="17"/>
      <c r="D59" s="455" t="str">
        <f>+'PRESUPUESTO DE OBRA'!D23</f>
        <v>Suministro e Instalación de concreto de 4000 psi para columnas sin refuerzo</v>
      </c>
      <c r="E59" s="26" t="str">
        <f>+'PRESUPUESTO DE OBRA'!E23</f>
        <v>m³</v>
      </c>
      <c r="F59" s="20"/>
      <c r="G59" s="20"/>
      <c r="H59" s="20"/>
      <c r="I59" s="20"/>
      <c r="J59" s="20"/>
      <c r="K59" s="21"/>
      <c r="L59" s="21"/>
      <c r="M59" s="21"/>
      <c r="N59" s="21"/>
      <c r="O59" s="21"/>
      <c r="P59" s="21"/>
      <c r="Q59" s="21"/>
      <c r="R59" s="21"/>
      <c r="S59" s="22">
        <f>+L60+L61+L62+L63</f>
        <v>40.904499999999999</v>
      </c>
      <c r="T59" s="6"/>
      <c r="U59" s="6"/>
      <c r="V59" s="6"/>
      <c r="W59" s="6"/>
    </row>
    <row r="60" spans="1:23" s="5" customFormat="1" ht="15" x14ac:dyDescent="0.25">
      <c r="A60" s="17"/>
      <c r="B60" s="17"/>
      <c r="C60" s="17"/>
      <c r="D60" s="125" t="s">
        <v>1126</v>
      </c>
      <c r="E60" s="26"/>
      <c r="F60" s="20">
        <v>0.3</v>
      </c>
      <c r="G60" s="20">
        <v>0.3</v>
      </c>
      <c r="H60" s="20">
        <f>6.5*3+6.85*3</f>
        <v>40.049999999999997</v>
      </c>
      <c r="I60" s="20"/>
      <c r="J60" s="20"/>
      <c r="K60" s="21"/>
      <c r="L60" s="21">
        <f t="shared" ref="L60:L63" si="3">+F60*G60*H60</f>
        <v>3.6044999999999998</v>
      </c>
      <c r="M60" s="21"/>
      <c r="N60" s="21"/>
      <c r="O60" s="21"/>
      <c r="P60" s="21"/>
      <c r="Q60" s="21"/>
      <c r="R60" s="21"/>
      <c r="S60" s="22"/>
      <c r="T60" s="6"/>
      <c r="U60" s="6"/>
      <c r="V60" s="6"/>
      <c r="W60" s="6"/>
    </row>
    <row r="61" spans="1:23" s="5" customFormat="1" ht="15" x14ac:dyDescent="0.25">
      <c r="A61" s="17"/>
      <c r="B61" s="17"/>
      <c r="C61" s="17"/>
      <c r="D61" s="125" t="s">
        <v>1128</v>
      </c>
      <c r="E61" s="26"/>
      <c r="F61" s="20">
        <v>0.3</v>
      </c>
      <c r="G61" s="20">
        <v>0.3</v>
      </c>
      <c r="H61" s="20">
        <v>2.6</v>
      </c>
      <c r="I61" s="20">
        <v>66</v>
      </c>
      <c r="J61" s="20"/>
      <c r="K61" s="21"/>
      <c r="L61" s="21">
        <f>+F61*G61*H61*I61</f>
        <v>15.443999999999999</v>
      </c>
      <c r="M61" s="21"/>
      <c r="N61" s="21"/>
      <c r="O61" s="21"/>
      <c r="P61" s="21"/>
      <c r="Q61" s="21"/>
      <c r="R61" s="21"/>
      <c r="S61" s="22"/>
      <c r="T61" s="6"/>
      <c r="U61" s="6"/>
      <c r="V61" s="6"/>
      <c r="W61" s="6"/>
    </row>
    <row r="62" spans="1:23" s="5" customFormat="1" ht="15" x14ac:dyDescent="0.25">
      <c r="A62" s="17"/>
      <c r="B62" s="17"/>
      <c r="C62" s="17"/>
      <c r="D62" s="125" t="s">
        <v>1129</v>
      </c>
      <c r="E62" s="26"/>
      <c r="F62" s="20">
        <v>0.4</v>
      </c>
      <c r="G62" s="20">
        <v>0.4</v>
      </c>
      <c r="H62" s="20">
        <f>5.6*10+4.85*4+4.45*4</f>
        <v>93.2</v>
      </c>
      <c r="I62" s="20"/>
      <c r="J62" s="20"/>
      <c r="K62" s="21"/>
      <c r="L62" s="21">
        <f t="shared" si="3"/>
        <v>14.912000000000003</v>
      </c>
      <c r="M62" s="21"/>
      <c r="N62" s="21"/>
      <c r="O62" s="21"/>
      <c r="P62" s="21"/>
      <c r="Q62" s="21"/>
      <c r="R62" s="21"/>
      <c r="S62" s="22"/>
      <c r="T62" s="6"/>
      <c r="U62" s="6"/>
      <c r="V62" s="6"/>
      <c r="W62" s="6"/>
    </row>
    <row r="63" spans="1:23" s="5" customFormat="1" ht="15" x14ac:dyDescent="0.25">
      <c r="A63" s="17"/>
      <c r="B63" s="17"/>
      <c r="C63" s="17"/>
      <c r="D63" s="125" t="s">
        <v>1130</v>
      </c>
      <c r="E63" s="26"/>
      <c r="F63" s="20">
        <v>4.96</v>
      </c>
      <c r="G63" s="20">
        <v>0.2</v>
      </c>
      <c r="H63" s="20">
        <v>7</v>
      </c>
      <c r="I63" s="20"/>
      <c r="J63" s="20"/>
      <c r="K63" s="21"/>
      <c r="L63" s="21">
        <f t="shared" si="3"/>
        <v>6.944</v>
      </c>
      <c r="M63" s="21"/>
      <c r="N63" s="21"/>
      <c r="O63" s="21"/>
      <c r="P63" s="21"/>
      <c r="Q63" s="21"/>
      <c r="R63" s="21"/>
      <c r="S63" s="22"/>
      <c r="T63" s="6"/>
      <c r="U63" s="6"/>
      <c r="V63" s="6"/>
      <c r="W63" s="6"/>
    </row>
    <row r="64" spans="1:23" s="5" customFormat="1" ht="33" customHeight="1" x14ac:dyDescent="0.25">
      <c r="A64" s="17"/>
      <c r="B64" s="17"/>
      <c r="C64" s="17"/>
      <c r="D64" s="18" t="str">
        <f>+'PRESUPUESTO DE OBRA'!D24</f>
        <v>Suministro e Instalación de concreto de 3000 psi para vigas aereas y de remate sin refuerzo</v>
      </c>
      <c r="E64" s="26" t="str">
        <f>+'PRESUPUESTO DE OBRA'!E24</f>
        <v>m³</v>
      </c>
      <c r="F64" s="20"/>
      <c r="G64" s="20"/>
      <c r="H64" s="20"/>
      <c r="I64" s="20"/>
      <c r="J64" s="20"/>
      <c r="K64" s="21"/>
      <c r="L64" s="21"/>
      <c r="M64" s="21"/>
      <c r="N64" s="21"/>
      <c r="O64" s="21"/>
      <c r="P64" s="21"/>
      <c r="Q64" s="21"/>
      <c r="R64" s="21"/>
      <c r="S64" s="22">
        <f>+L65</f>
        <v>11.3</v>
      </c>
      <c r="T64" s="6"/>
      <c r="U64" s="6"/>
      <c r="V64" s="6"/>
      <c r="W64" s="6"/>
    </row>
    <row r="65" spans="1:23" s="5" customFormat="1" ht="15" x14ac:dyDescent="0.25">
      <c r="A65" s="17"/>
      <c r="B65" s="17"/>
      <c r="C65" s="17"/>
      <c r="D65" s="125" t="s">
        <v>1923</v>
      </c>
      <c r="E65" s="26"/>
      <c r="F65" s="20"/>
      <c r="G65" s="20"/>
      <c r="H65" s="20"/>
      <c r="I65" s="20"/>
      <c r="J65" s="20"/>
      <c r="K65" s="21"/>
      <c r="L65" s="21">
        <v>11.3</v>
      </c>
      <c r="M65" s="21"/>
      <c r="N65" s="21"/>
      <c r="O65" s="21"/>
      <c r="P65" s="21"/>
      <c r="Q65" s="21"/>
      <c r="R65" s="21"/>
      <c r="S65" s="22"/>
      <c r="T65" s="6"/>
      <c r="U65" s="6"/>
      <c r="V65" s="6"/>
      <c r="W65" s="6"/>
    </row>
    <row r="66" spans="1:23" s="5" customFormat="1" ht="15" x14ac:dyDescent="0.25">
      <c r="A66" s="17"/>
      <c r="B66" s="17"/>
      <c r="C66" s="17"/>
      <c r="D66" s="18"/>
      <c r="E66" s="26"/>
      <c r="F66" s="20"/>
      <c r="G66" s="20"/>
      <c r="H66" s="20"/>
      <c r="I66" s="20"/>
      <c r="J66" s="20"/>
      <c r="K66" s="21"/>
      <c r="L66" s="21"/>
      <c r="M66" s="21"/>
      <c r="N66" s="21"/>
      <c r="O66" s="21"/>
      <c r="P66" s="21"/>
      <c r="Q66" s="21"/>
      <c r="R66" s="21"/>
      <c r="S66" s="22"/>
      <c r="T66" s="6"/>
      <c r="U66" s="6"/>
      <c r="V66" s="6"/>
      <c r="W66" s="6"/>
    </row>
    <row r="67" spans="1:23" s="5" customFormat="1" ht="33.75" customHeight="1" x14ac:dyDescent="0.25">
      <c r="A67" s="17"/>
      <c r="B67" s="17"/>
      <c r="C67" s="17"/>
      <c r="D67" s="18" t="str">
        <f>+'PRESUPUESTO DE OBRA'!D25</f>
        <v>Placa Steeldeck y/o Metaldeck en concreto de 3000psi, sin refuerzo, según diseño</v>
      </c>
      <c r="E67" s="26" t="str">
        <f>+'PRESUPUESTO DE OBRA'!E25</f>
        <v>m²</v>
      </c>
      <c r="F67" s="20"/>
      <c r="G67" s="20"/>
      <c r="H67" s="20"/>
      <c r="I67" s="20"/>
      <c r="J67" s="20"/>
      <c r="K67" s="21"/>
      <c r="L67" s="21"/>
      <c r="M67" s="21"/>
      <c r="N67" s="21"/>
      <c r="O67" s="21"/>
      <c r="P67" s="21"/>
      <c r="Q67" s="21"/>
      <c r="R67" s="21"/>
      <c r="S67" s="22">
        <f>+K68+K69+K70</f>
        <v>378.77</v>
      </c>
      <c r="T67" s="6"/>
      <c r="U67" s="6"/>
      <c r="V67" s="6"/>
      <c r="W67" s="6"/>
    </row>
    <row r="68" spans="1:23" s="5" customFormat="1" ht="15" x14ac:dyDescent="0.25">
      <c r="A68" s="17"/>
      <c r="B68" s="17"/>
      <c r="C68" s="17"/>
      <c r="D68" s="125" t="s">
        <v>1132</v>
      </c>
      <c r="E68" s="26"/>
      <c r="F68" s="20"/>
      <c r="G68" s="20"/>
      <c r="H68" s="20"/>
      <c r="I68" s="20"/>
      <c r="J68" s="20"/>
      <c r="K68" s="21">
        <f>230.19+23.06</f>
        <v>253.25</v>
      </c>
      <c r="L68" s="21"/>
      <c r="M68" s="21"/>
      <c r="N68" s="21"/>
      <c r="O68" s="21"/>
      <c r="P68" s="21"/>
      <c r="Q68" s="21"/>
      <c r="R68" s="21"/>
      <c r="S68" s="22"/>
      <c r="T68" s="6"/>
      <c r="U68" s="6"/>
      <c r="V68" s="6"/>
      <c r="W68" s="6"/>
    </row>
    <row r="69" spans="1:23" s="5" customFormat="1" ht="15" x14ac:dyDescent="0.25">
      <c r="A69" s="17"/>
      <c r="B69" s="17"/>
      <c r="C69" s="17"/>
      <c r="D69" s="125" t="s">
        <v>1131</v>
      </c>
      <c r="E69" s="26"/>
      <c r="F69" s="20"/>
      <c r="G69" s="20"/>
      <c r="H69" s="20"/>
      <c r="I69" s="20"/>
      <c r="J69" s="20"/>
      <c r="K69" s="21">
        <v>83.18</v>
      </c>
      <c r="L69" s="21"/>
      <c r="M69" s="21"/>
      <c r="N69" s="21"/>
      <c r="O69" s="21"/>
      <c r="P69" s="21"/>
      <c r="Q69" s="21"/>
      <c r="R69" s="21"/>
      <c r="S69" s="22"/>
      <c r="T69" s="6"/>
      <c r="U69" s="6"/>
      <c r="V69" s="6"/>
      <c r="W69" s="6"/>
    </row>
    <row r="70" spans="1:23" s="5" customFormat="1" ht="15" x14ac:dyDescent="0.25">
      <c r="A70" s="17"/>
      <c r="B70" s="17"/>
      <c r="C70" s="17"/>
      <c r="D70" s="125" t="s">
        <v>1133</v>
      </c>
      <c r="E70" s="26"/>
      <c r="F70" s="20"/>
      <c r="G70" s="20"/>
      <c r="H70" s="20"/>
      <c r="I70" s="20"/>
      <c r="J70" s="20"/>
      <c r="K70" s="21">
        <v>42.34</v>
      </c>
      <c r="L70" s="21"/>
      <c r="M70" s="21"/>
      <c r="N70" s="21"/>
      <c r="O70" s="21"/>
      <c r="P70" s="21"/>
      <c r="Q70" s="21"/>
      <c r="R70" s="21"/>
      <c r="S70" s="22"/>
      <c r="T70" s="6"/>
      <c r="U70" s="6"/>
      <c r="V70" s="6"/>
      <c r="W70" s="6"/>
    </row>
    <row r="71" spans="1:23" s="5" customFormat="1" ht="15" x14ac:dyDescent="0.25">
      <c r="A71" s="17"/>
      <c r="B71" s="17"/>
      <c r="C71" s="17"/>
      <c r="D71" s="18" t="str">
        <f>+'PRESUPUESTO DE OBRA'!D26</f>
        <v>Dintel en concreto de 3000psi de 0,12 x 0,20 m, incluye refuerzo</v>
      </c>
      <c r="E71" s="26" t="str">
        <f>+'PRESUPUESTO DE OBRA'!E26</f>
        <v>m</v>
      </c>
      <c r="F71" s="20">
        <v>123</v>
      </c>
      <c r="G71" s="20"/>
      <c r="H71" s="20"/>
      <c r="I71" s="20"/>
      <c r="J71" s="20"/>
      <c r="K71" s="21"/>
      <c r="L71" s="21"/>
      <c r="M71" s="21"/>
      <c r="N71" s="21"/>
      <c r="O71" s="21"/>
      <c r="P71" s="21"/>
      <c r="Q71" s="21"/>
      <c r="R71" s="21"/>
      <c r="S71" s="22">
        <f>+F71</f>
        <v>123</v>
      </c>
      <c r="T71" s="6"/>
      <c r="U71" s="6"/>
      <c r="V71" s="6"/>
      <c r="W71" s="6"/>
    </row>
    <row r="72" spans="1:23" s="5" customFormat="1" ht="15" x14ac:dyDescent="0.25">
      <c r="A72" s="17"/>
      <c r="B72" s="17"/>
      <c r="C72" s="17"/>
      <c r="D72" s="18" t="str">
        <f>+'PRESUPUESTO DE OBRA'!D27</f>
        <v>Columnetas en concreto de 3000psi de 0,12 x 0,20 m, incluye refuerzo</v>
      </c>
      <c r="E72" s="26" t="str">
        <f>+'PRESUPUESTO DE OBRA'!E27</f>
        <v>m</v>
      </c>
      <c r="F72" s="20">
        <v>144</v>
      </c>
      <c r="G72" s="20"/>
      <c r="H72" s="20"/>
      <c r="I72" s="20"/>
      <c r="J72" s="20"/>
      <c r="K72" s="21"/>
      <c r="L72" s="21"/>
      <c r="M72" s="21"/>
      <c r="N72" s="21"/>
      <c r="O72" s="21"/>
      <c r="P72" s="21"/>
      <c r="Q72" s="21"/>
      <c r="R72" s="21"/>
      <c r="S72" s="22">
        <f>+F72</f>
        <v>144</v>
      </c>
      <c r="T72" s="6"/>
      <c r="U72" s="6"/>
      <c r="V72" s="6"/>
      <c r="W72" s="6"/>
    </row>
    <row r="73" spans="1:23" s="5" customFormat="1" ht="30.75" customHeight="1" x14ac:dyDescent="0.25">
      <c r="A73" s="17"/>
      <c r="B73" s="17"/>
      <c r="C73" s="17"/>
      <c r="D73" s="18" t="str">
        <f>+LIST_ACTIVIDADES!D28</f>
        <v>Alfajía en concreto de 3000ps para remate de muro y ventana, incluye
refuerzo</v>
      </c>
      <c r="E73" s="26" t="str">
        <f>+'PRESUPUESTO DE OBRA'!E28</f>
        <v>m</v>
      </c>
      <c r="F73" s="20">
        <f>+F71+120</f>
        <v>243</v>
      </c>
      <c r="G73" s="20"/>
      <c r="H73" s="20"/>
      <c r="I73" s="20"/>
      <c r="J73" s="20"/>
      <c r="K73" s="21"/>
      <c r="L73" s="21"/>
      <c r="M73" s="21"/>
      <c r="N73" s="21"/>
      <c r="O73" s="21"/>
      <c r="P73" s="21"/>
      <c r="Q73" s="21"/>
      <c r="R73" s="21"/>
      <c r="S73" s="22">
        <f>+F73</f>
        <v>243</v>
      </c>
      <c r="T73" s="6"/>
      <c r="U73" s="6"/>
      <c r="V73" s="6"/>
      <c r="W73" s="6"/>
    </row>
    <row r="74" spans="1:23" s="5" customFormat="1" ht="15" x14ac:dyDescent="0.25">
      <c r="A74" s="17"/>
      <c r="B74" s="17"/>
      <c r="C74" s="17"/>
      <c r="D74" s="18" t="str">
        <f>+'PRESUPUESTO DE OBRA'!D29</f>
        <v>Anden en concreto de 20,7 Mpa (3.000 psi) e = 0,10 m</v>
      </c>
      <c r="E74" s="26" t="str">
        <f>+'PRESUPUESTO DE OBRA'!E29</f>
        <v>m²</v>
      </c>
      <c r="F74" s="20"/>
      <c r="G74" s="20"/>
      <c r="H74" s="20"/>
      <c r="I74" s="20"/>
      <c r="J74" s="20"/>
      <c r="K74" s="21">
        <f>+K14</f>
        <v>368.11</v>
      </c>
      <c r="L74" s="21"/>
      <c r="M74" s="21"/>
      <c r="N74" s="21"/>
      <c r="O74" s="21"/>
      <c r="P74" s="21"/>
      <c r="Q74" s="21"/>
      <c r="R74" s="21"/>
      <c r="S74" s="22">
        <f>+K74</f>
        <v>368.11</v>
      </c>
      <c r="T74" s="6"/>
      <c r="U74" s="6"/>
      <c r="V74" s="6"/>
      <c r="W74" s="6"/>
    </row>
    <row r="75" spans="1:23" s="5" customFormat="1" ht="15" x14ac:dyDescent="0.25">
      <c r="A75" s="17"/>
      <c r="B75" s="17"/>
      <c r="C75" s="17"/>
      <c r="D75" s="18" t="str">
        <f>+'PRESUPUESTO DE OBRA'!D30</f>
        <v>Rampa en concreto de 20,7 Mpa (3.000 psi) e = 0,10 m</v>
      </c>
      <c r="E75" s="26" t="str">
        <f>+'PRESUPUESTO DE OBRA'!E30</f>
        <v>m²</v>
      </c>
      <c r="F75" s="20"/>
      <c r="G75" s="20"/>
      <c r="H75" s="20"/>
      <c r="I75" s="20"/>
      <c r="J75" s="20"/>
      <c r="K75" s="21">
        <f>4.12+3.66+3.66+4.5</f>
        <v>15.940000000000001</v>
      </c>
      <c r="L75" s="21"/>
      <c r="M75" s="21"/>
      <c r="N75" s="21"/>
      <c r="O75" s="21"/>
      <c r="P75" s="21"/>
      <c r="Q75" s="21"/>
      <c r="R75" s="21"/>
      <c r="S75" s="22">
        <f>+K75</f>
        <v>15.940000000000001</v>
      </c>
      <c r="T75" s="6"/>
      <c r="U75" s="6"/>
      <c r="V75" s="6"/>
      <c r="W75" s="6"/>
    </row>
    <row r="76" spans="1:23" s="5" customFormat="1" ht="60" customHeight="1" x14ac:dyDescent="0.25">
      <c r="A76" s="17"/>
      <c r="B76" s="17"/>
      <c r="C76" s="17"/>
      <c r="D76" s="18" t="e">
        <f>+'PRESUPUESTO DE OBRA'!#REF!</f>
        <v>#REF!</v>
      </c>
      <c r="E76" s="26" t="e">
        <f>+'PRESUPUESTO DE OBRA'!#REF!</f>
        <v>#REF!</v>
      </c>
      <c r="F76" s="20"/>
      <c r="G76" s="20"/>
      <c r="H76" s="20"/>
      <c r="I76" s="20"/>
      <c r="J76" s="20"/>
      <c r="K76" s="21">
        <f>+K11</f>
        <v>157</v>
      </c>
      <c r="L76" s="21"/>
      <c r="M76" s="21"/>
      <c r="N76" s="21"/>
      <c r="O76" s="21"/>
      <c r="P76" s="21"/>
      <c r="Q76" s="21"/>
      <c r="R76" s="21"/>
      <c r="S76" s="22">
        <f>+K76</f>
        <v>157</v>
      </c>
      <c r="T76" s="6"/>
      <c r="U76" s="6"/>
      <c r="V76" s="6"/>
      <c r="W76" s="6"/>
    </row>
    <row r="77" spans="1:23" s="5" customFormat="1" ht="63" customHeight="1" x14ac:dyDescent="0.25">
      <c r="A77" s="17"/>
      <c r="B77" s="17"/>
      <c r="C77" s="17"/>
      <c r="D77" s="455" t="e">
        <f>+'PRESUPUESTO DE OBRA'!#REF!</f>
        <v>#REF!</v>
      </c>
      <c r="E77" s="26" t="e">
        <f>+'PRESUPUESTO DE OBRA'!#REF!</f>
        <v>#REF!</v>
      </c>
      <c r="F77" s="20"/>
      <c r="G77" s="20"/>
      <c r="H77" s="20"/>
      <c r="I77" s="20"/>
      <c r="J77" s="20"/>
      <c r="K77" s="21">
        <f>+K13</f>
        <v>983.16</v>
      </c>
      <c r="L77" s="21"/>
      <c r="M77" s="21"/>
      <c r="N77" s="21"/>
      <c r="O77" s="21"/>
      <c r="P77" s="21"/>
      <c r="Q77" s="21"/>
      <c r="R77" s="21"/>
      <c r="S77" s="22">
        <f>+K77</f>
        <v>983.16</v>
      </c>
      <c r="T77" s="6"/>
      <c r="U77" s="6"/>
      <c r="V77" s="6"/>
      <c r="W77" s="6"/>
    </row>
    <row r="78" spans="1:23" s="5" customFormat="1" ht="30.75" customHeight="1" x14ac:dyDescent="0.25">
      <c r="A78" s="17"/>
      <c r="B78" s="17"/>
      <c r="C78" s="17"/>
      <c r="D78" s="18" t="str">
        <f>+'PRESUPUESTO DE OBRA'!D31</f>
        <v>Concreto de 3000psi para pilas de cimentacion, no incluye acero de refuerzo</v>
      </c>
      <c r="E78" s="26" t="str">
        <f>+'PRESUPUESTO DE OBRA'!E32</f>
        <v>m³</v>
      </c>
      <c r="F78" s="20"/>
      <c r="G78" s="20"/>
      <c r="H78" s="20">
        <v>3.5</v>
      </c>
      <c r="I78" s="20">
        <f>(40/2.3)*2</f>
        <v>34.782608695652179</v>
      </c>
      <c r="J78" s="20"/>
      <c r="K78" s="21">
        <f>+(3.1416*0.7*0.7)/4</f>
        <v>0.38484599999999991</v>
      </c>
      <c r="L78" s="21">
        <f>+H78*I78*K78</f>
        <v>46.850817391304339</v>
      </c>
      <c r="M78" s="21"/>
      <c r="N78" s="21"/>
      <c r="O78" s="21"/>
      <c r="P78" s="21"/>
      <c r="Q78" s="21"/>
      <c r="R78" s="21"/>
      <c r="S78" s="22">
        <f>+L78</f>
        <v>46.850817391304339</v>
      </c>
      <c r="T78" s="6"/>
      <c r="U78" s="6"/>
      <c r="V78" s="6"/>
      <c r="W78" s="6"/>
    </row>
    <row r="79" spans="1:23" s="5" customFormat="1" ht="28.5" x14ac:dyDescent="0.25">
      <c r="A79" s="17"/>
      <c r="B79" s="17"/>
      <c r="C79" s="17"/>
      <c r="D79" s="18" t="str">
        <f>+'PRESUPUESTO DE OBRA'!D32</f>
        <v>Muro de contención en concreto 20,7 Mpa (3000 psi), no incluye refuerzo</v>
      </c>
      <c r="E79" s="26" t="str">
        <f>+'PRESUPUESTO DE OBRA'!E32</f>
        <v>m³</v>
      </c>
      <c r="F79" s="20">
        <v>40</v>
      </c>
      <c r="G79" s="20"/>
      <c r="H79" s="20"/>
      <c r="I79" s="20">
        <v>2.5</v>
      </c>
      <c r="J79" s="20" t="s">
        <v>1136</v>
      </c>
      <c r="K79" s="21"/>
      <c r="L79" s="21">
        <f>+F79*I79</f>
        <v>100</v>
      </c>
      <c r="M79" s="21"/>
      <c r="N79" s="21"/>
      <c r="O79" s="21"/>
      <c r="P79" s="21"/>
      <c r="Q79" s="21"/>
      <c r="R79" s="21"/>
      <c r="S79" s="22">
        <f>+L79</f>
        <v>100</v>
      </c>
      <c r="T79" s="6"/>
      <c r="U79" s="6"/>
      <c r="V79" s="6"/>
      <c r="W79" s="6"/>
    </row>
    <row r="80" spans="1:23" s="5" customFormat="1" ht="28.5" customHeight="1" x14ac:dyDescent="0.25">
      <c r="A80" s="17"/>
      <c r="B80" s="17"/>
      <c r="C80" s="17"/>
      <c r="D80" s="18" t="str">
        <f>+'PRESUPUESTO DE OBRA'!D33</f>
        <v xml:space="preserve">Pantalla en concreto 3000psi, e=20cm, incluye formaleta y anclajes estructurales en tanque subterraneo </v>
      </c>
      <c r="E80" s="26" t="str">
        <f>+'PRESUPUESTO DE OBRA'!E34</f>
        <v>m³</v>
      </c>
      <c r="F80" s="20"/>
      <c r="G80" s="20"/>
      <c r="H80" s="20"/>
      <c r="I80" s="20"/>
      <c r="J80" s="20"/>
      <c r="K80" s="21"/>
      <c r="L80" s="21">
        <f>+F80*G80*H80</f>
        <v>0</v>
      </c>
      <c r="M80" s="21"/>
      <c r="N80" s="21"/>
      <c r="O80" s="21"/>
      <c r="P80" s="21"/>
      <c r="Q80" s="21"/>
      <c r="R80" s="21"/>
      <c r="S80" s="22">
        <f>+L81+L82</f>
        <v>8.5079999999999991</v>
      </c>
      <c r="T80" s="6"/>
      <c r="U80" s="6"/>
      <c r="V80" s="6"/>
      <c r="W80" s="6"/>
    </row>
    <row r="81" spans="1:23" s="5" customFormat="1" ht="15" x14ac:dyDescent="0.25">
      <c r="A81" s="17"/>
      <c r="B81" s="17"/>
      <c r="C81" s="17"/>
      <c r="D81" s="125" t="s">
        <v>1138</v>
      </c>
      <c r="E81" s="26"/>
      <c r="F81" s="20">
        <v>4.8</v>
      </c>
      <c r="G81" s="20">
        <v>0.2</v>
      </c>
      <c r="H81" s="20">
        <v>2.2999999999999998</v>
      </c>
      <c r="I81" s="20"/>
      <c r="J81" s="20"/>
      <c r="K81" s="21"/>
      <c r="L81" s="21">
        <f>+F81*G81*H81</f>
        <v>2.2079999999999997</v>
      </c>
      <c r="M81" s="21"/>
      <c r="N81" s="21"/>
      <c r="O81" s="21"/>
      <c r="P81" s="21"/>
      <c r="Q81" s="21"/>
      <c r="R81" s="21"/>
      <c r="S81" s="22"/>
      <c r="T81" s="6"/>
      <c r="U81" s="6"/>
      <c r="V81" s="6"/>
      <c r="W81" s="6"/>
    </row>
    <row r="82" spans="1:23" s="5" customFormat="1" ht="15" x14ac:dyDescent="0.25">
      <c r="A82" s="17"/>
      <c r="B82" s="17"/>
      <c r="C82" s="17"/>
      <c r="D82" s="125" t="s">
        <v>2354</v>
      </c>
      <c r="E82" s="26"/>
      <c r="F82" s="20">
        <v>4.5</v>
      </c>
      <c r="G82" s="20">
        <v>0.2</v>
      </c>
      <c r="H82" s="20">
        <v>7</v>
      </c>
      <c r="I82" s="20"/>
      <c r="J82" s="20"/>
      <c r="K82" s="21"/>
      <c r="L82" s="21">
        <f>+F82*G82*H82</f>
        <v>6.3</v>
      </c>
      <c r="M82" s="21"/>
      <c r="N82" s="21"/>
      <c r="O82" s="21"/>
      <c r="P82" s="21"/>
      <c r="Q82" s="21"/>
      <c r="R82" s="21"/>
      <c r="S82" s="22"/>
      <c r="T82" s="6"/>
      <c r="U82" s="6"/>
      <c r="V82" s="6"/>
      <c r="W82" s="6"/>
    </row>
    <row r="83" spans="1:23" s="5" customFormat="1" ht="15" x14ac:dyDescent="0.25">
      <c r="A83" s="17"/>
      <c r="B83" s="17"/>
      <c r="C83" s="17"/>
      <c r="D83" s="18" t="str">
        <f>+'PRESUPUESTO DE OBRA'!D34</f>
        <v xml:space="preserve">Box coulvert en concreto </v>
      </c>
      <c r="E83" s="26" t="str">
        <f>+'PRESUPUESTO DE OBRA'!E34</f>
        <v>m³</v>
      </c>
      <c r="F83" s="20"/>
      <c r="G83" s="20"/>
      <c r="H83" s="20"/>
      <c r="I83" s="20"/>
      <c r="J83" s="20"/>
      <c r="K83" s="21"/>
      <c r="L83" s="21">
        <v>30</v>
      </c>
      <c r="M83" s="21"/>
      <c r="N83" s="21"/>
      <c r="O83" s="21"/>
      <c r="P83" s="21"/>
      <c r="Q83" s="21"/>
      <c r="R83" s="21"/>
      <c r="S83" s="22">
        <f>+L83</f>
        <v>30</v>
      </c>
      <c r="T83" s="6"/>
      <c r="U83" s="6"/>
      <c r="V83" s="6"/>
      <c r="W83" s="6"/>
    </row>
    <row r="84" spans="1:23" s="5" customFormat="1" ht="15" x14ac:dyDescent="0.25">
      <c r="A84" s="17"/>
      <c r="B84" s="17"/>
      <c r="C84" s="17"/>
      <c r="D84" s="18" t="str">
        <f>+'PRESUPUESTO DE OBRA'!D35</f>
        <v>Sardinel en concreto de 3000psi, incluye refuerzo</v>
      </c>
      <c r="E84" s="26" t="str">
        <f>+'PRESUPUESTO DE OBRA'!E35</f>
        <v>m</v>
      </c>
      <c r="F84" s="20">
        <f>10.44+8.07+16.82+0.42+5.67+10.64+1.5+21.1+9.41+4.05+1.49+8.46+8.1+9.41+2+20.43+1.05+5.1+1.49+1.05+6.81+1.05+1.49+1.43+56.08+1.49+1.33+1.49+2.51+2.11+1.53+0.93+17.2+22.47+3.06+0.86+1.49+0.86+1.49+0.86+17.2+0.86+4.09+1.49+2.98+1.72+3.12+17.45+17.83+2+2+7+2+7+20.76+4.63+0.95+1.09+4.63+1.49+7.65+1.51+16.81+7.65+1.9*11</f>
        <v>448.05000000000007</v>
      </c>
      <c r="G84" s="20"/>
      <c r="H84" s="20"/>
      <c r="I84" s="20"/>
      <c r="J84" s="20"/>
      <c r="K84" s="21"/>
      <c r="L84" s="21"/>
      <c r="M84" s="21"/>
      <c r="N84" s="21"/>
      <c r="O84" s="21"/>
      <c r="P84" s="21"/>
      <c r="Q84" s="21"/>
      <c r="R84" s="21"/>
      <c r="S84" s="22">
        <f>+F84</f>
        <v>448.05000000000007</v>
      </c>
      <c r="T84" s="6"/>
      <c r="U84" s="6"/>
      <c r="V84" s="6"/>
      <c r="W84" s="6"/>
    </row>
    <row r="85" spans="1:23" s="5" customFormat="1" ht="15" x14ac:dyDescent="0.25">
      <c r="A85" s="13"/>
      <c r="B85" s="13"/>
      <c r="C85" s="13"/>
      <c r="D85" s="456" t="str">
        <f>+'PRESUPUESTO DE OBRA'!D36</f>
        <v>ACEROS</v>
      </c>
      <c r="E85" s="457"/>
      <c r="F85" s="31"/>
      <c r="G85" s="31"/>
      <c r="H85" s="31"/>
      <c r="I85" s="31"/>
      <c r="J85" s="31"/>
      <c r="K85" s="16"/>
      <c r="L85" s="16"/>
      <c r="M85" s="16"/>
      <c r="N85" s="16"/>
      <c r="O85" s="16"/>
      <c r="P85" s="16"/>
      <c r="Q85" s="16"/>
      <c r="R85" s="16"/>
      <c r="S85" s="16"/>
      <c r="T85" s="6"/>
      <c r="U85" s="6"/>
      <c r="V85" s="6"/>
      <c r="W85" s="6"/>
    </row>
    <row r="86" spans="1:23" s="5" customFormat="1" ht="15" x14ac:dyDescent="0.25">
      <c r="A86" s="17"/>
      <c r="B86" s="17"/>
      <c r="C86" s="17"/>
      <c r="D86" s="18" t="str">
        <f>+'PRESUPUESTO DE OBRA'!D37</f>
        <v xml:space="preserve">Acero Fy = 60.000 psi </v>
      </c>
      <c r="E86" s="26" t="str">
        <f>+'PRESUPUESTO DE OBRA'!E37</f>
        <v>kg</v>
      </c>
      <c r="F86" s="20"/>
      <c r="G86" s="20"/>
      <c r="H86" s="20"/>
      <c r="I86" s="20"/>
      <c r="J86" s="20"/>
      <c r="K86" s="21"/>
      <c r="L86" s="21"/>
      <c r="M86" s="21"/>
      <c r="N86" s="21"/>
      <c r="O86" s="21"/>
      <c r="P86" s="21"/>
      <c r="Q86" s="21"/>
      <c r="R86" s="21"/>
      <c r="S86" s="22"/>
      <c r="T86" s="6"/>
      <c r="U86" s="6"/>
      <c r="V86" s="6"/>
      <c r="W86" s="6"/>
    </row>
    <row r="87" spans="1:23" s="5" customFormat="1" ht="17.25" customHeight="1" x14ac:dyDescent="0.25">
      <c r="A87" s="13"/>
      <c r="B87" s="13"/>
      <c r="C87" s="13"/>
      <c r="D87" s="456" t="str">
        <f>+'PRESUPUESTO DE OBRA'!D38</f>
        <v>MAMPOSTERIA, PAÑETE Y PLOMADO</v>
      </c>
      <c r="E87" s="458">
        <f>+'PRESUPUESTO DE OBRA'!E38</f>
        <v>0</v>
      </c>
      <c r="F87" s="31"/>
      <c r="G87" s="31"/>
      <c r="H87" s="31"/>
      <c r="I87" s="31"/>
      <c r="J87" s="31"/>
      <c r="K87" s="16"/>
      <c r="L87" s="16"/>
      <c r="M87" s="16"/>
      <c r="N87" s="16"/>
      <c r="O87" s="16"/>
      <c r="P87" s="16"/>
      <c r="Q87" s="16"/>
      <c r="R87" s="16"/>
      <c r="S87" s="16">
        <f>SUM(S90:S464)</f>
        <v>1945.9169999999999</v>
      </c>
      <c r="T87" s="6"/>
      <c r="U87" s="6"/>
      <c r="V87" s="6"/>
      <c r="W87" s="6"/>
    </row>
    <row r="88" spans="1:23" s="5" customFormat="1" ht="17.25" customHeight="1" x14ac:dyDescent="0.25">
      <c r="A88" s="17"/>
      <c r="B88" s="17"/>
      <c r="C88" s="17"/>
      <c r="D88" s="147" t="s">
        <v>951</v>
      </c>
      <c r="E88" s="19"/>
      <c r="F88" s="20"/>
      <c r="G88" s="20"/>
      <c r="H88" s="20"/>
      <c r="I88" s="20"/>
      <c r="J88" s="20"/>
      <c r="K88" s="21"/>
      <c r="L88" s="21"/>
      <c r="M88" s="21"/>
      <c r="N88" s="21"/>
      <c r="O88" s="21"/>
      <c r="P88" s="21"/>
      <c r="Q88" s="21"/>
      <c r="R88" s="21"/>
      <c r="S88" s="22"/>
      <c r="T88" s="6"/>
      <c r="U88" s="6"/>
      <c r="V88" s="6"/>
      <c r="W88" s="6"/>
    </row>
    <row r="89" spans="1:23" s="5" customFormat="1" ht="17.25" customHeight="1" x14ac:dyDescent="0.25">
      <c r="A89" s="17"/>
      <c r="B89" s="17"/>
      <c r="C89" s="17"/>
      <c r="D89" s="144" t="s">
        <v>781</v>
      </c>
      <c r="E89" s="145"/>
      <c r="F89" s="146"/>
      <c r="G89" s="20"/>
      <c r="H89" s="20"/>
      <c r="I89" s="20"/>
      <c r="J89" s="20"/>
      <c r="K89" s="21"/>
      <c r="L89" s="21"/>
      <c r="M89" s="21"/>
      <c r="N89" s="21"/>
      <c r="O89" s="21"/>
      <c r="P89" s="21"/>
      <c r="Q89" s="21"/>
      <c r="R89" s="21"/>
      <c r="S89" s="22"/>
      <c r="T89" s="6"/>
      <c r="U89" s="6"/>
      <c r="V89" s="6"/>
      <c r="W89" s="6"/>
    </row>
    <row r="90" spans="1:23" s="5" customFormat="1" ht="17.25" customHeight="1" x14ac:dyDescent="0.25">
      <c r="A90" s="17"/>
      <c r="B90" s="17"/>
      <c r="C90" s="17"/>
      <c r="D90" s="125" t="s">
        <v>782</v>
      </c>
      <c r="E90" s="19" t="s">
        <v>12</v>
      </c>
      <c r="F90" s="20">
        <v>2.42</v>
      </c>
      <c r="G90" s="20"/>
      <c r="H90" s="20">
        <v>2.8</v>
      </c>
      <c r="I90" s="20"/>
      <c r="J90" s="20"/>
      <c r="K90" s="21">
        <f>+F90*H90</f>
        <v>6.7759999999999998</v>
      </c>
      <c r="L90" s="21"/>
      <c r="M90" s="21"/>
      <c r="N90" s="21"/>
      <c r="O90" s="21"/>
      <c r="P90" s="21"/>
      <c r="Q90" s="21">
        <f>+N90*P90</f>
        <v>0</v>
      </c>
      <c r="R90" s="21"/>
      <c r="S90" s="22">
        <f>+K90-Q90</f>
        <v>6.7759999999999998</v>
      </c>
      <c r="T90" s="6"/>
      <c r="U90" s="6"/>
      <c r="V90" s="6"/>
      <c r="W90" s="6"/>
    </row>
    <row r="91" spans="1:23" s="5" customFormat="1" ht="17.25" customHeight="1" x14ac:dyDescent="0.25">
      <c r="A91" s="17"/>
      <c r="B91" s="17"/>
      <c r="C91" s="17"/>
      <c r="D91" s="125" t="s">
        <v>783</v>
      </c>
      <c r="E91" s="19" t="s">
        <v>12</v>
      </c>
      <c r="F91" s="20">
        <v>4.03</v>
      </c>
      <c r="G91" s="20"/>
      <c r="H91" s="20">
        <v>2.8</v>
      </c>
      <c r="I91" s="20"/>
      <c r="J91" s="20"/>
      <c r="K91" s="21">
        <f t="shared" ref="K91:K171" si="4">+F91*H91</f>
        <v>11.284000000000001</v>
      </c>
      <c r="L91" s="21"/>
      <c r="M91" s="21"/>
      <c r="N91" s="21"/>
      <c r="O91" s="21"/>
      <c r="P91" s="21"/>
      <c r="Q91" s="21">
        <f t="shared" ref="Q91:Q170" si="5">+N91*P91</f>
        <v>0</v>
      </c>
      <c r="R91" s="21"/>
      <c r="S91" s="22">
        <f t="shared" ref="S91:S174" si="6">+K91-Q91</f>
        <v>11.284000000000001</v>
      </c>
      <c r="T91" s="6"/>
      <c r="U91" s="6"/>
      <c r="V91" s="6"/>
      <c r="W91" s="6"/>
    </row>
    <row r="92" spans="1:23" s="5" customFormat="1" ht="17.25" customHeight="1" x14ac:dyDescent="0.25">
      <c r="A92" s="17"/>
      <c r="B92" s="17"/>
      <c r="C92" s="17"/>
      <c r="D92" s="125" t="s">
        <v>784</v>
      </c>
      <c r="E92" s="19" t="s">
        <v>12</v>
      </c>
      <c r="F92" s="20">
        <v>4.1500000000000004</v>
      </c>
      <c r="G92" s="20"/>
      <c r="H92" s="20">
        <v>3</v>
      </c>
      <c r="I92" s="20"/>
      <c r="J92" s="20"/>
      <c r="K92" s="21">
        <f t="shared" si="4"/>
        <v>12.450000000000001</v>
      </c>
      <c r="L92" s="21"/>
      <c r="M92" s="21" t="s">
        <v>994</v>
      </c>
      <c r="N92" s="21">
        <v>1.4</v>
      </c>
      <c r="O92" s="21"/>
      <c r="P92" s="21">
        <v>2.1</v>
      </c>
      <c r="Q92" s="21">
        <f t="shared" si="5"/>
        <v>2.94</v>
      </c>
      <c r="R92" s="21"/>
      <c r="S92" s="22">
        <f t="shared" si="6"/>
        <v>9.5100000000000016</v>
      </c>
      <c r="T92" s="6"/>
      <c r="U92" s="6"/>
      <c r="V92" s="6"/>
      <c r="W92" s="6"/>
    </row>
    <row r="93" spans="1:23" s="5" customFormat="1" ht="17.25" customHeight="1" x14ac:dyDescent="0.25">
      <c r="A93" s="17"/>
      <c r="B93" s="17"/>
      <c r="C93" s="17"/>
      <c r="D93" s="125" t="s">
        <v>785</v>
      </c>
      <c r="E93" s="19" t="s">
        <v>12</v>
      </c>
      <c r="F93" s="20">
        <v>3.47</v>
      </c>
      <c r="G93" s="20"/>
      <c r="H93" s="20">
        <v>3</v>
      </c>
      <c r="I93" s="20"/>
      <c r="J93" s="20"/>
      <c r="K93" s="21">
        <f t="shared" si="4"/>
        <v>10.41</v>
      </c>
      <c r="L93" s="21"/>
      <c r="M93" s="21"/>
      <c r="N93" s="21"/>
      <c r="O93" s="21"/>
      <c r="P93" s="21"/>
      <c r="Q93" s="21">
        <f t="shared" si="5"/>
        <v>0</v>
      </c>
      <c r="R93" s="21"/>
      <c r="S93" s="22">
        <f t="shared" si="6"/>
        <v>10.41</v>
      </c>
      <c r="T93" s="6"/>
      <c r="U93" s="6"/>
      <c r="V93" s="6"/>
      <c r="W93" s="6"/>
    </row>
    <row r="94" spans="1:23" s="5" customFormat="1" ht="17.25" customHeight="1" x14ac:dyDescent="0.25">
      <c r="A94" s="17"/>
      <c r="B94" s="17"/>
      <c r="C94" s="17"/>
      <c r="D94" s="125" t="s">
        <v>786</v>
      </c>
      <c r="E94" s="19" t="s">
        <v>12</v>
      </c>
      <c r="F94" s="20">
        <v>4.03</v>
      </c>
      <c r="G94" s="20"/>
      <c r="H94" s="20">
        <v>2.8</v>
      </c>
      <c r="I94" s="20"/>
      <c r="J94" s="20"/>
      <c r="K94" s="21">
        <f t="shared" si="4"/>
        <v>11.284000000000001</v>
      </c>
      <c r="L94" s="21"/>
      <c r="M94" s="21" t="s">
        <v>995</v>
      </c>
      <c r="N94" s="21">
        <v>1.3</v>
      </c>
      <c r="O94" s="21"/>
      <c r="P94" s="21">
        <v>2.1</v>
      </c>
      <c r="Q94" s="21">
        <f t="shared" si="5"/>
        <v>2.7300000000000004</v>
      </c>
      <c r="R94" s="21"/>
      <c r="S94" s="22"/>
      <c r="T94" s="6"/>
      <c r="U94" s="6"/>
      <c r="V94" s="6"/>
      <c r="W94" s="6"/>
    </row>
    <row r="95" spans="1:23" s="5" customFormat="1" ht="17.25" customHeight="1" x14ac:dyDescent="0.25">
      <c r="A95" s="17"/>
      <c r="B95" s="17"/>
      <c r="C95" s="17"/>
      <c r="D95" s="125"/>
      <c r="E95" s="19"/>
      <c r="F95" s="20"/>
      <c r="G95" s="20"/>
      <c r="H95" s="20"/>
      <c r="I95" s="20"/>
      <c r="J95" s="20"/>
      <c r="K95" s="21">
        <f t="shared" si="4"/>
        <v>0</v>
      </c>
      <c r="L95" s="21"/>
      <c r="M95" s="21" t="s">
        <v>996</v>
      </c>
      <c r="N95" s="21">
        <v>0.9</v>
      </c>
      <c r="O95" s="21"/>
      <c r="P95" s="21">
        <v>2.1</v>
      </c>
      <c r="Q95" s="21">
        <f t="shared" si="5"/>
        <v>1.8900000000000001</v>
      </c>
      <c r="R95" s="21"/>
      <c r="S95" s="22"/>
      <c r="T95" s="6"/>
      <c r="U95" s="6"/>
      <c r="V95" s="6"/>
      <c r="W95" s="6"/>
    </row>
    <row r="96" spans="1:23" s="5" customFormat="1" ht="17.25" customHeight="1" x14ac:dyDescent="0.25">
      <c r="A96" s="17"/>
      <c r="B96" s="17"/>
      <c r="C96" s="17"/>
      <c r="D96" s="125"/>
      <c r="E96" s="19"/>
      <c r="F96" s="20"/>
      <c r="G96" s="20"/>
      <c r="H96" s="20"/>
      <c r="I96" s="20"/>
      <c r="J96" s="20"/>
      <c r="K96" s="21">
        <f t="shared" si="4"/>
        <v>0</v>
      </c>
      <c r="L96" s="21"/>
      <c r="M96" s="21" t="s">
        <v>997</v>
      </c>
      <c r="N96" s="21">
        <v>0.9</v>
      </c>
      <c r="O96" s="21"/>
      <c r="P96" s="21">
        <v>0.4</v>
      </c>
      <c r="Q96" s="21">
        <f t="shared" si="5"/>
        <v>0.36000000000000004</v>
      </c>
      <c r="R96" s="21"/>
      <c r="S96" s="22"/>
      <c r="T96" s="6"/>
      <c r="U96" s="6"/>
      <c r="V96" s="6"/>
      <c r="W96" s="6"/>
    </row>
    <row r="97" spans="1:23" s="5" customFormat="1" ht="17.25" customHeight="1" x14ac:dyDescent="0.25">
      <c r="A97" s="17"/>
      <c r="B97" s="17"/>
      <c r="C97" s="17"/>
      <c r="D97" s="125"/>
      <c r="E97" s="19"/>
      <c r="F97" s="20"/>
      <c r="G97" s="20"/>
      <c r="H97" s="20"/>
      <c r="I97" s="20"/>
      <c r="J97" s="20"/>
      <c r="K97" s="21">
        <f t="shared" si="4"/>
        <v>0</v>
      </c>
      <c r="L97" s="21"/>
      <c r="M97" s="21"/>
      <c r="N97" s="21"/>
      <c r="O97" s="21"/>
      <c r="P97" s="21"/>
      <c r="Q97" s="21">
        <f t="shared" si="5"/>
        <v>0</v>
      </c>
      <c r="R97" s="21"/>
      <c r="S97" s="22">
        <f>+K94-(Q94+Q95+Q96)</f>
        <v>6.3039999999999994</v>
      </c>
      <c r="T97" s="6"/>
      <c r="U97" s="6"/>
      <c r="V97" s="6"/>
      <c r="W97" s="6"/>
    </row>
    <row r="98" spans="1:23" s="5" customFormat="1" ht="17.25" customHeight="1" x14ac:dyDescent="0.25">
      <c r="A98" s="17"/>
      <c r="B98" s="17"/>
      <c r="C98" s="17"/>
      <c r="D98" s="125" t="s">
        <v>787</v>
      </c>
      <c r="E98" s="19" t="s">
        <v>12</v>
      </c>
      <c r="F98" s="20">
        <v>2.42</v>
      </c>
      <c r="G98" s="20"/>
      <c r="H98" s="20">
        <v>2.8</v>
      </c>
      <c r="I98" s="20"/>
      <c r="J98" s="20"/>
      <c r="K98" s="21">
        <f t="shared" si="4"/>
        <v>6.7759999999999998</v>
      </c>
      <c r="L98" s="21"/>
      <c r="M98" s="21"/>
      <c r="N98" s="21"/>
      <c r="O98" s="21"/>
      <c r="P98" s="21"/>
      <c r="Q98" s="21">
        <f t="shared" si="5"/>
        <v>0</v>
      </c>
      <c r="R98" s="21"/>
      <c r="S98" s="22">
        <f t="shared" si="6"/>
        <v>6.7759999999999998</v>
      </c>
      <c r="T98" s="6"/>
      <c r="U98" s="6"/>
      <c r="V98" s="6"/>
      <c r="W98" s="6"/>
    </row>
    <row r="99" spans="1:23" s="5" customFormat="1" ht="17.25" customHeight="1" x14ac:dyDescent="0.25">
      <c r="A99" s="17"/>
      <c r="B99" s="17"/>
      <c r="C99" s="17"/>
      <c r="D99" s="125" t="s">
        <v>788</v>
      </c>
      <c r="E99" s="19" t="s">
        <v>12</v>
      </c>
      <c r="F99" s="20">
        <v>3.64</v>
      </c>
      <c r="G99" s="20"/>
      <c r="H99" s="20">
        <v>3</v>
      </c>
      <c r="I99" s="20"/>
      <c r="J99" s="20"/>
      <c r="K99" s="21">
        <f t="shared" si="4"/>
        <v>10.92</v>
      </c>
      <c r="L99" s="21"/>
      <c r="M99" s="21" t="s">
        <v>996</v>
      </c>
      <c r="N99" s="21">
        <v>0.9</v>
      </c>
      <c r="O99" s="21"/>
      <c r="P99" s="21">
        <v>2.1</v>
      </c>
      <c r="Q99" s="21">
        <f t="shared" ref="Q99" si="7">+N99*P99</f>
        <v>1.8900000000000001</v>
      </c>
      <c r="R99" s="21"/>
      <c r="S99" s="22"/>
      <c r="T99" s="6"/>
      <c r="U99" s="6"/>
      <c r="V99" s="6"/>
      <c r="W99" s="6"/>
    </row>
    <row r="100" spans="1:23" s="5" customFormat="1" ht="17.25" customHeight="1" x14ac:dyDescent="0.25">
      <c r="A100" s="17"/>
      <c r="B100" s="17"/>
      <c r="C100" s="17"/>
      <c r="D100" s="125"/>
      <c r="E100" s="19"/>
      <c r="F100" s="20"/>
      <c r="G100" s="20"/>
      <c r="H100" s="20"/>
      <c r="I100" s="20"/>
      <c r="J100" s="20"/>
      <c r="K100" s="21"/>
      <c r="L100" s="21"/>
      <c r="M100" s="21" t="s">
        <v>999</v>
      </c>
      <c r="N100" s="21">
        <v>0.9</v>
      </c>
      <c r="O100" s="21"/>
      <c r="P100" s="21">
        <v>2.1</v>
      </c>
      <c r="Q100" s="21">
        <f t="shared" ref="Q100" si="8">+N100*P100</f>
        <v>1.8900000000000001</v>
      </c>
      <c r="R100" s="21"/>
      <c r="S100" s="22"/>
      <c r="T100" s="6"/>
      <c r="U100" s="6"/>
      <c r="V100" s="6"/>
      <c r="W100" s="6"/>
    </row>
    <row r="101" spans="1:23" s="5" customFormat="1" ht="17.25" customHeight="1" x14ac:dyDescent="0.25">
      <c r="A101" s="17"/>
      <c r="B101" s="17"/>
      <c r="C101" s="17"/>
      <c r="D101" s="125"/>
      <c r="E101" s="19"/>
      <c r="F101" s="20"/>
      <c r="G101" s="20"/>
      <c r="H101" s="20"/>
      <c r="I101" s="20"/>
      <c r="J101" s="20"/>
      <c r="K101" s="21"/>
      <c r="L101" s="21"/>
      <c r="M101" s="21"/>
      <c r="N101" s="21"/>
      <c r="O101" s="21"/>
      <c r="P101" s="21"/>
      <c r="Q101" s="21"/>
      <c r="R101" s="21"/>
      <c r="S101" s="22">
        <f>+K99-(Q99+Q100)</f>
        <v>7.14</v>
      </c>
      <c r="T101" s="6"/>
      <c r="U101" s="6"/>
      <c r="V101" s="6"/>
      <c r="W101" s="6"/>
    </row>
    <row r="102" spans="1:23" s="5" customFormat="1" ht="17.25" customHeight="1" x14ac:dyDescent="0.25">
      <c r="A102" s="17"/>
      <c r="B102" s="17"/>
      <c r="C102" s="17"/>
      <c r="D102" s="125" t="s">
        <v>789</v>
      </c>
      <c r="E102" s="19" t="s">
        <v>12</v>
      </c>
      <c r="F102" s="20">
        <v>2.12</v>
      </c>
      <c r="G102" s="20"/>
      <c r="H102" s="20">
        <v>3</v>
      </c>
      <c r="I102" s="20"/>
      <c r="J102" s="20"/>
      <c r="K102" s="21">
        <f t="shared" si="4"/>
        <v>6.36</v>
      </c>
      <c r="L102" s="21"/>
      <c r="M102" s="21"/>
      <c r="N102" s="21"/>
      <c r="O102" s="21"/>
      <c r="P102" s="21"/>
      <c r="Q102" s="21">
        <f t="shared" si="5"/>
        <v>0</v>
      </c>
      <c r="R102" s="21"/>
      <c r="S102" s="22">
        <f t="shared" si="6"/>
        <v>6.36</v>
      </c>
      <c r="T102" s="6"/>
      <c r="U102" s="6"/>
      <c r="V102" s="6"/>
      <c r="W102" s="6"/>
    </row>
    <row r="103" spans="1:23" s="5" customFormat="1" ht="17.25" customHeight="1" x14ac:dyDescent="0.25">
      <c r="A103" s="17"/>
      <c r="B103" s="17"/>
      <c r="C103" s="17"/>
      <c r="D103" s="125" t="s">
        <v>790</v>
      </c>
      <c r="E103" s="19" t="s">
        <v>12</v>
      </c>
      <c r="F103" s="20">
        <v>3.64</v>
      </c>
      <c r="G103" s="20"/>
      <c r="H103" s="20">
        <v>3</v>
      </c>
      <c r="I103" s="20"/>
      <c r="J103" s="20"/>
      <c r="K103" s="21">
        <f t="shared" si="4"/>
        <v>10.92</v>
      </c>
      <c r="L103" s="21"/>
      <c r="M103" s="21"/>
      <c r="N103" s="21"/>
      <c r="O103" s="21"/>
      <c r="P103" s="21"/>
      <c r="Q103" s="21">
        <f t="shared" si="5"/>
        <v>0</v>
      </c>
      <c r="R103" s="21"/>
      <c r="S103" s="22">
        <f t="shared" si="6"/>
        <v>10.92</v>
      </c>
      <c r="T103" s="6"/>
      <c r="U103" s="6"/>
      <c r="V103" s="6"/>
      <c r="W103" s="6"/>
    </row>
    <row r="104" spans="1:23" s="5" customFormat="1" ht="17.25" customHeight="1" x14ac:dyDescent="0.25">
      <c r="A104" s="17"/>
      <c r="B104" s="17"/>
      <c r="C104" s="17"/>
      <c r="D104" s="125" t="s">
        <v>791</v>
      </c>
      <c r="E104" s="19" t="s">
        <v>12</v>
      </c>
      <c r="F104" s="20">
        <v>5.52</v>
      </c>
      <c r="G104" s="20"/>
      <c r="H104" s="20">
        <v>3</v>
      </c>
      <c r="I104" s="20"/>
      <c r="J104" s="20"/>
      <c r="K104" s="21">
        <f t="shared" si="4"/>
        <v>16.559999999999999</v>
      </c>
      <c r="L104" s="21"/>
      <c r="M104" s="21"/>
      <c r="N104" s="21"/>
      <c r="O104" s="21"/>
      <c r="P104" s="21"/>
      <c r="Q104" s="21">
        <f t="shared" si="5"/>
        <v>0</v>
      </c>
      <c r="R104" s="21"/>
      <c r="S104" s="22">
        <f t="shared" si="6"/>
        <v>16.559999999999999</v>
      </c>
      <c r="T104" s="6"/>
      <c r="U104" s="6"/>
      <c r="V104" s="6"/>
      <c r="W104" s="6"/>
    </row>
    <row r="105" spans="1:23" s="5" customFormat="1" ht="17.25" customHeight="1" x14ac:dyDescent="0.25">
      <c r="A105" s="17"/>
      <c r="B105" s="17"/>
      <c r="C105" s="17"/>
      <c r="D105" s="125" t="s">
        <v>792</v>
      </c>
      <c r="E105" s="19" t="s">
        <v>12</v>
      </c>
      <c r="F105" s="20">
        <v>3.58</v>
      </c>
      <c r="G105" s="20"/>
      <c r="H105" s="20">
        <v>2.8</v>
      </c>
      <c r="I105" s="20"/>
      <c r="J105" s="20"/>
      <c r="K105" s="21">
        <f t="shared" si="4"/>
        <v>10.023999999999999</v>
      </c>
      <c r="L105" s="21"/>
      <c r="M105" s="21" t="s">
        <v>1000</v>
      </c>
      <c r="N105" s="21">
        <v>1.4</v>
      </c>
      <c r="O105" s="21"/>
      <c r="P105" s="21">
        <v>2.1</v>
      </c>
      <c r="Q105" s="21">
        <f t="shared" si="5"/>
        <v>2.94</v>
      </c>
      <c r="R105" s="21"/>
      <c r="S105" s="22">
        <f>+K105-Q105</f>
        <v>7.0839999999999996</v>
      </c>
      <c r="T105" s="6"/>
      <c r="U105" s="6"/>
      <c r="V105" s="6"/>
      <c r="W105" s="6"/>
    </row>
    <row r="106" spans="1:23" s="5" customFormat="1" ht="17.25" customHeight="1" x14ac:dyDescent="0.25">
      <c r="A106" s="17"/>
      <c r="B106" s="17"/>
      <c r="C106" s="17"/>
      <c r="D106" s="125" t="s">
        <v>793</v>
      </c>
      <c r="E106" s="19" t="s">
        <v>12</v>
      </c>
      <c r="F106" s="20">
        <v>0.92</v>
      </c>
      <c r="G106" s="20"/>
      <c r="H106" s="20">
        <v>3</v>
      </c>
      <c r="I106" s="20"/>
      <c r="J106" s="20"/>
      <c r="K106" s="21">
        <f t="shared" si="4"/>
        <v>2.7600000000000002</v>
      </c>
      <c r="L106" s="21"/>
      <c r="M106" s="21"/>
      <c r="N106" s="21"/>
      <c r="O106" s="21"/>
      <c r="P106" s="21"/>
      <c r="Q106" s="21">
        <f t="shared" si="5"/>
        <v>0</v>
      </c>
      <c r="R106" s="21"/>
      <c r="S106" s="22">
        <f t="shared" si="6"/>
        <v>2.7600000000000002</v>
      </c>
      <c r="T106" s="6"/>
      <c r="U106" s="6"/>
      <c r="V106" s="6"/>
      <c r="W106" s="6"/>
    </row>
    <row r="107" spans="1:23" s="5" customFormat="1" ht="17.25" customHeight="1" x14ac:dyDescent="0.25">
      <c r="A107" s="17"/>
      <c r="B107" s="17"/>
      <c r="C107" s="17"/>
      <c r="D107" s="125" t="s">
        <v>794</v>
      </c>
      <c r="E107" s="19" t="s">
        <v>12</v>
      </c>
      <c r="F107" s="20">
        <v>4.1500000000000004</v>
      </c>
      <c r="G107" s="20"/>
      <c r="H107" s="20">
        <v>3</v>
      </c>
      <c r="I107" s="20"/>
      <c r="J107" s="20"/>
      <c r="K107" s="21">
        <f t="shared" si="4"/>
        <v>12.450000000000001</v>
      </c>
      <c r="L107" s="21"/>
      <c r="M107" s="21"/>
      <c r="N107" s="21"/>
      <c r="O107" s="21"/>
      <c r="P107" s="21"/>
      <c r="Q107" s="21">
        <f t="shared" si="5"/>
        <v>0</v>
      </c>
      <c r="R107" s="21"/>
      <c r="S107" s="22">
        <f t="shared" si="6"/>
        <v>12.450000000000001</v>
      </c>
      <c r="T107" s="6"/>
      <c r="U107" s="6"/>
      <c r="V107" s="6"/>
      <c r="W107" s="6"/>
    </row>
    <row r="108" spans="1:23" s="5" customFormat="1" ht="17.25" customHeight="1" x14ac:dyDescent="0.25">
      <c r="A108" s="17"/>
      <c r="B108" s="17"/>
      <c r="C108" s="17"/>
      <c r="D108" s="144" t="s">
        <v>800</v>
      </c>
      <c r="E108" s="19"/>
      <c r="F108" s="20"/>
      <c r="G108" s="20"/>
      <c r="H108" s="20"/>
      <c r="I108" s="20"/>
      <c r="J108" s="20"/>
      <c r="K108" s="21">
        <f t="shared" si="4"/>
        <v>0</v>
      </c>
      <c r="L108" s="21"/>
      <c r="M108" s="21"/>
      <c r="N108" s="21"/>
      <c r="O108" s="21"/>
      <c r="P108" s="21"/>
      <c r="Q108" s="21">
        <f t="shared" si="5"/>
        <v>0</v>
      </c>
      <c r="R108" s="21"/>
      <c r="S108" s="22">
        <f t="shared" si="6"/>
        <v>0</v>
      </c>
      <c r="T108" s="6"/>
      <c r="U108" s="6"/>
      <c r="V108" s="6"/>
      <c r="W108" s="6"/>
    </row>
    <row r="109" spans="1:23" s="5" customFormat="1" ht="17.25" customHeight="1" x14ac:dyDescent="0.25">
      <c r="A109" s="17"/>
      <c r="B109" s="17"/>
      <c r="C109" s="17"/>
      <c r="D109" s="125" t="s">
        <v>795</v>
      </c>
      <c r="E109" s="19" t="s">
        <v>12</v>
      </c>
      <c r="F109" s="20">
        <v>1.49</v>
      </c>
      <c r="G109" s="20"/>
      <c r="H109" s="20">
        <v>3</v>
      </c>
      <c r="I109" s="20"/>
      <c r="J109" s="20"/>
      <c r="K109" s="21">
        <f t="shared" si="4"/>
        <v>4.47</v>
      </c>
      <c r="L109" s="21"/>
      <c r="M109" s="21" t="s">
        <v>1001</v>
      </c>
      <c r="N109" s="21">
        <v>0.7</v>
      </c>
      <c r="O109" s="21"/>
      <c r="P109" s="21">
        <v>2.1</v>
      </c>
      <c r="Q109" s="21">
        <f t="shared" ref="Q109" si="9">+N109*P109</f>
        <v>1.47</v>
      </c>
      <c r="R109" s="21"/>
      <c r="S109" s="22">
        <f>+K109-Q109</f>
        <v>3</v>
      </c>
      <c r="T109" s="6"/>
      <c r="U109" s="6"/>
      <c r="V109" s="6"/>
      <c r="W109" s="6"/>
    </row>
    <row r="110" spans="1:23" s="5" customFormat="1" ht="17.25" customHeight="1" x14ac:dyDescent="0.25">
      <c r="A110" s="17"/>
      <c r="B110" s="17"/>
      <c r="C110" s="17"/>
      <c r="D110" s="125" t="s">
        <v>796</v>
      </c>
      <c r="E110" s="19" t="s">
        <v>12</v>
      </c>
      <c r="F110" s="20">
        <v>1.68</v>
      </c>
      <c r="G110" s="20"/>
      <c r="H110" s="20">
        <v>3</v>
      </c>
      <c r="I110" s="20"/>
      <c r="J110" s="20"/>
      <c r="K110" s="21">
        <f t="shared" si="4"/>
        <v>5.04</v>
      </c>
      <c r="L110" s="21"/>
      <c r="M110" s="21"/>
      <c r="N110" s="21"/>
      <c r="O110" s="21"/>
      <c r="P110" s="21"/>
      <c r="Q110" s="21">
        <f t="shared" si="5"/>
        <v>0</v>
      </c>
      <c r="R110" s="21"/>
      <c r="S110" s="22">
        <f t="shared" si="6"/>
        <v>5.04</v>
      </c>
      <c r="T110" s="6"/>
      <c r="U110" s="6"/>
      <c r="V110" s="6"/>
      <c r="W110" s="6"/>
    </row>
    <row r="111" spans="1:23" s="5" customFormat="1" ht="17.25" customHeight="1" x14ac:dyDescent="0.25">
      <c r="A111" s="17"/>
      <c r="B111" s="17"/>
      <c r="C111" s="17"/>
      <c r="D111" s="125" t="s">
        <v>797</v>
      </c>
      <c r="E111" s="19" t="s">
        <v>12</v>
      </c>
      <c r="F111" s="20">
        <v>3.74</v>
      </c>
      <c r="G111" s="20"/>
      <c r="H111" s="20">
        <v>3</v>
      </c>
      <c r="I111" s="20"/>
      <c r="J111" s="20"/>
      <c r="K111" s="21">
        <f t="shared" si="4"/>
        <v>11.22</v>
      </c>
      <c r="L111" s="21"/>
      <c r="M111" s="21"/>
      <c r="N111" s="21"/>
      <c r="O111" s="21"/>
      <c r="P111" s="21"/>
      <c r="Q111" s="21">
        <f t="shared" si="5"/>
        <v>0</v>
      </c>
      <c r="R111" s="21"/>
      <c r="S111" s="22">
        <f t="shared" si="6"/>
        <v>11.22</v>
      </c>
      <c r="T111" s="6"/>
      <c r="U111" s="6"/>
      <c r="V111" s="6"/>
      <c r="W111" s="6"/>
    </row>
    <row r="112" spans="1:23" s="5" customFormat="1" ht="17.25" customHeight="1" x14ac:dyDescent="0.25">
      <c r="A112" s="17"/>
      <c r="B112" s="17"/>
      <c r="C112" s="17"/>
      <c r="D112" s="125" t="s">
        <v>798</v>
      </c>
      <c r="E112" s="19" t="s">
        <v>12</v>
      </c>
      <c r="F112" s="20">
        <v>2.5499999999999998</v>
      </c>
      <c r="G112" s="20"/>
      <c r="H112" s="20">
        <v>3</v>
      </c>
      <c r="I112" s="20"/>
      <c r="J112" s="20"/>
      <c r="K112" s="21">
        <f t="shared" si="4"/>
        <v>7.6499999999999995</v>
      </c>
      <c r="L112" s="21"/>
      <c r="M112" s="21" t="s">
        <v>999</v>
      </c>
      <c r="N112" s="21">
        <v>0.9</v>
      </c>
      <c r="O112" s="21"/>
      <c r="P112" s="21">
        <v>2.1</v>
      </c>
      <c r="Q112" s="21">
        <f t="shared" si="5"/>
        <v>1.8900000000000001</v>
      </c>
      <c r="R112" s="21"/>
      <c r="S112" s="22">
        <f t="shared" si="6"/>
        <v>5.76</v>
      </c>
      <c r="T112" s="6"/>
      <c r="U112" s="6"/>
      <c r="V112" s="6"/>
      <c r="W112" s="6"/>
    </row>
    <row r="113" spans="1:23" s="5" customFormat="1" ht="17.25" customHeight="1" x14ac:dyDescent="0.25">
      <c r="A113" s="17"/>
      <c r="B113" s="17"/>
      <c r="C113" s="17"/>
      <c r="D113" s="125" t="s">
        <v>799</v>
      </c>
      <c r="E113" s="19" t="s">
        <v>12</v>
      </c>
      <c r="F113" s="20">
        <v>0.22</v>
      </c>
      <c r="G113" s="20"/>
      <c r="H113" s="20">
        <v>3</v>
      </c>
      <c r="I113" s="20"/>
      <c r="J113" s="20"/>
      <c r="K113" s="21">
        <f t="shared" si="4"/>
        <v>0.66</v>
      </c>
      <c r="L113" s="21"/>
      <c r="M113" s="21"/>
      <c r="N113" s="21"/>
      <c r="O113" s="21"/>
      <c r="P113" s="21"/>
      <c r="Q113" s="21">
        <f t="shared" si="5"/>
        <v>0</v>
      </c>
      <c r="R113" s="21"/>
      <c r="S113" s="22">
        <f t="shared" si="6"/>
        <v>0.66</v>
      </c>
      <c r="T113" s="6"/>
      <c r="U113" s="6"/>
      <c r="V113" s="6"/>
      <c r="W113" s="6"/>
    </row>
    <row r="114" spans="1:23" s="5" customFormat="1" ht="17.25" customHeight="1" x14ac:dyDescent="0.25">
      <c r="A114" s="17"/>
      <c r="B114" s="17"/>
      <c r="C114" s="17"/>
      <c r="D114" s="125" t="s">
        <v>801</v>
      </c>
      <c r="E114" s="19" t="s">
        <v>12</v>
      </c>
      <c r="F114" s="20">
        <v>1.68</v>
      </c>
      <c r="G114" s="20"/>
      <c r="H114" s="20">
        <v>3</v>
      </c>
      <c r="I114" s="20"/>
      <c r="J114" s="20"/>
      <c r="K114" s="21">
        <f t="shared" si="4"/>
        <v>5.04</v>
      </c>
      <c r="L114" s="21"/>
      <c r="M114" s="21"/>
      <c r="N114" s="21"/>
      <c r="O114" s="21"/>
      <c r="P114" s="21"/>
      <c r="Q114" s="21">
        <f t="shared" si="5"/>
        <v>0</v>
      </c>
      <c r="R114" s="21"/>
      <c r="S114" s="22">
        <f t="shared" si="6"/>
        <v>5.04</v>
      </c>
      <c r="T114" s="6"/>
      <c r="U114" s="6"/>
      <c r="V114" s="6"/>
      <c r="W114" s="6"/>
    </row>
    <row r="115" spans="1:23" s="5" customFormat="1" ht="17.25" customHeight="1" x14ac:dyDescent="0.25">
      <c r="A115" s="17"/>
      <c r="B115" s="17"/>
      <c r="C115" s="17"/>
      <c r="D115" s="125" t="s">
        <v>802</v>
      </c>
      <c r="E115" s="19" t="s">
        <v>12</v>
      </c>
      <c r="F115" s="20">
        <v>1.49</v>
      </c>
      <c r="G115" s="20"/>
      <c r="H115" s="20">
        <v>3</v>
      </c>
      <c r="I115" s="20"/>
      <c r="J115" s="20"/>
      <c r="K115" s="21">
        <f t="shared" si="4"/>
        <v>4.47</v>
      </c>
      <c r="L115" s="21"/>
      <c r="M115" s="21"/>
      <c r="N115" s="21"/>
      <c r="O115" s="21"/>
      <c r="P115" s="21"/>
      <c r="Q115" s="21">
        <f t="shared" si="5"/>
        <v>0</v>
      </c>
      <c r="R115" s="21"/>
      <c r="S115" s="22">
        <f t="shared" si="6"/>
        <v>4.47</v>
      </c>
      <c r="T115" s="6"/>
      <c r="U115" s="6"/>
      <c r="V115" s="6"/>
      <c r="W115" s="6"/>
    </row>
    <row r="116" spans="1:23" s="5" customFormat="1" ht="17.25" customHeight="1" x14ac:dyDescent="0.25">
      <c r="A116" s="17"/>
      <c r="B116" s="17"/>
      <c r="C116" s="17"/>
      <c r="D116" s="125" t="s">
        <v>803</v>
      </c>
      <c r="E116" s="19" t="s">
        <v>12</v>
      </c>
      <c r="F116" s="20">
        <v>7.79</v>
      </c>
      <c r="G116" s="20"/>
      <c r="H116" s="20">
        <v>3</v>
      </c>
      <c r="I116" s="20"/>
      <c r="J116" s="20"/>
      <c r="K116" s="21">
        <f t="shared" si="4"/>
        <v>23.37</v>
      </c>
      <c r="L116" s="21"/>
      <c r="M116" s="21" t="s">
        <v>1002</v>
      </c>
      <c r="N116" s="21">
        <v>0.9</v>
      </c>
      <c r="O116" s="21"/>
      <c r="P116" s="21">
        <v>1.1000000000000001</v>
      </c>
      <c r="Q116" s="21">
        <f t="shared" ref="Q116:Q117" si="10">+N116*P116</f>
        <v>0.9900000000000001</v>
      </c>
      <c r="R116" s="21"/>
      <c r="S116" s="22"/>
      <c r="T116" s="6"/>
      <c r="U116" s="6"/>
      <c r="V116" s="6"/>
      <c r="W116" s="6"/>
    </row>
    <row r="117" spans="1:23" s="5" customFormat="1" ht="17.25" customHeight="1" x14ac:dyDescent="0.25">
      <c r="A117" s="17"/>
      <c r="B117" s="17"/>
      <c r="C117" s="17"/>
      <c r="D117" s="125"/>
      <c r="E117" s="19"/>
      <c r="F117" s="20"/>
      <c r="G117" s="20"/>
      <c r="H117" s="20"/>
      <c r="I117" s="20"/>
      <c r="J117" s="20"/>
      <c r="K117" s="21"/>
      <c r="L117" s="21"/>
      <c r="M117" s="21" t="s">
        <v>1003</v>
      </c>
      <c r="N117" s="21">
        <v>3.47</v>
      </c>
      <c r="O117" s="21"/>
      <c r="P117" s="21">
        <v>2.6</v>
      </c>
      <c r="Q117" s="21">
        <f t="shared" si="10"/>
        <v>9.0220000000000002</v>
      </c>
      <c r="R117" s="21"/>
      <c r="S117" s="22"/>
      <c r="T117" s="6"/>
      <c r="U117" s="6"/>
      <c r="V117" s="6"/>
      <c r="W117" s="6"/>
    </row>
    <row r="118" spans="1:23" s="5" customFormat="1" ht="17.25" customHeight="1" x14ac:dyDescent="0.25">
      <c r="A118" s="17"/>
      <c r="B118" s="17"/>
      <c r="C118" s="17"/>
      <c r="D118" s="125"/>
      <c r="E118" s="19"/>
      <c r="F118" s="20"/>
      <c r="G118" s="20"/>
      <c r="H118" s="20"/>
      <c r="I118" s="20"/>
      <c r="J118" s="20"/>
      <c r="K118" s="21"/>
      <c r="L118" s="21"/>
      <c r="M118" s="21"/>
      <c r="N118" s="21"/>
      <c r="O118" s="21"/>
      <c r="P118" s="21"/>
      <c r="Q118" s="21"/>
      <c r="R118" s="21"/>
      <c r="S118" s="22">
        <f>+K116-(Q116+Q117)</f>
        <v>13.358000000000001</v>
      </c>
      <c r="T118" s="6"/>
      <c r="U118" s="6"/>
      <c r="V118" s="6"/>
      <c r="W118" s="6"/>
    </row>
    <row r="119" spans="1:23" s="5" customFormat="1" ht="17.25" customHeight="1" x14ac:dyDescent="0.25">
      <c r="A119" s="17"/>
      <c r="B119" s="17"/>
      <c r="C119" s="17"/>
      <c r="D119" s="125" t="s">
        <v>804</v>
      </c>
      <c r="E119" s="19" t="s">
        <v>12</v>
      </c>
      <c r="F119" s="20">
        <v>0.94</v>
      </c>
      <c r="G119" s="20"/>
      <c r="H119" s="20">
        <v>2.8</v>
      </c>
      <c r="I119" s="20"/>
      <c r="J119" s="20"/>
      <c r="K119" s="21">
        <f t="shared" si="4"/>
        <v>2.6319999999999997</v>
      </c>
      <c r="L119" s="21"/>
      <c r="M119" s="21"/>
      <c r="N119" s="21"/>
      <c r="O119" s="21"/>
      <c r="P119" s="21"/>
      <c r="Q119" s="21">
        <f t="shared" si="5"/>
        <v>0</v>
      </c>
      <c r="R119" s="21"/>
      <c r="S119" s="22">
        <f t="shared" si="6"/>
        <v>2.6319999999999997</v>
      </c>
      <c r="T119" s="6"/>
      <c r="U119" s="6"/>
      <c r="V119" s="6"/>
      <c r="W119" s="6"/>
    </row>
    <row r="120" spans="1:23" s="5" customFormat="1" ht="17.25" customHeight="1" x14ac:dyDescent="0.25">
      <c r="A120" s="17"/>
      <c r="B120" s="17"/>
      <c r="C120" s="17"/>
      <c r="D120" s="125" t="s">
        <v>805</v>
      </c>
      <c r="E120" s="19" t="s">
        <v>12</v>
      </c>
      <c r="F120" s="20">
        <v>1.21</v>
      </c>
      <c r="G120" s="20"/>
      <c r="H120" s="20">
        <v>2.8</v>
      </c>
      <c r="I120" s="20"/>
      <c r="J120" s="20"/>
      <c r="K120" s="21">
        <f t="shared" si="4"/>
        <v>3.3879999999999999</v>
      </c>
      <c r="L120" s="21"/>
      <c r="M120" s="21"/>
      <c r="N120" s="21"/>
      <c r="O120" s="21"/>
      <c r="P120" s="21"/>
      <c r="Q120" s="21">
        <f t="shared" si="5"/>
        <v>0</v>
      </c>
      <c r="R120" s="21"/>
      <c r="S120" s="22">
        <f t="shared" si="6"/>
        <v>3.3879999999999999</v>
      </c>
      <c r="T120" s="6"/>
      <c r="U120" s="6"/>
      <c r="V120" s="6"/>
      <c r="W120" s="6"/>
    </row>
    <row r="121" spans="1:23" s="5" customFormat="1" ht="17.25" customHeight="1" x14ac:dyDescent="0.25">
      <c r="A121" s="17"/>
      <c r="B121" s="17"/>
      <c r="C121" s="17"/>
      <c r="D121" s="144" t="s">
        <v>806</v>
      </c>
      <c r="E121" s="19"/>
      <c r="F121" s="20"/>
      <c r="G121" s="20"/>
      <c r="H121" s="20"/>
      <c r="I121" s="20"/>
      <c r="J121" s="20"/>
      <c r="K121" s="21">
        <f t="shared" si="4"/>
        <v>0</v>
      </c>
      <c r="L121" s="21"/>
      <c r="M121" s="21"/>
      <c r="N121" s="21"/>
      <c r="O121" s="21"/>
      <c r="P121" s="21"/>
      <c r="Q121" s="21">
        <f t="shared" si="5"/>
        <v>0</v>
      </c>
      <c r="R121" s="21"/>
      <c r="S121" s="22">
        <f t="shared" si="6"/>
        <v>0</v>
      </c>
      <c r="T121" s="6"/>
      <c r="U121" s="6"/>
      <c r="V121" s="6"/>
      <c r="W121" s="6"/>
    </row>
    <row r="122" spans="1:23" s="5" customFormat="1" ht="17.25" customHeight="1" x14ac:dyDescent="0.25">
      <c r="A122" s="17"/>
      <c r="B122" s="17"/>
      <c r="C122" s="17"/>
      <c r="D122" s="125" t="s">
        <v>807</v>
      </c>
      <c r="E122" s="19" t="s">
        <v>12</v>
      </c>
      <c r="F122" s="20">
        <v>1.1200000000000001</v>
      </c>
      <c r="G122" s="20"/>
      <c r="H122" s="20">
        <v>3</v>
      </c>
      <c r="I122" s="20"/>
      <c r="J122" s="20"/>
      <c r="K122" s="21">
        <f t="shared" si="4"/>
        <v>3.3600000000000003</v>
      </c>
      <c r="L122" s="21"/>
      <c r="M122" s="21" t="s">
        <v>1005</v>
      </c>
      <c r="N122" s="21">
        <v>1</v>
      </c>
      <c r="O122" s="21"/>
      <c r="P122" s="21">
        <v>2.1</v>
      </c>
      <c r="Q122" s="21">
        <f t="shared" ref="Q122" si="11">+N122*P122</f>
        <v>2.1</v>
      </c>
      <c r="R122" s="21"/>
      <c r="S122" s="22">
        <f t="shared" ref="S122" si="12">+K122-Q122</f>
        <v>1.2600000000000002</v>
      </c>
      <c r="T122" s="6"/>
      <c r="U122" s="6"/>
      <c r="V122" s="6"/>
      <c r="W122" s="6"/>
    </row>
    <row r="123" spans="1:23" s="5" customFormat="1" ht="17.25" customHeight="1" x14ac:dyDescent="0.25">
      <c r="A123" s="17"/>
      <c r="B123" s="17"/>
      <c r="C123" s="17"/>
      <c r="D123" s="125" t="s">
        <v>808</v>
      </c>
      <c r="E123" s="19" t="s">
        <v>12</v>
      </c>
      <c r="F123" s="20">
        <v>2.12</v>
      </c>
      <c r="G123" s="20"/>
      <c r="H123" s="20">
        <v>3</v>
      </c>
      <c r="I123" s="20"/>
      <c r="J123" s="20"/>
      <c r="K123" s="21">
        <f t="shared" si="4"/>
        <v>6.36</v>
      </c>
      <c r="L123" s="21"/>
      <c r="M123" s="21"/>
      <c r="N123" s="21"/>
      <c r="O123" s="21"/>
      <c r="P123" s="21"/>
      <c r="Q123" s="21">
        <f t="shared" si="5"/>
        <v>0</v>
      </c>
      <c r="R123" s="21"/>
      <c r="S123" s="22">
        <f t="shared" si="6"/>
        <v>6.36</v>
      </c>
      <c r="T123" s="6"/>
      <c r="U123" s="6"/>
      <c r="V123" s="6"/>
      <c r="W123" s="6"/>
    </row>
    <row r="124" spans="1:23" s="5" customFormat="1" ht="17.25" customHeight="1" x14ac:dyDescent="0.25">
      <c r="A124" s="17"/>
      <c r="B124" s="17"/>
      <c r="C124" s="17"/>
      <c r="D124" s="125" t="s">
        <v>809</v>
      </c>
      <c r="E124" s="19" t="s">
        <v>12</v>
      </c>
      <c r="F124" s="20">
        <v>3.25</v>
      </c>
      <c r="G124" s="20"/>
      <c r="H124" s="20">
        <v>2.8</v>
      </c>
      <c r="I124" s="20"/>
      <c r="J124" s="20"/>
      <c r="K124" s="21">
        <f t="shared" si="4"/>
        <v>9.1</v>
      </c>
      <c r="L124" s="21"/>
      <c r="M124" s="21"/>
      <c r="N124" s="21"/>
      <c r="O124" s="21"/>
      <c r="P124" s="21"/>
      <c r="Q124" s="21">
        <f t="shared" si="5"/>
        <v>0</v>
      </c>
      <c r="R124" s="21"/>
      <c r="S124" s="22">
        <f t="shared" si="6"/>
        <v>9.1</v>
      </c>
      <c r="T124" s="6"/>
      <c r="U124" s="6"/>
      <c r="V124" s="6"/>
      <c r="W124" s="6"/>
    </row>
    <row r="125" spans="1:23" s="5" customFormat="1" ht="17.25" customHeight="1" x14ac:dyDescent="0.25">
      <c r="A125" s="17"/>
      <c r="B125" s="17"/>
      <c r="C125" s="17"/>
      <c r="D125" s="125" t="s">
        <v>810</v>
      </c>
      <c r="E125" s="19" t="s">
        <v>12</v>
      </c>
      <c r="F125" s="20">
        <v>1.69</v>
      </c>
      <c r="G125" s="20"/>
      <c r="H125" s="20">
        <v>3</v>
      </c>
      <c r="I125" s="20"/>
      <c r="J125" s="20"/>
      <c r="K125" s="21">
        <f t="shared" si="4"/>
        <v>5.07</v>
      </c>
      <c r="L125" s="21"/>
      <c r="M125" s="21"/>
      <c r="N125" s="21"/>
      <c r="O125" s="21"/>
      <c r="P125" s="21"/>
      <c r="Q125" s="21">
        <f t="shared" si="5"/>
        <v>0</v>
      </c>
      <c r="R125" s="21"/>
      <c r="S125" s="22">
        <f t="shared" si="6"/>
        <v>5.07</v>
      </c>
      <c r="T125" s="6"/>
      <c r="U125" s="6"/>
      <c r="V125" s="6"/>
      <c r="W125" s="6"/>
    </row>
    <row r="126" spans="1:23" s="5" customFormat="1" ht="17.25" customHeight="1" x14ac:dyDescent="0.25">
      <c r="A126" s="17"/>
      <c r="B126" s="17"/>
      <c r="C126" s="17"/>
      <c r="D126" s="125" t="s">
        <v>811</v>
      </c>
      <c r="E126" s="19" t="s">
        <v>12</v>
      </c>
      <c r="F126" s="20">
        <v>1.32</v>
      </c>
      <c r="G126" s="20"/>
      <c r="H126" s="20">
        <v>3</v>
      </c>
      <c r="I126" s="20"/>
      <c r="J126" s="20"/>
      <c r="K126" s="21">
        <f t="shared" si="4"/>
        <v>3.96</v>
      </c>
      <c r="L126" s="21"/>
      <c r="M126" s="21"/>
      <c r="N126" s="21"/>
      <c r="O126" s="21"/>
      <c r="P126" s="21"/>
      <c r="Q126" s="21">
        <f t="shared" si="5"/>
        <v>0</v>
      </c>
      <c r="R126" s="21"/>
      <c r="S126" s="22">
        <f t="shared" si="6"/>
        <v>3.96</v>
      </c>
      <c r="T126" s="6"/>
      <c r="U126" s="6"/>
      <c r="V126" s="6"/>
      <c r="W126" s="6"/>
    </row>
    <row r="127" spans="1:23" s="5" customFormat="1" ht="17.25" customHeight="1" x14ac:dyDescent="0.25">
      <c r="A127" s="17"/>
      <c r="B127" s="17"/>
      <c r="C127" s="17"/>
      <c r="D127" s="125" t="s">
        <v>812</v>
      </c>
      <c r="E127" s="19" t="s">
        <v>12</v>
      </c>
      <c r="F127" s="20">
        <f>0.75+1.35</f>
        <v>2.1</v>
      </c>
      <c r="G127" s="20"/>
      <c r="H127" s="20">
        <v>2.8</v>
      </c>
      <c r="I127" s="20"/>
      <c r="J127" s="20"/>
      <c r="K127" s="21">
        <f t="shared" si="4"/>
        <v>5.88</v>
      </c>
      <c r="L127" s="21"/>
      <c r="M127" s="21" t="s">
        <v>999</v>
      </c>
      <c r="N127" s="21">
        <v>1</v>
      </c>
      <c r="O127" s="21"/>
      <c r="P127" s="21">
        <v>2.1</v>
      </c>
      <c r="Q127" s="21">
        <f t="shared" si="5"/>
        <v>2.1</v>
      </c>
      <c r="R127" s="21"/>
      <c r="S127" s="22">
        <f t="shared" si="6"/>
        <v>3.78</v>
      </c>
      <c r="T127" s="6"/>
      <c r="U127" s="6"/>
      <c r="V127" s="6"/>
      <c r="W127" s="6"/>
    </row>
    <row r="128" spans="1:23" s="5" customFormat="1" ht="17.25" customHeight="1" x14ac:dyDescent="0.25">
      <c r="A128" s="17"/>
      <c r="B128" s="17"/>
      <c r="C128" s="17"/>
      <c r="D128" s="125" t="s">
        <v>813</v>
      </c>
      <c r="E128" s="19" t="s">
        <v>12</v>
      </c>
      <c r="F128" s="20">
        <v>1.32</v>
      </c>
      <c r="G128" s="20"/>
      <c r="H128" s="20">
        <v>3</v>
      </c>
      <c r="I128" s="20"/>
      <c r="J128" s="20"/>
      <c r="K128" s="21">
        <f t="shared" si="4"/>
        <v>3.96</v>
      </c>
      <c r="L128" s="21"/>
      <c r="M128" s="21"/>
      <c r="N128" s="21"/>
      <c r="O128" s="21"/>
      <c r="P128" s="21"/>
      <c r="Q128" s="21">
        <f t="shared" si="5"/>
        <v>0</v>
      </c>
      <c r="R128" s="21"/>
      <c r="S128" s="22">
        <f t="shared" si="6"/>
        <v>3.96</v>
      </c>
      <c r="T128" s="6"/>
      <c r="U128" s="6"/>
      <c r="V128" s="6"/>
      <c r="W128" s="6"/>
    </row>
    <row r="129" spans="1:23" s="5" customFormat="1" ht="17.25" customHeight="1" x14ac:dyDescent="0.25">
      <c r="A129" s="17"/>
      <c r="B129" s="17"/>
      <c r="C129" s="17"/>
      <c r="D129" s="125" t="s">
        <v>814</v>
      </c>
      <c r="E129" s="19" t="s">
        <v>12</v>
      </c>
      <c r="F129" s="20">
        <v>1.7</v>
      </c>
      <c r="G129" s="20"/>
      <c r="H129" s="20">
        <v>3</v>
      </c>
      <c r="I129" s="20"/>
      <c r="J129" s="20"/>
      <c r="K129" s="21">
        <f t="shared" si="4"/>
        <v>5.0999999999999996</v>
      </c>
      <c r="L129" s="21"/>
      <c r="M129" s="21" t="s">
        <v>999</v>
      </c>
      <c r="N129" s="21">
        <v>1</v>
      </c>
      <c r="O129" s="21"/>
      <c r="P129" s="21">
        <v>2.1</v>
      </c>
      <c r="Q129" s="21">
        <f t="shared" ref="Q129" si="13">+N129*P129</f>
        <v>2.1</v>
      </c>
      <c r="R129" s="21"/>
      <c r="S129" s="22">
        <f t="shared" si="6"/>
        <v>2.9999999999999996</v>
      </c>
      <c r="T129" s="6"/>
      <c r="U129" s="6"/>
      <c r="V129" s="6"/>
      <c r="W129" s="6"/>
    </row>
    <row r="130" spans="1:23" s="5" customFormat="1" ht="17.25" customHeight="1" x14ac:dyDescent="0.25">
      <c r="A130" s="17"/>
      <c r="B130" s="17"/>
      <c r="C130" s="17"/>
      <c r="D130" s="125" t="s">
        <v>815</v>
      </c>
      <c r="E130" s="19" t="s">
        <v>12</v>
      </c>
      <c r="F130" s="20">
        <v>1.36</v>
      </c>
      <c r="G130" s="20"/>
      <c r="H130" s="20">
        <v>2.8</v>
      </c>
      <c r="I130" s="20"/>
      <c r="J130" s="20"/>
      <c r="K130" s="21">
        <f t="shared" si="4"/>
        <v>3.8079999999999998</v>
      </c>
      <c r="L130" s="21"/>
      <c r="M130" s="21"/>
      <c r="N130" s="21"/>
      <c r="O130" s="21"/>
      <c r="P130" s="21"/>
      <c r="Q130" s="21">
        <f t="shared" si="5"/>
        <v>0</v>
      </c>
      <c r="R130" s="21"/>
      <c r="S130" s="22">
        <f t="shared" si="6"/>
        <v>3.8079999999999998</v>
      </c>
      <c r="T130" s="6"/>
      <c r="U130" s="6"/>
      <c r="V130" s="6"/>
      <c r="W130" s="6"/>
    </row>
    <row r="131" spans="1:23" s="5" customFormat="1" ht="17.25" customHeight="1" x14ac:dyDescent="0.25">
      <c r="A131" s="17"/>
      <c r="B131" s="17"/>
      <c r="C131" s="17"/>
      <c r="D131" s="125" t="s">
        <v>816</v>
      </c>
      <c r="E131" s="19" t="s">
        <v>12</v>
      </c>
      <c r="F131" s="20">
        <v>4.3099999999999996</v>
      </c>
      <c r="G131" s="20"/>
      <c r="H131" s="20">
        <v>2.8</v>
      </c>
      <c r="I131" s="20"/>
      <c r="J131" s="20"/>
      <c r="K131" s="21">
        <f t="shared" si="4"/>
        <v>12.067999999999998</v>
      </c>
      <c r="L131" s="21"/>
      <c r="M131" s="21" t="s">
        <v>1004</v>
      </c>
      <c r="N131" s="21">
        <v>1</v>
      </c>
      <c r="O131" s="21"/>
      <c r="P131" s="21">
        <v>0.4</v>
      </c>
      <c r="Q131" s="21">
        <f t="shared" si="5"/>
        <v>0.4</v>
      </c>
      <c r="R131" s="21"/>
      <c r="S131" s="22"/>
      <c r="T131" s="6"/>
      <c r="U131" s="6"/>
      <c r="V131" s="6"/>
      <c r="W131" s="6"/>
    </row>
    <row r="132" spans="1:23" s="5" customFormat="1" ht="17.25" customHeight="1" x14ac:dyDescent="0.25">
      <c r="A132" s="17"/>
      <c r="B132" s="17"/>
      <c r="C132" s="17"/>
      <c r="D132" s="125"/>
      <c r="E132" s="19"/>
      <c r="F132" s="20"/>
      <c r="G132" s="20"/>
      <c r="H132" s="20"/>
      <c r="I132" s="20"/>
      <c r="J132" s="20"/>
      <c r="K132" s="21"/>
      <c r="L132" s="21"/>
      <c r="M132" s="21" t="s">
        <v>1003</v>
      </c>
      <c r="N132" s="21">
        <v>3.06</v>
      </c>
      <c r="O132" s="21"/>
      <c r="P132" s="21">
        <v>2.6</v>
      </c>
      <c r="Q132" s="21">
        <f t="shared" si="5"/>
        <v>7.9560000000000004</v>
      </c>
      <c r="R132" s="21"/>
      <c r="S132" s="22"/>
      <c r="T132" s="6"/>
      <c r="U132" s="6"/>
      <c r="V132" s="6"/>
      <c r="W132" s="6"/>
    </row>
    <row r="133" spans="1:23" s="5" customFormat="1" ht="17.25" customHeight="1" x14ac:dyDescent="0.25">
      <c r="A133" s="17"/>
      <c r="B133" s="17"/>
      <c r="C133" s="17"/>
      <c r="D133" s="125"/>
      <c r="E133" s="19"/>
      <c r="F133" s="20"/>
      <c r="G133" s="20"/>
      <c r="H133" s="20"/>
      <c r="I133" s="20"/>
      <c r="J133" s="20"/>
      <c r="K133" s="21"/>
      <c r="L133" s="21"/>
      <c r="M133" s="21"/>
      <c r="N133" s="21"/>
      <c r="O133" s="21"/>
      <c r="P133" s="21"/>
      <c r="Q133" s="21"/>
      <c r="R133" s="21"/>
      <c r="S133" s="22">
        <f>+K131-(Q131+Q132)</f>
        <v>3.711999999999998</v>
      </c>
      <c r="T133" s="6"/>
      <c r="U133" s="6"/>
      <c r="V133" s="6"/>
      <c r="W133" s="6"/>
    </row>
    <row r="134" spans="1:23" s="5" customFormat="1" ht="17.25" customHeight="1" x14ac:dyDescent="0.25">
      <c r="A134" s="17"/>
      <c r="B134" s="17"/>
      <c r="C134" s="17"/>
      <c r="D134" s="125" t="s">
        <v>817</v>
      </c>
      <c r="E134" s="19" t="s">
        <v>12</v>
      </c>
      <c r="F134" s="20">
        <v>1.68</v>
      </c>
      <c r="G134" s="20"/>
      <c r="H134" s="20">
        <v>2.8</v>
      </c>
      <c r="I134" s="20"/>
      <c r="J134" s="20"/>
      <c r="K134" s="21">
        <f t="shared" si="4"/>
        <v>4.7039999999999997</v>
      </c>
      <c r="L134" s="21"/>
      <c r="M134" s="21"/>
      <c r="N134" s="21"/>
      <c r="O134" s="21"/>
      <c r="P134" s="21"/>
      <c r="Q134" s="21">
        <f t="shared" si="5"/>
        <v>0</v>
      </c>
      <c r="R134" s="21"/>
      <c r="S134" s="22">
        <f t="shared" si="6"/>
        <v>4.7039999999999997</v>
      </c>
      <c r="T134" s="6"/>
      <c r="U134" s="6"/>
      <c r="V134" s="6"/>
      <c r="W134" s="6"/>
    </row>
    <row r="135" spans="1:23" s="5" customFormat="1" ht="17.25" customHeight="1" x14ac:dyDescent="0.25">
      <c r="A135" s="17"/>
      <c r="B135" s="17"/>
      <c r="C135" s="17"/>
      <c r="D135" s="125" t="s">
        <v>818</v>
      </c>
      <c r="E135" s="19" t="s">
        <v>12</v>
      </c>
      <c r="F135" s="20">
        <v>2.12</v>
      </c>
      <c r="G135" s="20"/>
      <c r="H135" s="20">
        <v>3</v>
      </c>
      <c r="I135" s="20"/>
      <c r="J135" s="20"/>
      <c r="K135" s="21">
        <f t="shared" si="4"/>
        <v>6.36</v>
      </c>
      <c r="L135" s="21"/>
      <c r="M135" s="21"/>
      <c r="N135" s="21"/>
      <c r="O135" s="21"/>
      <c r="P135" s="21"/>
      <c r="Q135" s="21">
        <f t="shared" si="5"/>
        <v>0</v>
      </c>
      <c r="R135" s="21"/>
      <c r="S135" s="22">
        <f t="shared" si="6"/>
        <v>6.36</v>
      </c>
      <c r="T135" s="6"/>
      <c r="U135" s="6"/>
      <c r="V135" s="6"/>
      <c r="W135" s="6"/>
    </row>
    <row r="136" spans="1:23" s="5" customFormat="1" ht="17.25" customHeight="1" x14ac:dyDescent="0.25">
      <c r="A136" s="17"/>
      <c r="B136" s="17"/>
      <c r="C136" s="17"/>
      <c r="D136" s="125" t="s">
        <v>819</v>
      </c>
      <c r="E136" s="19" t="s">
        <v>12</v>
      </c>
      <c r="F136" s="20">
        <v>3.3</v>
      </c>
      <c r="G136" s="20"/>
      <c r="H136" s="20">
        <v>3</v>
      </c>
      <c r="I136" s="20"/>
      <c r="J136" s="20"/>
      <c r="K136" s="21">
        <f t="shared" si="4"/>
        <v>9.8999999999999986</v>
      </c>
      <c r="L136" s="21"/>
      <c r="M136" s="21" t="s">
        <v>1005</v>
      </c>
      <c r="N136" s="21">
        <v>1</v>
      </c>
      <c r="O136" s="21"/>
      <c r="P136" s="21">
        <v>2.1</v>
      </c>
      <c r="Q136" s="21">
        <f t="shared" si="5"/>
        <v>2.1</v>
      </c>
      <c r="R136" s="21"/>
      <c r="S136" s="22"/>
      <c r="T136" s="6"/>
      <c r="U136" s="6"/>
      <c r="V136" s="6"/>
      <c r="W136" s="6"/>
    </row>
    <row r="137" spans="1:23" s="5" customFormat="1" ht="17.25" customHeight="1" x14ac:dyDescent="0.25">
      <c r="A137" s="17"/>
      <c r="B137" s="17"/>
      <c r="C137" s="17"/>
      <c r="D137" s="125"/>
      <c r="E137" s="19"/>
      <c r="F137" s="20"/>
      <c r="G137" s="20"/>
      <c r="H137" s="20"/>
      <c r="I137" s="20"/>
      <c r="J137" s="20"/>
      <c r="K137" s="21"/>
      <c r="L137" s="21"/>
      <c r="M137" s="21" t="s">
        <v>1005</v>
      </c>
      <c r="N137" s="21">
        <v>1</v>
      </c>
      <c r="O137" s="21"/>
      <c r="P137" s="21">
        <v>2.1</v>
      </c>
      <c r="Q137" s="21">
        <f t="shared" si="5"/>
        <v>2.1</v>
      </c>
      <c r="R137" s="21"/>
      <c r="S137" s="22"/>
      <c r="T137" s="6"/>
      <c r="U137" s="6"/>
      <c r="V137" s="6"/>
      <c r="W137" s="6"/>
    </row>
    <row r="138" spans="1:23" s="5" customFormat="1" ht="17.25" customHeight="1" x14ac:dyDescent="0.25">
      <c r="A138" s="17"/>
      <c r="B138" s="17"/>
      <c r="C138" s="17"/>
      <c r="D138" s="125"/>
      <c r="E138" s="19"/>
      <c r="F138" s="20"/>
      <c r="G138" s="20"/>
      <c r="H138" s="20"/>
      <c r="I138" s="20"/>
      <c r="J138" s="20"/>
      <c r="K138" s="21"/>
      <c r="L138" s="21"/>
      <c r="M138" s="21"/>
      <c r="N138" s="21"/>
      <c r="O138" s="21"/>
      <c r="P138" s="21"/>
      <c r="Q138" s="21"/>
      <c r="R138" s="21"/>
      <c r="S138" s="22">
        <f>+K136-(Q136+Q137)</f>
        <v>5.6999999999999984</v>
      </c>
      <c r="T138" s="6"/>
      <c r="U138" s="6"/>
      <c r="V138" s="6"/>
      <c r="W138" s="6"/>
    </row>
    <row r="139" spans="1:23" s="5" customFormat="1" ht="17.25" customHeight="1" x14ac:dyDescent="0.25">
      <c r="A139" s="17"/>
      <c r="B139" s="17"/>
      <c r="C139" s="17"/>
      <c r="D139" s="125" t="s">
        <v>820</v>
      </c>
      <c r="E139" s="19" t="s">
        <v>12</v>
      </c>
      <c r="F139" s="20">
        <v>2.12</v>
      </c>
      <c r="G139" s="20"/>
      <c r="H139" s="20">
        <v>3</v>
      </c>
      <c r="I139" s="20"/>
      <c r="J139" s="20"/>
      <c r="K139" s="21">
        <f t="shared" si="4"/>
        <v>6.36</v>
      </c>
      <c r="L139" s="21"/>
      <c r="M139" s="21"/>
      <c r="N139" s="21"/>
      <c r="O139" s="21"/>
      <c r="P139" s="21"/>
      <c r="Q139" s="21">
        <f t="shared" si="5"/>
        <v>0</v>
      </c>
      <c r="R139" s="21"/>
      <c r="S139" s="22">
        <f t="shared" si="6"/>
        <v>6.36</v>
      </c>
      <c r="T139" s="6"/>
      <c r="U139" s="6"/>
      <c r="V139" s="6"/>
      <c r="W139" s="6"/>
    </row>
    <row r="140" spans="1:23" s="5" customFormat="1" ht="17.25" customHeight="1" x14ac:dyDescent="0.25">
      <c r="A140" s="17"/>
      <c r="B140" s="17"/>
      <c r="C140" s="17"/>
      <c r="D140" s="125" t="s">
        <v>821</v>
      </c>
      <c r="E140" s="19" t="s">
        <v>12</v>
      </c>
      <c r="F140" s="20">
        <v>1.02</v>
      </c>
      <c r="G140" s="20"/>
      <c r="H140" s="20">
        <v>2.8</v>
      </c>
      <c r="I140" s="20"/>
      <c r="J140" s="20"/>
      <c r="K140" s="21">
        <f t="shared" si="4"/>
        <v>2.8559999999999999</v>
      </c>
      <c r="L140" s="21"/>
      <c r="M140" s="21"/>
      <c r="N140" s="21"/>
      <c r="O140" s="21"/>
      <c r="P140" s="21"/>
      <c r="Q140" s="21">
        <f t="shared" si="5"/>
        <v>0</v>
      </c>
      <c r="R140" s="21"/>
      <c r="S140" s="22">
        <f t="shared" si="6"/>
        <v>2.8559999999999999</v>
      </c>
      <c r="T140" s="6"/>
      <c r="U140" s="6"/>
      <c r="V140" s="6"/>
      <c r="W140" s="6"/>
    </row>
    <row r="141" spans="1:23" s="5" customFormat="1" ht="17.25" customHeight="1" x14ac:dyDescent="0.25">
      <c r="A141" s="17"/>
      <c r="B141" s="17"/>
      <c r="C141" s="17"/>
      <c r="D141" s="125" t="s">
        <v>822</v>
      </c>
      <c r="E141" s="19" t="s">
        <v>12</v>
      </c>
      <c r="F141" s="20">
        <v>3.47</v>
      </c>
      <c r="G141" s="20"/>
      <c r="H141" s="20">
        <v>2.8</v>
      </c>
      <c r="I141" s="20"/>
      <c r="J141" s="20"/>
      <c r="K141" s="21">
        <f t="shared" si="4"/>
        <v>9.7159999999999993</v>
      </c>
      <c r="L141" s="21"/>
      <c r="M141" s="21" t="s">
        <v>1005</v>
      </c>
      <c r="N141" s="21">
        <v>1</v>
      </c>
      <c r="O141" s="21"/>
      <c r="P141" s="21">
        <v>2.1</v>
      </c>
      <c r="Q141" s="21">
        <f t="shared" ref="Q141:Q143" si="14">+N141*P141</f>
        <v>2.1</v>
      </c>
      <c r="R141" s="21"/>
      <c r="S141" s="22">
        <f t="shared" si="6"/>
        <v>7.6159999999999997</v>
      </c>
      <c r="T141" s="6"/>
      <c r="U141" s="6"/>
      <c r="V141" s="6"/>
      <c r="W141" s="6"/>
    </row>
    <row r="142" spans="1:23" s="5" customFormat="1" ht="17.25" customHeight="1" x14ac:dyDescent="0.25">
      <c r="A142" s="17"/>
      <c r="B142" s="17"/>
      <c r="C142" s="17"/>
      <c r="D142" s="125" t="s">
        <v>823</v>
      </c>
      <c r="E142" s="19" t="s">
        <v>12</v>
      </c>
      <c r="F142" s="20">
        <v>6</v>
      </c>
      <c r="G142" s="20"/>
      <c r="H142" s="20">
        <v>2.8</v>
      </c>
      <c r="I142" s="20"/>
      <c r="J142" s="20"/>
      <c r="K142" s="21">
        <f t="shared" si="4"/>
        <v>16.799999999999997</v>
      </c>
      <c r="L142" s="21"/>
      <c r="M142" s="21" t="s">
        <v>1003</v>
      </c>
      <c r="N142" s="21">
        <v>3.2</v>
      </c>
      <c r="O142" s="21"/>
      <c r="P142" s="21">
        <v>2.6</v>
      </c>
      <c r="Q142" s="21">
        <f t="shared" si="14"/>
        <v>8.32</v>
      </c>
      <c r="R142" s="21"/>
      <c r="S142" s="22"/>
      <c r="T142" s="6"/>
      <c r="U142" s="6"/>
      <c r="V142" s="6"/>
      <c r="W142" s="6"/>
    </row>
    <row r="143" spans="1:23" s="5" customFormat="1" ht="17.25" customHeight="1" x14ac:dyDescent="0.25">
      <c r="A143" s="17"/>
      <c r="B143" s="17"/>
      <c r="C143" s="17"/>
      <c r="D143" s="125"/>
      <c r="E143" s="19"/>
      <c r="F143" s="20"/>
      <c r="G143" s="20"/>
      <c r="H143" s="20"/>
      <c r="I143" s="20"/>
      <c r="J143" s="20"/>
      <c r="K143" s="21"/>
      <c r="L143" s="21"/>
      <c r="M143" s="21" t="s">
        <v>1003</v>
      </c>
      <c r="N143" s="21">
        <v>2.74</v>
      </c>
      <c r="O143" s="21"/>
      <c r="P143" s="21">
        <v>2.6</v>
      </c>
      <c r="Q143" s="21">
        <f t="shared" si="14"/>
        <v>7.1240000000000006</v>
      </c>
      <c r="R143" s="21"/>
      <c r="S143" s="22"/>
      <c r="T143" s="6"/>
      <c r="U143" s="6"/>
      <c r="V143" s="6"/>
      <c r="W143" s="6"/>
    </row>
    <row r="144" spans="1:23" s="5" customFormat="1" ht="17.25" customHeight="1" x14ac:dyDescent="0.25">
      <c r="A144" s="17"/>
      <c r="B144" s="17"/>
      <c r="C144" s="17"/>
      <c r="D144" s="125"/>
      <c r="E144" s="19"/>
      <c r="F144" s="20"/>
      <c r="G144" s="20"/>
      <c r="H144" s="20"/>
      <c r="I144" s="20"/>
      <c r="J144" s="20"/>
      <c r="K144" s="21"/>
      <c r="L144" s="21"/>
      <c r="M144" s="21"/>
      <c r="N144" s="21"/>
      <c r="O144" s="21"/>
      <c r="P144" s="21"/>
      <c r="Q144" s="21"/>
      <c r="R144" s="21"/>
      <c r="S144" s="22">
        <f>+K142-(Q142+Q143)</f>
        <v>1.3559999999999963</v>
      </c>
      <c r="T144" s="6"/>
      <c r="U144" s="6"/>
      <c r="V144" s="6"/>
      <c r="W144" s="6"/>
    </row>
    <row r="145" spans="1:23" s="5" customFormat="1" ht="17.25" customHeight="1" x14ac:dyDescent="0.25">
      <c r="A145" s="17"/>
      <c r="B145" s="17"/>
      <c r="C145" s="17"/>
      <c r="D145" s="125" t="s">
        <v>824</v>
      </c>
      <c r="E145" s="19" t="s">
        <v>12</v>
      </c>
      <c r="F145" s="20">
        <v>6.27</v>
      </c>
      <c r="G145" s="20"/>
      <c r="H145" s="20">
        <v>3</v>
      </c>
      <c r="I145" s="20"/>
      <c r="J145" s="20"/>
      <c r="K145" s="21">
        <f t="shared" si="4"/>
        <v>18.809999999999999</v>
      </c>
      <c r="L145" s="21"/>
      <c r="M145" s="21"/>
      <c r="N145" s="21"/>
      <c r="O145" s="21"/>
      <c r="P145" s="21"/>
      <c r="Q145" s="21">
        <f t="shared" si="5"/>
        <v>0</v>
      </c>
      <c r="R145" s="21"/>
      <c r="S145" s="22">
        <f t="shared" si="6"/>
        <v>18.809999999999999</v>
      </c>
      <c r="T145" s="6"/>
      <c r="U145" s="6"/>
      <c r="V145" s="6"/>
      <c r="W145" s="6"/>
    </row>
    <row r="146" spans="1:23" s="5" customFormat="1" ht="17.25" customHeight="1" x14ac:dyDescent="0.25">
      <c r="A146" s="17"/>
      <c r="B146" s="17"/>
      <c r="C146" s="17"/>
      <c r="D146" s="144" t="s">
        <v>826</v>
      </c>
      <c r="E146" s="19"/>
      <c r="F146" s="20"/>
      <c r="G146" s="20"/>
      <c r="H146" s="20"/>
      <c r="I146" s="20"/>
      <c r="J146" s="20"/>
      <c r="K146" s="21">
        <f t="shared" si="4"/>
        <v>0</v>
      </c>
      <c r="L146" s="21"/>
      <c r="M146" s="21"/>
      <c r="N146" s="21"/>
      <c r="O146" s="21"/>
      <c r="P146" s="21"/>
      <c r="Q146" s="21">
        <f t="shared" si="5"/>
        <v>0</v>
      </c>
      <c r="R146" s="21"/>
      <c r="S146" s="22">
        <f t="shared" si="6"/>
        <v>0</v>
      </c>
      <c r="T146" s="6"/>
      <c r="U146" s="6"/>
      <c r="V146" s="6"/>
      <c r="W146" s="6"/>
    </row>
    <row r="147" spans="1:23" s="5" customFormat="1" ht="17.25" customHeight="1" x14ac:dyDescent="0.25">
      <c r="A147" s="17"/>
      <c r="B147" s="17"/>
      <c r="C147" s="17"/>
      <c r="D147" s="125" t="s">
        <v>825</v>
      </c>
      <c r="E147" s="19" t="s">
        <v>12</v>
      </c>
      <c r="F147" s="20">
        <v>6.77</v>
      </c>
      <c r="G147" s="20"/>
      <c r="H147" s="20">
        <v>2.8</v>
      </c>
      <c r="I147" s="20"/>
      <c r="J147" s="20"/>
      <c r="K147" s="21">
        <f t="shared" si="4"/>
        <v>18.955999999999996</v>
      </c>
      <c r="L147" s="21"/>
      <c r="M147" s="21" t="s">
        <v>1003</v>
      </c>
      <c r="N147" s="21">
        <v>3</v>
      </c>
      <c r="O147" s="21"/>
      <c r="P147" s="21">
        <v>2.6</v>
      </c>
      <c r="Q147" s="21">
        <f t="shared" si="5"/>
        <v>7.8000000000000007</v>
      </c>
      <c r="R147" s="21"/>
      <c r="S147" s="22"/>
      <c r="T147" s="6"/>
      <c r="U147" s="6"/>
      <c r="V147" s="6"/>
      <c r="W147" s="6"/>
    </row>
    <row r="148" spans="1:23" s="5" customFormat="1" ht="17.25" customHeight="1" x14ac:dyDescent="0.25">
      <c r="A148" s="17"/>
      <c r="B148" s="17"/>
      <c r="C148" s="17"/>
      <c r="D148" s="125"/>
      <c r="E148" s="19"/>
      <c r="F148" s="20"/>
      <c r="G148" s="20"/>
      <c r="H148" s="20"/>
      <c r="I148" s="20"/>
      <c r="J148" s="20"/>
      <c r="K148" s="21"/>
      <c r="L148" s="21"/>
      <c r="M148" s="21" t="s">
        <v>1003</v>
      </c>
      <c r="N148" s="21">
        <v>2.98</v>
      </c>
      <c r="O148" s="21"/>
      <c r="P148" s="21">
        <v>2.6</v>
      </c>
      <c r="Q148" s="21">
        <f t="shared" si="5"/>
        <v>7.7480000000000002</v>
      </c>
      <c r="R148" s="21"/>
      <c r="S148" s="22"/>
      <c r="T148" s="6"/>
      <c r="U148" s="6"/>
      <c r="V148" s="6"/>
      <c r="W148" s="6"/>
    </row>
    <row r="149" spans="1:23" s="5" customFormat="1" ht="17.25" customHeight="1" x14ac:dyDescent="0.25">
      <c r="A149" s="17"/>
      <c r="B149" s="17"/>
      <c r="C149" s="17"/>
      <c r="D149" s="125"/>
      <c r="E149" s="19"/>
      <c r="F149" s="20"/>
      <c r="G149" s="20"/>
      <c r="H149" s="20"/>
      <c r="I149" s="20"/>
      <c r="J149" s="20"/>
      <c r="K149" s="21"/>
      <c r="L149" s="21"/>
      <c r="M149" s="21"/>
      <c r="N149" s="21"/>
      <c r="O149" s="21"/>
      <c r="P149" s="21"/>
      <c r="Q149" s="21"/>
      <c r="R149" s="21"/>
      <c r="S149" s="22">
        <f>+K147-(Q147+Q148)</f>
        <v>3.4079999999999941</v>
      </c>
      <c r="T149" s="6"/>
      <c r="U149" s="6"/>
      <c r="V149" s="6"/>
      <c r="W149" s="6"/>
    </row>
    <row r="150" spans="1:23" s="5" customFormat="1" ht="17.25" customHeight="1" x14ac:dyDescent="0.25">
      <c r="A150" s="17"/>
      <c r="B150" s="17"/>
      <c r="C150" s="17"/>
      <c r="D150" s="125" t="s">
        <v>827</v>
      </c>
      <c r="E150" s="19" t="s">
        <v>12</v>
      </c>
      <c r="F150" s="20">
        <v>3.47</v>
      </c>
      <c r="G150" s="20"/>
      <c r="H150" s="20">
        <v>2.8</v>
      </c>
      <c r="I150" s="20"/>
      <c r="J150" s="20"/>
      <c r="K150" s="21">
        <f t="shared" si="4"/>
        <v>9.7159999999999993</v>
      </c>
      <c r="L150" s="21"/>
      <c r="M150" s="21" t="s">
        <v>1003</v>
      </c>
      <c r="N150" s="21">
        <v>3.47</v>
      </c>
      <c r="O150" s="21"/>
      <c r="P150" s="21">
        <v>2.6</v>
      </c>
      <c r="Q150" s="21">
        <f t="shared" ref="Q150" si="15">+N150*P150</f>
        <v>9.0220000000000002</v>
      </c>
      <c r="R150" s="21"/>
      <c r="S150" s="22">
        <f t="shared" si="6"/>
        <v>0.69399999999999906</v>
      </c>
      <c r="T150" s="6"/>
      <c r="U150" s="6"/>
      <c r="V150" s="6"/>
      <c r="W150" s="6"/>
    </row>
    <row r="151" spans="1:23" s="5" customFormat="1" ht="17.25" customHeight="1" x14ac:dyDescent="0.25">
      <c r="A151" s="17"/>
      <c r="B151" s="17"/>
      <c r="C151" s="17"/>
      <c r="D151" s="125" t="s">
        <v>828</v>
      </c>
      <c r="E151" s="19" t="s">
        <v>12</v>
      </c>
      <c r="F151" s="20">
        <v>1.6</v>
      </c>
      <c r="G151" s="20"/>
      <c r="H151" s="20">
        <v>2.8</v>
      </c>
      <c r="I151" s="20"/>
      <c r="J151" s="20"/>
      <c r="K151" s="21">
        <f t="shared" si="4"/>
        <v>4.4799999999999995</v>
      </c>
      <c r="L151" s="21"/>
      <c r="M151" s="21"/>
      <c r="N151" s="21"/>
      <c r="O151" s="21"/>
      <c r="P151" s="21"/>
      <c r="Q151" s="21">
        <f t="shared" si="5"/>
        <v>0</v>
      </c>
      <c r="R151" s="21"/>
      <c r="S151" s="22">
        <f t="shared" si="6"/>
        <v>4.4799999999999995</v>
      </c>
      <c r="T151" s="6"/>
      <c r="U151" s="6"/>
      <c r="V151" s="6"/>
      <c r="W151" s="6"/>
    </row>
    <row r="152" spans="1:23" s="5" customFormat="1" ht="17.25" customHeight="1" x14ac:dyDescent="0.25">
      <c r="A152" s="17"/>
      <c r="B152" s="17"/>
      <c r="C152" s="17"/>
      <c r="D152" s="125" t="s">
        <v>829</v>
      </c>
      <c r="E152" s="19" t="s">
        <v>12</v>
      </c>
      <c r="F152" s="20">
        <v>2.06</v>
      </c>
      <c r="G152" s="20"/>
      <c r="H152" s="20">
        <v>2.8</v>
      </c>
      <c r="I152" s="20"/>
      <c r="J152" s="20"/>
      <c r="K152" s="21">
        <f t="shared" si="4"/>
        <v>5.7679999999999998</v>
      </c>
      <c r="L152" s="21"/>
      <c r="M152" s="21" t="s">
        <v>1006</v>
      </c>
      <c r="N152" s="21">
        <v>2</v>
      </c>
      <c r="O152" s="21"/>
      <c r="P152" s="21">
        <v>2.1</v>
      </c>
      <c r="Q152" s="21">
        <f t="shared" si="5"/>
        <v>4.2</v>
      </c>
      <c r="R152" s="21"/>
      <c r="S152" s="22">
        <f t="shared" si="6"/>
        <v>1.5679999999999996</v>
      </c>
      <c r="T152" s="6"/>
      <c r="U152" s="6"/>
      <c r="V152" s="6"/>
      <c r="W152" s="6"/>
    </row>
    <row r="153" spans="1:23" s="5" customFormat="1" ht="17.25" customHeight="1" x14ac:dyDescent="0.25">
      <c r="A153" s="17"/>
      <c r="B153" s="17"/>
      <c r="C153" s="17"/>
      <c r="D153" s="125" t="s">
        <v>830</v>
      </c>
      <c r="E153" s="19" t="s">
        <v>12</v>
      </c>
      <c r="F153" s="20">
        <v>7.17</v>
      </c>
      <c r="G153" s="20"/>
      <c r="H153" s="20">
        <v>3</v>
      </c>
      <c r="I153" s="20"/>
      <c r="J153" s="20"/>
      <c r="K153" s="21">
        <f t="shared" si="4"/>
        <v>21.509999999999998</v>
      </c>
      <c r="L153" s="21"/>
      <c r="M153" s="21" t="s">
        <v>1005</v>
      </c>
      <c r="N153" s="21">
        <v>0.8</v>
      </c>
      <c r="O153" s="21"/>
      <c r="P153" s="21">
        <v>2.1</v>
      </c>
      <c r="Q153" s="21">
        <f t="shared" si="5"/>
        <v>1.6800000000000002</v>
      </c>
      <c r="R153" s="21"/>
      <c r="S153" s="22"/>
      <c r="T153" s="6"/>
      <c r="U153" s="6"/>
      <c r="V153" s="6"/>
      <c r="W153" s="6"/>
    </row>
    <row r="154" spans="1:23" s="5" customFormat="1" ht="17.25" customHeight="1" x14ac:dyDescent="0.25">
      <c r="A154" s="17"/>
      <c r="B154" s="17"/>
      <c r="C154" s="17"/>
      <c r="D154" s="125"/>
      <c r="E154" s="19"/>
      <c r="F154" s="20"/>
      <c r="G154" s="20"/>
      <c r="H154" s="20"/>
      <c r="I154" s="20"/>
      <c r="J154" s="20"/>
      <c r="K154" s="21"/>
      <c r="L154" s="21"/>
      <c r="M154" s="21" t="s">
        <v>1007</v>
      </c>
      <c r="N154" s="21">
        <v>4.03</v>
      </c>
      <c r="O154" s="21"/>
      <c r="P154" s="21">
        <v>1.1000000000000001</v>
      </c>
      <c r="Q154" s="21">
        <f t="shared" si="5"/>
        <v>4.4330000000000007</v>
      </c>
      <c r="R154" s="21"/>
      <c r="S154" s="22"/>
      <c r="T154" s="6"/>
      <c r="U154" s="6"/>
      <c r="V154" s="6"/>
      <c r="W154" s="6"/>
    </row>
    <row r="155" spans="1:23" s="5" customFormat="1" ht="17.25" customHeight="1" x14ac:dyDescent="0.25">
      <c r="A155" s="17"/>
      <c r="B155" s="17"/>
      <c r="C155" s="17"/>
      <c r="D155" s="125"/>
      <c r="E155" s="19"/>
      <c r="F155" s="20"/>
      <c r="G155" s="20"/>
      <c r="H155" s="20"/>
      <c r="I155" s="20"/>
      <c r="J155" s="20"/>
      <c r="K155" s="21"/>
      <c r="L155" s="21"/>
      <c r="M155" s="21" t="s">
        <v>1008</v>
      </c>
      <c r="N155" s="21">
        <v>2</v>
      </c>
      <c r="O155" s="21"/>
      <c r="P155" s="21">
        <v>1.1000000000000001</v>
      </c>
      <c r="Q155" s="21">
        <f t="shared" si="5"/>
        <v>2.2000000000000002</v>
      </c>
      <c r="R155" s="21"/>
      <c r="S155" s="22"/>
      <c r="T155" s="6"/>
      <c r="U155" s="6"/>
      <c r="V155" s="6"/>
      <c r="W155" s="6"/>
    </row>
    <row r="156" spans="1:23" s="5" customFormat="1" ht="17.25" customHeight="1" x14ac:dyDescent="0.25">
      <c r="A156" s="17"/>
      <c r="B156" s="17"/>
      <c r="C156" s="17"/>
      <c r="D156" s="125"/>
      <c r="E156" s="19"/>
      <c r="F156" s="20"/>
      <c r="G156" s="20"/>
      <c r="H156" s="20"/>
      <c r="I156" s="20"/>
      <c r="J156" s="20"/>
      <c r="K156" s="21"/>
      <c r="L156" s="21"/>
      <c r="M156" s="21"/>
      <c r="N156" s="21"/>
      <c r="O156" s="21"/>
      <c r="P156" s="21"/>
      <c r="Q156" s="21"/>
      <c r="R156" s="21"/>
      <c r="S156" s="22">
        <f>+K153-(Q153+Q154+Q155)</f>
        <v>13.196999999999996</v>
      </c>
      <c r="T156" s="6"/>
      <c r="U156" s="6"/>
      <c r="V156" s="6"/>
      <c r="W156" s="6"/>
    </row>
    <row r="157" spans="1:23" s="5" customFormat="1" ht="17.25" customHeight="1" x14ac:dyDescent="0.25">
      <c r="A157" s="17"/>
      <c r="B157" s="17"/>
      <c r="C157" s="17"/>
      <c r="D157" s="125" t="s">
        <v>831</v>
      </c>
      <c r="E157" s="19" t="s">
        <v>12</v>
      </c>
      <c r="F157" s="20">
        <v>3.52</v>
      </c>
      <c r="G157" s="20"/>
      <c r="H157" s="20">
        <v>2.8</v>
      </c>
      <c r="I157" s="20"/>
      <c r="J157" s="20"/>
      <c r="K157" s="21">
        <f t="shared" si="4"/>
        <v>9.8559999999999999</v>
      </c>
      <c r="L157" s="21"/>
      <c r="M157" s="21"/>
      <c r="N157" s="21"/>
      <c r="O157" s="21"/>
      <c r="P157" s="21"/>
      <c r="Q157" s="21">
        <f t="shared" si="5"/>
        <v>0</v>
      </c>
      <c r="R157" s="21"/>
      <c r="S157" s="22">
        <f t="shared" si="6"/>
        <v>9.8559999999999999</v>
      </c>
      <c r="T157" s="6"/>
      <c r="U157" s="6"/>
      <c r="V157" s="6"/>
      <c r="W157" s="6"/>
    </row>
    <row r="158" spans="1:23" s="5" customFormat="1" ht="17.25" customHeight="1" x14ac:dyDescent="0.25">
      <c r="A158" s="17"/>
      <c r="B158" s="17"/>
      <c r="C158" s="17"/>
      <c r="D158" s="125" t="s">
        <v>832</v>
      </c>
      <c r="E158" s="19" t="s">
        <v>12</v>
      </c>
      <c r="F158" s="20">
        <v>1.5</v>
      </c>
      <c r="G158" s="20"/>
      <c r="H158" s="20">
        <v>2.8</v>
      </c>
      <c r="I158" s="20"/>
      <c r="J158" s="20"/>
      <c r="K158" s="21">
        <f t="shared" si="4"/>
        <v>4.1999999999999993</v>
      </c>
      <c r="L158" s="21"/>
      <c r="M158" s="21"/>
      <c r="N158" s="21"/>
      <c r="O158" s="21"/>
      <c r="P158" s="21"/>
      <c r="Q158" s="21">
        <f t="shared" si="5"/>
        <v>0</v>
      </c>
      <c r="R158" s="21"/>
      <c r="S158" s="22">
        <f t="shared" si="6"/>
        <v>4.1999999999999993</v>
      </c>
      <c r="T158" s="6"/>
      <c r="U158" s="6"/>
      <c r="V158" s="6"/>
      <c r="W158" s="6"/>
    </row>
    <row r="159" spans="1:23" s="5" customFormat="1" ht="17.25" customHeight="1" x14ac:dyDescent="0.25">
      <c r="A159" s="17"/>
      <c r="B159" s="17"/>
      <c r="C159" s="17"/>
      <c r="D159" s="125" t="s">
        <v>833</v>
      </c>
      <c r="E159" s="19" t="s">
        <v>12</v>
      </c>
      <c r="F159" s="20">
        <v>1.36</v>
      </c>
      <c r="G159" s="20"/>
      <c r="H159" s="20">
        <v>3</v>
      </c>
      <c r="I159" s="20"/>
      <c r="J159" s="20"/>
      <c r="K159" s="21">
        <f t="shared" si="4"/>
        <v>4.08</v>
      </c>
      <c r="L159" s="21"/>
      <c r="M159" s="21" t="s">
        <v>1009</v>
      </c>
      <c r="N159" s="21">
        <v>1</v>
      </c>
      <c r="O159" s="21"/>
      <c r="P159" s="21">
        <v>2.1</v>
      </c>
      <c r="Q159" s="21">
        <f t="shared" si="5"/>
        <v>2.1</v>
      </c>
      <c r="R159" s="21"/>
      <c r="S159" s="22">
        <f t="shared" si="6"/>
        <v>1.98</v>
      </c>
      <c r="T159" s="6"/>
      <c r="U159" s="6"/>
      <c r="V159" s="6"/>
      <c r="W159" s="6"/>
    </row>
    <row r="160" spans="1:23" s="5" customFormat="1" ht="17.25" customHeight="1" x14ac:dyDescent="0.25">
      <c r="A160" s="17"/>
      <c r="B160" s="17"/>
      <c r="C160" s="17"/>
      <c r="D160" s="125" t="s">
        <v>834</v>
      </c>
      <c r="E160" s="19" t="s">
        <v>12</v>
      </c>
      <c r="F160" s="20">
        <v>4.1500000000000004</v>
      </c>
      <c r="G160" s="20"/>
      <c r="H160" s="20">
        <v>3</v>
      </c>
      <c r="I160" s="20"/>
      <c r="J160" s="20"/>
      <c r="K160" s="21">
        <f t="shared" si="4"/>
        <v>12.450000000000001</v>
      </c>
      <c r="L160" s="21"/>
      <c r="M160" s="21" t="s">
        <v>1009</v>
      </c>
      <c r="N160" s="21">
        <v>1</v>
      </c>
      <c r="O160" s="21"/>
      <c r="P160" s="21">
        <v>2.1</v>
      </c>
      <c r="Q160" s="21">
        <f t="shared" ref="Q160:Q161" si="16">+N160*P160</f>
        <v>2.1</v>
      </c>
      <c r="R160" s="21"/>
      <c r="S160" s="22"/>
      <c r="T160" s="6"/>
      <c r="U160" s="6"/>
      <c r="V160" s="6"/>
      <c r="W160" s="6"/>
    </row>
    <row r="161" spans="1:23" s="5" customFormat="1" ht="17.25" customHeight="1" x14ac:dyDescent="0.25">
      <c r="A161" s="17"/>
      <c r="B161" s="17"/>
      <c r="C161" s="17"/>
      <c r="D161" s="125"/>
      <c r="E161" s="19"/>
      <c r="F161" s="20"/>
      <c r="G161" s="20"/>
      <c r="H161" s="20"/>
      <c r="I161" s="20"/>
      <c r="J161" s="20"/>
      <c r="K161" s="21"/>
      <c r="L161" s="21"/>
      <c r="M161" s="21" t="s">
        <v>1009</v>
      </c>
      <c r="N161" s="21">
        <v>1</v>
      </c>
      <c r="O161" s="21"/>
      <c r="P161" s="21">
        <v>2.1</v>
      </c>
      <c r="Q161" s="21">
        <f t="shared" si="16"/>
        <v>2.1</v>
      </c>
      <c r="R161" s="21"/>
      <c r="S161" s="22"/>
      <c r="T161" s="6"/>
      <c r="U161" s="6"/>
      <c r="V161" s="6"/>
      <c r="W161" s="6"/>
    </row>
    <row r="162" spans="1:23" s="5" customFormat="1" ht="17.25" customHeight="1" x14ac:dyDescent="0.25">
      <c r="A162" s="17"/>
      <c r="B162" s="17"/>
      <c r="C162" s="17"/>
      <c r="D162" s="125"/>
      <c r="E162" s="19"/>
      <c r="F162" s="20"/>
      <c r="G162" s="20"/>
      <c r="H162" s="20"/>
      <c r="I162" s="20"/>
      <c r="J162" s="20"/>
      <c r="K162" s="21"/>
      <c r="L162" s="21"/>
      <c r="M162" s="21"/>
      <c r="N162" s="21"/>
      <c r="O162" s="21"/>
      <c r="P162" s="21"/>
      <c r="Q162" s="21"/>
      <c r="R162" s="21"/>
      <c r="S162" s="22">
        <f>+K160-(Q160+Q161)</f>
        <v>8.25</v>
      </c>
      <c r="T162" s="6"/>
      <c r="U162" s="6"/>
      <c r="V162" s="6"/>
      <c r="W162" s="6"/>
    </row>
    <row r="163" spans="1:23" s="5" customFormat="1" ht="17.25" customHeight="1" x14ac:dyDescent="0.25">
      <c r="A163" s="17"/>
      <c r="B163" s="17"/>
      <c r="C163" s="17"/>
      <c r="D163" s="125" t="s">
        <v>835</v>
      </c>
      <c r="E163" s="19" t="s">
        <v>12</v>
      </c>
      <c r="F163" s="20">
        <v>3.29</v>
      </c>
      <c r="G163" s="20"/>
      <c r="H163" s="20">
        <v>3</v>
      </c>
      <c r="I163" s="20"/>
      <c r="J163" s="20"/>
      <c r="K163" s="21">
        <f t="shared" si="4"/>
        <v>9.870000000000001</v>
      </c>
      <c r="L163" s="21"/>
      <c r="M163" s="21"/>
      <c r="N163" s="21"/>
      <c r="O163" s="21"/>
      <c r="P163" s="21"/>
      <c r="Q163" s="21">
        <f t="shared" si="5"/>
        <v>0</v>
      </c>
      <c r="R163" s="21"/>
      <c r="S163" s="22">
        <f t="shared" si="6"/>
        <v>9.870000000000001</v>
      </c>
      <c r="T163" s="6"/>
      <c r="U163" s="6"/>
      <c r="V163" s="6"/>
      <c r="W163" s="6"/>
    </row>
    <row r="164" spans="1:23" s="5" customFormat="1" ht="17.25" customHeight="1" x14ac:dyDescent="0.25">
      <c r="A164" s="17"/>
      <c r="B164" s="17"/>
      <c r="C164" s="17"/>
      <c r="D164" s="125" t="s">
        <v>836</v>
      </c>
      <c r="E164" s="19" t="s">
        <v>12</v>
      </c>
      <c r="F164" s="20">
        <v>2.31</v>
      </c>
      <c r="G164" s="20"/>
      <c r="H164" s="20">
        <v>3</v>
      </c>
      <c r="I164" s="20"/>
      <c r="J164" s="20"/>
      <c r="K164" s="21">
        <f t="shared" si="4"/>
        <v>6.93</v>
      </c>
      <c r="L164" s="21"/>
      <c r="M164" s="21"/>
      <c r="N164" s="21"/>
      <c r="O164" s="21"/>
      <c r="P164" s="21"/>
      <c r="Q164" s="21">
        <f t="shared" si="5"/>
        <v>0</v>
      </c>
      <c r="R164" s="21"/>
      <c r="S164" s="22">
        <f t="shared" si="6"/>
        <v>6.93</v>
      </c>
      <c r="T164" s="6"/>
      <c r="U164" s="6"/>
      <c r="V164" s="6"/>
      <c r="W164" s="6"/>
    </row>
    <row r="165" spans="1:23" s="5" customFormat="1" ht="17.25" customHeight="1" x14ac:dyDescent="0.25">
      <c r="A165" s="17"/>
      <c r="B165" s="17"/>
      <c r="C165" s="17"/>
      <c r="D165" s="125" t="s">
        <v>837</v>
      </c>
      <c r="E165" s="19" t="s">
        <v>12</v>
      </c>
      <c r="F165" s="20">
        <v>1.68</v>
      </c>
      <c r="G165" s="20"/>
      <c r="H165" s="20">
        <v>2.8</v>
      </c>
      <c r="I165" s="20"/>
      <c r="J165" s="20"/>
      <c r="K165" s="21">
        <f t="shared" si="4"/>
        <v>4.7039999999999997</v>
      </c>
      <c r="L165" s="21"/>
      <c r="M165" s="21" t="s">
        <v>1009</v>
      </c>
      <c r="N165" s="21">
        <v>1.2</v>
      </c>
      <c r="O165" s="21"/>
      <c r="P165" s="21">
        <v>2.1</v>
      </c>
      <c r="Q165" s="21">
        <f t="shared" ref="Q165" si="17">+N165*P165</f>
        <v>2.52</v>
      </c>
      <c r="R165" s="21"/>
      <c r="S165" s="22">
        <f t="shared" si="6"/>
        <v>2.1839999999999997</v>
      </c>
      <c r="T165" s="6"/>
      <c r="U165" s="6"/>
      <c r="V165" s="6"/>
      <c r="W165" s="6"/>
    </row>
    <row r="166" spans="1:23" s="5" customFormat="1" ht="17.25" customHeight="1" x14ac:dyDescent="0.25">
      <c r="A166" s="17"/>
      <c r="B166" s="17"/>
      <c r="C166" s="17"/>
      <c r="D166" s="125" t="s">
        <v>838</v>
      </c>
      <c r="E166" s="19" t="s">
        <v>12</v>
      </c>
      <c r="F166" s="20">
        <v>4.3099999999999996</v>
      </c>
      <c r="G166" s="20"/>
      <c r="H166" s="20">
        <v>2.8</v>
      </c>
      <c r="I166" s="20"/>
      <c r="J166" s="20"/>
      <c r="K166" s="21">
        <f t="shared" si="4"/>
        <v>12.067999999999998</v>
      </c>
      <c r="L166" s="21"/>
      <c r="M166" s="21"/>
      <c r="N166" s="21"/>
      <c r="O166" s="21"/>
      <c r="P166" s="21"/>
      <c r="Q166" s="21">
        <f t="shared" si="5"/>
        <v>0</v>
      </c>
      <c r="R166" s="21"/>
      <c r="S166" s="22">
        <f t="shared" si="6"/>
        <v>12.067999999999998</v>
      </c>
      <c r="T166" s="6"/>
      <c r="U166" s="6"/>
      <c r="V166" s="6"/>
      <c r="W166" s="6"/>
    </row>
    <row r="167" spans="1:23" s="5" customFormat="1" ht="17.25" customHeight="1" x14ac:dyDescent="0.25">
      <c r="A167" s="17"/>
      <c r="B167" s="17"/>
      <c r="C167" s="17"/>
      <c r="D167" s="125" t="s">
        <v>839</v>
      </c>
      <c r="E167" s="19" t="s">
        <v>12</v>
      </c>
      <c r="F167" s="20">
        <v>4.03</v>
      </c>
      <c r="G167" s="20"/>
      <c r="H167" s="20">
        <v>2.8</v>
      </c>
      <c r="I167" s="20"/>
      <c r="J167" s="20"/>
      <c r="K167" s="21">
        <f t="shared" si="4"/>
        <v>11.284000000000001</v>
      </c>
      <c r="L167" s="21"/>
      <c r="M167" s="21"/>
      <c r="N167" s="21"/>
      <c r="O167" s="21"/>
      <c r="P167" s="21"/>
      <c r="Q167" s="21">
        <f t="shared" si="5"/>
        <v>0</v>
      </c>
      <c r="R167" s="21"/>
      <c r="S167" s="22">
        <f t="shared" si="6"/>
        <v>11.284000000000001</v>
      </c>
      <c r="T167" s="6"/>
      <c r="U167" s="6"/>
      <c r="V167" s="6"/>
      <c r="W167" s="6"/>
    </row>
    <row r="168" spans="1:23" s="5" customFormat="1" ht="17.25" customHeight="1" x14ac:dyDescent="0.25">
      <c r="A168" s="17"/>
      <c r="B168" s="17"/>
      <c r="C168" s="17"/>
      <c r="D168" s="125" t="s">
        <v>840</v>
      </c>
      <c r="E168" s="19" t="s">
        <v>12</v>
      </c>
      <c r="F168" s="20">
        <v>3.64</v>
      </c>
      <c r="G168" s="20"/>
      <c r="H168" s="20">
        <v>2.8</v>
      </c>
      <c r="I168" s="20"/>
      <c r="J168" s="20"/>
      <c r="K168" s="21">
        <f t="shared" si="4"/>
        <v>10.192</v>
      </c>
      <c r="L168" s="21"/>
      <c r="M168" s="21" t="s">
        <v>1010</v>
      </c>
      <c r="N168" s="21">
        <v>1.5</v>
      </c>
      <c r="O168" s="21"/>
      <c r="P168" s="21">
        <v>2.1</v>
      </c>
      <c r="Q168" s="21">
        <f t="shared" si="5"/>
        <v>3.1500000000000004</v>
      </c>
      <c r="R168" s="21"/>
      <c r="S168" s="22">
        <f t="shared" si="6"/>
        <v>7.0419999999999998</v>
      </c>
      <c r="T168" s="6"/>
      <c r="U168" s="6"/>
      <c r="V168" s="6"/>
      <c r="W168" s="6"/>
    </row>
    <row r="169" spans="1:23" s="5" customFormat="1" ht="17.25" customHeight="1" x14ac:dyDescent="0.25">
      <c r="A169" s="17"/>
      <c r="B169" s="17"/>
      <c r="C169" s="17"/>
      <c r="D169" s="125" t="s">
        <v>841</v>
      </c>
      <c r="E169" s="19" t="s">
        <v>12</v>
      </c>
      <c r="F169" s="20">
        <v>0.5</v>
      </c>
      <c r="G169" s="20"/>
      <c r="H169" s="20">
        <v>2.8</v>
      </c>
      <c r="I169" s="20"/>
      <c r="J169" s="20"/>
      <c r="K169" s="21">
        <f t="shared" si="4"/>
        <v>1.4</v>
      </c>
      <c r="L169" s="21"/>
      <c r="M169" s="21"/>
      <c r="N169" s="21"/>
      <c r="O169" s="21"/>
      <c r="P169" s="21"/>
      <c r="Q169" s="21">
        <f t="shared" si="5"/>
        <v>0</v>
      </c>
      <c r="R169" s="21"/>
      <c r="S169" s="22">
        <f t="shared" si="6"/>
        <v>1.4</v>
      </c>
      <c r="T169" s="6"/>
      <c r="U169" s="6"/>
      <c r="V169" s="6"/>
      <c r="W169" s="6"/>
    </row>
    <row r="170" spans="1:23" s="5" customFormat="1" ht="17.25" customHeight="1" x14ac:dyDescent="0.25">
      <c r="A170" s="17"/>
      <c r="B170" s="17"/>
      <c r="C170" s="17"/>
      <c r="D170" s="125" t="s">
        <v>842</v>
      </c>
      <c r="E170" s="19" t="s">
        <v>12</v>
      </c>
      <c r="F170" s="20">
        <v>0.5</v>
      </c>
      <c r="G170" s="20"/>
      <c r="H170" s="20">
        <v>2.8</v>
      </c>
      <c r="I170" s="20"/>
      <c r="J170" s="20"/>
      <c r="K170" s="21">
        <f t="shared" si="4"/>
        <v>1.4</v>
      </c>
      <c r="L170" s="21"/>
      <c r="M170" s="21"/>
      <c r="N170" s="21"/>
      <c r="O170" s="21"/>
      <c r="P170" s="21"/>
      <c r="Q170" s="21">
        <f t="shared" si="5"/>
        <v>0</v>
      </c>
      <c r="R170" s="21"/>
      <c r="S170" s="22">
        <f t="shared" si="6"/>
        <v>1.4</v>
      </c>
      <c r="T170" s="6"/>
      <c r="U170" s="6"/>
      <c r="V170" s="6"/>
      <c r="W170" s="6"/>
    </row>
    <row r="171" spans="1:23" s="5" customFormat="1" ht="17.25" customHeight="1" x14ac:dyDescent="0.25">
      <c r="A171" s="17"/>
      <c r="B171" s="17"/>
      <c r="C171" s="17"/>
      <c r="D171" s="125" t="s">
        <v>843</v>
      </c>
      <c r="E171" s="19" t="s">
        <v>12</v>
      </c>
      <c r="F171" s="20">
        <v>2.2999999999999998</v>
      </c>
      <c r="G171" s="20"/>
      <c r="H171" s="20">
        <v>3</v>
      </c>
      <c r="I171" s="20"/>
      <c r="J171" s="20"/>
      <c r="K171" s="21">
        <f t="shared" si="4"/>
        <v>6.8999999999999995</v>
      </c>
      <c r="L171" s="21"/>
      <c r="M171" s="21" t="s">
        <v>1006</v>
      </c>
      <c r="N171" s="21">
        <v>2</v>
      </c>
      <c r="O171" s="21"/>
      <c r="P171" s="21">
        <v>2.1</v>
      </c>
      <c r="Q171" s="21">
        <f t="shared" ref="Q171" si="18">+N171*P171</f>
        <v>4.2</v>
      </c>
      <c r="R171" s="21"/>
      <c r="S171" s="22">
        <f t="shared" si="6"/>
        <v>2.6999999999999993</v>
      </c>
      <c r="T171" s="6"/>
      <c r="U171" s="6"/>
      <c r="V171" s="6"/>
      <c r="W171" s="6"/>
    </row>
    <row r="172" spans="1:23" s="5" customFormat="1" ht="17.25" customHeight="1" x14ac:dyDescent="0.25">
      <c r="A172" s="17"/>
      <c r="B172" s="17"/>
      <c r="C172" s="17"/>
      <c r="D172" s="144" t="s">
        <v>844</v>
      </c>
      <c r="E172" s="19"/>
      <c r="F172" s="20"/>
      <c r="G172" s="20"/>
      <c r="H172" s="20"/>
      <c r="I172" s="20"/>
      <c r="J172" s="20"/>
      <c r="K172" s="21">
        <f t="shared" ref="K172:K249" si="19">+F172*H172</f>
        <v>0</v>
      </c>
      <c r="L172" s="21"/>
      <c r="M172" s="21"/>
      <c r="N172" s="21"/>
      <c r="O172" s="21"/>
      <c r="P172" s="21"/>
      <c r="Q172" s="21">
        <f t="shared" ref="Q172:Q247" si="20">+N172*P172</f>
        <v>0</v>
      </c>
      <c r="R172" s="21"/>
      <c r="S172" s="22">
        <f t="shared" si="6"/>
        <v>0</v>
      </c>
      <c r="T172" s="6"/>
      <c r="U172" s="6"/>
      <c r="V172" s="6"/>
      <c r="W172" s="6"/>
    </row>
    <row r="173" spans="1:23" s="5" customFormat="1" ht="17.25" customHeight="1" x14ac:dyDescent="0.25">
      <c r="A173" s="17"/>
      <c r="B173" s="17"/>
      <c r="C173" s="17"/>
      <c r="D173" s="125" t="s">
        <v>889</v>
      </c>
      <c r="E173" s="19" t="s">
        <v>12</v>
      </c>
      <c r="F173" s="20">
        <v>4.8899999999999997</v>
      </c>
      <c r="G173" s="20"/>
      <c r="H173" s="20">
        <v>3</v>
      </c>
      <c r="I173" s="20"/>
      <c r="J173" s="20"/>
      <c r="K173" s="21">
        <f t="shared" si="19"/>
        <v>14.669999999999998</v>
      </c>
      <c r="L173" s="21"/>
      <c r="M173" s="21"/>
      <c r="N173" s="21"/>
      <c r="O173" s="21"/>
      <c r="P173" s="21"/>
      <c r="Q173" s="21">
        <f t="shared" si="20"/>
        <v>0</v>
      </c>
      <c r="R173" s="21"/>
      <c r="S173" s="22">
        <f t="shared" si="6"/>
        <v>14.669999999999998</v>
      </c>
      <c r="T173" s="6"/>
      <c r="U173" s="6"/>
      <c r="V173" s="6"/>
      <c r="W173" s="6"/>
    </row>
    <row r="174" spans="1:23" s="5" customFormat="1" ht="17.25" customHeight="1" x14ac:dyDescent="0.25">
      <c r="A174" s="17"/>
      <c r="B174" s="17"/>
      <c r="C174" s="17"/>
      <c r="D174" s="125" t="s">
        <v>845</v>
      </c>
      <c r="E174" s="19" t="s">
        <v>12</v>
      </c>
      <c r="F174" s="20">
        <v>1.84</v>
      </c>
      <c r="G174" s="20"/>
      <c r="H174" s="20">
        <v>3</v>
      </c>
      <c r="I174" s="20"/>
      <c r="J174" s="20"/>
      <c r="K174" s="21">
        <f t="shared" si="19"/>
        <v>5.5200000000000005</v>
      </c>
      <c r="L174" s="21"/>
      <c r="M174" s="21"/>
      <c r="N174" s="21"/>
      <c r="O174" s="21"/>
      <c r="P174" s="21"/>
      <c r="Q174" s="21">
        <f t="shared" si="20"/>
        <v>0</v>
      </c>
      <c r="R174" s="21"/>
      <c r="S174" s="22">
        <f t="shared" si="6"/>
        <v>5.5200000000000005</v>
      </c>
      <c r="T174" s="6"/>
      <c r="U174" s="6"/>
      <c r="V174" s="6"/>
      <c r="W174" s="6"/>
    </row>
    <row r="175" spans="1:23" s="5" customFormat="1" ht="17.25" customHeight="1" x14ac:dyDescent="0.25">
      <c r="A175" s="17"/>
      <c r="B175" s="17"/>
      <c r="C175" s="17"/>
      <c r="D175" s="125" t="s">
        <v>846</v>
      </c>
      <c r="E175" s="19" t="s">
        <v>12</v>
      </c>
      <c r="F175" s="20">
        <v>1.61</v>
      </c>
      <c r="G175" s="20"/>
      <c r="H175" s="20">
        <v>3</v>
      </c>
      <c r="I175" s="20"/>
      <c r="J175" s="20"/>
      <c r="K175" s="21">
        <f t="shared" si="19"/>
        <v>4.83</v>
      </c>
      <c r="L175" s="21"/>
      <c r="M175" s="21"/>
      <c r="N175" s="21"/>
      <c r="O175" s="21"/>
      <c r="P175" s="21"/>
      <c r="Q175" s="21">
        <f t="shared" si="20"/>
        <v>0</v>
      </c>
      <c r="R175" s="21"/>
      <c r="S175" s="22">
        <f t="shared" ref="S175:S252" si="21">+K175-Q175</f>
        <v>4.83</v>
      </c>
      <c r="T175" s="6"/>
      <c r="U175" s="6"/>
      <c r="V175" s="6"/>
      <c r="W175" s="6"/>
    </row>
    <row r="176" spans="1:23" s="5" customFormat="1" ht="17.25" customHeight="1" x14ac:dyDescent="0.25">
      <c r="A176" s="17"/>
      <c r="B176" s="17"/>
      <c r="C176" s="17"/>
      <c r="D176" s="125" t="s">
        <v>847</v>
      </c>
      <c r="E176" s="19" t="s">
        <v>12</v>
      </c>
      <c r="F176" s="20">
        <v>3.82</v>
      </c>
      <c r="G176" s="20"/>
      <c r="H176" s="20">
        <v>3</v>
      </c>
      <c r="I176" s="20"/>
      <c r="J176" s="20"/>
      <c r="K176" s="21">
        <f t="shared" si="19"/>
        <v>11.459999999999999</v>
      </c>
      <c r="L176" s="21"/>
      <c r="M176" s="21" t="s">
        <v>1006</v>
      </c>
      <c r="N176" s="21">
        <v>2</v>
      </c>
      <c r="O176" s="21"/>
      <c r="P176" s="21">
        <v>2.1</v>
      </c>
      <c r="Q176" s="21">
        <f t="shared" si="20"/>
        <v>4.2</v>
      </c>
      <c r="R176" s="21"/>
      <c r="S176" s="22">
        <f t="shared" si="21"/>
        <v>7.2599999999999989</v>
      </c>
      <c r="T176" s="6"/>
      <c r="U176" s="6"/>
      <c r="V176" s="6"/>
      <c r="W176" s="6"/>
    </row>
    <row r="177" spans="1:23" s="5" customFormat="1" ht="17.25" customHeight="1" x14ac:dyDescent="0.25">
      <c r="A177" s="17"/>
      <c r="B177" s="17"/>
      <c r="C177" s="17"/>
      <c r="D177" s="125" t="s">
        <v>848</v>
      </c>
      <c r="E177" s="19" t="s">
        <v>12</v>
      </c>
      <c r="F177" s="20">
        <v>3.64</v>
      </c>
      <c r="G177" s="20"/>
      <c r="H177" s="20">
        <v>3</v>
      </c>
      <c r="I177" s="20"/>
      <c r="J177" s="20"/>
      <c r="K177" s="21">
        <f t="shared" si="19"/>
        <v>10.92</v>
      </c>
      <c r="L177" s="21"/>
      <c r="M177" s="21"/>
      <c r="N177" s="21"/>
      <c r="O177" s="21"/>
      <c r="P177" s="21"/>
      <c r="Q177" s="21">
        <f t="shared" si="20"/>
        <v>0</v>
      </c>
      <c r="R177" s="21"/>
      <c r="S177" s="22">
        <f t="shared" si="21"/>
        <v>10.92</v>
      </c>
      <c r="T177" s="6"/>
      <c r="U177" s="6"/>
      <c r="V177" s="6"/>
      <c r="W177" s="6"/>
    </row>
    <row r="178" spans="1:23" s="5" customFormat="1" ht="17.25" customHeight="1" x14ac:dyDescent="0.25">
      <c r="A178" s="17"/>
      <c r="B178" s="17"/>
      <c r="C178" s="17"/>
      <c r="D178" s="125" t="s">
        <v>849</v>
      </c>
      <c r="E178" s="19" t="s">
        <v>12</v>
      </c>
      <c r="F178" s="20">
        <v>1.69</v>
      </c>
      <c r="G178" s="20"/>
      <c r="H178" s="20">
        <v>3</v>
      </c>
      <c r="I178" s="20"/>
      <c r="J178" s="20"/>
      <c r="K178" s="21">
        <f t="shared" si="19"/>
        <v>5.07</v>
      </c>
      <c r="L178" s="21"/>
      <c r="M178" s="21"/>
      <c r="N178" s="21"/>
      <c r="O178" s="21"/>
      <c r="P178" s="21"/>
      <c r="Q178" s="21">
        <f t="shared" si="20"/>
        <v>0</v>
      </c>
      <c r="R178" s="21"/>
      <c r="S178" s="22">
        <f t="shared" si="21"/>
        <v>5.07</v>
      </c>
      <c r="T178" s="6"/>
      <c r="U178" s="6"/>
      <c r="V178" s="6"/>
      <c r="W178" s="6"/>
    </row>
    <row r="179" spans="1:23" s="5" customFormat="1" ht="17.25" customHeight="1" x14ac:dyDescent="0.25">
      <c r="A179" s="17"/>
      <c r="B179" s="17"/>
      <c r="C179" s="17"/>
      <c r="D179" s="125" t="s">
        <v>850</v>
      </c>
      <c r="E179" s="19" t="s">
        <v>12</v>
      </c>
      <c r="F179" s="20">
        <v>1.35</v>
      </c>
      <c r="G179" s="20"/>
      <c r="H179" s="20">
        <v>2.8</v>
      </c>
      <c r="I179" s="20"/>
      <c r="J179" s="20"/>
      <c r="K179" s="21">
        <f t="shared" si="19"/>
        <v>3.78</v>
      </c>
      <c r="L179" s="21"/>
      <c r="M179" s="21" t="s">
        <v>1001</v>
      </c>
      <c r="N179" s="21">
        <v>0.7</v>
      </c>
      <c r="O179" s="21"/>
      <c r="P179" s="21">
        <v>2.1</v>
      </c>
      <c r="Q179" s="21">
        <f t="shared" si="20"/>
        <v>1.47</v>
      </c>
      <c r="R179" s="21"/>
      <c r="S179" s="22">
        <f t="shared" si="21"/>
        <v>2.3099999999999996</v>
      </c>
      <c r="T179" s="6"/>
      <c r="U179" s="6"/>
      <c r="V179" s="6"/>
      <c r="W179" s="6"/>
    </row>
    <row r="180" spans="1:23" s="5" customFormat="1" ht="17.25" customHeight="1" x14ac:dyDescent="0.25">
      <c r="A180" s="17"/>
      <c r="B180" s="17"/>
      <c r="C180" s="17"/>
      <c r="D180" s="125" t="s">
        <v>851</v>
      </c>
      <c r="E180" s="19" t="s">
        <v>12</v>
      </c>
      <c r="F180" s="20">
        <v>1.32</v>
      </c>
      <c r="G180" s="20"/>
      <c r="H180" s="20">
        <v>2.8</v>
      </c>
      <c r="I180" s="20"/>
      <c r="J180" s="20"/>
      <c r="K180" s="21">
        <f t="shared" si="19"/>
        <v>3.6959999999999997</v>
      </c>
      <c r="L180" s="21"/>
      <c r="M180" s="21"/>
      <c r="N180" s="21"/>
      <c r="O180" s="21"/>
      <c r="P180" s="21"/>
      <c r="Q180" s="21">
        <f t="shared" si="20"/>
        <v>0</v>
      </c>
      <c r="R180" s="21"/>
      <c r="S180" s="22">
        <f t="shared" si="21"/>
        <v>3.6959999999999997</v>
      </c>
      <c r="T180" s="6"/>
      <c r="U180" s="6"/>
      <c r="V180" s="6"/>
      <c r="W180" s="6"/>
    </row>
    <row r="181" spans="1:23" s="5" customFormat="1" ht="17.25" customHeight="1" x14ac:dyDescent="0.25">
      <c r="A181" s="17"/>
      <c r="B181" s="17"/>
      <c r="C181" s="17"/>
      <c r="D181" s="125" t="s">
        <v>852</v>
      </c>
      <c r="E181" s="19" t="s">
        <v>12</v>
      </c>
      <c r="F181" s="20">
        <v>5.6</v>
      </c>
      <c r="G181" s="20"/>
      <c r="H181" s="20">
        <v>2.8</v>
      </c>
      <c r="I181" s="20"/>
      <c r="J181" s="20"/>
      <c r="K181" s="21">
        <f t="shared" si="19"/>
        <v>15.679999999999998</v>
      </c>
      <c r="L181" s="21"/>
      <c r="M181" s="21" t="s">
        <v>999</v>
      </c>
      <c r="N181" s="21">
        <v>0.9</v>
      </c>
      <c r="O181" s="21"/>
      <c r="P181" s="21">
        <v>2.1</v>
      </c>
      <c r="Q181" s="21">
        <f t="shared" si="20"/>
        <v>1.8900000000000001</v>
      </c>
      <c r="R181" s="21"/>
      <c r="S181" s="22">
        <f t="shared" si="21"/>
        <v>13.789999999999997</v>
      </c>
      <c r="T181" s="6"/>
      <c r="U181" s="6"/>
      <c r="V181" s="6"/>
      <c r="W181" s="6"/>
    </row>
    <row r="182" spans="1:23" s="5" customFormat="1" ht="17.25" customHeight="1" x14ac:dyDescent="0.25">
      <c r="A182" s="17"/>
      <c r="B182" s="17"/>
      <c r="C182" s="17"/>
      <c r="D182" s="125" t="s">
        <v>853</v>
      </c>
      <c r="E182" s="19" t="s">
        <v>12</v>
      </c>
      <c r="F182" s="20">
        <v>0.95</v>
      </c>
      <c r="G182" s="20"/>
      <c r="H182" s="20">
        <v>2.8</v>
      </c>
      <c r="I182" s="20"/>
      <c r="J182" s="20"/>
      <c r="K182" s="21">
        <f t="shared" si="19"/>
        <v>2.6599999999999997</v>
      </c>
      <c r="L182" s="21"/>
      <c r="M182" s="21" t="s">
        <v>1002</v>
      </c>
      <c r="N182" s="21">
        <v>0.9</v>
      </c>
      <c r="O182" s="21"/>
      <c r="P182" s="21">
        <v>1.1000000000000001</v>
      </c>
      <c r="Q182" s="21">
        <f t="shared" si="20"/>
        <v>0.9900000000000001</v>
      </c>
      <c r="R182" s="21"/>
      <c r="S182" s="22">
        <f t="shared" si="21"/>
        <v>1.6699999999999995</v>
      </c>
      <c r="T182" s="6"/>
      <c r="U182" s="6"/>
      <c r="V182" s="6"/>
      <c r="W182" s="6"/>
    </row>
    <row r="183" spans="1:23" s="5" customFormat="1" ht="17.25" customHeight="1" x14ac:dyDescent="0.25">
      <c r="A183" s="17"/>
      <c r="B183" s="17"/>
      <c r="C183" s="17"/>
      <c r="D183" s="125" t="s">
        <v>854</v>
      </c>
      <c r="E183" s="19" t="s">
        <v>12</v>
      </c>
      <c r="F183" s="20">
        <v>2.2000000000000002</v>
      </c>
      <c r="G183" s="20"/>
      <c r="H183" s="20">
        <v>3</v>
      </c>
      <c r="I183" s="20"/>
      <c r="J183" s="20"/>
      <c r="K183" s="21">
        <f t="shared" si="19"/>
        <v>6.6000000000000005</v>
      </c>
      <c r="L183" s="21"/>
      <c r="M183" s="21"/>
      <c r="N183" s="21"/>
      <c r="O183" s="21"/>
      <c r="P183" s="21"/>
      <c r="Q183" s="21">
        <f t="shared" si="20"/>
        <v>0</v>
      </c>
      <c r="R183" s="21"/>
      <c r="S183" s="22">
        <f t="shared" si="21"/>
        <v>6.6000000000000005</v>
      </c>
      <c r="T183" s="6"/>
      <c r="U183" s="6"/>
      <c r="V183" s="6"/>
      <c r="W183" s="6"/>
    </row>
    <row r="184" spans="1:23" s="5" customFormat="1" ht="17.25" customHeight="1" x14ac:dyDescent="0.25">
      <c r="A184" s="17"/>
      <c r="B184" s="17"/>
      <c r="C184" s="17"/>
      <c r="D184" s="125" t="s">
        <v>855</v>
      </c>
      <c r="E184" s="19" t="s">
        <v>12</v>
      </c>
      <c r="F184" s="20">
        <v>2.38</v>
      </c>
      <c r="G184" s="20"/>
      <c r="H184" s="20">
        <v>3</v>
      </c>
      <c r="I184" s="20"/>
      <c r="J184" s="20"/>
      <c r="K184" s="21">
        <f t="shared" si="19"/>
        <v>7.14</v>
      </c>
      <c r="L184" s="21"/>
      <c r="M184" s="21"/>
      <c r="N184" s="21"/>
      <c r="O184" s="21"/>
      <c r="P184" s="21"/>
      <c r="Q184" s="21">
        <f t="shared" si="20"/>
        <v>0</v>
      </c>
      <c r="R184" s="21"/>
      <c r="S184" s="22">
        <f t="shared" si="21"/>
        <v>7.14</v>
      </c>
      <c r="T184" s="6"/>
      <c r="U184" s="6"/>
      <c r="V184" s="6"/>
      <c r="W184" s="6"/>
    </row>
    <row r="185" spans="1:23" s="5" customFormat="1" ht="17.25" customHeight="1" x14ac:dyDescent="0.25">
      <c r="A185" s="17"/>
      <c r="B185" s="17"/>
      <c r="C185" s="17"/>
      <c r="D185" s="125" t="s">
        <v>856</v>
      </c>
      <c r="E185" s="19" t="s">
        <v>12</v>
      </c>
      <c r="F185" s="20">
        <v>1.1200000000000001</v>
      </c>
      <c r="G185" s="20"/>
      <c r="H185" s="20">
        <v>2.8</v>
      </c>
      <c r="I185" s="20"/>
      <c r="J185" s="20"/>
      <c r="K185" s="21">
        <f t="shared" si="19"/>
        <v>3.1360000000000001</v>
      </c>
      <c r="L185" s="21"/>
      <c r="M185" s="21" t="s">
        <v>1009</v>
      </c>
      <c r="N185" s="21">
        <v>1.2</v>
      </c>
      <c r="O185" s="21"/>
      <c r="P185" s="21">
        <v>2.1</v>
      </c>
      <c r="Q185" s="21">
        <f t="shared" si="20"/>
        <v>2.52</v>
      </c>
      <c r="R185" s="21"/>
      <c r="S185" s="22">
        <f t="shared" si="21"/>
        <v>0.6160000000000001</v>
      </c>
      <c r="T185" s="6"/>
      <c r="U185" s="6"/>
      <c r="V185" s="6"/>
      <c r="W185" s="6"/>
    </row>
    <row r="186" spans="1:23" s="5" customFormat="1" ht="17.25" customHeight="1" x14ac:dyDescent="0.25">
      <c r="A186" s="17"/>
      <c r="B186" s="17"/>
      <c r="C186" s="17"/>
      <c r="D186" s="125" t="s">
        <v>857</v>
      </c>
      <c r="E186" s="19" t="s">
        <v>12</v>
      </c>
      <c r="F186" s="20">
        <v>1.86</v>
      </c>
      <c r="G186" s="20"/>
      <c r="H186" s="20">
        <v>2.8</v>
      </c>
      <c r="I186" s="20"/>
      <c r="J186" s="20"/>
      <c r="K186" s="21">
        <f t="shared" si="19"/>
        <v>5.2080000000000002</v>
      </c>
      <c r="L186" s="21"/>
      <c r="M186" s="21" t="s">
        <v>1004</v>
      </c>
      <c r="N186" s="21">
        <v>1</v>
      </c>
      <c r="O186" s="21"/>
      <c r="P186" s="21">
        <v>0.4</v>
      </c>
      <c r="Q186" s="21">
        <f t="shared" si="20"/>
        <v>0.4</v>
      </c>
      <c r="R186" s="21"/>
      <c r="S186" s="22">
        <f t="shared" si="21"/>
        <v>4.8079999999999998</v>
      </c>
      <c r="T186" s="6"/>
      <c r="U186" s="6"/>
      <c r="V186" s="6"/>
      <c r="W186" s="6"/>
    </row>
    <row r="187" spans="1:23" s="5" customFormat="1" ht="17.25" customHeight="1" x14ac:dyDescent="0.25">
      <c r="A187" s="17"/>
      <c r="B187" s="17"/>
      <c r="C187" s="17"/>
      <c r="D187" s="125" t="s">
        <v>858</v>
      </c>
      <c r="E187" s="19" t="s">
        <v>12</v>
      </c>
      <c r="F187" s="20">
        <v>1.28</v>
      </c>
      <c r="G187" s="20"/>
      <c r="H187" s="20">
        <v>3</v>
      </c>
      <c r="I187" s="20"/>
      <c r="J187" s="20"/>
      <c r="K187" s="21">
        <f t="shared" si="19"/>
        <v>3.84</v>
      </c>
      <c r="L187" s="21"/>
      <c r="M187" s="21"/>
      <c r="N187" s="21"/>
      <c r="O187" s="21"/>
      <c r="P187" s="21"/>
      <c r="Q187" s="21">
        <f t="shared" si="20"/>
        <v>0</v>
      </c>
      <c r="R187" s="21"/>
      <c r="S187" s="22">
        <f t="shared" si="21"/>
        <v>3.84</v>
      </c>
      <c r="T187" s="6"/>
      <c r="U187" s="6"/>
      <c r="V187" s="6"/>
      <c r="W187" s="6"/>
    </row>
    <row r="188" spans="1:23" s="5" customFormat="1" ht="17.25" customHeight="1" x14ac:dyDescent="0.25">
      <c r="A188" s="17"/>
      <c r="B188" s="17"/>
      <c r="C188" s="17"/>
      <c r="D188" s="125" t="s">
        <v>859</v>
      </c>
      <c r="E188" s="19" t="s">
        <v>12</v>
      </c>
      <c r="F188" s="20">
        <v>1.25</v>
      </c>
      <c r="G188" s="20"/>
      <c r="H188" s="20">
        <v>3</v>
      </c>
      <c r="I188" s="20"/>
      <c r="J188" s="20"/>
      <c r="K188" s="21">
        <f t="shared" si="19"/>
        <v>3.75</v>
      </c>
      <c r="L188" s="21"/>
      <c r="M188" s="21"/>
      <c r="N188" s="21"/>
      <c r="O188" s="21"/>
      <c r="P188" s="21"/>
      <c r="Q188" s="21">
        <f t="shared" si="20"/>
        <v>0</v>
      </c>
      <c r="R188" s="21"/>
      <c r="S188" s="22">
        <f t="shared" si="21"/>
        <v>3.75</v>
      </c>
      <c r="T188" s="6"/>
      <c r="U188" s="6"/>
      <c r="V188" s="6"/>
      <c r="W188" s="6"/>
    </row>
    <row r="189" spans="1:23" s="5" customFormat="1" ht="17.25" customHeight="1" x14ac:dyDescent="0.25">
      <c r="A189" s="17"/>
      <c r="B189" s="17"/>
      <c r="C189" s="17"/>
      <c r="D189" s="125" t="s">
        <v>860</v>
      </c>
      <c r="E189" s="19" t="s">
        <v>12</v>
      </c>
      <c r="F189" s="20">
        <v>4.3099999999999996</v>
      </c>
      <c r="G189" s="20"/>
      <c r="H189" s="20">
        <v>2.8</v>
      </c>
      <c r="I189" s="20"/>
      <c r="J189" s="20"/>
      <c r="K189" s="21">
        <f t="shared" si="19"/>
        <v>12.067999999999998</v>
      </c>
      <c r="L189" s="21"/>
      <c r="M189" s="21" t="s">
        <v>1003</v>
      </c>
      <c r="N189" s="21">
        <v>3.44</v>
      </c>
      <c r="O189" s="21"/>
      <c r="P189" s="21">
        <v>2.6</v>
      </c>
      <c r="Q189" s="21">
        <f t="shared" si="20"/>
        <v>8.9440000000000008</v>
      </c>
      <c r="R189" s="21"/>
      <c r="S189" s="22">
        <f t="shared" si="21"/>
        <v>3.123999999999997</v>
      </c>
      <c r="T189" s="6"/>
      <c r="U189" s="6"/>
      <c r="V189" s="6"/>
      <c r="W189" s="6"/>
    </row>
    <row r="190" spans="1:23" s="5" customFormat="1" ht="17.25" customHeight="1" x14ac:dyDescent="0.25">
      <c r="A190" s="17"/>
      <c r="B190" s="17"/>
      <c r="C190" s="17"/>
      <c r="D190" s="125" t="s">
        <v>861</v>
      </c>
      <c r="E190" s="19" t="s">
        <v>12</v>
      </c>
      <c r="F190" s="20">
        <v>4.03</v>
      </c>
      <c r="G190" s="20"/>
      <c r="H190" s="20">
        <v>2.8</v>
      </c>
      <c r="I190" s="20"/>
      <c r="J190" s="20"/>
      <c r="K190" s="21">
        <f t="shared" si="19"/>
        <v>11.284000000000001</v>
      </c>
      <c r="L190" s="21"/>
      <c r="M190" s="21" t="s">
        <v>1003</v>
      </c>
      <c r="N190" s="21">
        <v>4.04</v>
      </c>
      <c r="O190" s="21"/>
      <c r="P190" s="21">
        <v>2.6</v>
      </c>
      <c r="Q190" s="21">
        <f t="shared" ref="Q190" si="22">+N190*P190</f>
        <v>10.504000000000001</v>
      </c>
      <c r="R190" s="21"/>
      <c r="S190" s="22">
        <f t="shared" si="21"/>
        <v>0.77999999999999936</v>
      </c>
      <c r="T190" s="6"/>
      <c r="U190" s="6"/>
      <c r="V190" s="6"/>
      <c r="W190" s="6"/>
    </row>
    <row r="191" spans="1:23" s="5" customFormat="1" ht="17.25" customHeight="1" x14ac:dyDescent="0.25">
      <c r="A191" s="17"/>
      <c r="B191" s="17"/>
      <c r="C191" s="17"/>
      <c r="D191" s="125" t="s">
        <v>862</v>
      </c>
      <c r="E191" s="19" t="s">
        <v>12</v>
      </c>
      <c r="F191" s="20">
        <v>3.64</v>
      </c>
      <c r="G191" s="20"/>
      <c r="H191" s="20">
        <v>2.8</v>
      </c>
      <c r="I191" s="20"/>
      <c r="J191" s="20"/>
      <c r="K191" s="21">
        <f t="shared" si="19"/>
        <v>10.192</v>
      </c>
      <c r="L191" s="21"/>
      <c r="M191" s="21" t="s">
        <v>1003</v>
      </c>
      <c r="N191" s="21">
        <v>3.64</v>
      </c>
      <c r="O191" s="21"/>
      <c r="P191" s="21">
        <v>2.6</v>
      </c>
      <c r="Q191" s="21">
        <f t="shared" ref="Q191" si="23">+N191*P191</f>
        <v>9.4640000000000004</v>
      </c>
      <c r="R191" s="21"/>
      <c r="S191" s="22">
        <f t="shared" si="21"/>
        <v>0.72799999999999976</v>
      </c>
      <c r="T191" s="6"/>
      <c r="U191" s="6"/>
      <c r="V191" s="6"/>
      <c r="W191" s="6"/>
    </row>
    <row r="192" spans="1:23" s="5" customFormat="1" ht="17.25" customHeight="1" x14ac:dyDescent="0.25">
      <c r="A192" s="17"/>
      <c r="B192" s="17"/>
      <c r="C192" s="17"/>
      <c r="D192" s="125" t="s">
        <v>863</v>
      </c>
      <c r="E192" s="19" t="s">
        <v>12</v>
      </c>
      <c r="F192" s="20">
        <v>2.99</v>
      </c>
      <c r="G192" s="20"/>
      <c r="H192" s="20">
        <v>2.8</v>
      </c>
      <c r="I192" s="20"/>
      <c r="J192" s="20"/>
      <c r="K192" s="21">
        <f t="shared" si="19"/>
        <v>8.3719999999999999</v>
      </c>
      <c r="L192" s="21"/>
      <c r="M192" s="21" t="s">
        <v>1003</v>
      </c>
      <c r="N192" s="21">
        <v>3</v>
      </c>
      <c r="O192" s="21"/>
      <c r="P192" s="21">
        <v>2.6</v>
      </c>
      <c r="Q192" s="21">
        <f t="shared" si="20"/>
        <v>7.8000000000000007</v>
      </c>
      <c r="R192" s="21"/>
      <c r="S192" s="22">
        <f t="shared" si="21"/>
        <v>0.57199999999999918</v>
      </c>
      <c r="T192" s="6"/>
      <c r="U192" s="6"/>
      <c r="V192" s="6"/>
      <c r="W192" s="6"/>
    </row>
    <row r="193" spans="1:23" s="5" customFormat="1" ht="17.25" customHeight="1" x14ac:dyDescent="0.25">
      <c r="A193" s="17"/>
      <c r="B193" s="17"/>
      <c r="C193" s="17"/>
      <c r="D193" s="125" t="s">
        <v>864</v>
      </c>
      <c r="E193" s="19" t="s">
        <v>12</v>
      </c>
      <c r="F193" s="20">
        <v>5.59</v>
      </c>
      <c r="G193" s="20"/>
      <c r="H193" s="20">
        <v>2.8</v>
      </c>
      <c r="I193" s="20"/>
      <c r="J193" s="20"/>
      <c r="K193" s="21">
        <f t="shared" si="19"/>
        <v>15.651999999999999</v>
      </c>
      <c r="L193" s="21"/>
      <c r="M193" s="21" t="s">
        <v>1011</v>
      </c>
      <c r="N193" s="21">
        <v>0.9</v>
      </c>
      <c r="O193" s="21"/>
      <c r="P193" s="21">
        <v>0.4</v>
      </c>
      <c r="Q193" s="21">
        <f t="shared" si="20"/>
        <v>0.36000000000000004</v>
      </c>
      <c r="R193" s="21"/>
      <c r="S193" s="22"/>
      <c r="T193" s="6"/>
      <c r="U193" s="6"/>
      <c r="V193" s="6"/>
      <c r="W193" s="6"/>
    </row>
    <row r="194" spans="1:23" s="5" customFormat="1" ht="17.25" customHeight="1" x14ac:dyDescent="0.25">
      <c r="A194" s="17"/>
      <c r="B194" s="17"/>
      <c r="C194" s="17"/>
      <c r="D194" s="125"/>
      <c r="E194" s="19"/>
      <c r="F194" s="20"/>
      <c r="G194" s="20"/>
      <c r="H194" s="20"/>
      <c r="I194" s="20"/>
      <c r="J194" s="20"/>
      <c r="K194" s="21"/>
      <c r="L194" s="21"/>
      <c r="M194" s="21" t="s">
        <v>1012</v>
      </c>
      <c r="N194" s="21">
        <v>3</v>
      </c>
      <c r="O194" s="21"/>
      <c r="P194" s="21">
        <v>0.4</v>
      </c>
      <c r="Q194" s="21">
        <f t="shared" ref="Q194" si="24">+N194*P194</f>
        <v>1.2000000000000002</v>
      </c>
      <c r="R194" s="21"/>
      <c r="S194" s="22"/>
      <c r="T194" s="6"/>
      <c r="U194" s="6"/>
      <c r="V194" s="6"/>
      <c r="W194" s="6"/>
    </row>
    <row r="195" spans="1:23" s="5" customFormat="1" ht="17.25" customHeight="1" x14ac:dyDescent="0.25">
      <c r="A195" s="17"/>
      <c r="B195" s="17"/>
      <c r="C195" s="17"/>
      <c r="D195" s="125"/>
      <c r="E195" s="19"/>
      <c r="F195" s="20"/>
      <c r="G195" s="20"/>
      <c r="H195" s="20"/>
      <c r="I195" s="20"/>
      <c r="J195" s="20"/>
      <c r="K195" s="21"/>
      <c r="L195" s="21"/>
      <c r="M195" s="21"/>
      <c r="N195" s="21"/>
      <c r="O195" s="21"/>
      <c r="P195" s="21"/>
      <c r="Q195" s="21"/>
      <c r="R195" s="21"/>
      <c r="S195" s="22">
        <f>+K193-(Q193+Q194)</f>
        <v>14.091999999999999</v>
      </c>
      <c r="T195" s="6"/>
      <c r="U195" s="6"/>
      <c r="V195" s="6"/>
      <c r="W195" s="6"/>
    </row>
    <row r="196" spans="1:23" s="5" customFormat="1" ht="17.25" customHeight="1" x14ac:dyDescent="0.25">
      <c r="A196" s="17"/>
      <c r="B196" s="17"/>
      <c r="C196" s="17"/>
      <c r="D196" s="125" t="s">
        <v>865</v>
      </c>
      <c r="E196" s="19" t="s">
        <v>12</v>
      </c>
      <c r="F196" s="20">
        <v>6.69</v>
      </c>
      <c r="G196" s="20"/>
      <c r="H196" s="20">
        <v>2.8</v>
      </c>
      <c r="I196" s="20"/>
      <c r="J196" s="20"/>
      <c r="K196" s="21">
        <f t="shared" si="19"/>
        <v>18.731999999999999</v>
      </c>
      <c r="L196" s="21"/>
      <c r="M196" s="21" t="s">
        <v>1012</v>
      </c>
      <c r="N196" s="21">
        <v>3</v>
      </c>
      <c r="O196" s="21"/>
      <c r="P196" s="21">
        <v>0.4</v>
      </c>
      <c r="Q196" s="21">
        <f t="shared" si="20"/>
        <v>1.2000000000000002</v>
      </c>
      <c r="R196" s="21"/>
      <c r="S196" s="22"/>
      <c r="T196" s="6"/>
      <c r="U196" s="6"/>
      <c r="V196" s="6"/>
      <c r="W196" s="6"/>
    </row>
    <row r="197" spans="1:23" s="5" customFormat="1" ht="17.25" customHeight="1" x14ac:dyDescent="0.25">
      <c r="A197" s="17"/>
      <c r="B197" s="17"/>
      <c r="C197" s="17"/>
      <c r="D197" s="125"/>
      <c r="E197" s="19"/>
      <c r="F197" s="20"/>
      <c r="G197" s="20"/>
      <c r="H197" s="20"/>
      <c r="I197" s="20"/>
      <c r="J197" s="20"/>
      <c r="K197" s="21"/>
      <c r="L197" s="21"/>
      <c r="M197" s="21" t="s">
        <v>1004</v>
      </c>
      <c r="N197" s="21">
        <v>1</v>
      </c>
      <c r="O197" s="21"/>
      <c r="P197" s="21">
        <v>0.4</v>
      </c>
      <c r="Q197" s="21">
        <f t="shared" ref="Q197" si="25">+N197*P197</f>
        <v>0.4</v>
      </c>
      <c r="R197" s="21"/>
      <c r="S197" s="22"/>
      <c r="T197" s="6"/>
      <c r="U197" s="6"/>
      <c r="V197" s="6"/>
      <c r="W197" s="6"/>
    </row>
    <row r="198" spans="1:23" s="5" customFormat="1" ht="17.25" customHeight="1" x14ac:dyDescent="0.25">
      <c r="A198" s="17"/>
      <c r="B198" s="17"/>
      <c r="C198" s="17"/>
      <c r="D198" s="125"/>
      <c r="E198" s="19"/>
      <c r="F198" s="20"/>
      <c r="G198" s="20"/>
      <c r="H198" s="20"/>
      <c r="I198" s="20"/>
      <c r="J198" s="20"/>
      <c r="K198" s="21"/>
      <c r="L198" s="21"/>
      <c r="M198" s="21"/>
      <c r="N198" s="21"/>
      <c r="O198" s="21"/>
      <c r="P198" s="21"/>
      <c r="Q198" s="21"/>
      <c r="R198" s="21"/>
      <c r="S198" s="22">
        <f>+K196-(Q196+Q197)</f>
        <v>17.131999999999998</v>
      </c>
      <c r="T198" s="6"/>
      <c r="U198" s="6"/>
      <c r="V198" s="6"/>
      <c r="W198" s="6"/>
    </row>
    <row r="199" spans="1:23" s="5" customFormat="1" ht="17.25" customHeight="1" x14ac:dyDescent="0.25">
      <c r="A199" s="17"/>
      <c r="B199" s="17"/>
      <c r="C199" s="17"/>
      <c r="D199" s="125" t="s">
        <v>866</v>
      </c>
      <c r="E199" s="19" t="s">
        <v>12</v>
      </c>
      <c r="F199" s="20">
        <v>1.52</v>
      </c>
      <c r="G199" s="20"/>
      <c r="H199" s="20">
        <v>3</v>
      </c>
      <c r="I199" s="20"/>
      <c r="J199" s="20"/>
      <c r="K199" s="21">
        <f t="shared" si="19"/>
        <v>4.5600000000000005</v>
      </c>
      <c r="L199" s="21"/>
      <c r="M199" s="21"/>
      <c r="N199" s="21"/>
      <c r="O199" s="21"/>
      <c r="P199" s="21"/>
      <c r="Q199" s="21">
        <f t="shared" si="20"/>
        <v>0</v>
      </c>
      <c r="R199" s="21"/>
      <c r="S199" s="22">
        <f t="shared" si="21"/>
        <v>4.5600000000000005</v>
      </c>
      <c r="T199" s="6"/>
      <c r="U199" s="6"/>
      <c r="V199" s="6"/>
      <c r="W199" s="6"/>
    </row>
    <row r="200" spans="1:23" s="5" customFormat="1" ht="17.25" customHeight="1" x14ac:dyDescent="0.25">
      <c r="A200" s="17"/>
      <c r="B200" s="17"/>
      <c r="C200" s="17"/>
      <c r="D200" s="125" t="s">
        <v>867</v>
      </c>
      <c r="E200" s="19" t="s">
        <v>12</v>
      </c>
      <c r="F200" s="20">
        <v>1.52</v>
      </c>
      <c r="G200" s="20"/>
      <c r="H200" s="20">
        <v>3</v>
      </c>
      <c r="I200" s="20"/>
      <c r="J200" s="20"/>
      <c r="K200" s="21">
        <f t="shared" si="19"/>
        <v>4.5600000000000005</v>
      </c>
      <c r="L200" s="21"/>
      <c r="M200" s="21"/>
      <c r="N200" s="21"/>
      <c r="O200" s="21"/>
      <c r="P200" s="21"/>
      <c r="Q200" s="21">
        <f t="shared" si="20"/>
        <v>0</v>
      </c>
      <c r="R200" s="21"/>
      <c r="S200" s="22">
        <f t="shared" si="21"/>
        <v>4.5600000000000005</v>
      </c>
      <c r="T200" s="6"/>
      <c r="U200" s="6"/>
      <c r="V200" s="6"/>
      <c r="W200" s="6"/>
    </row>
    <row r="201" spans="1:23" s="5" customFormat="1" ht="17.25" customHeight="1" x14ac:dyDescent="0.25">
      <c r="A201" s="17"/>
      <c r="B201" s="17"/>
      <c r="C201" s="17"/>
      <c r="D201" s="125" t="s">
        <v>868</v>
      </c>
      <c r="E201" s="19" t="s">
        <v>12</v>
      </c>
      <c r="F201" s="20">
        <v>1.52</v>
      </c>
      <c r="G201" s="20"/>
      <c r="H201" s="20">
        <v>3</v>
      </c>
      <c r="I201" s="20"/>
      <c r="J201" s="20"/>
      <c r="K201" s="21">
        <f t="shared" si="19"/>
        <v>4.5600000000000005</v>
      </c>
      <c r="L201" s="21"/>
      <c r="M201" s="21"/>
      <c r="N201" s="21"/>
      <c r="O201" s="21"/>
      <c r="P201" s="21"/>
      <c r="Q201" s="21">
        <f t="shared" si="20"/>
        <v>0</v>
      </c>
      <c r="R201" s="21"/>
      <c r="S201" s="22">
        <f t="shared" si="21"/>
        <v>4.5600000000000005</v>
      </c>
      <c r="T201" s="6"/>
      <c r="U201" s="6"/>
      <c r="V201" s="6"/>
      <c r="W201" s="6"/>
    </row>
    <row r="202" spans="1:23" s="5" customFormat="1" ht="17.25" customHeight="1" x14ac:dyDescent="0.25">
      <c r="A202" s="17"/>
      <c r="B202" s="17"/>
      <c r="C202" s="17"/>
      <c r="D202" s="125" t="s">
        <v>869</v>
      </c>
      <c r="E202" s="19" t="s">
        <v>12</v>
      </c>
      <c r="F202" s="20">
        <v>1.52</v>
      </c>
      <c r="G202" s="20"/>
      <c r="H202" s="20">
        <v>3</v>
      </c>
      <c r="I202" s="20"/>
      <c r="J202" s="20"/>
      <c r="K202" s="21">
        <f t="shared" si="19"/>
        <v>4.5600000000000005</v>
      </c>
      <c r="L202" s="21"/>
      <c r="M202" s="21"/>
      <c r="N202" s="21"/>
      <c r="O202" s="21"/>
      <c r="P202" s="21"/>
      <c r="Q202" s="21">
        <f t="shared" si="20"/>
        <v>0</v>
      </c>
      <c r="R202" s="21"/>
      <c r="S202" s="22">
        <f t="shared" si="21"/>
        <v>4.5600000000000005</v>
      </c>
      <c r="T202" s="6"/>
      <c r="U202" s="6"/>
      <c r="V202" s="6"/>
      <c r="W202" s="6"/>
    </row>
    <row r="203" spans="1:23" s="5" customFormat="1" ht="17.25" customHeight="1" x14ac:dyDescent="0.25">
      <c r="A203" s="17"/>
      <c r="B203" s="17"/>
      <c r="C203" s="17"/>
      <c r="D203" s="125" t="s">
        <v>870</v>
      </c>
      <c r="E203" s="19" t="s">
        <v>12</v>
      </c>
      <c r="F203" s="20">
        <v>1.52</v>
      </c>
      <c r="G203" s="20"/>
      <c r="H203" s="20">
        <v>3</v>
      </c>
      <c r="I203" s="20"/>
      <c r="J203" s="20"/>
      <c r="K203" s="21">
        <f t="shared" si="19"/>
        <v>4.5600000000000005</v>
      </c>
      <c r="L203" s="21"/>
      <c r="M203" s="21"/>
      <c r="N203" s="21"/>
      <c r="O203" s="21"/>
      <c r="P203" s="21"/>
      <c r="Q203" s="21">
        <f t="shared" si="20"/>
        <v>0</v>
      </c>
      <c r="R203" s="21"/>
      <c r="S203" s="22">
        <f t="shared" si="21"/>
        <v>4.5600000000000005</v>
      </c>
      <c r="T203" s="6"/>
      <c r="U203" s="6"/>
      <c r="V203" s="6"/>
      <c r="W203" s="6"/>
    </row>
    <row r="204" spans="1:23" s="5" customFormat="1" ht="17.25" customHeight="1" x14ac:dyDescent="0.25">
      <c r="A204" s="17"/>
      <c r="B204" s="17"/>
      <c r="C204" s="17"/>
      <c r="D204" s="125" t="s">
        <v>871</v>
      </c>
      <c r="E204" s="19" t="s">
        <v>12</v>
      </c>
      <c r="F204" s="20">
        <v>1.52</v>
      </c>
      <c r="G204" s="20"/>
      <c r="H204" s="20">
        <v>3</v>
      </c>
      <c r="I204" s="20"/>
      <c r="J204" s="20"/>
      <c r="K204" s="21">
        <f t="shared" si="19"/>
        <v>4.5600000000000005</v>
      </c>
      <c r="L204" s="21"/>
      <c r="M204" s="21"/>
      <c r="N204" s="21"/>
      <c r="O204" s="21"/>
      <c r="P204" s="21"/>
      <c r="Q204" s="21">
        <f t="shared" si="20"/>
        <v>0</v>
      </c>
      <c r="R204" s="21"/>
      <c r="S204" s="22">
        <f t="shared" si="21"/>
        <v>4.5600000000000005</v>
      </c>
      <c r="T204" s="6"/>
      <c r="U204" s="6"/>
      <c r="V204" s="6"/>
      <c r="W204" s="6"/>
    </row>
    <row r="205" spans="1:23" s="5" customFormat="1" ht="17.25" customHeight="1" x14ac:dyDescent="0.25">
      <c r="A205" s="17"/>
      <c r="B205" s="17"/>
      <c r="C205" s="17"/>
      <c r="D205" s="125" t="s">
        <v>872</v>
      </c>
      <c r="E205" s="19" t="s">
        <v>12</v>
      </c>
      <c r="F205" s="20">
        <v>12.03</v>
      </c>
      <c r="G205" s="20"/>
      <c r="H205" s="20">
        <v>3</v>
      </c>
      <c r="I205" s="20"/>
      <c r="J205" s="20"/>
      <c r="K205" s="21">
        <f t="shared" si="19"/>
        <v>36.089999999999996</v>
      </c>
      <c r="L205" s="21"/>
      <c r="M205" s="21" t="s">
        <v>1001</v>
      </c>
      <c r="N205" s="21">
        <v>0.7</v>
      </c>
      <c r="O205" s="21"/>
      <c r="P205" s="21">
        <v>2.1</v>
      </c>
      <c r="Q205" s="21">
        <f t="shared" ref="Q205:Q210" si="26">+N205*P205</f>
        <v>1.47</v>
      </c>
      <c r="R205" s="21"/>
      <c r="S205" s="22">
        <f t="shared" si="21"/>
        <v>34.619999999999997</v>
      </c>
      <c r="T205" s="6"/>
      <c r="U205" s="6"/>
      <c r="V205" s="6"/>
      <c r="W205" s="6"/>
    </row>
    <row r="206" spans="1:23" s="5" customFormat="1" ht="17.25" customHeight="1" x14ac:dyDescent="0.25">
      <c r="A206" s="17"/>
      <c r="B206" s="17"/>
      <c r="C206" s="17"/>
      <c r="D206" s="125"/>
      <c r="E206" s="19"/>
      <c r="F206" s="20"/>
      <c r="G206" s="20"/>
      <c r="H206" s="20"/>
      <c r="I206" s="20"/>
      <c r="J206" s="20"/>
      <c r="K206" s="21"/>
      <c r="L206" s="21"/>
      <c r="M206" s="21" t="s">
        <v>1001</v>
      </c>
      <c r="N206" s="21">
        <v>0.7</v>
      </c>
      <c r="O206" s="21"/>
      <c r="P206" s="21">
        <v>2.1</v>
      </c>
      <c r="Q206" s="21">
        <f t="shared" si="26"/>
        <v>1.47</v>
      </c>
      <c r="R206" s="21"/>
      <c r="S206" s="22"/>
      <c r="T206" s="6"/>
      <c r="U206" s="6"/>
      <c r="V206" s="6"/>
      <c r="W206" s="6"/>
    </row>
    <row r="207" spans="1:23" s="5" customFormat="1" ht="17.25" customHeight="1" x14ac:dyDescent="0.25">
      <c r="A207" s="17"/>
      <c r="B207" s="17"/>
      <c r="C207" s="17"/>
      <c r="D207" s="125"/>
      <c r="E207" s="19"/>
      <c r="F207" s="20"/>
      <c r="G207" s="20"/>
      <c r="H207" s="20"/>
      <c r="I207" s="20"/>
      <c r="J207" s="20"/>
      <c r="K207" s="21"/>
      <c r="L207" s="21"/>
      <c r="M207" s="21" t="s">
        <v>1001</v>
      </c>
      <c r="N207" s="21">
        <v>0.7</v>
      </c>
      <c r="O207" s="21"/>
      <c r="P207" s="21">
        <v>2.1</v>
      </c>
      <c r="Q207" s="21">
        <f t="shared" si="26"/>
        <v>1.47</v>
      </c>
      <c r="R207" s="21"/>
      <c r="S207" s="22"/>
      <c r="T207" s="6"/>
      <c r="U207" s="6"/>
      <c r="V207" s="6"/>
      <c r="W207" s="6"/>
    </row>
    <row r="208" spans="1:23" s="5" customFormat="1" ht="17.25" customHeight="1" x14ac:dyDescent="0.25">
      <c r="A208" s="17"/>
      <c r="B208" s="17"/>
      <c r="C208" s="17"/>
      <c r="D208" s="125"/>
      <c r="E208" s="19"/>
      <c r="F208" s="20"/>
      <c r="G208" s="20"/>
      <c r="H208" s="20"/>
      <c r="I208" s="20"/>
      <c r="J208" s="20"/>
      <c r="K208" s="21"/>
      <c r="L208" s="21"/>
      <c r="M208" s="21" t="s">
        <v>999</v>
      </c>
      <c r="N208" s="21">
        <v>0.9</v>
      </c>
      <c r="O208" s="21"/>
      <c r="P208" s="21">
        <v>2.1</v>
      </c>
      <c r="Q208" s="21">
        <f t="shared" si="26"/>
        <v>1.8900000000000001</v>
      </c>
      <c r="R208" s="21"/>
      <c r="S208" s="22"/>
      <c r="T208" s="6"/>
      <c r="U208" s="6"/>
      <c r="V208" s="6"/>
      <c r="W208" s="6"/>
    </row>
    <row r="209" spans="1:23" s="5" customFormat="1" ht="17.25" customHeight="1" x14ac:dyDescent="0.25">
      <c r="A209" s="17"/>
      <c r="B209" s="17"/>
      <c r="C209" s="17"/>
      <c r="D209" s="125"/>
      <c r="E209" s="19"/>
      <c r="F209" s="20"/>
      <c r="G209" s="20"/>
      <c r="H209" s="20"/>
      <c r="I209" s="20"/>
      <c r="J209" s="20"/>
      <c r="K209" s="21"/>
      <c r="L209" s="21"/>
      <c r="M209" s="21" t="s">
        <v>999</v>
      </c>
      <c r="N209" s="21">
        <v>0.9</v>
      </c>
      <c r="O209" s="21"/>
      <c r="P209" s="21">
        <v>2.1</v>
      </c>
      <c r="Q209" s="21">
        <f t="shared" si="26"/>
        <v>1.8900000000000001</v>
      </c>
      <c r="R209" s="21"/>
      <c r="S209" s="22"/>
      <c r="T209" s="6"/>
      <c r="U209" s="6"/>
      <c r="V209" s="6"/>
      <c r="W209" s="6"/>
    </row>
    <row r="210" spans="1:23" s="5" customFormat="1" ht="17.25" customHeight="1" x14ac:dyDescent="0.25">
      <c r="A210" s="17"/>
      <c r="B210" s="17"/>
      <c r="C210" s="17"/>
      <c r="D210" s="125"/>
      <c r="E210" s="19"/>
      <c r="F210" s="20"/>
      <c r="G210" s="20"/>
      <c r="H210" s="20"/>
      <c r="I210" s="20"/>
      <c r="J210" s="20"/>
      <c r="K210" s="21"/>
      <c r="L210" s="21"/>
      <c r="M210" s="21" t="s">
        <v>999</v>
      </c>
      <c r="N210" s="21">
        <v>0.9</v>
      </c>
      <c r="O210" s="21"/>
      <c r="P210" s="21">
        <v>2.1</v>
      </c>
      <c r="Q210" s="21">
        <f t="shared" si="26"/>
        <v>1.8900000000000001</v>
      </c>
      <c r="R210" s="21"/>
      <c r="S210" s="22"/>
      <c r="T210" s="6"/>
      <c r="U210" s="6"/>
      <c r="V210" s="6"/>
      <c r="W210" s="6"/>
    </row>
    <row r="211" spans="1:23" s="5" customFormat="1" ht="17.25" customHeight="1" x14ac:dyDescent="0.25">
      <c r="A211" s="17"/>
      <c r="B211" s="17"/>
      <c r="C211" s="17"/>
      <c r="D211" s="125"/>
      <c r="E211" s="19"/>
      <c r="F211" s="20"/>
      <c r="G211" s="20"/>
      <c r="H211" s="20"/>
      <c r="I211" s="20"/>
      <c r="J211" s="20"/>
      <c r="K211" s="21"/>
      <c r="L211" s="21"/>
      <c r="M211" s="21"/>
      <c r="N211" s="21"/>
      <c r="O211" s="21"/>
      <c r="P211" s="21"/>
      <c r="Q211" s="21"/>
      <c r="R211" s="21"/>
      <c r="S211" s="22">
        <f>+K205-(Q205+Q206+Q207+Q208+Q209+Q210)</f>
        <v>26.009999999999994</v>
      </c>
      <c r="T211" s="6"/>
      <c r="U211" s="6"/>
      <c r="V211" s="6"/>
      <c r="W211" s="6"/>
    </row>
    <row r="212" spans="1:23" s="5" customFormat="1" ht="17.25" customHeight="1" x14ac:dyDescent="0.25">
      <c r="A212" s="17"/>
      <c r="B212" s="17"/>
      <c r="C212" s="17"/>
      <c r="D212" s="125" t="s">
        <v>873</v>
      </c>
      <c r="E212" s="19" t="s">
        <v>12</v>
      </c>
      <c r="F212" s="20">
        <v>2.78</v>
      </c>
      <c r="G212" s="20"/>
      <c r="H212" s="20">
        <v>2.8</v>
      </c>
      <c r="I212" s="20"/>
      <c r="J212" s="20"/>
      <c r="K212" s="21">
        <f t="shared" si="19"/>
        <v>7.7839999999999989</v>
      </c>
      <c r="L212" s="21"/>
      <c r="M212" s="21"/>
      <c r="N212" s="21"/>
      <c r="O212" s="21"/>
      <c r="P212" s="21"/>
      <c r="Q212" s="21">
        <f t="shared" si="20"/>
        <v>0</v>
      </c>
      <c r="R212" s="21"/>
      <c r="S212" s="22">
        <f t="shared" si="21"/>
        <v>7.7839999999999989</v>
      </c>
      <c r="T212" s="6"/>
      <c r="U212" s="6"/>
      <c r="V212" s="6"/>
      <c r="W212" s="6"/>
    </row>
    <row r="213" spans="1:23" s="5" customFormat="1" ht="17.25" customHeight="1" x14ac:dyDescent="0.25">
      <c r="A213" s="17"/>
      <c r="B213" s="17"/>
      <c r="C213" s="17"/>
      <c r="D213" s="125" t="s">
        <v>874</v>
      </c>
      <c r="E213" s="19" t="s">
        <v>12</v>
      </c>
      <c r="F213" s="20">
        <v>3</v>
      </c>
      <c r="G213" s="20"/>
      <c r="H213" s="20">
        <v>3</v>
      </c>
      <c r="I213" s="20"/>
      <c r="J213" s="20"/>
      <c r="K213" s="21">
        <f t="shared" si="19"/>
        <v>9</v>
      </c>
      <c r="L213" s="21"/>
      <c r="M213" s="21"/>
      <c r="N213" s="21"/>
      <c r="O213" s="21"/>
      <c r="P213" s="21"/>
      <c r="Q213" s="21">
        <f t="shared" si="20"/>
        <v>0</v>
      </c>
      <c r="R213" s="21"/>
      <c r="S213" s="22">
        <f t="shared" si="21"/>
        <v>9</v>
      </c>
      <c r="T213" s="6"/>
      <c r="U213" s="6"/>
      <c r="V213" s="6"/>
      <c r="W213" s="6"/>
    </row>
    <row r="214" spans="1:23" s="5" customFormat="1" ht="17.25" customHeight="1" x14ac:dyDescent="0.25">
      <c r="A214" s="17"/>
      <c r="B214" s="17"/>
      <c r="C214" s="17"/>
      <c r="D214" s="125" t="s">
        <v>875</v>
      </c>
      <c r="E214" s="19" t="s">
        <v>12</v>
      </c>
      <c r="F214" s="20">
        <v>3</v>
      </c>
      <c r="G214" s="20"/>
      <c r="H214" s="20">
        <v>3</v>
      </c>
      <c r="I214" s="20"/>
      <c r="J214" s="20"/>
      <c r="K214" s="21">
        <f t="shared" si="19"/>
        <v>9</v>
      </c>
      <c r="L214" s="21"/>
      <c r="M214" s="21"/>
      <c r="N214" s="21"/>
      <c r="O214" s="21"/>
      <c r="P214" s="21"/>
      <c r="Q214" s="21">
        <f t="shared" si="20"/>
        <v>0</v>
      </c>
      <c r="R214" s="21"/>
      <c r="S214" s="22">
        <f t="shared" si="21"/>
        <v>9</v>
      </c>
      <c r="T214" s="6"/>
      <c r="U214" s="6"/>
      <c r="V214" s="6"/>
      <c r="W214" s="6"/>
    </row>
    <row r="215" spans="1:23" s="5" customFormat="1" ht="17.25" customHeight="1" x14ac:dyDescent="0.25">
      <c r="A215" s="17"/>
      <c r="B215" s="17"/>
      <c r="C215" s="17"/>
      <c r="D215" s="125" t="s">
        <v>876</v>
      </c>
      <c r="E215" s="19" t="s">
        <v>12</v>
      </c>
      <c r="F215" s="20">
        <v>3.86</v>
      </c>
      <c r="G215" s="20"/>
      <c r="H215" s="20">
        <v>3</v>
      </c>
      <c r="I215" s="20"/>
      <c r="J215" s="20"/>
      <c r="K215" s="21">
        <f t="shared" si="19"/>
        <v>11.58</v>
      </c>
      <c r="L215" s="21"/>
      <c r="M215" s="21" t="s">
        <v>1009</v>
      </c>
      <c r="N215" s="21">
        <v>1</v>
      </c>
      <c r="O215" s="21"/>
      <c r="P215" s="21">
        <v>2.1</v>
      </c>
      <c r="Q215" s="21">
        <f t="shared" ref="Q215" si="27">+N215*P215</f>
        <v>2.1</v>
      </c>
      <c r="R215" s="21"/>
      <c r="S215" s="22">
        <f t="shared" si="21"/>
        <v>9.48</v>
      </c>
      <c r="T215" s="6"/>
      <c r="U215" s="6"/>
      <c r="V215" s="6"/>
      <c r="W215" s="6"/>
    </row>
    <row r="216" spans="1:23" s="5" customFormat="1" ht="17.25" customHeight="1" x14ac:dyDescent="0.25">
      <c r="A216" s="17"/>
      <c r="B216" s="17"/>
      <c r="C216" s="17"/>
      <c r="D216" s="125" t="s">
        <v>877</v>
      </c>
      <c r="E216" s="19" t="s">
        <v>12</v>
      </c>
      <c r="F216" s="20">
        <v>2.38</v>
      </c>
      <c r="G216" s="20"/>
      <c r="H216" s="20">
        <v>3</v>
      </c>
      <c r="I216" s="20"/>
      <c r="J216" s="20"/>
      <c r="K216" s="21">
        <f t="shared" si="19"/>
        <v>7.14</v>
      </c>
      <c r="L216" s="21"/>
      <c r="M216" s="21"/>
      <c r="N216" s="21"/>
      <c r="O216" s="21"/>
      <c r="P216" s="21"/>
      <c r="Q216" s="21">
        <f t="shared" si="20"/>
        <v>0</v>
      </c>
      <c r="R216" s="21"/>
      <c r="S216" s="22">
        <f t="shared" si="21"/>
        <v>7.14</v>
      </c>
      <c r="T216" s="6"/>
      <c r="U216" s="6"/>
      <c r="V216" s="6"/>
      <c r="W216" s="6"/>
    </row>
    <row r="217" spans="1:23" s="5" customFormat="1" ht="17.25" customHeight="1" x14ac:dyDescent="0.25">
      <c r="A217" s="17"/>
      <c r="B217" s="17"/>
      <c r="C217" s="17"/>
      <c r="D217" s="125" t="s">
        <v>878</v>
      </c>
      <c r="E217" s="19" t="s">
        <v>12</v>
      </c>
      <c r="F217" s="20">
        <v>1.98</v>
      </c>
      <c r="G217" s="20"/>
      <c r="H217" s="20">
        <v>2.8</v>
      </c>
      <c r="I217" s="20"/>
      <c r="J217" s="20"/>
      <c r="K217" s="21">
        <f t="shared" si="19"/>
        <v>5.5439999999999996</v>
      </c>
      <c r="L217" s="21"/>
      <c r="M217" s="21"/>
      <c r="N217" s="21"/>
      <c r="O217" s="21"/>
      <c r="P217" s="21"/>
      <c r="Q217" s="21">
        <f t="shared" si="20"/>
        <v>0</v>
      </c>
      <c r="R217" s="21"/>
      <c r="S217" s="22">
        <f t="shared" si="21"/>
        <v>5.5439999999999996</v>
      </c>
      <c r="T217" s="6"/>
      <c r="U217" s="6"/>
      <c r="V217" s="6"/>
      <c r="W217" s="6"/>
    </row>
    <row r="218" spans="1:23" s="5" customFormat="1" ht="17.25" customHeight="1" x14ac:dyDescent="0.25">
      <c r="A218" s="17"/>
      <c r="B218" s="17"/>
      <c r="C218" s="17"/>
      <c r="D218" s="125" t="s">
        <v>879</v>
      </c>
      <c r="E218" s="19" t="s">
        <v>12</v>
      </c>
      <c r="F218" s="20">
        <v>2.3199999999999998</v>
      </c>
      <c r="G218" s="20"/>
      <c r="H218" s="20">
        <v>3</v>
      </c>
      <c r="I218" s="20"/>
      <c r="J218" s="20"/>
      <c r="K218" s="21">
        <f t="shared" si="19"/>
        <v>6.9599999999999991</v>
      </c>
      <c r="L218" s="21"/>
      <c r="M218" s="21"/>
      <c r="N218" s="21"/>
      <c r="O218" s="21"/>
      <c r="P218" s="21"/>
      <c r="Q218" s="21">
        <f t="shared" si="20"/>
        <v>0</v>
      </c>
      <c r="R218" s="21"/>
      <c r="S218" s="22">
        <f t="shared" si="21"/>
        <v>6.9599999999999991</v>
      </c>
      <c r="T218" s="6"/>
      <c r="U218" s="6"/>
      <c r="V218" s="6"/>
      <c r="W218" s="6"/>
    </row>
    <row r="219" spans="1:23" s="5" customFormat="1" ht="17.25" customHeight="1" x14ac:dyDescent="0.25">
      <c r="A219" s="17"/>
      <c r="B219" s="17"/>
      <c r="C219" s="17"/>
      <c r="D219" s="125" t="s">
        <v>880</v>
      </c>
      <c r="E219" s="19" t="s">
        <v>12</v>
      </c>
      <c r="F219" s="20">
        <v>2.38</v>
      </c>
      <c r="G219" s="20"/>
      <c r="H219" s="20">
        <v>3</v>
      </c>
      <c r="I219" s="20"/>
      <c r="J219" s="20"/>
      <c r="K219" s="21">
        <f t="shared" si="19"/>
        <v>7.14</v>
      </c>
      <c r="L219" s="21"/>
      <c r="M219" s="21"/>
      <c r="N219" s="21"/>
      <c r="O219" s="21"/>
      <c r="P219" s="21"/>
      <c r="Q219" s="21">
        <f t="shared" si="20"/>
        <v>0</v>
      </c>
      <c r="R219" s="21"/>
      <c r="S219" s="22">
        <f t="shared" si="21"/>
        <v>7.14</v>
      </c>
      <c r="T219" s="6"/>
      <c r="U219" s="6"/>
      <c r="V219" s="6"/>
      <c r="W219" s="6"/>
    </row>
    <row r="220" spans="1:23" s="5" customFormat="1" ht="17.25" customHeight="1" x14ac:dyDescent="0.25">
      <c r="A220" s="17"/>
      <c r="B220" s="17"/>
      <c r="C220" s="17"/>
      <c r="D220" s="125" t="s">
        <v>881</v>
      </c>
      <c r="E220" s="19" t="s">
        <v>12</v>
      </c>
      <c r="F220" s="20">
        <v>1.38</v>
      </c>
      <c r="G220" s="20"/>
      <c r="H220" s="20">
        <v>3</v>
      </c>
      <c r="I220" s="20"/>
      <c r="J220" s="20"/>
      <c r="K220" s="21">
        <f t="shared" si="19"/>
        <v>4.1399999999999997</v>
      </c>
      <c r="L220" s="21"/>
      <c r="M220" s="21" t="s">
        <v>1005</v>
      </c>
      <c r="N220" s="21">
        <v>1</v>
      </c>
      <c r="O220" s="21"/>
      <c r="P220" s="21">
        <v>2.1</v>
      </c>
      <c r="Q220" s="21">
        <f t="shared" si="20"/>
        <v>2.1</v>
      </c>
      <c r="R220" s="21"/>
      <c r="S220" s="22">
        <f t="shared" si="21"/>
        <v>2.0399999999999996</v>
      </c>
      <c r="T220" s="6"/>
      <c r="U220" s="6"/>
      <c r="V220" s="6"/>
      <c r="W220" s="6"/>
    </row>
    <row r="221" spans="1:23" s="5" customFormat="1" ht="17.25" customHeight="1" x14ac:dyDescent="0.25">
      <c r="A221" s="17"/>
      <c r="B221" s="17"/>
      <c r="C221" s="17"/>
      <c r="D221" s="125" t="s">
        <v>882</v>
      </c>
      <c r="E221" s="19" t="s">
        <v>12</v>
      </c>
      <c r="F221" s="20">
        <v>1.88</v>
      </c>
      <c r="G221" s="20"/>
      <c r="H221" s="20">
        <v>3</v>
      </c>
      <c r="I221" s="20"/>
      <c r="J221" s="20"/>
      <c r="K221" s="21">
        <f t="shared" si="19"/>
        <v>5.64</v>
      </c>
      <c r="L221" s="21"/>
      <c r="M221" s="21"/>
      <c r="N221" s="21"/>
      <c r="O221" s="21"/>
      <c r="P221" s="21"/>
      <c r="Q221" s="21">
        <f t="shared" si="20"/>
        <v>0</v>
      </c>
      <c r="R221" s="21"/>
      <c r="S221" s="22">
        <f t="shared" si="21"/>
        <v>5.64</v>
      </c>
      <c r="T221" s="6"/>
      <c r="U221" s="6"/>
      <c r="V221" s="6"/>
      <c r="W221" s="6"/>
    </row>
    <row r="222" spans="1:23" s="5" customFormat="1" ht="17.25" customHeight="1" x14ac:dyDescent="0.25">
      <c r="A222" s="17"/>
      <c r="B222" s="17"/>
      <c r="C222" s="17"/>
      <c r="D222" s="125" t="s">
        <v>883</v>
      </c>
      <c r="E222" s="19" t="s">
        <v>12</v>
      </c>
      <c r="F222" s="20">
        <v>1.1200000000000001</v>
      </c>
      <c r="G222" s="20"/>
      <c r="H222" s="20">
        <v>3</v>
      </c>
      <c r="I222" s="20"/>
      <c r="J222" s="20"/>
      <c r="K222" s="21">
        <f t="shared" si="19"/>
        <v>3.3600000000000003</v>
      </c>
      <c r="L222" s="21"/>
      <c r="M222" s="21"/>
      <c r="N222" s="21"/>
      <c r="O222" s="21"/>
      <c r="P222" s="21"/>
      <c r="Q222" s="21">
        <f t="shared" si="20"/>
        <v>0</v>
      </c>
      <c r="R222" s="21"/>
      <c r="S222" s="22">
        <f t="shared" si="21"/>
        <v>3.3600000000000003</v>
      </c>
      <c r="T222" s="6"/>
      <c r="U222" s="6"/>
      <c r="V222" s="6"/>
      <c r="W222" s="6"/>
    </row>
    <row r="223" spans="1:23" s="5" customFormat="1" ht="17.25" customHeight="1" x14ac:dyDescent="0.25">
      <c r="A223" s="17"/>
      <c r="B223" s="17"/>
      <c r="C223" s="17"/>
      <c r="D223" s="125" t="s">
        <v>884</v>
      </c>
      <c r="E223" s="19" t="s">
        <v>12</v>
      </c>
      <c r="F223" s="20">
        <v>1.62</v>
      </c>
      <c r="G223" s="20"/>
      <c r="H223" s="20">
        <v>3</v>
      </c>
      <c r="I223" s="20"/>
      <c r="J223" s="20"/>
      <c r="K223" s="21">
        <f t="shared" si="19"/>
        <v>4.8600000000000003</v>
      </c>
      <c r="L223" s="21"/>
      <c r="M223" s="21" t="s">
        <v>1005</v>
      </c>
      <c r="N223" s="21">
        <v>1</v>
      </c>
      <c r="O223" s="21"/>
      <c r="P223" s="21">
        <v>2.1</v>
      </c>
      <c r="Q223" s="21">
        <f t="shared" ref="Q223" si="28">+N223*P223</f>
        <v>2.1</v>
      </c>
      <c r="R223" s="21"/>
      <c r="S223" s="22">
        <f t="shared" si="21"/>
        <v>2.7600000000000002</v>
      </c>
      <c r="T223" s="6"/>
      <c r="U223" s="6"/>
      <c r="V223" s="6"/>
      <c r="W223" s="6"/>
    </row>
    <row r="224" spans="1:23" s="5" customFormat="1" ht="17.25" customHeight="1" x14ac:dyDescent="0.25">
      <c r="A224" s="17"/>
      <c r="B224" s="17"/>
      <c r="C224" s="17"/>
      <c r="D224" s="125" t="s">
        <v>885</v>
      </c>
      <c r="E224" s="19" t="s">
        <v>12</v>
      </c>
      <c r="F224" s="20">
        <v>1.36</v>
      </c>
      <c r="G224" s="20"/>
      <c r="H224" s="20">
        <v>2.8</v>
      </c>
      <c r="I224" s="20"/>
      <c r="J224" s="20"/>
      <c r="K224" s="21">
        <f t="shared" si="19"/>
        <v>3.8079999999999998</v>
      </c>
      <c r="L224" s="21"/>
      <c r="M224" s="21"/>
      <c r="N224" s="21"/>
      <c r="O224" s="21"/>
      <c r="P224" s="21"/>
      <c r="Q224" s="21">
        <f t="shared" si="20"/>
        <v>0</v>
      </c>
      <c r="R224" s="21"/>
      <c r="S224" s="22">
        <f t="shared" si="21"/>
        <v>3.8079999999999998</v>
      </c>
      <c r="T224" s="6"/>
      <c r="U224" s="6"/>
      <c r="V224" s="6"/>
      <c r="W224" s="6"/>
    </row>
    <row r="225" spans="1:23" s="5" customFormat="1" ht="17.25" customHeight="1" x14ac:dyDescent="0.25">
      <c r="A225" s="17"/>
      <c r="B225" s="17"/>
      <c r="C225" s="17"/>
      <c r="D225" s="125" t="s">
        <v>886</v>
      </c>
      <c r="E225" s="19" t="s">
        <v>12</v>
      </c>
      <c r="F225" s="20">
        <v>3.13</v>
      </c>
      <c r="G225" s="20"/>
      <c r="H225" s="20">
        <v>2.8</v>
      </c>
      <c r="I225" s="20"/>
      <c r="J225" s="20"/>
      <c r="K225" s="21">
        <f t="shared" si="19"/>
        <v>8.7639999999999993</v>
      </c>
      <c r="L225" s="21"/>
      <c r="M225" s="21"/>
      <c r="N225" s="21"/>
      <c r="O225" s="21"/>
      <c r="P225" s="21"/>
      <c r="Q225" s="21">
        <f t="shared" si="20"/>
        <v>0</v>
      </c>
      <c r="R225" s="21"/>
      <c r="S225" s="22">
        <f t="shared" si="21"/>
        <v>8.7639999999999993</v>
      </c>
      <c r="T225" s="6"/>
      <c r="U225" s="6"/>
      <c r="V225" s="6"/>
      <c r="W225" s="6"/>
    </row>
    <row r="226" spans="1:23" s="5" customFormat="1" ht="17.25" customHeight="1" x14ac:dyDescent="0.25">
      <c r="A226" s="17"/>
      <c r="B226" s="17"/>
      <c r="C226" s="17"/>
      <c r="D226" s="125" t="s">
        <v>887</v>
      </c>
      <c r="E226" s="19" t="s">
        <v>12</v>
      </c>
      <c r="F226" s="20">
        <v>1.85</v>
      </c>
      <c r="G226" s="20"/>
      <c r="H226" s="20">
        <v>0.4</v>
      </c>
      <c r="I226" s="20"/>
      <c r="J226" s="20"/>
      <c r="K226" s="21">
        <f t="shared" si="19"/>
        <v>0.7400000000000001</v>
      </c>
      <c r="L226" s="21"/>
      <c r="M226" s="21"/>
      <c r="N226" s="21"/>
      <c r="O226" s="21"/>
      <c r="P226" s="21"/>
      <c r="Q226" s="21">
        <f t="shared" si="20"/>
        <v>0</v>
      </c>
      <c r="R226" s="21"/>
      <c r="S226" s="22">
        <f t="shared" si="21"/>
        <v>0.7400000000000001</v>
      </c>
      <c r="T226" s="6"/>
      <c r="U226" s="6"/>
      <c r="V226" s="6"/>
      <c r="W226" s="6"/>
    </row>
    <row r="227" spans="1:23" s="5" customFormat="1" ht="17.25" customHeight="1" x14ac:dyDescent="0.25">
      <c r="A227" s="17"/>
      <c r="B227" s="17"/>
      <c r="C227" s="17"/>
      <c r="D227" s="125" t="s">
        <v>888</v>
      </c>
      <c r="E227" s="19" t="s">
        <v>12</v>
      </c>
      <c r="F227" s="20">
        <v>4.8899999999999997</v>
      </c>
      <c r="G227" s="20"/>
      <c r="H227" s="20">
        <v>0.4</v>
      </c>
      <c r="I227" s="20"/>
      <c r="J227" s="20"/>
      <c r="K227" s="21">
        <f t="shared" si="19"/>
        <v>1.956</v>
      </c>
      <c r="L227" s="21"/>
      <c r="M227" s="21"/>
      <c r="N227" s="21"/>
      <c r="O227" s="21"/>
      <c r="P227" s="21"/>
      <c r="Q227" s="21">
        <f t="shared" si="20"/>
        <v>0</v>
      </c>
      <c r="R227" s="21"/>
      <c r="S227" s="22">
        <f t="shared" si="21"/>
        <v>1.956</v>
      </c>
      <c r="T227" s="6"/>
      <c r="U227" s="6"/>
      <c r="V227" s="6"/>
      <c r="W227" s="6"/>
    </row>
    <row r="228" spans="1:23" s="5" customFormat="1" ht="17.25" customHeight="1" x14ac:dyDescent="0.25">
      <c r="A228" s="17"/>
      <c r="B228" s="17"/>
      <c r="C228" s="17"/>
      <c r="D228" s="125" t="s">
        <v>775</v>
      </c>
      <c r="E228" s="19" t="s">
        <v>12</v>
      </c>
      <c r="F228" s="20">
        <v>1.85</v>
      </c>
      <c r="G228" s="20"/>
      <c r="H228" s="20">
        <v>0.4</v>
      </c>
      <c r="I228" s="20"/>
      <c r="J228" s="20"/>
      <c r="K228" s="21">
        <f t="shared" si="19"/>
        <v>0.7400000000000001</v>
      </c>
      <c r="L228" s="21"/>
      <c r="M228" s="21"/>
      <c r="N228" s="21"/>
      <c r="O228" s="21"/>
      <c r="P228" s="21"/>
      <c r="Q228" s="21">
        <f t="shared" si="20"/>
        <v>0</v>
      </c>
      <c r="R228" s="21"/>
      <c r="S228" s="22">
        <f t="shared" si="21"/>
        <v>0.7400000000000001</v>
      </c>
      <c r="T228" s="6"/>
      <c r="U228" s="6"/>
      <c r="V228" s="6"/>
      <c r="W228" s="6"/>
    </row>
    <row r="229" spans="1:23" s="5" customFormat="1" ht="17.25" customHeight="1" x14ac:dyDescent="0.25">
      <c r="A229" s="17"/>
      <c r="B229" s="17"/>
      <c r="C229" s="17"/>
      <c r="D229" s="125" t="s">
        <v>776</v>
      </c>
      <c r="E229" s="19" t="s">
        <v>12</v>
      </c>
      <c r="F229" s="20">
        <v>1.35</v>
      </c>
      <c r="G229" s="20"/>
      <c r="H229" s="20">
        <v>1</v>
      </c>
      <c r="I229" s="20"/>
      <c r="J229" s="20"/>
      <c r="K229" s="21">
        <f t="shared" si="19"/>
        <v>1.35</v>
      </c>
      <c r="L229" s="21"/>
      <c r="M229" s="21"/>
      <c r="N229" s="21"/>
      <c r="O229" s="21"/>
      <c r="P229" s="21"/>
      <c r="Q229" s="21">
        <f t="shared" si="20"/>
        <v>0</v>
      </c>
      <c r="R229" s="21"/>
      <c r="S229" s="22">
        <f t="shared" si="21"/>
        <v>1.35</v>
      </c>
      <c r="T229" s="6"/>
      <c r="U229" s="6"/>
      <c r="V229" s="6"/>
      <c r="W229" s="6"/>
    </row>
    <row r="230" spans="1:23" s="5" customFormat="1" ht="17.25" customHeight="1" x14ac:dyDescent="0.25">
      <c r="A230" s="17"/>
      <c r="B230" s="17"/>
      <c r="C230" s="17"/>
      <c r="D230" s="125" t="s">
        <v>777</v>
      </c>
      <c r="E230" s="19" t="s">
        <v>12</v>
      </c>
      <c r="F230" s="20">
        <v>3.13</v>
      </c>
      <c r="G230" s="20"/>
      <c r="H230" s="20">
        <v>1</v>
      </c>
      <c r="I230" s="20"/>
      <c r="J230" s="20"/>
      <c r="K230" s="21">
        <f t="shared" si="19"/>
        <v>3.13</v>
      </c>
      <c r="L230" s="21"/>
      <c r="M230" s="21"/>
      <c r="N230" s="21"/>
      <c r="O230" s="21"/>
      <c r="P230" s="21"/>
      <c r="Q230" s="21">
        <f t="shared" si="20"/>
        <v>0</v>
      </c>
      <c r="R230" s="21"/>
      <c r="S230" s="22">
        <f t="shared" si="21"/>
        <v>3.13</v>
      </c>
      <c r="T230" s="6"/>
      <c r="U230" s="6"/>
      <c r="V230" s="6"/>
      <c r="W230" s="6"/>
    </row>
    <row r="231" spans="1:23" s="5" customFormat="1" ht="17.25" customHeight="1" x14ac:dyDescent="0.25">
      <c r="A231" s="17"/>
      <c r="B231" s="17"/>
      <c r="C231" s="17"/>
      <c r="D231" s="125" t="s">
        <v>778</v>
      </c>
      <c r="E231" s="19" t="s">
        <v>12</v>
      </c>
      <c r="F231" s="20">
        <v>1.36</v>
      </c>
      <c r="G231" s="20"/>
      <c r="H231" s="20">
        <v>1</v>
      </c>
      <c r="I231" s="20"/>
      <c r="J231" s="20"/>
      <c r="K231" s="21">
        <f t="shared" si="19"/>
        <v>1.36</v>
      </c>
      <c r="L231" s="21"/>
      <c r="M231" s="21"/>
      <c r="N231" s="21"/>
      <c r="O231" s="21"/>
      <c r="P231" s="21"/>
      <c r="Q231" s="21">
        <f t="shared" si="20"/>
        <v>0</v>
      </c>
      <c r="R231" s="21"/>
      <c r="S231" s="22">
        <f t="shared" si="21"/>
        <v>1.36</v>
      </c>
      <c r="T231" s="6"/>
      <c r="U231" s="6"/>
      <c r="V231" s="6"/>
      <c r="W231" s="6"/>
    </row>
    <row r="232" spans="1:23" s="5" customFormat="1" ht="17.25" customHeight="1" x14ac:dyDescent="0.25">
      <c r="A232" s="17"/>
      <c r="B232" s="17"/>
      <c r="C232" s="17"/>
      <c r="D232" s="125" t="s">
        <v>779</v>
      </c>
      <c r="E232" s="19" t="s">
        <v>12</v>
      </c>
      <c r="F232" s="20">
        <v>1.35</v>
      </c>
      <c r="G232" s="20"/>
      <c r="H232" s="20">
        <v>1</v>
      </c>
      <c r="I232" s="20"/>
      <c r="J232" s="20"/>
      <c r="K232" s="21">
        <f t="shared" si="19"/>
        <v>1.35</v>
      </c>
      <c r="L232" s="21"/>
      <c r="M232" s="21"/>
      <c r="N232" s="21"/>
      <c r="O232" s="21"/>
      <c r="P232" s="21"/>
      <c r="Q232" s="21">
        <f t="shared" si="20"/>
        <v>0</v>
      </c>
      <c r="R232" s="21"/>
      <c r="S232" s="22">
        <f t="shared" si="21"/>
        <v>1.35</v>
      </c>
      <c r="T232" s="6"/>
      <c r="U232" s="6"/>
      <c r="V232" s="6"/>
      <c r="W232" s="6"/>
    </row>
    <row r="233" spans="1:23" s="5" customFormat="1" ht="17.25" customHeight="1" x14ac:dyDescent="0.25">
      <c r="A233" s="126"/>
      <c r="B233" s="126"/>
      <c r="C233" s="126"/>
      <c r="D233" s="144" t="s">
        <v>765</v>
      </c>
      <c r="E233" s="145"/>
      <c r="F233" s="146"/>
      <c r="G233" s="146"/>
      <c r="H233" s="146"/>
      <c r="I233" s="146"/>
      <c r="J233" s="146"/>
      <c r="K233" s="21">
        <f t="shared" si="19"/>
        <v>0</v>
      </c>
      <c r="L233" s="22"/>
      <c r="M233" s="22"/>
      <c r="N233" s="22"/>
      <c r="O233" s="22"/>
      <c r="P233" s="22"/>
      <c r="Q233" s="21">
        <f t="shared" si="20"/>
        <v>0</v>
      </c>
      <c r="R233" s="22"/>
      <c r="S233" s="22">
        <f t="shared" si="21"/>
        <v>0</v>
      </c>
      <c r="T233" s="6"/>
      <c r="U233" s="6"/>
      <c r="V233" s="6"/>
      <c r="W233" s="6"/>
    </row>
    <row r="234" spans="1:23" s="5" customFormat="1" ht="17.25" customHeight="1" x14ac:dyDescent="0.25">
      <c r="A234" s="126"/>
      <c r="B234" s="126"/>
      <c r="C234" s="126"/>
      <c r="D234" s="125" t="s">
        <v>780</v>
      </c>
      <c r="E234" s="145" t="s">
        <v>12</v>
      </c>
      <c r="F234" s="20">
        <v>6</v>
      </c>
      <c r="G234" s="146"/>
      <c r="H234" s="20">
        <v>2.8</v>
      </c>
      <c r="I234" s="146"/>
      <c r="J234" s="146"/>
      <c r="K234" s="21">
        <f t="shared" si="19"/>
        <v>16.799999999999997</v>
      </c>
      <c r="L234" s="22"/>
      <c r="M234" s="22"/>
      <c r="N234" s="22"/>
      <c r="O234" s="22"/>
      <c r="P234" s="22"/>
      <c r="Q234" s="21">
        <f t="shared" si="20"/>
        <v>0</v>
      </c>
      <c r="R234" s="22"/>
      <c r="S234" s="22">
        <f t="shared" si="21"/>
        <v>16.799999999999997</v>
      </c>
      <c r="T234" s="6"/>
      <c r="U234" s="6"/>
      <c r="V234" s="6"/>
      <c r="W234" s="6"/>
    </row>
    <row r="235" spans="1:23" s="5" customFormat="1" ht="17.25" customHeight="1" x14ac:dyDescent="0.25">
      <c r="A235" s="17"/>
      <c r="B235" s="17"/>
      <c r="C235" s="17"/>
      <c r="D235" s="125" t="s">
        <v>766</v>
      </c>
      <c r="E235" s="19" t="s">
        <v>12</v>
      </c>
      <c r="F235" s="20">
        <v>4.1399999999999997</v>
      </c>
      <c r="G235" s="20"/>
      <c r="H235" s="20">
        <v>2.8</v>
      </c>
      <c r="I235" s="20"/>
      <c r="J235" s="20"/>
      <c r="K235" s="21">
        <f t="shared" si="19"/>
        <v>11.591999999999999</v>
      </c>
      <c r="L235" s="21"/>
      <c r="M235" s="21" t="s">
        <v>1013</v>
      </c>
      <c r="N235" s="21">
        <v>1.2</v>
      </c>
      <c r="O235" s="21"/>
      <c r="P235" s="21">
        <v>1.1000000000000001</v>
      </c>
      <c r="Q235" s="21">
        <f t="shared" ref="Q235" si="29">+N235*P235</f>
        <v>1.32</v>
      </c>
      <c r="R235" s="21"/>
      <c r="S235" s="22"/>
      <c r="T235" s="6"/>
      <c r="U235" s="6"/>
      <c r="V235" s="6"/>
      <c r="W235" s="6"/>
    </row>
    <row r="236" spans="1:23" s="5" customFormat="1" ht="17.25" customHeight="1" x14ac:dyDescent="0.25">
      <c r="A236" s="17"/>
      <c r="B236" s="17"/>
      <c r="C236" s="17"/>
      <c r="D236" s="125"/>
      <c r="E236" s="19"/>
      <c r="F236" s="20"/>
      <c r="G236" s="20"/>
      <c r="H236" s="20"/>
      <c r="I236" s="20"/>
      <c r="J236" s="20"/>
      <c r="K236" s="21"/>
      <c r="L236" s="21"/>
      <c r="M236" s="21" t="s">
        <v>1008</v>
      </c>
      <c r="N236" s="21">
        <v>2</v>
      </c>
      <c r="O236" s="21"/>
      <c r="P236" s="21">
        <v>1.1000000000000001</v>
      </c>
      <c r="Q236" s="21">
        <f t="shared" ref="Q236" si="30">+N236*P236</f>
        <v>2.2000000000000002</v>
      </c>
      <c r="R236" s="21"/>
      <c r="S236" s="22"/>
      <c r="T236" s="6"/>
      <c r="U236" s="6"/>
      <c r="V236" s="6"/>
      <c r="W236" s="6"/>
    </row>
    <row r="237" spans="1:23" s="5" customFormat="1" ht="17.25" customHeight="1" x14ac:dyDescent="0.25">
      <c r="A237" s="17"/>
      <c r="B237" s="17"/>
      <c r="C237" s="17"/>
      <c r="D237" s="125"/>
      <c r="E237" s="19"/>
      <c r="F237" s="20"/>
      <c r="G237" s="20"/>
      <c r="H237" s="20"/>
      <c r="I237" s="20"/>
      <c r="J237" s="20"/>
      <c r="K237" s="21"/>
      <c r="L237" s="21"/>
      <c r="M237" s="21"/>
      <c r="N237" s="21"/>
      <c r="O237" s="21"/>
      <c r="P237" s="21"/>
      <c r="Q237" s="21"/>
      <c r="R237" s="21"/>
      <c r="S237" s="22">
        <f>+K235-(Q235+Q236)</f>
        <v>8.0719999999999992</v>
      </c>
      <c r="T237" s="6"/>
      <c r="U237" s="6"/>
      <c r="V237" s="6"/>
      <c r="W237" s="6"/>
    </row>
    <row r="238" spans="1:23" s="5" customFormat="1" ht="17.25" customHeight="1" x14ac:dyDescent="0.25">
      <c r="A238" s="17"/>
      <c r="B238" s="17"/>
      <c r="C238" s="17"/>
      <c r="D238" s="125" t="s">
        <v>767</v>
      </c>
      <c r="E238" s="19" t="s">
        <v>12</v>
      </c>
      <c r="F238" s="20">
        <v>4.3600000000000003</v>
      </c>
      <c r="G238" s="20"/>
      <c r="H238" s="20">
        <v>2.8</v>
      </c>
      <c r="I238" s="20"/>
      <c r="J238" s="20"/>
      <c r="K238" s="21">
        <f t="shared" si="19"/>
        <v>12.208</v>
      </c>
      <c r="L238" s="21"/>
      <c r="M238" s="21" t="s">
        <v>1008</v>
      </c>
      <c r="N238" s="21">
        <v>2</v>
      </c>
      <c r="O238" s="21"/>
      <c r="P238" s="21">
        <v>1.1000000000000001</v>
      </c>
      <c r="Q238" s="21">
        <f t="shared" ref="Q238:Q239" si="31">+N238*P238</f>
        <v>2.2000000000000002</v>
      </c>
      <c r="R238" s="21"/>
      <c r="S238" s="22">
        <f t="shared" si="21"/>
        <v>10.007999999999999</v>
      </c>
      <c r="T238" s="6"/>
      <c r="U238" s="6"/>
      <c r="V238" s="6"/>
      <c r="W238" s="6"/>
    </row>
    <row r="239" spans="1:23" s="5" customFormat="1" ht="17.25" customHeight="1" x14ac:dyDescent="0.25">
      <c r="A239" s="17"/>
      <c r="B239" s="17"/>
      <c r="C239" s="17"/>
      <c r="D239" s="125" t="s">
        <v>768</v>
      </c>
      <c r="E239" s="19" t="s">
        <v>12</v>
      </c>
      <c r="F239" s="20">
        <v>3.4</v>
      </c>
      <c r="G239" s="20"/>
      <c r="H239" s="20">
        <v>3</v>
      </c>
      <c r="I239" s="20"/>
      <c r="J239" s="20"/>
      <c r="K239" s="21">
        <f t="shared" si="19"/>
        <v>10.199999999999999</v>
      </c>
      <c r="L239" s="21"/>
      <c r="M239" s="21" t="s">
        <v>999</v>
      </c>
      <c r="N239" s="21">
        <v>0.9</v>
      </c>
      <c r="O239" s="21"/>
      <c r="P239" s="21">
        <v>2.1</v>
      </c>
      <c r="Q239" s="21">
        <f t="shared" si="31"/>
        <v>1.8900000000000001</v>
      </c>
      <c r="R239" s="21"/>
      <c r="S239" s="22">
        <f t="shared" si="21"/>
        <v>8.3099999999999987</v>
      </c>
      <c r="T239" s="6"/>
      <c r="U239" s="6"/>
      <c r="V239" s="6"/>
      <c r="W239" s="6"/>
    </row>
    <row r="240" spans="1:23" s="5" customFormat="1" ht="17.25" customHeight="1" x14ac:dyDescent="0.25">
      <c r="A240" s="17"/>
      <c r="B240" s="17"/>
      <c r="C240" s="17"/>
      <c r="D240" s="125" t="s">
        <v>769</v>
      </c>
      <c r="E240" s="19" t="s">
        <v>12</v>
      </c>
      <c r="F240" s="20">
        <v>3</v>
      </c>
      <c r="G240" s="20"/>
      <c r="H240" s="20">
        <v>2.8</v>
      </c>
      <c r="I240" s="20"/>
      <c r="J240" s="20"/>
      <c r="K240" s="21">
        <f t="shared" si="19"/>
        <v>8.3999999999999986</v>
      </c>
      <c r="L240" s="21"/>
      <c r="M240" s="21" t="s">
        <v>999</v>
      </c>
      <c r="N240" s="21">
        <v>0.9</v>
      </c>
      <c r="O240" s="21"/>
      <c r="P240" s="21">
        <v>2.1</v>
      </c>
      <c r="Q240" s="21">
        <f t="shared" ref="Q240" si="32">+N240*P240</f>
        <v>1.8900000000000001</v>
      </c>
      <c r="R240" s="21"/>
      <c r="S240" s="22">
        <f t="shared" si="21"/>
        <v>6.509999999999998</v>
      </c>
      <c r="T240" s="6"/>
      <c r="U240" s="6"/>
      <c r="V240" s="6"/>
      <c r="W240" s="6"/>
    </row>
    <row r="241" spans="1:23" s="5" customFormat="1" ht="17.25" customHeight="1" x14ac:dyDescent="0.25">
      <c r="A241" s="17"/>
      <c r="B241" s="17"/>
      <c r="C241" s="17"/>
      <c r="D241" s="125" t="s">
        <v>770</v>
      </c>
      <c r="E241" s="19" t="s">
        <v>12</v>
      </c>
      <c r="F241" s="20">
        <v>0.55000000000000004</v>
      </c>
      <c r="G241" s="20"/>
      <c r="H241" s="20">
        <v>2.8</v>
      </c>
      <c r="I241" s="20"/>
      <c r="J241" s="20"/>
      <c r="K241" s="21">
        <f t="shared" si="19"/>
        <v>1.54</v>
      </c>
      <c r="L241" s="21"/>
      <c r="M241" s="21"/>
      <c r="N241" s="21"/>
      <c r="O241" s="21"/>
      <c r="P241" s="21"/>
      <c r="Q241" s="21">
        <f t="shared" si="20"/>
        <v>0</v>
      </c>
      <c r="R241" s="21"/>
      <c r="S241" s="22">
        <f t="shared" si="21"/>
        <v>1.54</v>
      </c>
      <c r="T241" s="6"/>
      <c r="U241" s="6"/>
      <c r="V241" s="6"/>
      <c r="W241" s="6"/>
    </row>
    <row r="242" spans="1:23" s="5" customFormat="1" ht="17.25" customHeight="1" x14ac:dyDescent="0.25">
      <c r="A242" s="17"/>
      <c r="B242" s="17"/>
      <c r="C242" s="17"/>
      <c r="D242" s="125" t="s">
        <v>771</v>
      </c>
      <c r="E242" s="19" t="s">
        <v>12</v>
      </c>
      <c r="F242" s="20">
        <v>2.4300000000000002</v>
      </c>
      <c r="G242" s="20"/>
      <c r="H242" s="20">
        <v>3</v>
      </c>
      <c r="I242" s="20"/>
      <c r="J242" s="20"/>
      <c r="K242" s="21">
        <f t="shared" si="19"/>
        <v>7.2900000000000009</v>
      </c>
      <c r="L242" s="21"/>
      <c r="M242" s="21" t="s">
        <v>1001</v>
      </c>
      <c r="N242" s="21">
        <v>0.7</v>
      </c>
      <c r="O242" s="21"/>
      <c r="P242" s="21">
        <v>2.1</v>
      </c>
      <c r="Q242" s="21">
        <f t="shared" si="20"/>
        <v>1.47</v>
      </c>
      <c r="R242" s="21"/>
      <c r="S242" s="22"/>
      <c r="T242" s="6"/>
      <c r="U242" s="6"/>
      <c r="V242" s="6"/>
      <c r="W242" s="6"/>
    </row>
    <row r="243" spans="1:23" s="5" customFormat="1" ht="17.25" customHeight="1" x14ac:dyDescent="0.25">
      <c r="A243" s="17"/>
      <c r="B243" s="17"/>
      <c r="C243" s="17"/>
      <c r="D243" s="125"/>
      <c r="E243" s="19"/>
      <c r="F243" s="20"/>
      <c r="G243" s="20"/>
      <c r="H243" s="20"/>
      <c r="I243" s="20"/>
      <c r="J243" s="20"/>
      <c r="K243" s="21"/>
      <c r="L243" s="21"/>
      <c r="M243" s="21" t="s">
        <v>1001</v>
      </c>
      <c r="N243" s="21">
        <v>0.7</v>
      </c>
      <c r="O243" s="21"/>
      <c r="P243" s="21">
        <v>2.1</v>
      </c>
      <c r="Q243" s="21">
        <f t="shared" si="20"/>
        <v>1.47</v>
      </c>
      <c r="R243" s="21"/>
      <c r="S243" s="22"/>
      <c r="T243" s="6"/>
      <c r="U243" s="6"/>
      <c r="V243" s="6"/>
      <c r="W243" s="6"/>
    </row>
    <row r="244" spans="1:23" s="5" customFormat="1" ht="17.25" customHeight="1" x14ac:dyDescent="0.25">
      <c r="A244" s="17"/>
      <c r="B244" s="17"/>
      <c r="C244" s="17"/>
      <c r="D244" s="125"/>
      <c r="E244" s="19"/>
      <c r="F244" s="20"/>
      <c r="G244" s="20"/>
      <c r="H244" s="20"/>
      <c r="I244" s="20"/>
      <c r="J244" s="20"/>
      <c r="K244" s="21"/>
      <c r="L244" s="21"/>
      <c r="M244" s="21"/>
      <c r="N244" s="21"/>
      <c r="O244" s="21"/>
      <c r="P244" s="21"/>
      <c r="Q244" s="21"/>
      <c r="R244" s="21"/>
      <c r="S244" s="22">
        <f>+K242-(Q242+Q243)</f>
        <v>4.3500000000000014</v>
      </c>
      <c r="T244" s="6"/>
      <c r="U244" s="6"/>
      <c r="V244" s="6"/>
      <c r="W244" s="6"/>
    </row>
    <row r="245" spans="1:23" s="5" customFormat="1" ht="17.25" customHeight="1" x14ac:dyDescent="0.25">
      <c r="A245" s="17"/>
      <c r="B245" s="17"/>
      <c r="C245" s="17"/>
      <c r="D245" s="125" t="s">
        <v>772</v>
      </c>
      <c r="E245" s="19" t="s">
        <v>12</v>
      </c>
      <c r="F245" s="20">
        <v>1.65</v>
      </c>
      <c r="G245" s="20"/>
      <c r="H245" s="20">
        <v>3</v>
      </c>
      <c r="I245" s="20"/>
      <c r="J245" s="20"/>
      <c r="K245" s="21">
        <f t="shared" si="19"/>
        <v>4.9499999999999993</v>
      </c>
      <c r="L245" s="21"/>
      <c r="M245" s="21"/>
      <c r="N245" s="21"/>
      <c r="O245" s="21"/>
      <c r="P245" s="21"/>
      <c r="Q245" s="21">
        <f t="shared" si="20"/>
        <v>0</v>
      </c>
      <c r="R245" s="21"/>
      <c r="S245" s="22">
        <f t="shared" si="21"/>
        <v>4.9499999999999993</v>
      </c>
      <c r="T245" s="6"/>
      <c r="U245" s="6"/>
      <c r="V245" s="6"/>
      <c r="W245" s="6"/>
    </row>
    <row r="246" spans="1:23" s="5" customFormat="1" ht="17.25" customHeight="1" x14ac:dyDescent="0.25">
      <c r="A246" s="17"/>
      <c r="B246" s="17"/>
      <c r="C246" s="17"/>
      <c r="D246" s="125" t="s">
        <v>773</v>
      </c>
      <c r="E246" s="19" t="s">
        <v>12</v>
      </c>
      <c r="F246" s="20">
        <v>2.4300000000000002</v>
      </c>
      <c r="G246" s="20"/>
      <c r="H246" s="20">
        <v>3</v>
      </c>
      <c r="I246" s="20"/>
      <c r="J246" s="20"/>
      <c r="K246" s="21">
        <f t="shared" si="19"/>
        <v>7.2900000000000009</v>
      </c>
      <c r="L246" s="21"/>
      <c r="M246" s="21"/>
      <c r="N246" s="21"/>
      <c r="O246" s="21"/>
      <c r="P246" s="21"/>
      <c r="Q246" s="21">
        <f t="shared" si="20"/>
        <v>0</v>
      </c>
      <c r="R246" s="21"/>
      <c r="S246" s="22">
        <f t="shared" si="21"/>
        <v>7.2900000000000009</v>
      </c>
      <c r="T246" s="6"/>
      <c r="U246" s="6"/>
      <c r="V246" s="6"/>
      <c r="W246" s="6"/>
    </row>
    <row r="247" spans="1:23" s="5" customFormat="1" ht="17.25" customHeight="1" x14ac:dyDescent="0.25">
      <c r="A247" s="17"/>
      <c r="B247" s="17"/>
      <c r="C247" s="17"/>
      <c r="D247" s="125" t="s">
        <v>774</v>
      </c>
      <c r="E247" s="19" t="s">
        <v>12</v>
      </c>
      <c r="F247" s="20">
        <v>2.42</v>
      </c>
      <c r="G247" s="20"/>
      <c r="H247" s="20">
        <v>3</v>
      </c>
      <c r="I247" s="20"/>
      <c r="J247" s="20"/>
      <c r="K247" s="21">
        <f t="shared" si="19"/>
        <v>7.26</v>
      </c>
      <c r="L247" s="21"/>
      <c r="M247" s="21"/>
      <c r="N247" s="21"/>
      <c r="O247" s="21"/>
      <c r="P247" s="21"/>
      <c r="Q247" s="21">
        <f t="shared" si="20"/>
        <v>0</v>
      </c>
      <c r="R247" s="21"/>
      <c r="S247" s="22">
        <f t="shared" si="21"/>
        <v>7.26</v>
      </c>
      <c r="T247" s="6"/>
      <c r="U247" s="6"/>
      <c r="V247" s="6"/>
      <c r="W247" s="6"/>
    </row>
    <row r="248" spans="1:23" s="5" customFormat="1" ht="17.25" customHeight="1" x14ac:dyDescent="0.25">
      <c r="A248" s="17"/>
      <c r="B248" s="17"/>
      <c r="C248" s="17"/>
      <c r="D248" s="125" t="s">
        <v>890</v>
      </c>
      <c r="E248" s="19" t="s">
        <v>12</v>
      </c>
      <c r="F248" s="20">
        <v>3.05</v>
      </c>
      <c r="G248" s="20"/>
      <c r="H248" s="20">
        <v>3</v>
      </c>
      <c r="I248" s="20"/>
      <c r="J248" s="20"/>
      <c r="K248" s="21">
        <f t="shared" si="19"/>
        <v>9.1499999999999986</v>
      </c>
      <c r="L248" s="21"/>
      <c r="M248" s="21" t="s">
        <v>1014</v>
      </c>
      <c r="N248" s="21">
        <v>1.2</v>
      </c>
      <c r="O248" s="21"/>
      <c r="P248" s="21">
        <v>2.1</v>
      </c>
      <c r="Q248" s="21">
        <f t="shared" ref="Q248:Q249" si="33">+N248*P248</f>
        <v>2.52</v>
      </c>
      <c r="R248" s="21"/>
      <c r="S248" s="22">
        <f t="shared" si="21"/>
        <v>6.629999999999999</v>
      </c>
      <c r="T248" s="6"/>
      <c r="U248" s="6"/>
      <c r="V248" s="6"/>
      <c r="W248" s="6"/>
    </row>
    <row r="249" spans="1:23" s="5" customFormat="1" ht="17.25" customHeight="1" x14ac:dyDescent="0.25">
      <c r="A249" s="17"/>
      <c r="B249" s="17"/>
      <c r="C249" s="17"/>
      <c r="D249" s="125" t="s">
        <v>891</v>
      </c>
      <c r="E249" s="19" t="s">
        <v>12</v>
      </c>
      <c r="F249" s="20">
        <v>1.02</v>
      </c>
      <c r="G249" s="20"/>
      <c r="H249" s="20">
        <v>3</v>
      </c>
      <c r="I249" s="20"/>
      <c r="J249" s="20"/>
      <c r="K249" s="21">
        <f t="shared" si="19"/>
        <v>3.06</v>
      </c>
      <c r="L249" s="21"/>
      <c r="M249" s="21" t="s">
        <v>1002</v>
      </c>
      <c r="N249" s="21">
        <v>0.9</v>
      </c>
      <c r="O249" s="21"/>
      <c r="P249" s="21">
        <v>1.1000000000000001</v>
      </c>
      <c r="Q249" s="21">
        <f t="shared" si="33"/>
        <v>0.9900000000000001</v>
      </c>
      <c r="R249" s="21"/>
      <c r="S249" s="22">
        <f t="shared" si="21"/>
        <v>2.0699999999999998</v>
      </c>
      <c r="T249" s="6"/>
      <c r="U249" s="6"/>
      <c r="V249" s="6"/>
      <c r="W249" s="6"/>
    </row>
    <row r="250" spans="1:23" s="5" customFormat="1" ht="17.25" customHeight="1" x14ac:dyDescent="0.25">
      <c r="A250" s="17"/>
      <c r="B250" s="17"/>
      <c r="C250" s="17"/>
      <c r="D250" s="125" t="s">
        <v>892</v>
      </c>
      <c r="E250" s="19" t="s">
        <v>12</v>
      </c>
      <c r="F250" s="20">
        <v>1.2</v>
      </c>
      <c r="G250" s="20"/>
      <c r="H250" s="20">
        <v>2.8</v>
      </c>
      <c r="I250" s="20"/>
      <c r="J250" s="20"/>
      <c r="K250" s="21">
        <f t="shared" ref="K250:K318" si="34">+F250*H250</f>
        <v>3.36</v>
      </c>
      <c r="L250" s="21"/>
      <c r="M250" s="21"/>
      <c r="N250" s="21"/>
      <c r="O250" s="21"/>
      <c r="P250" s="21"/>
      <c r="Q250" s="21">
        <f t="shared" ref="Q250:Q317" si="35">+N250*P250</f>
        <v>0</v>
      </c>
      <c r="R250" s="21"/>
      <c r="S250" s="22">
        <f t="shared" si="21"/>
        <v>3.36</v>
      </c>
      <c r="T250" s="6"/>
      <c r="U250" s="6"/>
      <c r="V250" s="6"/>
      <c r="W250" s="6"/>
    </row>
    <row r="251" spans="1:23" s="5" customFormat="1" ht="17.25" customHeight="1" x14ac:dyDescent="0.25">
      <c r="A251" s="17"/>
      <c r="B251" s="17"/>
      <c r="C251" s="17"/>
      <c r="D251" s="125" t="s">
        <v>893</v>
      </c>
      <c r="E251" s="19" t="s">
        <v>12</v>
      </c>
      <c r="F251" s="20">
        <v>3.68</v>
      </c>
      <c r="G251" s="20"/>
      <c r="H251" s="20">
        <v>3</v>
      </c>
      <c r="I251" s="20"/>
      <c r="J251" s="20"/>
      <c r="K251" s="21">
        <f t="shared" si="34"/>
        <v>11.040000000000001</v>
      </c>
      <c r="L251" s="21"/>
      <c r="M251" s="21"/>
      <c r="N251" s="21"/>
      <c r="O251" s="21"/>
      <c r="P251" s="21"/>
      <c r="Q251" s="21">
        <f t="shared" si="35"/>
        <v>0</v>
      </c>
      <c r="R251" s="21"/>
      <c r="S251" s="22">
        <f t="shared" si="21"/>
        <v>11.040000000000001</v>
      </c>
      <c r="T251" s="6"/>
      <c r="U251" s="6"/>
      <c r="V251" s="6"/>
      <c r="W251" s="6"/>
    </row>
    <row r="252" spans="1:23" s="5" customFormat="1" ht="17.25" customHeight="1" x14ac:dyDescent="0.25">
      <c r="A252" s="17"/>
      <c r="B252" s="17"/>
      <c r="C252" s="17"/>
      <c r="D252" s="144" t="s">
        <v>907</v>
      </c>
      <c r="E252" s="19"/>
      <c r="F252" s="20"/>
      <c r="G252" s="20"/>
      <c r="H252" s="20"/>
      <c r="I252" s="20"/>
      <c r="J252" s="20"/>
      <c r="K252" s="21">
        <f t="shared" si="34"/>
        <v>0</v>
      </c>
      <c r="L252" s="21"/>
      <c r="M252" s="21"/>
      <c r="N252" s="21"/>
      <c r="O252" s="21"/>
      <c r="P252" s="21"/>
      <c r="Q252" s="21">
        <f t="shared" si="35"/>
        <v>0</v>
      </c>
      <c r="R252" s="21"/>
      <c r="S252" s="22">
        <f t="shared" si="21"/>
        <v>0</v>
      </c>
      <c r="T252" s="6"/>
      <c r="U252" s="6"/>
      <c r="V252" s="6"/>
      <c r="W252" s="6"/>
    </row>
    <row r="253" spans="1:23" s="5" customFormat="1" ht="17.25" customHeight="1" x14ac:dyDescent="0.25">
      <c r="A253" s="17"/>
      <c r="B253" s="17"/>
      <c r="C253" s="17"/>
      <c r="D253" s="125" t="s">
        <v>894</v>
      </c>
      <c r="E253" s="19" t="s">
        <v>12</v>
      </c>
      <c r="F253" s="20">
        <v>4.0199999999999996</v>
      </c>
      <c r="G253" s="20"/>
      <c r="H253" s="20">
        <v>3</v>
      </c>
      <c r="I253" s="20"/>
      <c r="J253" s="20"/>
      <c r="K253" s="21">
        <f t="shared" si="34"/>
        <v>12.059999999999999</v>
      </c>
      <c r="L253" s="21"/>
      <c r="M253" s="21"/>
      <c r="N253" s="21"/>
      <c r="O253" s="21"/>
      <c r="P253" s="21"/>
      <c r="Q253" s="21">
        <f t="shared" si="35"/>
        <v>0</v>
      </c>
      <c r="R253" s="21"/>
      <c r="S253" s="22">
        <f t="shared" ref="S253:S323" si="36">+K253-Q253</f>
        <v>12.059999999999999</v>
      </c>
      <c r="T253" s="6"/>
      <c r="U253" s="6"/>
      <c r="V253" s="6"/>
      <c r="W253" s="6"/>
    </row>
    <row r="254" spans="1:23" s="5" customFormat="1" ht="17.25" customHeight="1" x14ac:dyDescent="0.25">
      <c r="A254" s="17"/>
      <c r="B254" s="17"/>
      <c r="C254" s="17"/>
      <c r="D254" s="125" t="s">
        <v>895</v>
      </c>
      <c r="E254" s="19" t="s">
        <v>12</v>
      </c>
      <c r="F254" s="20">
        <v>5.55</v>
      </c>
      <c r="G254" s="20"/>
      <c r="H254" s="20">
        <v>2.8</v>
      </c>
      <c r="I254" s="20"/>
      <c r="J254" s="20"/>
      <c r="K254" s="21">
        <f t="shared" si="34"/>
        <v>15.54</v>
      </c>
      <c r="L254" s="21"/>
      <c r="M254" s="21"/>
      <c r="N254" s="21"/>
      <c r="O254" s="21"/>
      <c r="P254" s="21"/>
      <c r="Q254" s="21">
        <f t="shared" si="35"/>
        <v>0</v>
      </c>
      <c r="R254" s="21"/>
      <c r="S254" s="22">
        <f t="shared" si="36"/>
        <v>15.54</v>
      </c>
      <c r="T254" s="6"/>
      <c r="U254" s="6"/>
      <c r="V254" s="6"/>
      <c r="W254" s="6"/>
    </row>
    <row r="255" spans="1:23" s="5" customFormat="1" ht="17.25" customHeight="1" x14ac:dyDescent="0.25">
      <c r="A255" s="17"/>
      <c r="B255" s="17"/>
      <c r="C255" s="17"/>
      <c r="D255" s="125" t="s">
        <v>896</v>
      </c>
      <c r="E255" s="19" t="s">
        <v>12</v>
      </c>
      <c r="F255" s="20">
        <v>5</v>
      </c>
      <c r="G255" s="20"/>
      <c r="H255" s="20">
        <v>2.8</v>
      </c>
      <c r="I255" s="20"/>
      <c r="J255" s="20"/>
      <c r="K255" s="21">
        <f t="shared" si="34"/>
        <v>14</v>
      </c>
      <c r="L255" s="21"/>
      <c r="M255" s="21"/>
      <c r="N255" s="21"/>
      <c r="O255" s="21"/>
      <c r="P255" s="21"/>
      <c r="Q255" s="21">
        <f t="shared" si="35"/>
        <v>0</v>
      </c>
      <c r="R255" s="21"/>
      <c r="S255" s="22">
        <f t="shared" si="36"/>
        <v>14</v>
      </c>
      <c r="T255" s="6"/>
      <c r="U255" s="6"/>
      <c r="V255" s="6"/>
      <c r="W255" s="6"/>
    </row>
    <row r="256" spans="1:23" s="5" customFormat="1" ht="17.25" customHeight="1" x14ac:dyDescent="0.25">
      <c r="A256" s="17"/>
      <c r="B256" s="17"/>
      <c r="C256" s="17"/>
      <c r="D256" s="125" t="s">
        <v>897</v>
      </c>
      <c r="E256" s="19" t="s">
        <v>12</v>
      </c>
      <c r="F256" s="20">
        <v>5</v>
      </c>
      <c r="G256" s="20"/>
      <c r="H256" s="20">
        <v>3</v>
      </c>
      <c r="I256" s="20"/>
      <c r="J256" s="20"/>
      <c r="K256" s="21">
        <f t="shared" si="34"/>
        <v>15</v>
      </c>
      <c r="L256" s="21"/>
      <c r="M256" s="21"/>
      <c r="N256" s="21"/>
      <c r="O256" s="21"/>
      <c r="P256" s="21"/>
      <c r="Q256" s="21">
        <f t="shared" si="35"/>
        <v>0</v>
      </c>
      <c r="R256" s="21"/>
      <c r="S256" s="22">
        <f t="shared" si="36"/>
        <v>15</v>
      </c>
      <c r="T256" s="6"/>
      <c r="U256" s="6"/>
      <c r="V256" s="6"/>
      <c r="W256" s="6"/>
    </row>
    <row r="257" spans="1:23" s="5" customFormat="1" ht="17.25" customHeight="1" x14ac:dyDescent="0.25">
      <c r="A257" s="17"/>
      <c r="B257" s="17"/>
      <c r="C257" s="17"/>
      <c r="D257" s="125" t="s">
        <v>898</v>
      </c>
      <c r="E257" s="19" t="s">
        <v>12</v>
      </c>
      <c r="F257" s="20">
        <v>5.49</v>
      </c>
      <c r="G257" s="20"/>
      <c r="H257" s="20">
        <v>3</v>
      </c>
      <c r="I257" s="20"/>
      <c r="J257" s="20"/>
      <c r="K257" s="21">
        <f t="shared" si="34"/>
        <v>16.47</v>
      </c>
      <c r="L257" s="21"/>
      <c r="M257" s="21" t="s">
        <v>1006</v>
      </c>
      <c r="N257" s="21">
        <v>2</v>
      </c>
      <c r="O257" s="21"/>
      <c r="P257" s="21">
        <v>2.1</v>
      </c>
      <c r="Q257" s="21">
        <f t="shared" si="35"/>
        <v>4.2</v>
      </c>
      <c r="R257" s="21"/>
      <c r="S257" s="22"/>
      <c r="T257" s="6"/>
      <c r="U257" s="6"/>
      <c r="V257" s="6"/>
      <c r="W257" s="6"/>
    </row>
    <row r="258" spans="1:23" s="5" customFormat="1" ht="17.25" customHeight="1" x14ac:dyDescent="0.25">
      <c r="A258" s="17"/>
      <c r="B258" s="17"/>
      <c r="C258" s="17"/>
      <c r="D258" s="125"/>
      <c r="E258" s="19"/>
      <c r="F258" s="20"/>
      <c r="G258" s="20"/>
      <c r="H258" s="20"/>
      <c r="I258" s="20"/>
      <c r="J258" s="20"/>
      <c r="K258" s="21"/>
      <c r="L258" s="21"/>
      <c r="M258" s="21" t="s">
        <v>1006</v>
      </c>
      <c r="N258" s="21">
        <v>2</v>
      </c>
      <c r="O258" s="21"/>
      <c r="P258" s="21">
        <v>2.1</v>
      </c>
      <c r="Q258" s="21">
        <f t="shared" si="35"/>
        <v>4.2</v>
      </c>
      <c r="R258" s="21"/>
      <c r="S258" s="22"/>
      <c r="T258" s="6"/>
      <c r="U258" s="6"/>
      <c r="V258" s="6"/>
      <c r="W258" s="6"/>
    </row>
    <row r="259" spans="1:23" s="5" customFormat="1" ht="17.25" customHeight="1" x14ac:dyDescent="0.25">
      <c r="A259" s="17"/>
      <c r="B259" s="17"/>
      <c r="C259" s="17"/>
      <c r="D259" s="125"/>
      <c r="E259" s="19"/>
      <c r="F259" s="20"/>
      <c r="G259" s="20"/>
      <c r="H259" s="20"/>
      <c r="I259" s="20"/>
      <c r="J259" s="20"/>
      <c r="K259" s="21"/>
      <c r="L259" s="21"/>
      <c r="M259" s="21"/>
      <c r="N259" s="21"/>
      <c r="O259" s="21"/>
      <c r="P259" s="21"/>
      <c r="Q259" s="21"/>
      <c r="R259" s="21"/>
      <c r="S259" s="22">
        <f>+K257-(Q257+Q258)</f>
        <v>8.0699999999999985</v>
      </c>
      <c r="T259" s="6"/>
      <c r="U259" s="6"/>
      <c r="V259" s="6"/>
      <c r="W259" s="6"/>
    </row>
    <row r="260" spans="1:23" s="5" customFormat="1" ht="17.25" customHeight="1" x14ac:dyDescent="0.25">
      <c r="A260" s="17"/>
      <c r="B260" s="17"/>
      <c r="C260" s="17"/>
      <c r="D260" s="125" t="s">
        <v>899</v>
      </c>
      <c r="E260" s="19" t="s">
        <v>12</v>
      </c>
      <c r="F260" s="20">
        <v>5.26</v>
      </c>
      <c r="G260" s="20"/>
      <c r="H260" s="20">
        <v>3</v>
      </c>
      <c r="I260" s="20"/>
      <c r="J260" s="20"/>
      <c r="K260" s="21">
        <f t="shared" si="34"/>
        <v>15.78</v>
      </c>
      <c r="L260" s="21"/>
      <c r="M260" s="21" t="s">
        <v>999</v>
      </c>
      <c r="N260" s="21">
        <v>0.9</v>
      </c>
      <c r="O260" s="21"/>
      <c r="P260" s="21">
        <v>2.1</v>
      </c>
      <c r="Q260" s="21">
        <f t="shared" ref="Q260" si="37">+N260*P260</f>
        <v>1.8900000000000001</v>
      </c>
      <c r="R260" s="21"/>
      <c r="S260" s="22">
        <f t="shared" si="36"/>
        <v>13.889999999999999</v>
      </c>
      <c r="T260" s="6"/>
      <c r="U260" s="6"/>
      <c r="V260" s="6"/>
      <c r="W260" s="6"/>
    </row>
    <row r="261" spans="1:23" s="5" customFormat="1" ht="17.25" customHeight="1" x14ac:dyDescent="0.25">
      <c r="A261" s="17"/>
      <c r="B261" s="17"/>
      <c r="C261" s="17"/>
      <c r="D261" s="125" t="s">
        <v>900</v>
      </c>
      <c r="E261" s="19" t="s">
        <v>12</v>
      </c>
      <c r="F261" s="20">
        <v>0.6</v>
      </c>
      <c r="G261" s="20"/>
      <c r="H261" s="20">
        <v>3</v>
      </c>
      <c r="I261" s="20"/>
      <c r="J261" s="20"/>
      <c r="K261" s="21">
        <f t="shared" si="34"/>
        <v>1.7999999999999998</v>
      </c>
      <c r="L261" s="21"/>
      <c r="M261" s="21"/>
      <c r="N261" s="21"/>
      <c r="O261" s="21"/>
      <c r="P261" s="21"/>
      <c r="Q261" s="21">
        <f t="shared" si="35"/>
        <v>0</v>
      </c>
      <c r="R261" s="21"/>
      <c r="S261" s="22">
        <f t="shared" si="36"/>
        <v>1.7999999999999998</v>
      </c>
      <c r="T261" s="6"/>
      <c r="U261" s="6"/>
      <c r="V261" s="6"/>
      <c r="W261" s="6"/>
    </row>
    <row r="262" spans="1:23" s="5" customFormat="1" ht="17.25" customHeight="1" x14ac:dyDescent="0.25">
      <c r="A262" s="17"/>
      <c r="B262" s="17"/>
      <c r="C262" s="17"/>
      <c r="D262" s="125" t="s">
        <v>901</v>
      </c>
      <c r="E262" s="19" t="s">
        <v>12</v>
      </c>
      <c r="F262" s="20">
        <v>3.04</v>
      </c>
      <c r="G262" s="20"/>
      <c r="H262" s="20">
        <v>3</v>
      </c>
      <c r="I262" s="20"/>
      <c r="J262" s="20"/>
      <c r="K262" s="21">
        <f t="shared" si="34"/>
        <v>9.120000000000001</v>
      </c>
      <c r="L262" s="21"/>
      <c r="M262" s="21"/>
      <c r="N262" s="21"/>
      <c r="O262" s="21"/>
      <c r="P262" s="21"/>
      <c r="Q262" s="21">
        <f t="shared" si="35"/>
        <v>0</v>
      </c>
      <c r="R262" s="21"/>
      <c r="S262" s="22">
        <f t="shared" si="36"/>
        <v>9.120000000000001</v>
      </c>
      <c r="T262" s="6"/>
      <c r="U262" s="6"/>
      <c r="V262" s="6"/>
      <c r="W262" s="6"/>
    </row>
    <row r="263" spans="1:23" s="5" customFormat="1" ht="17.25" customHeight="1" x14ac:dyDescent="0.25">
      <c r="A263" s="17"/>
      <c r="B263" s="17"/>
      <c r="C263" s="17"/>
      <c r="D263" s="125" t="s">
        <v>902</v>
      </c>
      <c r="E263" s="19" t="s">
        <v>12</v>
      </c>
      <c r="F263" s="20">
        <v>1.7</v>
      </c>
      <c r="G263" s="20"/>
      <c r="H263" s="20">
        <v>2.8</v>
      </c>
      <c r="I263" s="20"/>
      <c r="J263" s="20"/>
      <c r="K263" s="21">
        <f t="shared" si="34"/>
        <v>4.76</v>
      </c>
      <c r="L263" s="21"/>
      <c r="M263" s="21"/>
      <c r="N263" s="21"/>
      <c r="O263" s="21"/>
      <c r="P263" s="21"/>
      <c r="Q263" s="21">
        <f t="shared" si="35"/>
        <v>0</v>
      </c>
      <c r="R263" s="21"/>
      <c r="S263" s="22">
        <f t="shared" si="36"/>
        <v>4.76</v>
      </c>
      <c r="T263" s="6"/>
      <c r="U263" s="6"/>
      <c r="V263" s="6"/>
      <c r="W263" s="6"/>
    </row>
    <row r="264" spans="1:23" s="5" customFormat="1" ht="17.25" customHeight="1" x14ac:dyDescent="0.25">
      <c r="A264" s="17"/>
      <c r="B264" s="17"/>
      <c r="C264" s="17"/>
      <c r="D264" s="125" t="s">
        <v>903</v>
      </c>
      <c r="E264" s="19" t="s">
        <v>12</v>
      </c>
      <c r="F264" s="20">
        <v>3.28</v>
      </c>
      <c r="G264" s="20"/>
      <c r="H264" s="20">
        <v>3</v>
      </c>
      <c r="I264" s="20"/>
      <c r="J264" s="20"/>
      <c r="K264" s="21">
        <f t="shared" si="34"/>
        <v>9.84</v>
      </c>
      <c r="L264" s="21"/>
      <c r="M264" s="21"/>
      <c r="N264" s="21"/>
      <c r="O264" s="21"/>
      <c r="P264" s="21"/>
      <c r="Q264" s="21">
        <f t="shared" si="35"/>
        <v>0</v>
      </c>
      <c r="R264" s="21"/>
      <c r="S264" s="22">
        <f t="shared" si="36"/>
        <v>9.84</v>
      </c>
      <c r="T264" s="6"/>
      <c r="U264" s="6"/>
      <c r="V264" s="6"/>
      <c r="W264" s="6"/>
    </row>
    <row r="265" spans="1:23" s="5" customFormat="1" ht="17.25" customHeight="1" x14ac:dyDescent="0.25">
      <c r="A265" s="17"/>
      <c r="B265" s="17"/>
      <c r="C265" s="17"/>
      <c r="D265" s="125" t="s">
        <v>904</v>
      </c>
      <c r="E265" s="19" t="s">
        <v>12</v>
      </c>
      <c r="F265" s="20">
        <v>6.94</v>
      </c>
      <c r="G265" s="20"/>
      <c r="H265" s="20">
        <v>3</v>
      </c>
      <c r="I265" s="20"/>
      <c r="J265" s="20"/>
      <c r="K265" s="21">
        <f t="shared" si="34"/>
        <v>20.82</v>
      </c>
      <c r="L265" s="21"/>
      <c r="M265" s="21" t="s">
        <v>1015</v>
      </c>
      <c r="N265" s="21">
        <v>3.8</v>
      </c>
      <c r="O265" s="21"/>
      <c r="P265" s="21">
        <v>2.1</v>
      </c>
      <c r="Q265" s="21">
        <f t="shared" si="35"/>
        <v>7.9799999999999995</v>
      </c>
      <c r="R265" s="21"/>
      <c r="S265" s="22">
        <f t="shared" si="36"/>
        <v>12.84</v>
      </c>
      <c r="T265" s="6"/>
      <c r="U265" s="6"/>
      <c r="V265" s="6"/>
      <c r="W265" s="6"/>
    </row>
    <row r="266" spans="1:23" s="5" customFormat="1" ht="17.25" customHeight="1" x14ac:dyDescent="0.25">
      <c r="A266" s="17"/>
      <c r="B266" s="17"/>
      <c r="C266" s="17"/>
      <c r="D266" s="144" t="s">
        <v>924</v>
      </c>
      <c r="E266" s="19"/>
      <c r="F266" s="20"/>
      <c r="G266" s="20"/>
      <c r="H266" s="20"/>
      <c r="I266" s="20"/>
      <c r="J266" s="20"/>
      <c r="K266" s="21">
        <f t="shared" si="34"/>
        <v>0</v>
      </c>
      <c r="L266" s="21"/>
      <c r="M266" s="21"/>
      <c r="N266" s="21"/>
      <c r="O266" s="21"/>
      <c r="P266" s="21"/>
      <c r="Q266" s="21">
        <f t="shared" si="35"/>
        <v>0</v>
      </c>
      <c r="R266" s="21"/>
      <c r="S266" s="22">
        <f t="shared" si="36"/>
        <v>0</v>
      </c>
      <c r="T266" s="6"/>
      <c r="U266" s="6"/>
      <c r="V266" s="6"/>
      <c r="W266" s="6"/>
    </row>
    <row r="267" spans="1:23" s="5" customFormat="1" ht="17.25" customHeight="1" x14ac:dyDescent="0.25">
      <c r="A267" s="17"/>
      <c r="B267" s="17"/>
      <c r="C267" s="17"/>
      <c r="D267" s="125" t="s">
        <v>905</v>
      </c>
      <c r="E267" s="19" t="s">
        <v>12</v>
      </c>
      <c r="F267" s="20">
        <v>3.89</v>
      </c>
      <c r="G267" s="20"/>
      <c r="H267" s="20">
        <v>3</v>
      </c>
      <c r="I267" s="20"/>
      <c r="J267" s="20"/>
      <c r="K267" s="21">
        <f t="shared" si="34"/>
        <v>11.67</v>
      </c>
      <c r="L267" s="21"/>
      <c r="M267" s="21" t="s">
        <v>1004</v>
      </c>
      <c r="N267" s="21">
        <v>1</v>
      </c>
      <c r="O267" s="21"/>
      <c r="P267" s="21">
        <v>0.4</v>
      </c>
      <c r="Q267" s="21">
        <f t="shared" si="35"/>
        <v>0.4</v>
      </c>
      <c r="R267" s="21"/>
      <c r="S267" s="22"/>
      <c r="T267" s="6"/>
      <c r="U267" s="6"/>
      <c r="V267" s="6"/>
      <c r="W267" s="6"/>
    </row>
    <row r="268" spans="1:23" s="5" customFormat="1" ht="17.25" customHeight="1" x14ac:dyDescent="0.25">
      <c r="A268" s="17"/>
      <c r="B268" s="17"/>
      <c r="C268" s="17"/>
      <c r="D268" s="125"/>
      <c r="E268" s="19"/>
      <c r="F268" s="20"/>
      <c r="G268" s="20"/>
      <c r="H268" s="20"/>
      <c r="I268" s="20"/>
      <c r="J268" s="20"/>
      <c r="K268" s="21"/>
      <c r="L268" s="21"/>
      <c r="M268" s="21" t="s">
        <v>1016</v>
      </c>
      <c r="N268" s="21">
        <v>0.6</v>
      </c>
      <c r="O268" s="21"/>
      <c r="P268" s="21">
        <v>1.1000000000000001</v>
      </c>
      <c r="Q268" s="21">
        <f t="shared" si="35"/>
        <v>0.66</v>
      </c>
      <c r="R268" s="21"/>
      <c r="S268" s="22"/>
      <c r="T268" s="6"/>
      <c r="U268" s="6"/>
      <c r="V268" s="6"/>
      <c r="W268" s="6"/>
    </row>
    <row r="269" spans="1:23" s="5" customFormat="1" ht="17.25" customHeight="1" x14ac:dyDescent="0.25">
      <c r="A269" s="17"/>
      <c r="B269" s="17"/>
      <c r="C269" s="17"/>
      <c r="D269" s="125"/>
      <c r="E269" s="19"/>
      <c r="F269" s="20"/>
      <c r="G269" s="20"/>
      <c r="H269" s="20"/>
      <c r="I269" s="20"/>
      <c r="J269" s="20"/>
      <c r="K269" s="21"/>
      <c r="L269" s="21"/>
      <c r="M269" s="21" t="s">
        <v>1017</v>
      </c>
      <c r="N269" s="21">
        <v>0.8</v>
      </c>
      <c r="O269" s="21"/>
      <c r="P269" s="21">
        <v>2.1</v>
      </c>
      <c r="Q269" s="21">
        <f t="shared" si="35"/>
        <v>1.6800000000000002</v>
      </c>
      <c r="R269" s="21"/>
      <c r="S269" s="22"/>
      <c r="T269" s="6"/>
      <c r="U269" s="6"/>
      <c r="V269" s="6"/>
      <c r="W269" s="6"/>
    </row>
    <row r="270" spans="1:23" s="5" customFormat="1" ht="17.25" customHeight="1" x14ac:dyDescent="0.25">
      <c r="A270" s="17"/>
      <c r="B270" s="17"/>
      <c r="C270" s="17"/>
      <c r="D270" s="125"/>
      <c r="E270" s="19"/>
      <c r="F270" s="20"/>
      <c r="G270" s="20"/>
      <c r="H270" s="20"/>
      <c r="I270" s="20"/>
      <c r="J270" s="20"/>
      <c r="K270" s="21"/>
      <c r="L270" s="21"/>
      <c r="M270" s="21"/>
      <c r="N270" s="21"/>
      <c r="O270" s="21"/>
      <c r="P270" s="21"/>
      <c r="Q270" s="21"/>
      <c r="R270" s="21"/>
      <c r="S270" s="22">
        <f>+K267-(Q267+Q268+Q269)</f>
        <v>8.93</v>
      </c>
      <c r="T270" s="6"/>
      <c r="U270" s="6"/>
      <c r="V270" s="6"/>
      <c r="W270" s="6"/>
    </row>
    <row r="271" spans="1:23" s="5" customFormat="1" ht="17.25" customHeight="1" x14ac:dyDescent="0.25">
      <c r="A271" s="17"/>
      <c r="B271" s="17"/>
      <c r="C271" s="17"/>
      <c r="D271" s="125" t="s">
        <v>906</v>
      </c>
      <c r="E271" s="19" t="s">
        <v>12</v>
      </c>
      <c r="F271" s="20">
        <v>1.25</v>
      </c>
      <c r="G271" s="20"/>
      <c r="H271" s="20">
        <v>3</v>
      </c>
      <c r="I271" s="20"/>
      <c r="J271" s="20"/>
      <c r="K271" s="21">
        <f t="shared" si="34"/>
        <v>3.75</v>
      </c>
      <c r="L271" s="21"/>
      <c r="M271" s="21"/>
      <c r="N271" s="21"/>
      <c r="O271" s="21"/>
      <c r="P271" s="21"/>
      <c r="Q271" s="21">
        <f t="shared" si="35"/>
        <v>0</v>
      </c>
      <c r="R271" s="21"/>
      <c r="S271" s="22">
        <f t="shared" si="36"/>
        <v>3.75</v>
      </c>
      <c r="T271" s="6"/>
      <c r="U271" s="6"/>
      <c r="V271" s="6"/>
      <c r="W271" s="6"/>
    </row>
    <row r="272" spans="1:23" s="5" customFormat="1" ht="17.25" customHeight="1" x14ac:dyDescent="0.25">
      <c r="A272" s="17"/>
      <c r="B272" s="17"/>
      <c r="C272" s="17"/>
      <c r="D272" s="125" t="s">
        <v>908</v>
      </c>
      <c r="E272" s="19" t="s">
        <v>12</v>
      </c>
      <c r="F272" s="20">
        <v>2.21</v>
      </c>
      <c r="G272" s="20"/>
      <c r="H272" s="20">
        <v>3</v>
      </c>
      <c r="I272" s="20"/>
      <c r="J272" s="20"/>
      <c r="K272" s="21">
        <f t="shared" si="34"/>
        <v>6.63</v>
      </c>
      <c r="L272" s="21"/>
      <c r="M272" s="21" t="s">
        <v>1017</v>
      </c>
      <c r="N272" s="21">
        <v>0.8</v>
      </c>
      <c r="O272" s="21"/>
      <c r="P272" s="21">
        <v>2.1</v>
      </c>
      <c r="Q272" s="21">
        <f t="shared" ref="Q272" si="38">+N272*P272</f>
        <v>1.6800000000000002</v>
      </c>
      <c r="R272" s="21"/>
      <c r="S272" s="22">
        <f t="shared" si="36"/>
        <v>4.9499999999999993</v>
      </c>
      <c r="T272" s="6"/>
      <c r="U272" s="6"/>
      <c r="V272" s="6"/>
      <c r="W272" s="6"/>
    </row>
    <row r="273" spans="1:23" s="5" customFormat="1" ht="17.25" customHeight="1" x14ac:dyDescent="0.25">
      <c r="A273" s="17"/>
      <c r="B273" s="17"/>
      <c r="C273" s="17"/>
      <c r="D273" s="125" t="s">
        <v>909</v>
      </c>
      <c r="E273" s="19" t="s">
        <v>12</v>
      </c>
      <c r="F273" s="20">
        <v>0.92</v>
      </c>
      <c r="G273" s="20"/>
      <c r="H273" s="20">
        <v>3</v>
      </c>
      <c r="I273" s="20"/>
      <c r="J273" s="20"/>
      <c r="K273" s="21">
        <f t="shared" si="34"/>
        <v>2.7600000000000002</v>
      </c>
      <c r="L273" s="21"/>
      <c r="M273" s="21"/>
      <c r="N273" s="21"/>
      <c r="O273" s="21"/>
      <c r="P273" s="21"/>
      <c r="Q273" s="21">
        <f t="shared" si="35"/>
        <v>0</v>
      </c>
      <c r="R273" s="21"/>
      <c r="S273" s="22">
        <f t="shared" si="36"/>
        <v>2.7600000000000002</v>
      </c>
      <c r="T273" s="6"/>
      <c r="U273" s="6"/>
      <c r="V273" s="6"/>
      <c r="W273" s="6"/>
    </row>
    <row r="274" spans="1:23" s="5" customFormat="1" ht="17.25" customHeight="1" x14ac:dyDescent="0.25">
      <c r="A274" s="17"/>
      <c r="B274" s="17"/>
      <c r="C274" s="17"/>
      <c r="D274" s="125" t="s">
        <v>910</v>
      </c>
      <c r="E274" s="19" t="s">
        <v>12</v>
      </c>
      <c r="F274" s="20">
        <v>3</v>
      </c>
      <c r="G274" s="20"/>
      <c r="H274" s="20">
        <v>3</v>
      </c>
      <c r="I274" s="20"/>
      <c r="J274" s="20"/>
      <c r="K274" s="21">
        <f t="shared" si="34"/>
        <v>9</v>
      </c>
      <c r="L274" s="21"/>
      <c r="M274" s="21"/>
      <c r="N274" s="21"/>
      <c r="O274" s="21"/>
      <c r="P274" s="21"/>
      <c r="Q274" s="21">
        <f t="shared" si="35"/>
        <v>0</v>
      </c>
      <c r="R274" s="21"/>
      <c r="S274" s="22">
        <f t="shared" si="36"/>
        <v>9</v>
      </c>
      <c r="T274" s="6"/>
      <c r="U274" s="6"/>
      <c r="V274" s="6"/>
      <c r="W274" s="6"/>
    </row>
    <row r="275" spans="1:23" s="5" customFormat="1" ht="17.25" customHeight="1" x14ac:dyDescent="0.25">
      <c r="A275" s="17"/>
      <c r="B275" s="17"/>
      <c r="C275" s="17"/>
      <c r="D275" s="125" t="s">
        <v>911</v>
      </c>
      <c r="E275" s="19" t="s">
        <v>12</v>
      </c>
      <c r="F275" s="20">
        <v>0.86</v>
      </c>
      <c r="G275" s="20"/>
      <c r="H275" s="20">
        <v>3</v>
      </c>
      <c r="I275" s="20"/>
      <c r="J275" s="20"/>
      <c r="K275" s="21">
        <f t="shared" si="34"/>
        <v>2.58</v>
      </c>
      <c r="L275" s="21"/>
      <c r="M275" s="21"/>
      <c r="N275" s="21"/>
      <c r="O275" s="21"/>
      <c r="P275" s="21"/>
      <c r="Q275" s="21">
        <f t="shared" ref="Q275:Q276" si="39">+N275*P275</f>
        <v>0</v>
      </c>
      <c r="R275" s="21"/>
      <c r="S275" s="22">
        <f t="shared" si="36"/>
        <v>2.58</v>
      </c>
      <c r="T275" s="6"/>
      <c r="U275" s="6"/>
      <c r="V275" s="6"/>
      <c r="W275" s="6"/>
    </row>
    <row r="276" spans="1:23" s="5" customFormat="1" ht="17.25" customHeight="1" x14ac:dyDescent="0.25">
      <c r="A276" s="17"/>
      <c r="B276" s="17"/>
      <c r="C276" s="17"/>
      <c r="D276" s="125" t="s">
        <v>912</v>
      </c>
      <c r="E276" s="19" t="s">
        <v>12</v>
      </c>
      <c r="F276" s="20">
        <v>3.52</v>
      </c>
      <c r="G276" s="20"/>
      <c r="H276" s="20">
        <v>2.8</v>
      </c>
      <c r="I276" s="20"/>
      <c r="J276" s="20"/>
      <c r="K276" s="21">
        <f t="shared" si="34"/>
        <v>9.8559999999999999</v>
      </c>
      <c r="L276" s="21"/>
      <c r="M276" s="21" t="s">
        <v>1003</v>
      </c>
      <c r="N276" s="21">
        <v>3.53</v>
      </c>
      <c r="O276" s="21"/>
      <c r="P276" s="21">
        <v>2.6</v>
      </c>
      <c r="Q276" s="21">
        <f t="shared" si="39"/>
        <v>9.177999999999999</v>
      </c>
      <c r="R276" s="21"/>
      <c r="S276" s="22">
        <f t="shared" si="36"/>
        <v>0.67800000000000082</v>
      </c>
      <c r="T276" s="6"/>
      <c r="U276" s="6"/>
      <c r="V276" s="6"/>
      <c r="W276" s="6"/>
    </row>
    <row r="277" spans="1:23" s="5" customFormat="1" ht="17.25" customHeight="1" x14ac:dyDescent="0.25">
      <c r="A277" s="17"/>
      <c r="B277" s="17"/>
      <c r="C277" s="17"/>
      <c r="D277" s="125" t="s">
        <v>913</v>
      </c>
      <c r="E277" s="19" t="s">
        <v>12</v>
      </c>
      <c r="F277" s="20">
        <v>0.59</v>
      </c>
      <c r="G277" s="20"/>
      <c r="H277" s="20">
        <v>2.8</v>
      </c>
      <c r="I277" s="20"/>
      <c r="J277" s="20"/>
      <c r="K277" s="21">
        <f t="shared" si="34"/>
        <v>1.6519999999999999</v>
      </c>
      <c r="L277" s="21"/>
      <c r="M277" s="21"/>
      <c r="N277" s="21"/>
      <c r="O277" s="21"/>
      <c r="P277" s="21"/>
      <c r="Q277" s="21">
        <f t="shared" si="35"/>
        <v>0</v>
      </c>
      <c r="R277" s="21"/>
      <c r="S277" s="22">
        <f t="shared" si="36"/>
        <v>1.6519999999999999</v>
      </c>
      <c r="T277" s="6"/>
      <c r="U277" s="6"/>
      <c r="V277" s="6"/>
      <c r="W277" s="6"/>
    </row>
    <row r="278" spans="1:23" s="5" customFormat="1" ht="17.25" customHeight="1" x14ac:dyDescent="0.25">
      <c r="A278" s="17"/>
      <c r="B278" s="17"/>
      <c r="C278" s="17"/>
      <c r="D278" s="144" t="s">
        <v>982</v>
      </c>
      <c r="E278" s="19"/>
      <c r="F278" s="20"/>
      <c r="G278" s="20"/>
      <c r="H278" s="20"/>
      <c r="I278" s="20"/>
      <c r="J278" s="20"/>
      <c r="K278" s="21">
        <f t="shared" si="34"/>
        <v>0</v>
      </c>
      <c r="L278" s="21"/>
      <c r="M278" s="21"/>
      <c r="N278" s="21"/>
      <c r="O278" s="21"/>
      <c r="P278" s="21"/>
      <c r="Q278" s="21">
        <f t="shared" si="35"/>
        <v>0</v>
      </c>
      <c r="R278" s="21"/>
      <c r="S278" s="22">
        <f t="shared" si="36"/>
        <v>0</v>
      </c>
      <c r="T278" s="6"/>
      <c r="U278" s="6"/>
      <c r="V278" s="6"/>
      <c r="W278" s="6"/>
    </row>
    <row r="279" spans="1:23" s="5" customFormat="1" ht="17.25" customHeight="1" x14ac:dyDescent="0.25">
      <c r="A279" s="17"/>
      <c r="B279" s="17"/>
      <c r="C279" s="17"/>
      <c r="D279" s="125" t="s">
        <v>914</v>
      </c>
      <c r="E279" s="19" t="s">
        <v>12</v>
      </c>
      <c r="F279" s="20">
        <v>1.79</v>
      </c>
      <c r="G279" s="20"/>
      <c r="H279" s="20">
        <v>2.8</v>
      </c>
      <c r="I279" s="20"/>
      <c r="J279" s="20"/>
      <c r="K279" s="21">
        <f t="shared" si="34"/>
        <v>5.0119999999999996</v>
      </c>
      <c r="L279" s="21"/>
      <c r="M279" s="21" t="s">
        <v>1010</v>
      </c>
      <c r="N279" s="21">
        <v>1.8</v>
      </c>
      <c r="O279" s="21"/>
      <c r="P279" s="21">
        <v>2.1</v>
      </c>
      <c r="Q279" s="21">
        <f t="shared" si="35"/>
        <v>3.7800000000000002</v>
      </c>
      <c r="R279" s="21"/>
      <c r="S279" s="22">
        <f t="shared" si="36"/>
        <v>1.2319999999999993</v>
      </c>
      <c r="T279" s="6"/>
      <c r="U279" s="6"/>
      <c r="V279" s="6"/>
      <c r="W279" s="6"/>
    </row>
    <row r="280" spans="1:23" s="5" customFormat="1" ht="17.25" customHeight="1" x14ac:dyDescent="0.25">
      <c r="A280" s="17"/>
      <c r="B280" s="17"/>
      <c r="C280" s="17"/>
      <c r="D280" s="125" t="s">
        <v>915</v>
      </c>
      <c r="E280" s="19" t="s">
        <v>12</v>
      </c>
      <c r="F280" s="20">
        <v>1.36</v>
      </c>
      <c r="G280" s="20"/>
      <c r="H280" s="20">
        <v>1.5</v>
      </c>
      <c r="I280" s="20"/>
      <c r="J280" s="20"/>
      <c r="K280" s="21">
        <f t="shared" si="34"/>
        <v>2.04</v>
      </c>
      <c r="L280" s="21"/>
      <c r="M280" s="21"/>
      <c r="N280" s="21"/>
      <c r="O280" s="21"/>
      <c r="P280" s="21"/>
      <c r="Q280" s="21">
        <f t="shared" si="35"/>
        <v>0</v>
      </c>
      <c r="R280" s="21"/>
      <c r="S280" s="22">
        <f t="shared" si="36"/>
        <v>2.04</v>
      </c>
      <c r="T280" s="6"/>
      <c r="U280" s="6"/>
      <c r="V280" s="6"/>
      <c r="W280" s="6"/>
    </row>
    <row r="281" spans="1:23" s="5" customFormat="1" ht="17.25" customHeight="1" x14ac:dyDescent="0.25">
      <c r="A281" s="17"/>
      <c r="B281" s="17"/>
      <c r="C281" s="17"/>
      <c r="D281" s="125" t="s">
        <v>916</v>
      </c>
      <c r="E281" s="19" t="s">
        <v>12</v>
      </c>
      <c r="F281" s="20">
        <v>1.91</v>
      </c>
      <c r="G281" s="20"/>
      <c r="H281" s="20">
        <v>3</v>
      </c>
      <c r="I281" s="20"/>
      <c r="J281" s="20"/>
      <c r="K281" s="21">
        <f t="shared" si="34"/>
        <v>5.7299999999999995</v>
      </c>
      <c r="L281" s="21"/>
      <c r="M281" s="21" t="s">
        <v>1018</v>
      </c>
      <c r="N281" s="21">
        <v>1</v>
      </c>
      <c r="O281" s="21"/>
      <c r="P281" s="21">
        <v>2.1</v>
      </c>
      <c r="Q281" s="21">
        <f t="shared" ref="Q281" si="40">+N281*P281</f>
        <v>2.1</v>
      </c>
      <c r="R281" s="21"/>
      <c r="S281" s="22">
        <f t="shared" si="36"/>
        <v>3.6299999999999994</v>
      </c>
      <c r="T281" s="6"/>
      <c r="U281" s="6"/>
      <c r="V281" s="6"/>
      <c r="W281" s="6"/>
    </row>
    <row r="282" spans="1:23" s="5" customFormat="1" ht="17.25" customHeight="1" x14ac:dyDescent="0.25">
      <c r="A282" s="17"/>
      <c r="B282" s="17"/>
      <c r="C282" s="17"/>
      <c r="D282" s="144" t="s">
        <v>925</v>
      </c>
      <c r="E282" s="19"/>
      <c r="F282" s="20"/>
      <c r="G282" s="20"/>
      <c r="H282" s="20"/>
      <c r="I282" s="20"/>
      <c r="J282" s="20"/>
      <c r="K282" s="21">
        <f t="shared" si="34"/>
        <v>0</v>
      </c>
      <c r="L282" s="21"/>
      <c r="M282" s="21"/>
      <c r="N282" s="21"/>
      <c r="O282" s="21"/>
      <c r="P282" s="21"/>
      <c r="Q282" s="21">
        <f t="shared" si="35"/>
        <v>0</v>
      </c>
      <c r="R282" s="21"/>
      <c r="S282" s="22">
        <f t="shared" si="36"/>
        <v>0</v>
      </c>
      <c r="T282" s="6"/>
      <c r="U282" s="6"/>
      <c r="V282" s="6"/>
      <c r="W282" s="6"/>
    </row>
    <row r="283" spans="1:23" s="5" customFormat="1" ht="17.25" customHeight="1" x14ac:dyDescent="0.25">
      <c r="A283" s="17"/>
      <c r="B283" s="17"/>
      <c r="C283" s="17"/>
      <c r="D283" s="125" t="s">
        <v>917</v>
      </c>
      <c r="E283" s="19" t="s">
        <v>12</v>
      </c>
      <c r="F283" s="20">
        <v>4.3600000000000003</v>
      </c>
      <c r="G283" s="20"/>
      <c r="H283" s="20">
        <v>3</v>
      </c>
      <c r="I283" s="20"/>
      <c r="J283" s="20"/>
      <c r="K283" s="21">
        <f t="shared" si="34"/>
        <v>13.080000000000002</v>
      </c>
      <c r="L283" s="21"/>
      <c r="M283" s="21" t="s">
        <v>999</v>
      </c>
      <c r="N283" s="21">
        <v>0.9</v>
      </c>
      <c r="O283" s="21"/>
      <c r="P283" s="21">
        <v>2.1</v>
      </c>
      <c r="Q283" s="21">
        <f t="shared" ref="Q283" si="41">+N283*P283</f>
        <v>1.8900000000000001</v>
      </c>
      <c r="R283" s="21"/>
      <c r="S283" s="22">
        <f t="shared" si="36"/>
        <v>11.190000000000001</v>
      </c>
      <c r="T283" s="6"/>
      <c r="U283" s="6"/>
      <c r="V283" s="6"/>
      <c r="W283" s="6"/>
    </row>
    <row r="284" spans="1:23" s="5" customFormat="1" ht="17.25" customHeight="1" x14ac:dyDescent="0.25">
      <c r="A284" s="17"/>
      <c r="B284" s="17"/>
      <c r="C284" s="17"/>
      <c r="D284" s="125" t="s">
        <v>918</v>
      </c>
      <c r="E284" s="19" t="s">
        <v>12</v>
      </c>
      <c r="F284" s="20">
        <v>2.12</v>
      </c>
      <c r="G284" s="20"/>
      <c r="H284" s="20">
        <v>3</v>
      </c>
      <c r="I284" s="20"/>
      <c r="J284" s="20"/>
      <c r="K284" s="21">
        <f t="shared" si="34"/>
        <v>6.36</v>
      </c>
      <c r="L284" s="21"/>
      <c r="M284" s="21"/>
      <c r="N284" s="21"/>
      <c r="O284" s="21"/>
      <c r="P284" s="21"/>
      <c r="Q284" s="21">
        <f t="shared" si="35"/>
        <v>0</v>
      </c>
      <c r="R284" s="21"/>
      <c r="S284" s="22">
        <f t="shared" si="36"/>
        <v>6.36</v>
      </c>
      <c r="T284" s="6"/>
      <c r="U284" s="6"/>
      <c r="V284" s="6"/>
      <c r="W284" s="6"/>
    </row>
    <row r="285" spans="1:23" s="5" customFormat="1" ht="17.25" customHeight="1" x14ac:dyDescent="0.25">
      <c r="A285" s="17"/>
      <c r="B285" s="17"/>
      <c r="C285" s="17"/>
      <c r="D285" s="125" t="s">
        <v>919</v>
      </c>
      <c r="E285" s="19" t="s">
        <v>12</v>
      </c>
      <c r="F285" s="20">
        <v>2.57</v>
      </c>
      <c r="G285" s="20"/>
      <c r="H285" s="20">
        <v>3</v>
      </c>
      <c r="I285" s="20"/>
      <c r="J285" s="20"/>
      <c r="K285" s="21">
        <f t="shared" si="34"/>
        <v>7.7099999999999991</v>
      </c>
      <c r="L285" s="21"/>
      <c r="M285" s="21" t="s">
        <v>1001</v>
      </c>
      <c r="N285" s="21">
        <v>0.7</v>
      </c>
      <c r="O285" s="21"/>
      <c r="P285" s="21">
        <v>2.1</v>
      </c>
      <c r="Q285" s="21">
        <f t="shared" si="35"/>
        <v>1.47</v>
      </c>
      <c r="R285" s="21"/>
      <c r="S285" s="22">
        <f t="shared" si="36"/>
        <v>6.2399999999999993</v>
      </c>
      <c r="T285" s="6"/>
      <c r="U285" s="6"/>
      <c r="V285" s="6"/>
      <c r="W285" s="6"/>
    </row>
    <row r="286" spans="1:23" s="5" customFormat="1" ht="17.25" customHeight="1" x14ac:dyDescent="0.25">
      <c r="A286" s="17"/>
      <c r="B286" s="17"/>
      <c r="C286" s="17"/>
      <c r="D286" s="144" t="s">
        <v>926</v>
      </c>
      <c r="E286" s="19"/>
      <c r="F286" s="20"/>
      <c r="G286" s="20"/>
      <c r="H286" s="20"/>
      <c r="I286" s="20"/>
      <c r="J286" s="20"/>
      <c r="K286" s="21">
        <f t="shared" si="34"/>
        <v>0</v>
      </c>
      <c r="L286" s="21"/>
      <c r="M286" s="21"/>
      <c r="N286" s="21"/>
      <c r="O286" s="21"/>
      <c r="P286" s="21"/>
      <c r="Q286" s="21">
        <f t="shared" si="35"/>
        <v>0</v>
      </c>
      <c r="R286" s="21"/>
      <c r="S286" s="22">
        <f t="shared" si="36"/>
        <v>0</v>
      </c>
      <c r="T286" s="6"/>
      <c r="U286" s="6"/>
      <c r="V286" s="6"/>
      <c r="W286" s="6"/>
    </row>
    <row r="287" spans="1:23" s="5" customFormat="1" ht="17.25" customHeight="1" x14ac:dyDescent="0.25">
      <c r="A287" s="17"/>
      <c r="B287" s="17"/>
      <c r="C287" s="17"/>
      <c r="D287" s="125" t="s">
        <v>920</v>
      </c>
      <c r="E287" s="19" t="s">
        <v>12</v>
      </c>
      <c r="F287" s="20">
        <v>1.68</v>
      </c>
      <c r="G287" s="20"/>
      <c r="H287" s="20">
        <v>3</v>
      </c>
      <c r="I287" s="20"/>
      <c r="J287" s="20"/>
      <c r="K287" s="21">
        <f t="shared" si="34"/>
        <v>5.04</v>
      </c>
      <c r="L287" s="21"/>
      <c r="M287" s="21"/>
      <c r="N287" s="21"/>
      <c r="O287" s="21"/>
      <c r="P287" s="21"/>
      <c r="Q287" s="21">
        <f t="shared" si="35"/>
        <v>0</v>
      </c>
      <c r="R287" s="21"/>
      <c r="S287" s="22">
        <f t="shared" si="36"/>
        <v>5.04</v>
      </c>
      <c r="T287" s="6"/>
      <c r="U287" s="6"/>
      <c r="V287" s="6"/>
      <c r="W287" s="6"/>
    </row>
    <row r="288" spans="1:23" s="5" customFormat="1" ht="17.25" customHeight="1" x14ac:dyDescent="0.25">
      <c r="A288" s="17"/>
      <c r="B288" s="17"/>
      <c r="C288" s="17"/>
      <c r="D288" s="125" t="s">
        <v>921</v>
      </c>
      <c r="E288" s="19" t="s">
        <v>12</v>
      </c>
      <c r="F288" s="20">
        <v>3.29</v>
      </c>
      <c r="G288" s="20"/>
      <c r="H288" s="20">
        <v>3</v>
      </c>
      <c r="I288" s="20"/>
      <c r="J288" s="20"/>
      <c r="K288" s="21">
        <f t="shared" si="34"/>
        <v>9.870000000000001</v>
      </c>
      <c r="L288" s="21"/>
      <c r="M288" s="21"/>
      <c r="N288" s="21"/>
      <c r="O288" s="21"/>
      <c r="P288" s="21"/>
      <c r="Q288" s="21">
        <f t="shared" si="35"/>
        <v>0</v>
      </c>
      <c r="R288" s="21"/>
      <c r="S288" s="22">
        <f t="shared" si="36"/>
        <v>9.870000000000001</v>
      </c>
      <c r="T288" s="6"/>
      <c r="U288" s="6"/>
      <c r="V288" s="6"/>
      <c r="W288" s="6"/>
    </row>
    <row r="289" spans="1:23" s="5" customFormat="1" ht="17.25" customHeight="1" x14ac:dyDescent="0.25">
      <c r="A289" s="17"/>
      <c r="B289" s="17"/>
      <c r="C289" s="17"/>
      <c r="D289" s="147" t="s">
        <v>952</v>
      </c>
      <c r="E289" s="19"/>
      <c r="F289" s="20"/>
      <c r="G289" s="20"/>
      <c r="H289" s="20"/>
      <c r="I289" s="20"/>
      <c r="J289" s="20"/>
      <c r="K289" s="21">
        <f t="shared" si="34"/>
        <v>0</v>
      </c>
      <c r="L289" s="21"/>
      <c r="M289" s="21"/>
      <c r="N289" s="21"/>
      <c r="O289" s="21"/>
      <c r="P289" s="21"/>
      <c r="Q289" s="21">
        <f t="shared" si="35"/>
        <v>0</v>
      </c>
      <c r="R289" s="21"/>
      <c r="S289" s="22">
        <f t="shared" si="36"/>
        <v>0</v>
      </c>
      <c r="T289" s="6"/>
      <c r="U289" s="6"/>
      <c r="V289" s="6"/>
      <c r="W289" s="6"/>
    </row>
    <row r="290" spans="1:23" s="5" customFormat="1" ht="17.25" customHeight="1" x14ac:dyDescent="0.25">
      <c r="A290" s="17"/>
      <c r="B290" s="17"/>
      <c r="C290" s="17"/>
      <c r="D290" s="144" t="s">
        <v>806</v>
      </c>
      <c r="E290" s="19"/>
      <c r="F290" s="20"/>
      <c r="G290" s="20"/>
      <c r="H290" s="20"/>
      <c r="I290" s="20"/>
      <c r="J290" s="20"/>
      <c r="K290" s="21">
        <f t="shared" si="34"/>
        <v>0</v>
      </c>
      <c r="L290" s="21"/>
      <c r="M290" s="21"/>
      <c r="N290" s="21"/>
      <c r="O290" s="21"/>
      <c r="P290" s="21"/>
      <c r="Q290" s="21">
        <f t="shared" si="35"/>
        <v>0</v>
      </c>
      <c r="R290" s="21"/>
      <c r="S290" s="22">
        <f t="shared" si="36"/>
        <v>0</v>
      </c>
      <c r="T290" s="6"/>
      <c r="U290" s="6"/>
      <c r="V290" s="6"/>
      <c r="W290" s="6"/>
    </row>
    <row r="291" spans="1:23" s="5" customFormat="1" ht="17.25" customHeight="1" x14ac:dyDescent="0.25">
      <c r="A291" s="17"/>
      <c r="B291" s="17"/>
      <c r="C291" s="17"/>
      <c r="D291" s="125" t="s">
        <v>922</v>
      </c>
      <c r="E291" s="19" t="s">
        <v>12</v>
      </c>
      <c r="F291" s="20">
        <v>9.5</v>
      </c>
      <c r="G291" s="20"/>
      <c r="H291" s="20">
        <v>3</v>
      </c>
      <c r="I291" s="20"/>
      <c r="J291" s="20"/>
      <c r="K291" s="21">
        <f t="shared" si="34"/>
        <v>28.5</v>
      </c>
      <c r="L291" s="21"/>
      <c r="M291" s="21"/>
      <c r="N291" s="21"/>
      <c r="O291" s="21"/>
      <c r="P291" s="21"/>
      <c r="Q291" s="21">
        <f t="shared" si="35"/>
        <v>0</v>
      </c>
      <c r="R291" s="21"/>
      <c r="S291" s="22">
        <f t="shared" si="36"/>
        <v>28.5</v>
      </c>
      <c r="T291" s="6"/>
      <c r="U291" s="6"/>
      <c r="V291" s="6"/>
      <c r="W291" s="6"/>
    </row>
    <row r="292" spans="1:23" s="5" customFormat="1" ht="17.25" customHeight="1" x14ac:dyDescent="0.25">
      <c r="A292" s="17"/>
      <c r="B292" s="17"/>
      <c r="C292" s="17"/>
      <c r="D292" s="125" t="s">
        <v>923</v>
      </c>
      <c r="E292" s="19" t="s">
        <v>12</v>
      </c>
      <c r="F292" s="20">
        <v>1.44</v>
      </c>
      <c r="G292" s="20"/>
      <c r="H292" s="20">
        <v>2.8</v>
      </c>
      <c r="I292" s="20"/>
      <c r="J292" s="20"/>
      <c r="K292" s="21">
        <f t="shared" si="34"/>
        <v>4.032</v>
      </c>
      <c r="L292" s="21"/>
      <c r="M292" s="21"/>
      <c r="N292" s="21"/>
      <c r="O292" s="21"/>
      <c r="P292" s="21"/>
      <c r="Q292" s="21">
        <f t="shared" si="35"/>
        <v>0</v>
      </c>
      <c r="R292" s="21"/>
      <c r="S292" s="22">
        <f t="shared" si="36"/>
        <v>4.032</v>
      </c>
      <c r="T292" s="6"/>
      <c r="U292" s="6"/>
      <c r="V292" s="6"/>
      <c r="W292" s="6"/>
    </row>
    <row r="293" spans="1:23" s="5" customFormat="1" ht="17.25" customHeight="1" x14ac:dyDescent="0.25">
      <c r="A293" s="17"/>
      <c r="B293" s="17"/>
      <c r="C293" s="17"/>
      <c r="D293" s="125" t="s">
        <v>927</v>
      </c>
      <c r="E293" s="19" t="s">
        <v>12</v>
      </c>
      <c r="F293" s="20">
        <v>1.44</v>
      </c>
      <c r="G293" s="20"/>
      <c r="H293" s="20">
        <v>2.8</v>
      </c>
      <c r="I293" s="20"/>
      <c r="J293" s="20"/>
      <c r="K293" s="21">
        <f t="shared" si="34"/>
        <v>4.032</v>
      </c>
      <c r="L293" s="21"/>
      <c r="M293" s="21"/>
      <c r="N293" s="21"/>
      <c r="O293" s="21"/>
      <c r="P293" s="21"/>
      <c r="Q293" s="21">
        <f t="shared" si="35"/>
        <v>0</v>
      </c>
      <c r="R293" s="21"/>
      <c r="S293" s="22">
        <f t="shared" si="36"/>
        <v>4.032</v>
      </c>
      <c r="T293" s="6"/>
      <c r="U293" s="6"/>
      <c r="V293" s="6"/>
      <c r="W293" s="6"/>
    </row>
    <row r="294" spans="1:23" s="5" customFormat="1" ht="17.25" customHeight="1" x14ac:dyDescent="0.25">
      <c r="A294" s="17"/>
      <c r="B294" s="17"/>
      <c r="C294" s="17"/>
      <c r="D294" s="125" t="s">
        <v>928</v>
      </c>
      <c r="E294" s="19" t="s">
        <v>12</v>
      </c>
      <c r="F294" s="20">
        <v>1.5</v>
      </c>
      <c r="G294" s="20"/>
      <c r="H294" s="20">
        <v>3</v>
      </c>
      <c r="I294" s="20"/>
      <c r="J294" s="20"/>
      <c r="K294" s="21">
        <f t="shared" si="34"/>
        <v>4.5</v>
      </c>
      <c r="L294" s="21"/>
      <c r="M294" s="21" t="s">
        <v>1001</v>
      </c>
      <c r="N294" s="21">
        <v>0.7</v>
      </c>
      <c r="O294" s="21"/>
      <c r="P294" s="21">
        <v>2.1</v>
      </c>
      <c r="Q294" s="21">
        <f t="shared" ref="Q294" si="42">+N294*P294</f>
        <v>1.47</v>
      </c>
      <c r="R294" s="21"/>
      <c r="S294" s="22">
        <f t="shared" si="36"/>
        <v>3.0300000000000002</v>
      </c>
      <c r="T294" s="6"/>
      <c r="U294" s="6"/>
      <c r="V294" s="6"/>
      <c r="W294" s="6"/>
    </row>
    <row r="295" spans="1:23" s="5" customFormat="1" ht="17.25" customHeight="1" x14ac:dyDescent="0.25">
      <c r="A295" s="17"/>
      <c r="B295" s="17"/>
      <c r="C295" s="17"/>
      <c r="D295" s="125" t="s">
        <v>929</v>
      </c>
      <c r="E295" s="19" t="s">
        <v>12</v>
      </c>
      <c r="F295" s="20">
        <v>1.5</v>
      </c>
      <c r="G295" s="20"/>
      <c r="H295" s="20">
        <v>3</v>
      </c>
      <c r="I295" s="20"/>
      <c r="J295" s="20"/>
      <c r="K295" s="21">
        <f t="shared" si="34"/>
        <v>4.5</v>
      </c>
      <c r="L295" s="21"/>
      <c r="M295" s="21"/>
      <c r="N295" s="21"/>
      <c r="O295" s="21"/>
      <c r="P295" s="21"/>
      <c r="Q295" s="21">
        <f t="shared" si="35"/>
        <v>0</v>
      </c>
      <c r="R295" s="21"/>
      <c r="S295" s="22">
        <f t="shared" si="36"/>
        <v>4.5</v>
      </c>
      <c r="T295" s="6"/>
      <c r="U295" s="6"/>
      <c r="V295" s="6"/>
      <c r="W295" s="6"/>
    </row>
    <row r="296" spans="1:23" s="5" customFormat="1" ht="17.25" customHeight="1" x14ac:dyDescent="0.25">
      <c r="A296" s="17"/>
      <c r="B296" s="17"/>
      <c r="C296" s="17"/>
      <c r="D296" s="125" t="s">
        <v>930</v>
      </c>
      <c r="E296" s="19" t="s">
        <v>12</v>
      </c>
      <c r="F296" s="20">
        <v>1.27</v>
      </c>
      <c r="G296" s="20"/>
      <c r="H296" s="20">
        <v>2.8</v>
      </c>
      <c r="I296" s="20"/>
      <c r="J296" s="20"/>
      <c r="K296" s="21">
        <f t="shared" si="34"/>
        <v>3.5559999999999996</v>
      </c>
      <c r="L296" s="21"/>
      <c r="M296" s="21"/>
      <c r="N296" s="21"/>
      <c r="O296" s="21"/>
      <c r="P296" s="21"/>
      <c r="Q296" s="21">
        <f t="shared" si="35"/>
        <v>0</v>
      </c>
      <c r="R296" s="21"/>
      <c r="S296" s="22">
        <f t="shared" si="36"/>
        <v>3.5559999999999996</v>
      </c>
      <c r="T296" s="6"/>
      <c r="U296" s="6"/>
      <c r="V296" s="6"/>
      <c r="W296" s="6"/>
    </row>
    <row r="297" spans="1:23" s="5" customFormat="1" ht="17.25" customHeight="1" x14ac:dyDescent="0.25">
      <c r="A297" s="17"/>
      <c r="B297" s="17"/>
      <c r="C297" s="17"/>
      <c r="D297" s="125" t="s">
        <v>931</v>
      </c>
      <c r="E297" s="19" t="s">
        <v>12</v>
      </c>
      <c r="F297" s="20">
        <v>3.22</v>
      </c>
      <c r="G297" s="20"/>
      <c r="H297" s="20">
        <v>2.8</v>
      </c>
      <c r="I297" s="20"/>
      <c r="J297" s="20"/>
      <c r="K297" s="21">
        <f t="shared" si="34"/>
        <v>9.016</v>
      </c>
      <c r="L297" s="21"/>
      <c r="M297" s="21"/>
      <c r="N297" s="21"/>
      <c r="O297" s="21"/>
      <c r="P297" s="21"/>
      <c r="Q297" s="21">
        <f t="shared" si="35"/>
        <v>0</v>
      </c>
      <c r="R297" s="21"/>
      <c r="S297" s="22">
        <f t="shared" si="36"/>
        <v>9.016</v>
      </c>
      <c r="T297" s="6"/>
      <c r="U297" s="6"/>
      <c r="V297" s="6"/>
      <c r="W297" s="6"/>
    </row>
    <row r="298" spans="1:23" s="5" customFormat="1" ht="17.25" customHeight="1" x14ac:dyDescent="0.25">
      <c r="A298" s="17"/>
      <c r="B298" s="17"/>
      <c r="C298" s="17"/>
      <c r="D298" s="125" t="s">
        <v>932</v>
      </c>
      <c r="E298" s="19" t="s">
        <v>12</v>
      </c>
      <c r="F298" s="20">
        <v>1.1599999999999999</v>
      </c>
      <c r="G298" s="20"/>
      <c r="H298" s="20">
        <v>3</v>
      </c>
      <c r="I298" s="20"/>
      <c r="J298" s="20"/>
      <c r="K298" s="21">
        <f t="shared" si="34"/>
        <v>3.4799999999999995</v>
      </c>
      <c r="L298" s="21"/>
      <c r="M298" s="21"/>
      <c r="N298" s="21"/>
      <c r="O298" s="21"/>
      <c r="P298" s="21"/>
      <c r="Q298" s="21">
        <f t="shared" si="35"/>
        <v>0</v>
      </c>
      <c r="R298" s="21"/>
      <c r="S298" s="22">
        <f t="shared" si="36"/>
        <v>3.4799999999999995</v>
      </c>
      <c r="T298" s="6"/>
      <c r="U298" s="6"/>
      <c r="V298" s="6"/>
      <c r="W298" s="6"/>
    </row>
    <row r="299" spans="1:23" s="5" customFormat="1" ht="17.25" customHeight="1" x14ac:dyDescent="0.25">
      <c r="A299" s="17"/>
      <c r="B299" s="17"/>
      <c r="C299" s="17"/>
      <c r="D299" s="125" t="s">
        <v>933</v>
      </c>
      <c r="E299" s="19" t="s">
        <v>12</v>
      </c>
      <c r="F299" s="20">
        <v>1.34</v>
      </c>
      <c r="G299" s="20"/>
      <c r="H299" s="20">
        <v>3</v>
      </c>
      <c r="I299" s="20"/>
      <c r="J299" s="20"/>
      <c r="K299" s="21">
        <f t="shared" si="34"/>
        <v>4.0200000000000005</v>
      </c>
      <c r="L299" s="21"/>
      <c r="M299" s="21"/>
      <c r="N299" s="21"/>
      <c r="O299" s="21"/>
      <c r="P299" s="21"/>
      <c r="Q299" s="21">
        <f t="shared" si="35"/>
        <v>0</v>
      </c>
      <c r="R299" s="21"/>
      <c r="S299" s="22">
        <f t="shared" si="36"/>
        <v>4.0200000000000005</v>
      </c>
      <c r="T299" s="6"/>
      <c r="U299" s="6"/>
      <c r="V299" s="6"/>
      <c r="W299" s="6"/>
    </row>
    <row r="300" spans="1:23" s="5" customFormat="1" ht="17.25" customHeight="1" x14ac:dyDescent="0.25">
      <c r="A300" s="17"/>
      <c r="B300" s="17"/>
      <c r="C300" s="17"/>
      <c r="D300" s="125" t="s">
        <v>934</v>
      </c>
      <c r="E300" s="19" t="s">
        <v>12</v>
      </c>
      <c r="F300" s="20">
        <v>3.14</v>
      </c>
      <c r="G300" s="20"/>
      <c r="H300" s="20">
        <v>3</v>
      </c>
      <c r="I300" s="20"/>
      <c r="J300" s="20"/>
      <c r="K300" s="21">
        <f t="shared" si="34"/>
        <v>9.42</v>
      </c>
      <c r="L300" s="21"/>
      <c r="M300" s="21" t="s">
        <v>999</v>
      </c>
      <c r="N300" s="21">
        <v>0.9</v>
      </c>
      <c r="O300" s="21"/>
      <c r="P300" s="21">
        <v>2.1</v>
      </c>
      <c r="Q300" s="21">
        <f t="shared" si="35"/>
        <v>1.8900000000000001</v>
      </c>
      <c r="R300" s="21"/>
      <c r="S300" s="22">
        <f t="shared" si="36"/>
        <v>7.5299999999999994</v>
      </c>
      <c r="T300" s="6"/>
      <c r="U300" s="6"/>
      <c r="V300" s="6"/>
      <c r="W300" s="6"/>
    </row>
    <row r="301" spans="1:23" s="5" customFormat="1" ht="17.25" customHeight="1" x14ac:dyDescent="0.25">
      <c r="A301" s="17"/>
      <c r="B301" s="17"/>
      <c r="C301" s="17"/>
      <c r="D301" s="125" t="s">
        <v>935</v>
      </c>
      <c r="E301" s="19" t="s">
        <v>12</v>
      </c>
      <c r="F301" s="20">
        <v>2.17</v>
      </c>
      <c r="G301" s="20"/>
      <c r="H301" s="20">
        <v>2.8</v>
      </c>
      <c r="I301" s="20"/>
      <c r="J301" s="20"/>
      <c r="K301" s="21">
        <f t="shared" si="34"/>
        <v>6.0759999999999996</v>
      </c>
      <c r="L301" s="21"/>
      <c r="M301" s="21" t="s">
        <v>999</v>
      </c>
      <c r="N301" s="21">
        <v>0.9</v>
      </c>
      <c r="O301" s="21"/>
      <c r="P301" s="21">
        <v>2.1</v>
      </c>
      <c r="Q301" s="21">
        <f t="shared" ref="Q301" si="43">+N301*P301</f>
        <v>1.8900000000000001</v>
      </c>
      <c r="R301" s="21"/>
      <c r="S301" s="22">
        <f t="shared" si="36"/>
        <v>4.1859999999999999</v>
      </c>
      <c r="T301" s="6"/>
      <c r="U301" s="6"/>
      <c r="V301" s="6"/>
      <c r="W301" s="6"/>
    </row>
    <row r="302" spans="1:23" s="5" customFormat="1" ht="17.25" customHeight="1" x14ac:dyDescent="0.25">
      <c r="A302" s="17"/>
      <c r="B302" s="17"/>
      <c r="C302" s="17"/>
      <c r="D302" s="125" t="s">
        <v>936</v>
      </c>
      <c r="E302" s="19" t="s">
        <v>12</v>
      </c>
      <c r="F302" s="20">
        <v>1.34</v>
      </c>
      <c r="G302" s="20"/>
      <c r="H302" s="20">
        <v>3</v>
      </c>
      <c r="I302" s="20"/>
      <c r="J302" s="20"/>
      <c r="K302" s="21">
        <f t="shared" si="34"/>
        <v>4.0200000000000005</v>
      </c>
      <c r="L302" s="21"/>
      <c r="M302" s="21"/>
      <c r="N302" s="21"/>
      <c r="O302" s="21"/>
      <c r="P302" s="21"/>
      <c r="Q302" s="21">
        <f t="shared" si="35"/>
        <v>0</v>
      </c>
      <c r="R302" s="21"/>
      <c r="S302" s="22">
        <f t="shared" si="36"/>
        <v>4.0200000000000005</v>
      </c>
      <c r="T302" s="6"/>
      <c r="U302" s="6"/>
      <c r="V302" s="6"/>
      <c r="W302" s="6"/>
    </row>
    <row r="303" spans="1:23" s="5" customFormat="1" ht="17.25" customHeight="1" x14ac:dyDescent="0.25">
      <c r="A303" s="17"/>
      <c r="B303" s="17"/>
      <c r="C303" s="17"/>
      <c r="D303" s="125" t="s">
        <v>937</v>
      </c>
      <c r="E303" s="19" t="s">
        <v>12</v>
      </c>
      <c r="F303" s="20">
        <v>4.3</v>
      </c>
      <c r="G303" s="20"/>
      <c r="H303" s="20">
        <v>3</v>
      </c>
      <c r="I303" s="20"/>
      <c r="J303" s="20"/>
      <c r="K303" s="21">
        <f t="shared" si="34"/>
        <v>12.899999999999999</v>
      </c>
      <c r="L303" s="21"/>
      <c r="M303" s="21"/>
      <c r="N303" s="21"/>
      <c r="O303" s="21"/>
      <c r="P303" s="21"/>
      <c r="Q303" s="21">
        <f t="shared" si="35"/>
        <v>0</v>
      </c>
      <c r="R303" s="21"/>
      <c r="S303" s="22">
        <f t="shared" si="36"/>
        <v>12.899999999999999</v>
      </c>
      <c r="T303" s="6"/>
      <c r="U303" s="6"/>
      <c r="V303" s="6"/>
      <c r="W303" s="6"/>
    </row>
    <row r="304" spans="1:23" s="5" customFormat="1" ht="17.25" customHeight="1" x14ac:dyDescent="0.25">
      <c r="A304" s="17"/>
      <c r="B304" s="17"/>
      <c r="C304" s="17"/>
      <c r="D304" s="125" t="s">
        <v>938</v>
      </c>
      <c r="E304" s="19" t="s">
        <v>12</v>
      </c>
      <c r="F304" s="20">
        <v>0.56000000000000005</v>
      </c>
      <c r="G304" s="20"/>
      <c r="H304" s="20">
        <v>2.8</v>
      </c>
      <c r="I304" s="20"/>
      <c r="J304" s="20"/>
      <c r="K304" s="21">
        <f t="shared" si="34"/>
        <v>1.5680000000000001</v>
      </c>
      <c r="L304" s="21"/>
      <c r="M304" s="21"/>
      <c r="N304" s="21"/>
      <c r="O304" s="21"/>
      <c r="P304" s="21"/>
      <c r="Q304" s="21">
        <f t="shared" si="35"/>
        <v>0</v>
      </c>
      <c r="R304" s="21"/>
      <c r="S304" s="22">
        <f t="shared" si="36"/>
        <v>1.5680000000000001</v>
      </c>
      <c r="T304" s="6"/>
      <c r="U304" s="6"/>
      <c r="V304" s="6"/>
      <c r="W304" s="6"/>
    </row>
    <row r="305" spans="1:23" s="5" customFormat="1" ht="17.25" customHeight="1" x14ac:dyDescent="0.25">
      <c r="A305" s="17"/>
      <c r="B305" s="17"/>
      <c r="C305" s="17"/>
      <c r="D305" s="125" t="s">
        <v>939</v>
      </c>
      <c r="E305" s="19" t="s">
        <v>12</v>
      </c>
      <c r="F305" s="20">
        <v>0.56000000000000005</v>
      </c>
      <c r="G305" s="20"/>
      <c r="H305" s="20">
        <v>2.8</v>
      </c>
      <c r="I305" s="20"/>
      <c r="J305" s="20"/>
      <c r="K305" s="21">
        <f t="shared" si="34"/>
        <v>1.5680000000000001</v>
      </c>
      <c r="L305" s="21"/>
      <c r="M305" s="21"/>
      <c r="N305" s="21"/>
      <c r="O305" s="21"/>
      <c r="P305" s="21"/>
      <c r="Q305" s="21">
        <f t="shared" si="35"/>
        <v>0</v>
      </c>
      <c r="R305" s="21"/>
      <c r="S305" s="22">
        <f t="shared" si="36"/>
        <v>1.5680000000000001</v>
      </c>
      <c r="T305" s="6"/>
      <c r="U305" s="6"/>
      <c r="V305" s="6"/>
      <c r="W305" s="6"/>
    </row>
    <row r="306" spans="1:23" s="5" customFormat="1" ht="17.25" customHeight="1" x14ac:dyDescent="0.25">
      <c r="A306" s="17"/>
      <c r="B306" s="17"/>
      <c r="C306" s="17"/>
      <c r="D306" s="125" t="s">
        <v>940</v>
      </c>
      <c r="E306" s="19" t="s">
        <v>12</v>
      </c>
      <c r="F306" s="20">
        <v>2.99</v>
      </c>
      <c r="G306" s="20"/>
      <c r="H306" s="20">
        <v>2.8</v>
      </c>
      <c r="I306" s="20"/>
      <c r="J306" s="20"/>
      <c r="K306" s="21">
        <f t="shared" si="34"/>
        <v>8.3719999999999999</v>
      </c>
      <c r="L306" s="21"/>
      <c r="M306" s="21"/>
      <c r="N306" s="21"/>
      <c r="O306" s="21"/>
      <c r="P306" s="21"/>
      <c r="Q306" s="21">
        <f t="shared" si="35"/>
        <v>0</v>
      </c>
      <c r="R306" s="21"/>
      <c r="S306" s="22">
        <f t="shared" si="36"/>
        <v>8.3719999999999999</v>
      </c>
      <c r="T306" s="6"/>
      <c r="U306" s="6"/>
      <c r="V306" s="6"/>
      <c r="W306" s="6"/>
    </row>
    <row r="307" spans="1:23" s="5" customFormat="1" ht="17.25" customHeight="1" x14ac:dyDescent="0.25">
      <c r="A307" s="17"/>
      <c r="B307" s="17"/>
      <c r="C307" s="17"/>
      <c r="D307" s="125" t="s">
        <v>941</v>
      </c>
      <c r="E307" s="19" t="s">
        <v>12</v>
      </c>
      <c r="F307" s="20">
        <v>0.56000000000000005</v>
      </c>
      <c r="G307" s="20"/>
      <c r="H307" s="20">
        <v>2.8</v>
      </c>
      <c r="I307" s="20"/>
      <c r="J307" s="20"/>
      <c r="K307" s="21">
        <f t="shared" si="34"/>
        <v>1.5680000000000001</v>
      </c>
      <c r="L307" s="21"/>
      <c r="M307" s="21"/>
      <c r="N307" s="21"/>
      <c r="O307" s="21"/>
      <c r="P307" s="21"/>
      <c r="Q307" s="21">
        <f t="shared" si="35"/>
        <v>0</v>
      </c>
      <c r="R307" s="21"/>
      <c r="S307" s="22">
        <f t="shared" si="36"/>
        <v>1.5680000000000001</v>
      </c>
      <c r="T307" s="6"/>
      <c r="U307" s="6"/>
      <c r="V307" s="6"/>
      <c r="W307" s="6"/>
    </row>
    <row r="308" spans="1:23" s="5" customFormat="1" ht="17.25" customHeight="1" x14ac:dyDescent="0.25">
      <c r="A308" s="17"/>
      <c r="B308" s="17"/>
      <c r="C308" s="17"/>
      <c r="D308" s="125" t="s">
        <v>942</v>
      </c>
      <c r="E308" s="19" t="s">
        <v>12</v>
      </c>
      <c r="F308" s="20">
        <v>10.53</v>
      </c>
      <c r="G308" s="20"/>
      <c r="H308" s="20">
        <v>3</v>
      </c>
      <c r="I308" s="20"/>
      <c r="J308" s="20"/>
      <c r="K308" s="21">
        <f t="shared" si="34"/>
        <v>31.589999999999996</v>
      </c>
      <c r="L308" s="21"/>
      <c r="M308" s="21" t="s">
        <v>1005</v>
      </c>
      <c r="N308" s="21">
        <v>1</v>
      </c>
      <c r="O308" s="21"/>
      <c r="P308" s="21">
        <v>2.1</v>
      </c>
      <c r="Q308" s="21">
        <f t="shared" si="35"/>
        <v>2.1</v>
      </c>
      <c r="R308" s="21"/>
      <c r="S308" s="22"/>
      <c r="T308" s="6"/>
      <c r="U308" s="6"/>
      <c r="V308" s="6"/>
      <c r="W308" s="6"/>
    </row>
    <row r="309" spans="1:23" s="5" customFormat="1" ht="17.25" customHeight="1" x14ac:dyDescent="0.25">
      <c r="A309" s="17"/>
      <c r="B309" s="17"/>
      <c r="C309" s="17"/>
      <c r="D309" s="125"/>
      <c r="E309" s="19"/>
      <c r="F309" s="20"/>
      <c r="G309" s="20"/>
      <c r="H309" s="20"/>
      <c r="I309" s="20"/>
      <c r="J309" s="20"/>
      <c r="K309" s="21"/>
      <c r="L309" s="21"/>
      <c r="M309" s="21" t="s">
        <v>1005</v>
      </c>
      <c r="N309" s="21">
        <v>1</v>
      </c>
      <c r="O309" s="21"/>
      <c r="P309" s="21">
        <v>2.1</v>
      </c>
      <c r="Q309" s="21">
        <f t="shared" si="35"/>
        <v>2.1</v>
      </c>
      <c r="R309" s="21"/>
      <c r="S309" s="22"/>
      <c r="T309" s="6"/>
      <c r="U309" s="6"/>
      <c r="V309" s="6"/>
      <c r="W309" s="6"/>
    </row>
    <row r="310" spans="1:23" s="5" customFormat="1" ht="17.25" customHeight="1" x14ac:dyDescent="0.25">
      <c r="A310" s="17"/>
      <c r="B310" s="17"/>
      <c r="C310" s="17"/>
      <c r="D310" s="125"/>
      <c r="E310" s="19"/>
      <c r="F310" s="20"/>
      <c r="G310" s="20"/>
      <c r="H310" s="20"/>
      <c r="I310" s="20"/>
      <c r="J310" s="20"/>
      <c r="K310" s="21"/>
      <c r="L310" s="21"/>
      <c r="M310" s="21" t="s">
        <v>1005</v>
      </c>
      <c r="N310" s="21">
        <v>1</v>
      </c>
      <c r="O310" s="21"/>
      <c r="P310" s="21">
        <v>2.1</v>
      </c>
      <c r="Q310" s="21">
        <f t="shared" ref="Q310" si="44">+N310*P310</f>
        <v>2.1</v>
      </c>
      <c r="R310" s="21"/>
      <c r="S310" s="22"/>
      <c r="T310" s="6"/>
      <c r="U310" s="6"/>
      <c r="V310" s="6"/>
      <c r="W310" s="6"/>
    </row>
    <row r="311" spans="1:23" s="5" customFormat="1" ht="17.25" customHeight="1" x14ac:dyDescent="0.25">
      <c r="A311" s="17"/>
      <c r="B311" s="17"/>
      <c r="C311" s="17"/>
      <c r="D311" s="125"/>
      <c r="E311" s="19"/>
      <c r="F311" s="20"/>
      <c r="G311" s="20"/>
      <c r="H311" s="20"/>
      <c r="I311" s="20"/>
      <c r="J311" s="20"/>
      <c r="K311" s="21"/>
      <c r="L311" s="21"/>
      <c r="M311" s="21"/>
      <c r="N311" s="21"/>
      <c r="O311" s="21"/>
      <c r="P311" s="21"/>
      <c r="Q311" s="21"/>
      <c r="R311" s="21"/>
      <c r="S311" s="22">
        <f>+K308-(Q308+Q309+Q310)</f>
        <v>25.289999999999996</v>
      </c>
      <c r="T311" s="6"/>
      <c r="U311" s="6"/>
      <c r="V311" s="6"/>
      <c r="W311" s="6"/>
    </row>
    <row r="312" spans="1:23" s="5" customFormat="1" ht="17.25" customHeight="1" x14ac:dyDescent="0.25">
      <c r="A312" s="17"/>
      <c r="B312" s="17"/>
      <c r="C312" s="17"/>
      <c r="D312" s="125" t="s">
        <v>943</v>
      </c>
      <c r="E312" s="19" t="s">
        <v>12</v>
      </c>
      <c r="F312" s="20">
        <v>1.5</v>
      </c>
      <c r="G312" s="20"/>
      <c r="H312" s="20">
        <v>3</v>
      </c>
      <c r="I312" s="20"/>
      <c r="J312" s="20"/>
      <c r="K312" s="21">
        <f t="shared" si="34"/>
        <v>4.5</v>
      </c>
      <c r="L312" s="21"/>
      <c r="M312" s="21"/>
      <c r="N312" s="21"/>
      <c r="O312" s="21"/>
      <c r="P312" s="21"/>
      <c r="Q312" s="21">
        <f t="shared" si="35"/>
        <v>0</v>
      </c>
      <c r="R312" s="21"/>
      <c r="S312" s="22">
        <f t="shared" si="36"/>
        <v>4.5</v>
      </c>
      <c r="T312" s="6"/>
      <c r="U312" s="6"/>
      <c r="V312" s="6"/>
      <c r="W312" s="6"/>
    </row>
    <row r="313" spans="1:23" s="5" customFormat="1" ht="17.25" customHeight="1" x14ac:dyDescent="0.25">
      <c r="A313" s="17"/>
      <c r="B313" s="17"/>
      <c r="C313" s="17"/>
      <c r="D313" s="125" t="s">
        <v>944</v>
      </c>
      <c r="E313" s="19" t="s">
        <v>12</v>
      </c>
      <c r="F313" s="20">
        <v>1.4</v>
      </c>
      <c r="G313" s="20"/>
      <c r="H313" s="20">
        <v>3</v>
      </c>
      <c r="I313" s="20"/>
      <c r="J313" s="20"/>
      <c r="K313" s="21">
        <f t="shared" si="34"/>
        <v>4.1999999999999993</v>
      </c>
      <c r="L313" s="21"/>
      <c r="M313" s="21" t="s">
        <v>1001</v>
      </c>
      <c r="N313" s="21">
        <v>0.7</v>
      </c>
      <c r="O313" s="21"/>
      <c r="P313" s="21">
        <v>2.1</v>
      </c>
      <c r="Q313" s="21">
        <f t="shared" si="35"/>
        <v>1.47</v>
      </c>
      <c r="R313" s="21"/>
      <c r="S313" s="22">
        <f t="shared" si="36"/>
        <v>2.7299999999999995</v>
      </c>
      <c r="T313" s="6"/>
      <c r="U313" s="6"/>
      <c r="V313" s="6"/>
      <c r="W313" s="6"/>
    </row>
    <row r="314" spans="1:23" s="5" customFormat="1" ht="17.25" customHeight="1" x14ac:dyDescent="0.25">
      <c r="A314" s="17"/>
      <c r="B314" s="17"/>
      <c r="C314" s="17"/>
      <c r="D314" s="125" t="s">
        <v>945</v>
      </c>
      <c r="E314" s="19" t="s">
        <v>12</v>
      </c>
      <c r="F314" s="20">
        <v>1.5</v>
      </c>
      <c r="G314" s="20"/>
      <c r="H314" s="20">
        <v>3</v>
      </c>
      <c r="I314" s="20"/>
      <c r="J314" s="20"/>
      <c r="K314" s="21">
        <f t="shared" si="34"/>
        <v>4.5</v>
      </c>
      <c r="L314" s="21"/>
      <c r="M314" s="21"/>
      <c r="N314" s="21"/>
      <c r="O314" s="21"/>
      <c r="P314" s="21"/>
      <c r="Q314" s="21">
        <f t="shared" si="35"/>
        <v>0</v>
      </c>
      <c r="R314" s="21"/>
      <c r="S314" s="22">
        <f t="shared" si="36"/>
        <v>4.5</v>
      </c>
      <c r="T314" s="6"/>
      <c r="U314" s="6"/>
      <c r="V314" s="6"/>
      <c r="W314" s="6"/>
    </row>
    <row r="315" spans="1:23" s="5" customFormat="1" ht="17.25" customHeight="1" x14ac:dyDescent="0.25">
      <c r="A315" s="17"/>
      <c r="B315" s="17"/>
      <c r="C315" s="17"/>
      <c r="D315" s="125" t="s">
        <v>946</v>
      </c>
      <c r="E315" s="19" t="s">
        <v>12</v>
      </c>
      <c r="F315" s="20">
        <v>1.18</v>
      </c>
      <c r="G315" s="20"/>
      <c r="H315" s="20">
        <v>2.8</v>
      </c>
      <c r="I315" s="20"/>
      <c r="J315" s="20"/>
      <c r="K315" s="21">
        <f t="shared" si="34"/>
        <v>3.3039999999999998</v>
      </c>
      <c r="L315" s="21"/>
      <c r="M315" s="21"/>
      <c r="N315" s="21"/>
      <c r="O315" s="21"/>
      <c r="P315" s="21"/>
      <c r="Q315" s="21">
        <f t="shared" si="35"/>
        <v>0</v>
      </c>
      <c r="R315" s="21"/>
      <c r="S315" s="22">
        <f t="shared" si="36"/>
        <v>3.3039999999999998</v>
      </c>
      <c r="T315" s="6"/>
      <c r="U315" s="6"/>
      <c r="V315" s="6"/>
      <c r="W315" s="6"/>
    </row>
    <row r="316" spans="1:23" s="5" customFormat="1" ht="17.25" customHeight="1" x14ac:dyDescent="0.25">
      <c r="A316" s="17"/>
      <c r="B316" s="17"/>
      <c r="C316" s="17"/>
      <c r="D316" s="125" t="s">
        <v>947</v>
      </c>
      <c r="E316" s="19" t="s">
        <v>12</v>
      </c>
      <c r="F316" s="20">
        <v>2.99</v>
      </c>
      <c r="G316" s="20"/>
      <c r="H316" s="20">
        <v>2.8</v>
      </c>
      <c r="I316" s="20"/>
      <c r="J316" s="20"/>
      <c r="K316" s="21">
        <f t="shared" si="34"/>
        <v>8.3719999999999999</v>
      </c>
      <c r="L316" s="21"/>
      <c r="M316" s="21"/>
      <c r="N316" s="21"/>
      <c r="O316" s="21"/>
      <c r="P316" s="21"/>
      <c r="Q316" s="21">
        <f t="shared" si="35"/>
        <v>0</v>
      </c>
      <c r="R316" s="21"/>
      <c r="S316" s="22">
        <f t="shared" si="36"/>
        <v>8.3719999999999999</v>
      </c>
      <c r="T316" s="6"/>
      <c r="U316" s="6"/>
      <c r="V316" s="6"/>
      <c r="W316" s="6"/>
    </row>
    <row r="317" spans="1:23" s="5" customFormat="1" ht="17.25" customHeight="1" x14ac:dyDescent="0.25">
      <c r="A317" s="17"/>
      <c r="B317" s="17"/>
      <c r="C317" s="17"/>
      <c r="D317" s="144" t="s">
        <v>953</v>
      </c>
      <c r="E317" s="19"/>
      <c r="F317" s="20"/>
      <c r="G317" s="20"/>
      <c r="H317" s="20"/>
      <c r="I317" s="20"/>
      <c r="J317" s="20"/>
      <c r="K317" s="21">
        <f t="shared" si="34"/>
        <v>0</v>
      </c>
      <c r="L317" s="21"/>
      <c r="M317" s="21"/>
      <c r="N317" s="21"/>
      <c r="O317" s="21"/>
      <c r="P317" s="21"/>
      <c r="Q317" s="21">
        <f t="shared" si="35"/>
        <v>0</v>
      </c>
      <c r="R317" s="21"/>
      <c r="S317" s="22">
        <f t="shared" si="36"/>
        <v>0</v>
      </c>
      <c r="T317" s="6"/>
      <c r="U317" s="6"/>
      <c r="V317" s="6"/>
      <c r="W317" s="6"/>
    </row>
    <row r="318" spans="1:23" s="5" customFormat="1" ht="17.25" customHeight="1" x14ac:dyDescent="0.25">
      <c r="A318" s="17"/>
      <c r="B318" s="17"/>
      <c r="C318" s="17"/>
      <c r="D318" s="125" t="s">
        <v>948</v>
      </c>
      <c r="E318" s="19" t="s">
        <v>12</v>
      </c>
      <c r="F318" s="20">
        <v>5.59</v>
      </c>
      <c r="G318" s="20"/>
      <c r="H318" s="20">
        <v>2.8</v>
      </c>
      <c r="I318" s="20"/>
      <c r="J318" s="20"/>
      <c r="K318" s="21">
        <f t="shared" si="34"/>
        <v>15.651999999999999</v>
      </c>
      <c r="L318" s="21"/>
      <c r="M318" s="21" t="s">
        <v>1004</v>
      </c>
      <c r="N318" s="21">
        <v>1</v>
      </c>
      <c r="O318" s="21"/>
      <c r="P318" s="21">
        <v>0.4</v>
      </c>
      <c r="Q318" s="21">
        <f t="shared" ref="Q318" si="45">+N318*P318</f>
        <v>0.4</v>
      </c>
      <c r="R318" s="21"/>
      <c r="S318" s="22">
        <f t="shared" si="36"/>
        <v>15.251999999999999</v>
      </c>
      <c r="T318" s="6"/>
      <c r="U318" s="6"/>
      <c r="V318" s="6"/>
      <c r="W318" s="6"/>
    </row>
    <row r="319" spans="1:23" s="5" customFormat="1" ht="17.25" customHeight="1" x14ac:dyDescent="0.25">
      <c r="A319" s="17"/>
      <c r="B319" s="17"/>
      <c r="C319" s="17"/>
      <c r="D319" s="125" t="s">
        <v>949</v>
      </c>
      <c r="E319" s="19" t="s">
        <v>12</v>
      </c>
      <c r="F319" s="20">
        <v>3.64</v>
      </c>
      <c r="G319" s="20"/>
      <c r="H319" s="20">
        <v>2.8</v>
      </c>
      <c r="I319" s="20"/>
      <c r="J319" s="20"/>
      <c r="K319" s="21">
        <f t="shared" ref="K319:K361" si="46">+F319*H319</f>
        <v>10.192</v>
      </c>
      <c r="L319" s="21"/>
      <c r="M319" s="21" t="s">
        <v>1004</v>
      </c>
      <c r="N319" s="21">
        <v>1</v>
      </c>
      <c r="O319" s="21"/>
      <c r="P319" s="21">
        <v>0.4</v>
      </c>
      <c r="Q319" s="21">
        <f t="shared" ref="Q319:Q320" si="47">+N319*P319</f>
        <v>0.4</v>
      </c>
      <c r="R319" s="21"/>
      <c r="S319" s="22"/>
      <c r="T319" s="6"/>
      <c r="U319" s="6"/>
      <c r="V319" s="6"/>
      <c r="W319" s="6"/>
    </row>
    <row r="320" spans="1:23" s="5" customFormat="1" ht="17.25" customHeight="1" x14ac:dyDescent="0.25">
      <c r="A320" s="17"/>
      <c r="B320" s="17"/>
      <c r="C320" s="17"/>
      <c r="D320" s="125"/>
      <c r="E320" s="19"/>
      <c r="F320" s="20"/>
      <c r="G320" s="20"/>
      <c r="H320" s="20"/>
      <c r="I320" s="20"/>
      <c r="J320" s="20"/>
      <c r="K320" s="21"/>
      <c r="L320" s="21"/>
      <c r="M320" s="21" t="s">
        <v>1004</v>
      </c>
      <c r="N320" s="21">
        <v>1</v>
      </c>
      <c r="O320" s="21"/>
      <c r="P320" s="21">
        <v>0.4</v>
      </c>
      <c r="Q320" s="21">
        <f t="shared" si="47"/>
        <v>0.4</v>
      </c>
      <c r="R320" s="21"/>
      <c r="S320" s="22"/>
      <c r="T320" s="6"/>
      <c r="U320" s="6"/>
      <c r="V320" s="6"/>
      <c r="W320" s="6"/>
    </row>
    <row r="321" spans="1:23" s="5" customFormat="1" ht="17.25" customHeight="1" x14ac:dyDescent="0.25">
      <c r="A321" s="17"/>
      <c r="B321" s="17"/>
      <c r="C321" s="17"/>
      <c r="D321" s="125"/>
      <c r="E321" s="19"/>
      <c r="F321" s="20"/>
      <c r="G321" s="20"/>
      <c r="H321" s="20"/>
      <c r="I321" s="20"/>
      <c r="J321" s="20"/>
      <c r="K321" s="21"/>
      <c r="L321" s="21"/>
      <c r="M321" s="21"/>
      <c r="N321" s="21"/>
      <c r="O321" s="21"/>
      <c r="P321" s="21"/>
      <c r="Q321" s="21"/>
      <c r="R321" s="21"/>
      <c r="S321" s="22">
        <f>+K319-(Q319+Q320)</f>
        <v>9.3919999999999995</v>
      </c>
      <c r="T321" s="6"/>
      <c r="U321" s="6"/>
      <c r="V321" s="6"/>
      <c r="W321" s="6"/>
    </row>
    <row r="322" spans="1:23" s="5" customFormat="1" ht="17.25" customHeight="1" x14ac:dyDescent="0.25">
      <c r="A322" s="17"/>
      <c r="B322" s="17"/>
      <c r="C322" s="17"/>
      <c r="D322" s="125" t="s">
        <v>950</v>
      </c>
      <c r="E322" s="19" t="s">
        <v>12</v>
      </c>
      <c r="F322" s="20">
        <v>2.73</v>
      </c>
      <c r="G322" s="20"/>
      <c r="H322" s="20">
        <v>3</v>
      </c>
      <c r="I322" s="20"/>
      <c r="J322" s="20"/>
      <c r="K322" s="21">
        <f t="shared" si="46"/>
        <v>8.19</v>
      </c>
      <c r="L322" s="21"/>
      <c r="M322" s="21"/>
      <c r="N322" s="21"/>
      <c r="O322" s="21"/>
      <c r="P322" s="21"/>
      <c r="Q322" s="21">
        <f t="shared" ref="Q322:Q361" si="48">+N322*P322</f>
        <v>0</v>
      </c>
      <c r="R322" s="21"/>
      <c r="S322" s="22">
        <f t="shared" si="36"/>
        <v>8.19</v>
      </c>
      <c r="T322" s="6"/>
      <c r="U322" s="6"/>
      <c r="V322" s="6"/>
      <c r="W322" s="6"/>
    </row>
    <row r="323" spans="1:23" s="5" customFormat="1" ht="17.25" customHeight="1" x14ac:dyDescent="0.25">
      <c r="A323" s="17"/>
      <c r="B323" s="17"/>
      <c r="C323" s="17"/>
      <c r="D323" s="125" t="s">
        <v>954</v>
      </c>
      <c r="E323" s="19" t="s">
        <v>12</v>
      </c>
      <c r="F323" s="20">
        <v>1.28</v>
      </c>
      <c r="G323" s="20"/>
      <c r="H323" s="20">
        <v>3</v>
      </c>
      <c r="I323" s="20"/>
      <c r="J323" s="20"/>
      <c r="K323" s="21">
        <f t="shared" si="46"/>
        <v>3.84</v>
      </c>
      <c r="L323" s="21"/>
      <c r="M323" s="21"/>
      <c r="N323" s="21"/>
      <c r="O323" s="21"/>
      <c r="P323" s="21"/>
      <c r="Q323" s="21">
        <f t="shared" si="48"/>
        <v>0</v>
      </c>
      <c r="R323" s="21"/>
      <c r="S323" s="22">
        <f t="shared" si="36"/>
        <v>3.84</v>
      </c>
      <c r="T323" s="6"/>
      <c r="U323" s="6"/>
      <c r="V323" s="6"/>
      <c r="W323" s="6"/>
    </row>
    <row r="324" spans="1:23" s="5" customFormat="1" ht="17.25" customHeight="1" x14ac:dyDescent="0.25">
      <c r="A324" s="17"/>
      <c r="B324" s="17"/>
      <c r="C324" s="17"/>
      <c r="D324" s="125" t="s">
        <v>955</v>
      </c>
      <c r="E324" s="19" t="s">
        <v>12</v>
      </c>
      <c r="F324" s="20">
        <v>1.7</v>
      </c>
      <c r="G324" s="20"/>
      <c r="H324" s="20">
        <v>3</v>
      </c>
      <c r="I324" s="20"/>
      <c r="J324" s="20"/>
      <c r="K324" s="21">
        <f t="shared" si="46"/>
        <v>5.0999999999999996</v>
      </c>
      <c r="L324" s="21"/>
      <c r="M324" s="21"/>
      <c r="N324" s="21"/>
      <c r="O324" s="21"/>
      <c r="P324" s="21"/>
      <c r="Q324" s="21">
        <f t="shared" si="48"/>
        <v>0</v>
      </c>
      <c r="R324" s="21"/>
      <c r="S324" s="22">
        <f t="shared" ref="S324:S361" si="49">+K324-Q324</f>
        <v>5.0999999999999996</v>
      </c>
      <c r="T324" s="6"/>
      <c r="U324" s="6"/>
      <c r="V324" s="6"/>
      <c r="W324" s="6"/>
    </row>
    <row r="325" spans="1:23" s="5" customFormat="1" ht="17.25" customHeight="1" x14ac:dyDescent="0.25">
      <c r="A325" s="17"/>
      <c r="B325" s="17"/>
      <c r="C325" s="17"/>
      <c r="D325" s="125" t="s">
        <v>956</v>
      </c>
      <c r="E325" s="19" t="s">
        <v>12</v>
      </c>
      <c r="F325" s="20">
        <v>1.71</v>
      </c>
      <c r="G325" s="20"/>
      <c r="H325" s="20">
        <v>3</v>
      </c>
      <c r="I325" s="20"/>
      <c r="J325" s="20"/>
      <c r="K325" s="21">
        <f t="shared" si="46"/>
        <v>5.13</v>
      </c>
      <c r="L325" s="21"/>
      <c r="M325" s="21" t="s">
        <v>1005</v>
      </c>
      <c r="N325" s="21">
        <v>1</v>
      </c>
      <c r="O325" s="21"/>
      <c r="P325" s="21">
        <v>2.1</v>
      </c>
      <c r="Q325" s="21">
        <f t="shared" si="48"/>
        <v>2.1</v>
      </c>
      <c r="R325" s="21"/>
      <c r="S325" s="22">
        <f t="shared" si="49"/>
        <v>3.03</v>
      </c>
      <c r="T325" s="6"/>
      <c r="U325" s="6"/>
      <c r="V325" s="6"/>
      <c r="W325" s="6"/>
    </row>
    <row r="326" spans="1:23" s="5" customFormat="1" ht="17.25" customHeight="1" x14ac:dyDescent="0.25">
      <c r="A326" s="17"/>
      <c r="B326" s="17"/>
      <c r="C326" s="17"/>
      <c r="D326" s="125" t="s">
        <v>957</v>
      </c>
      <c r="E326" s="19" t="s">
        <v>12</v>
      </c>
      <c r="F326" s="20">
        <v>1.44</v>
      </c>
      <c r="G326" s="20"/>
      <c r="H326" s="20">
        <v>3</v>
      </c>
      <c r="I326" s="20"/>
      <c r="J326" s="20"/>
      <c r="K326" s="21">
        <f t="shared" si="46"/>
        <v>4.32</v>
      </c>
      <c r="L326" s="21"/>
      <c r="M326" s="21"/>
      <c r="N326" s="21"/>
      <c r="O326" s="21"/>
      <c r="P326" s="21"/>
      <c r="Q326" s="21">
        <f t="shared" si="48"/>
        <v>0</v>
      </c>
      <c r="R326" s="21"/>
      <c r="S326" s="22">
        <f t="shared" si="49"/>
        <v>4.32</v>
      </c>
      <c r="T326" s="6"/>
      <c r="U326" s="6"/>
      <c r="V326" s="6"/>
      <c r="W326" s="6"/>
    </row>
    <row r="327" spans="1:23" s="5" customFormat="1" ht="17.25" customHeight="1" x14ac:dyDescent="0.25">
      <c r="A327" s="17"/>
      <c r="B327" s="17"/>
      <c r="C327" s="17"/>
      <c r="D327" s="125" t="s">
        <v>958</v>
      </c>
      <c r="E327" s="19" t="s">
        <v>12</v>
      </c>
      <c r="F327" s="20">
        <v>3.31</v>
      </c>
      <c r="G327" s="20"/>
      <c r="H327" s="20">
        <v>2.8</v>
      </c>
      <c r="I327" s="20"/>
      <c r="J327" s="20"/>
      <c r="K327" s="21">
        <f t="shared" si="46"/>
        <v>9.2679999999999989</v>
      </c>
      <c r="L327" s="21"/>
      <c r="M327" s="21"/>
      <c r="N327" s="21"/>
      <c r="O327" s="21"/>
      <c r="P327" s="21"/>
      <c r="Q327" s="21">
        <f t="shared" si="48"/>
        <v>0</v>
      </c>
      <c r="R327" s="21"/>
      <c r="S327" s="22">
        <f t="shared" si="49"/>
        <v>9.2679999999999989</v>
      </c>
      <c r="T327" s="6"/>
      <c r="U327" s="6"/>
      <c r="V327" s="6"/>
      <c r="W327" s="6"/>
    </row>
    <row r="328" spans="1:23" s="5" customFormat="1" ht="17.25" customHeight="1" x14ac:dyDescent="0.25">
      <c r="A328" s="17"/>
      <c r="B328" s="17"/>
      <c r="C328" s="17"/>
      <c r="D328" s="144" t="s">
        <v>967</v>
      </c>
      <c r="E328" s="19"/>
      <c r="F328" s="20"/>
      <c r="G328" s="20"/>
      <c r="H328" s="20"/>
      <c r="I328" s="20"/>
      <c r="J328" s="20"/>
      <c r="K328" s="21">
        <f t="shared" si="46"/>
        <v>0</v>
      </c>
      <c r="L328" s="21"/>
      <c r="M328" s="21"/>
      <c r="N328" s="21"/>
      <c r="O328" s="21"/>
      <c r="P328" s="21"/>
      <c r="Q328" s="21">
        <f t="shared" si="48"/>
        <v>0</v>
      </c>
      <c r="R328" s="21"/>
      <c r="S328" s="22">
        <f t="shared" si="49"/>
        <v>0</v>
      </c>
      <c r="T328" s="6"/>
      <c r="U328" s="6"/>
      <c r="V328" s="6"/>
      <c r="W328" s="6"/>
    </row>
    <row r="329" spans="1:23" s="5" customFormat="1" ht="17.25" customHeight="1" x14ac:dyDescent="0.25">
      <c r="A329" s="17"/>
      <c r="B329" s="17"/>
      <c r="C329" s="17"/>
      <c r="D329" s="125" t="s">
        <v>959</v>
      </c>
      <c r="E329" s="19" t="s">
        <v>12</v>
      </c>
      <c r="F329" s="20">
        <v>4.5599999999999996</v>
      </c>
      <c r="G329" s="20"/>
      <c r="H329" s="20">
        <v>3</v>
      </c>
      <c r="I329" s="20"/>
      <c r="J329" s="20"/>
      <c r="K329" s="21">
        <f t="shared" si="46"/>
        <v>13.68</v>
      </c>
      <c r="L329" s="21"/>
      <c r="M329" s="21" t="s">
        <v>1003</v>
      </c>
      <c r="N329" s="21">
        <v>3.87</v>
      </c>
      <c r="O329" s="21"/>
      <c r="P329" s="21">
        <v>2.6</v>
      </c>
      <c r="Q329" s="21">
        <f t="shared" si="48"/>
        <v>10.062000000000001</v>
      </c>
      <c r="R329" s="21"/>
      <c r="S329" s="22">
        <f t="shared" si="49"/>
        <v>3.6179999999999986</v>
      </c>
      <c r="T329" s="6"/>
      <c r="U329" s="6"/>
      <c r="V329" s="6"/>
      <c r="W329" s="6"/>
    </row>
    <row r="330" spans="1:23" s="5" customFormat="1" ht="17.25" customHeight="1" x14ac:dyDescent="0.25">
      <c r="A330" s="17"/>
      <c r="B330" s="17"/>
      <c r="C330" s="17"/>
      <c r="D330" s="125" t="s">
        <v>960</v>
      </c>
      <c r="E330" s="19" t="s">
        <v>12</v>
      </c>
      <c r="F330" s="20">
        <v>1.5</v>
      </c>
      <c r="G330" s="20"/>
      <c r="H330" s="20">
        <v>3</v>
      </c>
      <c r="I330" s="20"/>
      <c r="J330" s="20"/>
      <c r="K330" s="21">
        <f t="shared" si="46"/>
        <v>4.5</v>
      </c>
      <c r="L330" s="21"/>
      <c r="M330" s="21"/>
      <c r="N330" s="21"/>
      <c r="O330" s="21"/>
      <c r="P330" s="21"/>
      <c r="Q330" s="21">
        <f t="shared" si="48"/>
        <v>0</v>
      </c>
      <c r="R330" s="21"/>
      <c r="S330" s="22">
        <f t="shared" si="49"/>
        <v>4.5</v>
      </c>
      <c r="T330" s="6"/>
      <c r="U330" s="6"/>
      <c r="V330" s="6"/>
      <c r="W330" s="6"/>
    </row>
    <row r="331" spans="1:23" s="5" customFormat="1" ht="17.25" customHeight="1" x14ac:dyDescent="0.25">
      <c r="A331" s="17"/>
      <c r="B331" s="17"/>
      <c r="C331" s="17"/>
      <c r="D331" s="125" t="s">
        <v>961</v>
      </c>
      <c r="E331" s="19" t="s">
        <v>12</v>
      </c>
      <c r="F331" s="20">
        <v>1.08</v>
      </c>
      <c r="G331" s="20"/>
      <c r="H331" s="20">
        <v>2.8</v>
      </c>
      <c r="I331" s="20"/>
      <c r="J331" s="20"/>
      <c r="K331" s="21">
        <f t="shared" si="46"/>
        <v>3.024</v>
      </c>
      <c r="L331" s="21"/>
      <c r="M331" s="21"/>
      <c r="N331" s="21"/>
      <c r="O331" s="21"/>
      <c r="P331" s="21"/>
      <c r="Q331" s="21">
        <f t="shared" si="48"/>
        <v>0</v>
      </c>
      <c r="R331" s="21"/>
      <c r="S331" s="22">
        <f t="shared" si="49"/>
        <v>3.024</v>
      </c>
      <c r="T331" s="6"/>
      <c r="U331" s="6"/>
      <c r="V331" s="6"/>
      <c r="W331" s="6"/>
    </row>
    <row r="332" spans="1:23" s="5" customFormat="1" ht="17.25" customHeight="1" x14ac:dyDescent="0.25">
      <c r="A332" s="17"/>
      <c r="B332" s="17"/>
      <c r="C332" s="17"/>
      <c r="D332" s="125" t="s">
        <v>962</v>
      </c>
      <c r="E332" s="19" t="s">
        <v>12</v>
      </c>
      <c r="F332" s="20">
        <v>5.38</v>
      </c>
      <c r="G332" s="20"/>
      <c r="H332" s="20">
        <v>3</v>
      </c>
      <c r="I332" s="20"/>
      <c r="J332" s="20"/>
      <c r="K332" s="21">
        <f t="shared" si="46"/>
        <v>16.14</v>
      </c>
      <c r="L332" s="21"/>
      <c r="M332" s="21"/>
      <c r="N332" s="21"/>
      <c r="O332" s="21"/>
      <c r="P332" s="21"/>
      <c r="Q332" s="21">
        <f t="shared" si="48"/>
        <v>0</v>
      </c>
      <c r="R332" s="21"/>
      <c r="S332" s="22">
        <f t="shared" si="49"/>
        <v>16.14</v>
      </c>
      <c r="T332" s="6"/>
      <c r="U332" s="6"/>
      <c r="V332" s="6"/>
      <c r="W332" s="6"/>
    </row>
    <row r="333" spans="1:23" s="5" customFormat="1" ht="17.25" customHeight="1" x14ac:dyDescent="0.25">
      <c r="A333" s="17"/>
      <c r="B333" s="17"/>
      <c r="C333" s="17"/>
      <c r="D333" s="144" t="s">
        <v>968</v>
      </c>
      <c r="E333" s="19"/>
      <c r="F333" s="20"/>
      <c r="G333" s="20"/>
      <c r="H333" s="20"/>
      <c r="I333" s="20"/>
      <c r="J333" s="20"/>
      <c r="K333" s="21">
        <f t="shared" si="46"/>
        <v>0</v>
      </c>
      <c r="L333" s="21"/>
      <c r="M333" s="21"/>
      <c r="N333" s="21"/>
      <c r="O333" s="21"/>
      <c r="P333" s="21"/>
      <c r="Q333" s="21">
        <f t="shared" si="48"/>
        <v>0</v>
      </c>
      <c r="R333" s="21"/>
      <c r="S333" s="22">
        <f t="shared" si="49"/>
        <v>0</v>
      </c>
      <c r="T333" s="6"/>
      <c r="U333" s="6"/>
      <c r="V333" s="6"/>
      <c r="W333" s="6"/>
    </row>
    <row r="334" spans="1:23" s="5" customFormat="1" ht="17.25" customHeight="1" x14ac:dyDescent="0.25">
      <c r="A334" s="17"/>
      <c r="B334" s="17"/>
      <c r="C334" s="17"/>
      <c r="D334" s="125" t="s">
        <v>963</v>
      </c>
      <c r="E334" s="19" t="s">
        <v>12</v>
      </c>
      <c r="F334" s="20">
        <v>7.09</v>
      </c>
      <c r="G334" s="20"/>
      <c r="H334" s="20">
        <v>3</v>
      </c>
      <c r="I334" s="20"/>
      <c r="J334" s="20"/>
      <c r="K334" s="21">
        <f t="shared" si="46"/>
        <v>21.27</v>
      </c>
      <c r="L334" s="21"/>
      <c r="M334" s="21"/>
      <c r="N334" s="21"/>
      <c r="O334" s="21"/>
      <c r="P334" s="21"/>
      <c r="Q334" s="21">
        <f t="shared" si="48"/>
        <v>0</v>
      </c>
      <c r="R334" s="21"/>
      <c r="S334" s="22">
        <f t="shared" si="49"/>
        <v>21.27</v>
      </c>
      <c r="T334" s="6"/>
      <c r="U334" s="6"/>
      <c r="V334" s="6"/>
      <c r="W334" s="6"/>
    </row>
    <row r="335" spans="1:23" s="5" customFormat="1" ht="17.25" customHeight="1" x14ac:dyDescent="0.25">
      <c r="A335" s="17"/>
      <c r="B335" s="17"/>
      <c r="C335" s="17"/>
      <c r="D335" s="125" t="s">
        <v>964</v>
      </c>
      <c r="E335" s="19" t="s">
        <v>12</v>
      </c>
      <c r="F335" s="20">
        <v>0.78</v>
      </c>
      <c r="G335" s="20"/>
      <c r="H335" s="20">
        <v>2.8</v>
      </c>
      <c r="I335" s="20"/>
      <c r="J335" s="20"/>
      <c r="K335" s="21">
        <f t="shared" si="46"/>
        <v>2.1839999999999997</v>
      </c>
      <c r="L335" s="21"/>
      <c r="M335" s="21"/>
      <c r="N335" s="21"/>
      <c r="O335" s="21"/>
      <c r="P335" s="21"/>
      <c r="Q335" s="21">
        <f t="shared" si="48"/>
        <v>0</v>
      </c>
      <c r="R335" s="21"/>
      <c r="S335" s="22">
        <f t="shared" si="49"/>
        <v>2.1839999999999997</v>
      </c>
      <c r="T335" s="6"/>
      <c r="U335" s="6"/>
      <c r="V335" s="6"/>
      <c r="W335" s="6"/>
    </row>
    <row r="336" spans="1:23" s="5" customFormat="1" ht="17.25" customHeight="1" x14ac:dyDescent="0.25">
      <c r="A336" s="17"/>
      <c r="B336" s="17"/>
      <c r="C336" s="17"/>
      <c r="D336" s="125" t="s">
        <v>965</v>
      </c>
      <c r="E336" s="19" t="s">
        <v>12</v>
      </c>
      <c r="F336" s="20">
        <v>1.44</v>
      </c>
      <c r="G336" s="20"/>
      <c r="H336" s="20">
        <v>2.8</v>
      </c>
      <c r="I336" s="20"/>
      <c r="J336" s="20"/>
      <c r="K336" s="21">
        <f t="shared" si="46"/>
        <v>4.032</v>
      </c>
      <c r="L336" s="21"/>
      <c r="M336" s="21"/>
      <c r="N336" s="21"/>
      <c r="O336" s="21"/>
      <c r="P336" s="21"/>
      <c r="Q336" s="21">
        <f t="shared" si="48"/>
        <v>0</v>
      </c>
      <c r="R336" s="21"/>
      <c r="S336" s="22">
        <f t="shared" si="49"/>
        <v>4.032</v>
      </c>
      <c r="T336" s="6"/>
      <c r="U336" s="6"/>
      <c r="V336" s="6"/>
      <c r="W336" s="6"/>
    </row>
    <row r="337" spans="1:23" s="5" customFormat="1" ht="17.25" customHeight="1" x14ac:dyDescent="0.25">
      <c r="A337" s="17"/>
      <c r="B337" s="17"/>
      <c r="C337" s="17"/>
      <c r="D337" s="125" t="s">
        <v>966</v>
      </c>
      <c r="E337" s="19" t="s">
        <v>12</v>
      </c>
      <c r="F337" s="20">
        <v>2.16</v>
      </c>
      <c r="G337" s="20"/>
      <c r="H337" s="20">
        <v>3</v>
      </c>
      <c r="I337" s="20"/>
      <c r="J337" s="20"/>
      <c r="K337" s="21">
        <f t="shared" si="46"/>
        <v>6.48</v>
      </c>
      <c r="L337" s="21"/>
      <c r="M337" s="21" t="s">
        <v>1017</v>
      </c>
      <c r="N337" s="21">
        <v>0.8</v>
      </c>
      <c r="O337" s="21"/>
      <c r="P337" s="21">
        <v>2.1</v>
      </c>
      <c r="Q337" s="21">
        <f t="shared" ref="Q337:Q339" si="50">+N337*P337</f>
        <v>1.6800000000000002</v>
      </c>
      <c r="R337" s="21"/>
      <c r="S337" s="22">
        <f t="shared" si="49"/>
        <v>4.8000000000000007</v>
      </c>
      <c r="T337" s="6"/>
      <c r="U337" s="6"/>
      <c r="V337" s="6"/>
      <c r="W337" s="6"/>
    </row>
    <row r="338" spans="1:23" s="5" customFormat="1" ht="17.25" customHeight="1" x14ac:dyDescent="0.25">
      <c r="A338" s="17"/>
      <c r="B338" s="17"/>
      <c r="C338" s="17"/>
      <c r="D338" s="125" t="s">
        <v>969</v>
      </c>
      <c r="E338" s="19" t="s">
        <v>12</v>
      </c>
      <c r="F338" s="20">
        <v>6.85</v>
      </c>
      <c r="G338" s="20"/>
      <c r="H338" s="20">
        <v>3</v>
      </c>
      <c r="I338" s="20"/>
      <c r="J338" s="20"/>
      <c r="K338" s="21">
        <f t="shared" si="46"/>
        <v>20.549999999999997</v>
      </c>
      <c r="L338" s="21"/>
      <c r="M338" s="21" t="s">
        <v>1003</v>
      </c>
      <c r="N338" s="21">
        <v>4.6399999999999997</v>
      </c>
      <c r="O338" s="21"/>
      <c r="P338" s="21">
        <v>2.6</v>
      </c>
      <c r="Q338" s="21">
        <f t="shared" si="50"/>
        <v>12.064</v>
      </c>
      <c r="R338" s="21"/>
      <c r="S338" s="22">
        <f t="shared" si="49"/>
        <v>8.4859999999999971</v>
      </c>
      <c r="T338" s="6"/>
      <c r="U338" s="6"/>
      <c r="V338" s="6"/>
      <c r="W338" s="6"/>
    </row>
    <row r="339" spans="1:23" s="5" customFormat="1" ht="17.25" customHeight="1" x14ac:dyDescent="0.25">
      <c r="A339" s="17"/>
      <c r="B339" s="17"/>
      <c r="C339" s="17"/>
      <c r="D339" s="125" t="s">
        <v>970</v>
      </c>
      <c r="E339" s="19" t="s">
        <v>12</v>
      </c>
      <c r="F339" s="20">
        <v>2.2400000000000002</v>
      </c>
      <c r="G339" s="20"/>
      <c r="H339" s="20">
        <v>3</v>
      </c>
      <c r="I339" s="20"/>
      <c r="J339" s="20"/>
      <c r="K339" s="21">
        <f t="shared" si="46"/>
        <v>6.7200000000000006</v>
      </c>
      <c r="L339" s="21"/>
      <c r="M339" s="21" t="s">
        <v>1001</v>
      </c>
      <c r="N339" s="21">
        <v>0.7</v>
      </c>
      <c r="O339" s="21"/>
      <c r="P339" s="21">
        <v>2.1</v>
      </c>
      <c r="Q339" s="21">
        <f t="shared" si="50"/>
        <v>1.47</v>
      </c>
      <c r="R339" s="21"/>
      <c r="S339" s="22">
        <f t="shared" si="49"/>
        <v>5.2500000000000009</v>
      </c>
      <c r="T339" s="6"/>
      <c r="U339" s="6"/>
      <c r="V339" s="6"/>
      <c r="W339" s="6"/>
    </row>
    <row r="340" spans="1:23" s="5" customFormat="1" ht="17.25" customHeight="1" x14ac:dyDescent="0.25">
      <c r="A340" s="17"/>
      <c r="B340" s="17"/>
      <c r="C340" s="17"/>
      <c r="D340" s="125" t="s">
        <v>971</v>
      </c>
      <c r="E340" s="19" t="s">
        <v>12</v>
      </c>
      <c r="F340" s="20">
        <v>1.85</v>
      </c>
      <c r="G340" s="20"/>
      <c r="H340" s="20">
        <v>2.8</v>
      </c>
      <c r="I340" s="20"/>
      <c r="J340" s="20"/>
      <c r="K340" s="21">
        <f t="shared" si="46"/>
        <v>5.18</v>
      </c>
      <c r="L340" s="21"/>
      <c r="M340" s="21"/>
      <c r="N340" s="21"/>
      <c r="O340" s="21"/>
      <c r="P340" s="21"/>
      <c r="Q340" s="21">
        <f t="shared" si="48"/>
        <v>0</v>
      </c>
      <c r="R340" s="21"/>
      <c r="S340" s="22">
        <f t="shared" si="49"/>
        <v>5.18</v>
      </c>
      <c r="T340" s="6"/>
      <c r="U340" s="6"/>
      <c r="V340" s="6"/>
      <c r="W340" s="6"/>
    </row>
    <row r="341" spans="1:23" s="5" customFormat="1" ht="17.25" customHeight="1" x14ac:dyDescent="0.25">
      <c r="A341" s="17"/>
      <c r="B341" s="17"/>
      <c r="C341" s="17"/>
      <c r="D341" s="125" t="s">
        <v>972</v>
      </c>
      <c r="E341" s="19" t="s">
        <v>12</v>
      </c>
      <c r="F341" s="20">
        <v>4.29</v>
      </c>
      <c r="G341" s="20"/>
      <c r="H341" s="20">
        <v>2.8</v>
      </c>
      <c r="I341" s="20"/>
      <c r="J341" s="20"/>
      <c r="K341" s="21">
        <f t="shared" si="46"/>
        <v>12.011999999999999</v>
      </c>
      <c r="L341" s="21"/>
      <c r="M341" s="21"/>
      <c r="N341" s="21"/>
      <c r="O341" s="21"/>
      <c r="P341" s="21"/>
      <c r="Q341" s="21">
        <f t="shared" si="48"/>
        <v>0</v>
      </c>
      <c r="R341" s="21"/>
      <c r="S341" s="22">
        <f t="shared" si="49"/>
        <v>12.011999999999999</v>
      </c>
      <c r="T341" s="6"/>
      <c r="U341" s="6"/>
      <c r="V341" s="6"/>
      <c r="W341" s="6"/>
    </row>
    <row r="342" spans="1:23" s="5" customFormat="1" ht="17.25" customHeight="1" x14ac:dyDescent="0.25">
      <c r="A342" s="17"/>
      <c r="B342" s="17"/>
      <c r="C342" s="17"/>
      <c r="D342" s="125" t="s">
        <v>973</v>
      </c>
      <c r="E342" s="19" t="s">
        <v>12</v>
      </c>
      <c r="F342" s="20">
        <v>5.18</v>
      </c>
      <c r="G342" s="20"/>
      <c r="H342" s="20">
        <v>3</v>
      </c>
      <c r="I342" s="20"/>
      <c r="J342" s="20"/>
      <c r="K342" s="21">
        <f t="shared" si="46"/>
        <v>15.54</v>
      </c>
      <c r="L342" s="21"/>
      <c r="M342" s="21"/>
      <c r="N342" s="21"/>
      <c r="O342" s="21"/>
      <c r="P342" s="21"/>
      <c r="Q342" s="21">
        <f t="shared" si="48"/>
        <v>0</v>
      </c>
      <c r="R342" s="21"/>
      <c r="S342" s="22">
        <f t="shared" si="49"/>
        <v>15.54</v>
      </c>
      <c r="T342" s="6"/>
      <c r="U342" s="6"/>
      <c r="V342" s="6"/>
      <c r="W342" s="6"/>
    </row>
    <row r="343" spans="1:23" s="5" customFormat="1" ht="17.25" customHeight="1" x14ac:dyDescent="0.25">
      <c r="A343" s="17"/>
      <c r="B343" s="17"/>
      <c r="C343" s="17"/>
      <c r="D343" s="144" t="s">
        <v>826</v>
      </c>
      <c r="E343" s="19"/>
      <c r="F343" s="20"/>
      <c r="G343" s="20"/>
      <c r="H343" s="20"/>
      <c r="I343" s="20"/>
      <c r="J343" s="20"/>
      <c r="K343" s="21">
        <f t="shared" si="46"/>
        <v>0</v>
      </c>
      <c r="L343" s="21"/>
      <c r="M343" s="21"/>
      <c r="N343" s="21"/>
      <c r="O343" s="21"/>
      <c r="P343" s="21"/>
      <c r="Q343" s="21">
        <f t="shared" si="48"/>
        <v>0</v>
      </c>
      <c r="R343" s="21"/>
      <c r="S343" s="22">
        <f t="shared" si="49"/>
        <v>0</v>
      </c>
      <c r="T343" s="6"/>
      <c r="U343" s="6"/>
      <c r="V343" s="6"/>
      <c r="W343" s="6"/>
    </row>
    <row r="344" spans="1:23" s="5" customFormat="1" ht="17.25" customHeight="1" x14ac:dyDescent="0.25">
      <c r="A344" s="17"/>
      <c r="B344" s="17"/>
      <c r="C344" s="17"/>
      <c r="D344" s="125" t="s">
        <v>974</v>
      </c>
      <c r="E344" s="19" t="s">
        <v>12</v>
      </c>
      <c r="F344" s="20">
        <v>3.72</v>
      </c>
      <c r="G344" s="20"/>
      <c r="H344" s="20">
        <v>2.8</v>
      </c>
      <c r="I344" s="20"/>
      <c r="J344" s="20"/>
      <c r="K344" s="21">
        <f t="shared" si="46"/>
        <v>10.416</v>
      </c>
      <c r="L344" s="21"/>
      <c r="M344" s="21"/>
      <c r="N344" s="21"/>
      <c r="O344" s="21"/>
      <c r="P344" s="21"/>
      <c r="Q344" s="21">
        <f t="shared" si="48"/>
        <v>0</v>
      </c>
      <c r="R344" s="21"/>
      <c r="S344" s="22">
        <f t="shared" si="49"/>
        <v>10.416</v>
      </c>
      <c r="T344" s="6"/>
      <c r="U344" s="6"/>
      <c r="V344" s="6"/>
      <c r="W344" s="6"/>
    </row>
    <row r="345" spans="1:23" s="5" customFormat="1" ht="17.25" customHeight="1" x14ac:dyDescent="0.25">
      <c r="A345" s="17"/>
      <c r="B345" s="17"/>
      <c r="C345" s="17"/>
      <c r="D345" s="125" t="s">
        <v>975</v>
      </c>
      <c r="E345" s="19" t="s">
        <v>12</v>
      </c>
      <c r="F345" s="20">
        <v>2.29</v>
      </c>
      <c r="G345" s="20"/>
      <c r="H345" s="20">
        <v>0.9</v>
      </c>
      <c r="I345" s="20"/>
      <c r="J345" s="20"/>
      <c r="K345" s="21">
        <f t="shared" si="46"/>
        <v>2.0609999999999999</v>
      </c>
      <c r="L345" s="21"/>
      <c r="M345" s="21"/>
      <c r="N345" s="21"/>
      <c r="O345" s="21"/>
      <c r="P345" s="21"/>
      <c r="Q345" s="21">
        <f t="shared" si="48"/>
        <v>0</v>
      </c>
      <c r="R345" s="21"/>
      <c r="S345" s="22">
        <f t="shared" si="49"/>
        <v>2.0609999999999999</v>
      </c>
      <c r="T345" s="6"/>
      <c r="U345" s="6"/>
      <c r="V345" s="6"/>
      <c r="W345" s="6"/>
    </row>
    <row r="346" spans="1:23" s="5" customFormat="1" ht="17.25" customHeight="1" x14ac:dyDescent="0.25">
      <c r="A346" s="17"/>
      <c r="B346" s="17"/>
      <c r="C346" s="17"/>
      <c r="D346" s="125" t="s">
        <v>976</v>
      </c>
      <c r="E346" s="19" t="s">
        <v>12</v>
      </c>
      <c r="F346" s="20">
        <v>2.46</v>
      </c>
      <c r="G346" s="20"/>
      <c r="H346" s="20">
        <v>0.9</v>
      </c>
      <c r="I346" s="20"/>
      <c r="J346" s="20"/>
      <c r="K346" s="21">
        <f t="shared" si="46"/>
        <v>2.214</v>
      </c>
      <c r="L346" s="21"/>
      <c r="M346" s="21"/>
      <c r="N346" s="21"/>
      <c r="O346" s="21"/>
      <c r="P346" s="21"/>
      <c r="Q346" s="21">
        <f t="shared" si="48"/>
        <v>0</v>
      </c>
      <c r="R346" s="21"/>
      <c r="S346" s="22">
        <f t="shared" si="49"/>
        <v>2.214</v>
      </c>
      <c r="T346" s="6"/>
      <c r="U346" s="6"/>
      <c r="V346" s="6"/>
      <c r="W346" s="6"/>
    </row>
    <row r="347" spans="1:23" s="5" customFormat="1" ht="17.25" customHeight="1" x14ac:dyDescent="0.25">
      <c r="A347" s="17"/>
      <c r="B347" s="17"/>
      <c r="C347" s="17"/>
      <c r="D347" s="125" t="s">
        <v>977</v>
      </c>
      <c r="E347" s="19" t="s">
        <v>12</v>
      </c>
      <c r="F347" s="20">
        <v>5.03</v>
      </c>
      <c r="G347" s="20"/>
      <c r="H347" s="20">
        <v>3</v>
      </c>
      <c r="I347" s="20"/>
      <c r="J347" s="20"/>
      <c r="K347" s="21">
        <f t="shared" si="46"/>
        <v>15.09</v>
      </c>
      <c r="L347" s="21"/>
      <c r="M347" s="21"/>
      <c r="N347" s="21"/>
      <c r="O347" s="21"/>
      <c r="P347" s="21"/>
      <c r="Q347" s="21">
        <f t="shared" si="48"/>
        <v>0</v>
      </c>
      <c r="R347" s="21"/>
      <c r="S347" s="22">
        <f t="shared" si="49"/>
        <v>15.09</v>
      </c>
      <c r="T347" s="6"/>
      <c r="U347" s="6"/>
      <c r="V347" s="6"/>
      <c r="W347" s="6"/>
    </row>
    <row r="348" spans="1:23" s="5" customFormat="1" ht="17.25" customHeight="1" x14ac:dyDescent="0.25">
      <c r="A348" s="17"/>
      <c r="B348" s="17"/>
      <c r="C348" s="17"/>
      <c r="D348" s="125" t="s">
        <v>978</v>
      </c>
      <c r="E348" s="19" t="s">
        <v>12</v>
      </c>
      <c r="F348" s="20">
        <v>1.91</v>
      </c>
      <c r="G348" s="20"/>
      <c r="H348" s="20">
        <v>3</v>
      </c>
      <c r="I348" s="20"/>
      <c r="J348" s="20"/>
      <c r="K348" s="21">
        <f t="shared" si="46"/>
        <v>5.7299999999999995</v>
      </c>
      <c r="L348" s="21"/>
      <c r="M348" s="21"/>
      <c r="N348" s="21"/>
      <c r="O348" s="21"/>
      <c r="P348" s="21"/>
      <c r="Q348" s="21">
        <f t="shared" si="48"/>
        <v>0</v>
      </c>
      <c r="R348" s="21"/>
      <c r="S348" s="22">
        <f t="shared" si="49"/>
        <v>5.7299999999999995</v>
      </c>
      <c r="T348" s="6"/>
      <c r="U348" s="6"/>
      <c r="V348" s="6"/>
      <c r="W348" s="6"/>
    </row>
    <row r="349" spans="1:23" s="5" customFormat="1" ht="17.25" customHeight="1" x14ac:dyDescent="0.25">
      <c r="A349" s="17"/>
      <c r="B349" s="17"/>
      <c r="C349" s="17"/>
      <c r="D349" s="125" t="s">
        <v>979</v>
      </c>
      <c r="E349" s="19" t="s">
        <v>12</v>
      </c>
      <c r="F349" s="20">
        <v>1.37</v>
      </c>
      <c r="G349" s="20"/>
      <c r="H349" s="20">
        <v>3</v>
      </c>
      <c r="I349" s="20"/>
      <c r="J349" s="20"/>
      <c r="K349" s="21">
        <f t="shared" si="46"/>
        <v>4.1100000000000003</v>
      </c>
      <c r="L349" s="21"/>
      <c r="M349" s="21"/>
      <c r="N349" s="21"/>
      <c r="O349" s="21"/>
      <c r="P349" s="21"/>
      <c r="Q349" s="21">
        <f t="shared" si="48"/>
        <v>0</v>
      </c>
      <c r="R349" s="21"/>
      <c r="S349" s="22">
        <f t="shared" si="49"/>
        <v>4.1100000000000003</v>
      </c>
      <c r="T349" s="6"/>
      <c r="U349" s="6"/>
      <c r="V349" s="6"/>
      <c r="W349" s="6"/>
    </row>
    <row r="350" spans="1:23" s="5" customFormat="1" ht="17.25" customHeight="1" x14ac:dyDescent="0.25">
      <c r="A350" s="17"/>
      <c r="B350" s="17"/>
      <c r="C350" s="17"/>
      <c r="D350" s="125" t="s">
        <v>980</v>
      </c>
      <c r="E350" s="19" t="s">
        <v>12</v>
      </c>
      <c r="F350" s="20">
        <v>1.91</v>
      </c>
      <c r="G350" s="20"/>
      <c r="H350" s="20">
        <v>3</v>
      </c>
      <c r="I350" s="20"/>
      <c r="J350" s="20"/>
      <c r="K350" s="21">
        <f t="shared" si="46"/>
        <v>5.7299999999999995</v>
      </c>
      <c r="L350" s="21"/>
      <c r="M350" s="21"/>
      <c r="N350" s="21"/>
      <c r="O350" s="21"/>
      <c r="P350" s="21"/>
      <c r="Q350" s="21">
        <f t="shared" si="48"/>
        <v>0</v>
      </c>
      <c r="R350" s="21"/>
      <c r="S350" s="22">
        <f t="shared" si="49"/>
        <v>5.7299999999999995</v>
      </c>
      <c r="T350" s="6"/>
      <c r="U350" s="6"/>
      <c r="V350" s="6"/>
      <c r="W350" s="6"/>
    </row>
    <row r="351" spans="1:23" s="5" customFormat="1" ht="17.25" customHeight="1" x14ac:dyDescent="0.25">
      <c r="A351" s="17"/>
      <c r="B351" s="17"/>
      <c r="C351" s="17"/>
      <c r="D351" s="125" t="s">
        <v>981</v>
      </c>
      <c r="E351" s="19" t="s">
        <v>12</v>
      </c>
      <c r="F351" s="20">
        <v>0.38</v>
      </c>
      <c r="G351" s="20"/>
      <c r="H351" s="20">
        <v>2.8</v>
      </c>
      <c r="I351" s="20"/>
      <c r="J351" s="20"/>
      <c r="K351" s="21">
        <f t="shared" si="46"/>
        <v>1.0639999999999998</v>
      </c>
      <c r="L351" s="21"/>
      <c r="M351" s="21"/>
      <c r="N351" s="21"/>
      <c r="O351" s="21"/>
      <c r="P351" s="21"/>
      <c r="Q351" s="21">
        <f t="shared" si="48"/>
        <v>0</v>
      </c>
      <c r="R351" s="21"/>
      <c r="S351" s="22">
        <f t="shared" si="49"/>
        <v>1.0639999999999998</v>
      </c>
      <c r="T351" s="6"/>
      <c r="U351" s="6"/>
      <c r="V351" s="6"/>
      <c r="W351" s="6"/>
    </row>
    <row r="352" spans="1:23" s="5" customFormat="1" ht="17.25" customHeight="1" x14ac:dyDescent="0.25">
      <c r="A352" s="17"/>
      <c r="B352" s="17"/>
      <c r="C352" s="17"/>
      <c r="D352" s="125" t="s">
        <v>983</v>
      </c>
      <c r="E352" s="19" t="s">
        <v>12</v>
      </c>
      <c r="F352" s="20">
        <v>2.64</v>
      </c>
      <c r="G352" s="20"/>
      <c r="H352" s="20">
        <v>3</v>
      </c>
      <c r="I352" s="20"/>
      <c r="J352" s="20"/>
      <c r="K352" s="21">
        <f t="shared" si="46"/>
        <v>7.92</v>
      </c>
      <c r="L352" s="21"/>
      <c r="M352" s="21" t="s">
        <v>996</v>
      </c>
      <c r="N352" s="21">
        <v>0.9</v>
      </c>
      <c r="O352" s="21"/>
      <c r="P352" s="21">
        <v>2.1</v>
      </c>
      <c r="Q352" s="21">
        <f t="shared" si="48"/>
        <v>1.8900000000000001</v>
      </c>
      <c r="R352" s="21"/>
      <c r="S352" s="22">
        <f t="shared" si="49"/>
        <v>6.0299999999999994</v>
      </c>
      <c r="T352" s="6"/>
      <c r="U352" s="6"/>
      <c r="V352" s="6"/>
      <c r="W352" s="6"/>
    </row>
    <row r="353" spans="1:23" s="5" customFormat="1" ht="17.25" customHeight="1" x14ac:dyDescent="0.25">
      <c r="A353" s="17"/>
      <c r="B353" s="17"/>
      <c r="C353" s="17"/>
      <c r="D353" s="125" t="s">
        <v>984</v>
      </c>
      <c r="E353" s="19" t="s">
        <v>12</v>
      </c>
      <c r="F353" s="20">
        <v>1.54</v>
      </c>
      <c r="G353" s="20"/>
      <c r="H353" s="20">
        <v>3</v>
      </c>
      <c r="I353" s="20"/>
      <c r="J353" s="20"/>
      <c r="K353" s="21">
        <f t="shared" si="46"/>
        <v>4.62</v>
      </c>
      <c r="L353" s="21"/>
      <c r="M353" s="21"/>
      <c r="N353" s="21"/>
      <c r="O353" s="21"/>
      <c r="P353" s="21"/>
      <c r="Q353" s="21">
        <f t="shared" si="48"/>
        <v>0</v>
      </c>
      <c r="R353" s="21"/>
      <c r="S353" s="22">
        <f t="shared" si="49"/>
        <v>4.62</v>
      </c>
      <c r="T353" s="6"/>
      <c r="U353" s="6"/>
      <c r="V353" s="6"/>
      <c r="W353" s="6"/>
    </row>
    <row r="354" spans="1:23" s="5" customFormat="1" ht="17.25" customHeight="1" x14ac:dyDescent="0.25">
      <c r="A354" s="17"/>
      <c r="B354" s="17"/>
      <c r="C354" s="17"/>
      <c r="D354" s="125" t="s">
        <v>985</v>
      </c>
      <c r="E354" s="19" t="s">
        <v>12</v>
      </c>
      <c r="F354" s="20">
        <v>3.35</v>
      </c>
      <c r="G354" s="20"/>
      <c r="H354" s="20">
        <v>3</v>
      </c>
      <c r="I354" s="20"/>
      <c r="J354" s="20"/>
      <c r="K354" s="21">
        <f t="shared" si="46"/>
        <v>10.050000000000001</v>
      </c>
      <c r="L354" s="21"/>
      <c r="M354" s="21" t="s">
        <v>1001</v>
      </c>
      <c r="N354" s="21">
        <v>0.7</v>
      </c>
      <c r="O354" s="21"/>
      <c r="P354" s="21">
        <v>2.1</v>
      </c>
      <c r="Q354" s="21">
        <f t="shared" ref="Q354" si="51">+N354*P354</f>
        <v>1.47</v>
      </c>
      <c r="R354" s="21"/>
      <c r="S354" s="22">
        <f t="shared" si="49"/>
        <v>8.58</v>
      </c>
      <c r="T354" s="6"/>
      <c r="U354" s="6"/>
      <c r="V354" s="6"/>
      <c r="W354" s="6"/>
    </row>
    <row r="355" spans="1:23" s="5" customFormat="1" ht="17.25" customHeight="1" x14ac:dyDescent="0.25">
      <c r="A355" s="17"/>
      <c r="B355" s="17"/>
      <c r="C355" s="17"/>
      <c r="D355" s="125" t="s">
        <v>986</v>
      </c>
      <c r="E355" s="19" t="s">
        <v>12</v>
      </c>
      <c r="F355" s="20">
        <v>1.91</v>
      </c>
      <c r="G355" s="20"/>
      <c r="H355" s="20">
        <v>3</v>
      </c>
      <c r="I355" s="20"/>
      <c r="J355" s="20"/>
      <c r="K355" s="21">
        <f t="shared" si="46"/>
        <v>5.7299999999999995</v>
      </c>
      <c r="L355" s="21"/>
      <c r="M355" s="21"/>
      <c r="N355" s="21"/>
      <c r="O355" s="21"/>
      <c r="P355" s="21"/>
      <c r="Q355" s="21">
        <f t="shared" si="48"/>
        <v>0</v>
      </c>
      <c r="R355" s="21"/>
      <c r="S355" s="22">
        <f t="shared" si="49"/>
        <v>5.7299999999999995</v>
      </c>
      <c r="T355" s="6"/>
      <c r="U355" s="6"/>
      <c r="V355" s="6"/>
      <c r="W355" s="6"/>
    </row>
    <row r="356" spans="1:23" s="5" customFormat="1" ht="17.25" customHeight="1" x14ac:dyDescent="0.25">
      <c r="A356" s="17"/>
      <c r="B356" s="17"/>
      <c r="C356" s="17"/>
      <c r="D356" s="125" t="s">
        <v>987</v>
      </c>
      <c r="E356" s="19" t="s">
        <v>12</v>
      </c>
      <c r="F356" s="20">
        <v>1.91</v>
      </c>
      <c r="G356" s="20"/>
      <c r="H356" s="20">
        <v>3</v>
      </c>
      <c r="I356" s="20"/>
      <c r="J356" s="20"/>
      <c r="K356" s="21">
        <f t="shared" si="46"/>
        <v>5.7299999999999995</v>
      </c>
      <c r="L356" s="21"/>
      <c r="M356" s="21"/>
      <c r="N356" s="21"/>
      <c r="O356" s="21"/>
      <c r="P356" s="21"/>
      <c r="Q356" s="21">
        <f t="shared" si="48"/>
        <v>0</v>
      </c>
      <c r="R356" s="21"/>
      <c r="S356" s="22">
        <f t="shared" si="49"/>
        <v>5.7299999999999995</v>
      </c>
      <c r="T356" s="6"/>
      <c r="U356" s="6"/>
      <c r="V356" s="6"/>
      <c r="W356" s="6"/>
    </row>
    <row r="357" spans="1:23" s="5" customFormat="1" ht="17.25" customHeight="1" x14ac:dyDescent="0.25">
      <c r="A357" s="17"/>
      <c r="B357" s="17"/>
      <c r="C357" s="17"/>
      <c r="D357" s="144" t="s">
        <v>992</v>
      </c>
      <c r="E357" s="19"/>
      <c r="F357" s="20"/>
      <c r="G357" s="20"/>
      <c r="H357" s="20"/>
      <c r="I357" s="20"/>
      <c r="J357" s="20"/>
      <c r="K357" s="21">
        <f t="shared" si="46"/>
        <v>0</v>
      </c>
      <c r="L357" s="21"/>
      <c r="M357" s="21"/>
      <c r="N357" s="21"/>
      <c r="O357" s="21"/>
      <c r="P357" s="21"/>
      <c r="Q357" s="21">
        <f t="shared" si="48"/>
        <v>0</v>
      </c>
      <c r="R357" s="21"/>
      <c r="S357" s="22">
        <f t="shared" si="49"/>
        <v>0</v>
      </c>
      <c r="T357" s="6"/>
      <c r="U357" s="6"/>
      <c r="V357" s="6"/>
      <c r="W357" s="6"/>
    </row>
    <row r="358" spans="1:23" s="5" customFormat="1" ht="17.25" customHeight="1" x14ac:dyDescent="0.25">
      <c r="A358" s="17"/>
      <c r="B358" s="17"/>
      <c r="C358" s="17"/>
      <c r="D358" s="125" t="s">
        <v>988</v>
      </c>
      <c r="E358" s="19" t="s">
        <v>12</v>
      </c>
      <c r="F358" s="20">
        <v>4.63</v>
      </c>
      <c r="G358" s="20"/>
      <c r="H358" s="20">
        <v>3</v>
      </c>
      <c r="I358" s="20"/>
      <c r="J358" s="20"/>
      <c r="K358" s="21">
        <f t="shared" si="46"/>
        <v>13.89</v>
      </c>
      <c r="L358" s="21"/>
      <c r="M358" s="21" t="s">
        <v>1005</v>
      </c>
      <c r="N358" s="21">
        <v>1</v>
      </c>
      <c r="O358" s="21"/>
      <c r="P358" s="21">
        <v>2.1</v>
      </c>
      <c r="Q358" s="21">
        <f t="shared" ref="Q358:Q359" si="52">+N358*P358</f>
        <v>2.1</v>
      </c>
      <c r="R358" s="21"/>
      <c r="S358" s="22">
        <f t="shared" si="49"/>
        <v>11.790000000000001</v>
      </c>
      <c r="T358" s="6"/>
      <c r="U358" s="6"/>
      <c r="V358" s="6"/>
      <c r="W358" s="6"/>
    </row>
    <row r="359" spans="1:23" s="5" customFormat="1" ht="17.25" customHeight="1" x14ac:dyDescent="0.25">
      <c r="A359" s="17"/>
      <c r="B359" s="17"/>
      <c r="C359" s="17"/>
      <c r="D359" s="125" t="s">
        <v>989</v>
      </c>
      <c r="E359" s="19" t="s">
        <v>12</v>
      </c>
      <c r="F359" s="20">
        <v>1.32</v>
      </c>
      <c r="G359" s="20"/>
      <c r="H359" s="20">
        <v>3</v>
      </c>
      <c r="I359" s="20"/>
      <c r="J359" s="20"/>
      <c r="K359" s="21">
        <f t="shared" si="46"/>
        <v>3.96</v>
      </c>
      <c r="L359" s="21"/>
      <c r="M359" s="21" t="s">
        <v>1001</v>
      </c>
      <c r="N359" s="21">
        <v>0.7</v>
      </c>
      <c r="O359" s="21"/>
      <c r="P359" s="21">
        <v>2.1</v>
      </c>
      <c r="Q359" s="21">
        <f t="shared" si="52"/>
        <v>1.47</v>
      </c>
      <c r="R359" s="21"/>
      <c r="S359" s="22">
        <f t="shared" si="49"/>
        <v>2.4900000000000002</v>
      </c>
      <c r="T359" s="6"/>
      <c r="U359" s="6"/>
      <c r="V359" s="6"/>
      <c r="W359" s="6"/>
    </row>
    <row r="360" spans="1:23" s="5" customFormat="1" ht="17.25" customHeight="1" x14ac:dyDescent="0.25">
      <c r="A360" s="17"/>
      <c r="B360" s="17"/>
      <c r="C360" s="17"/>
      <c r="D360" s="125" t="s">
        <v>990</v>
      </c>
      <c r="E360" s="19" t="s">
        <v>12</v>
      </c>
      <c r="F360" s="20">
        <v>1.8</v>
      </c>
      <c r="G360" s="20"/>
      <c r="H360" s="20">
        <v>3</v>
      </c>
      <c r="I360" s="20"/>
      <c r="J360" s="20"/>
      <c r="K360" s="21">
        <f t="shared" si="46"/>
        <v>5.4</v>
      </c>
      <c r="L360" s="21"/>
      <c r="M360" s="21"/>
      <c r="N360" s="21"/>
      <c r="O360" s="21"/>
      <c r="P360" s="21"/>
      <c r="Q360" s="21">
        <f t="shared" si="48"/>
        <v>0</v>
      </c>
      <c r="R360" s="21"/>
      <c r="S360" s="22">
        <f t="shared" si="49"/>
        <v>5.4</v>
      </c>
      <c r="T360" s="6"/>
      <c r="U360" s="6"/>
      <c r="V360" s="6"/>
      <c r="W360" s="6"/>
    </row>
    <row r="361" spans="1:23" s="5" customFormat="1" ht="17.25" customHeight="1" x14ac:dyDescent="0.25">
      <c r="A361" s="17"/>
      <c r="B361" s="17"/>
      <c r="C361" s="17"/>
      <c r="D361" s="125" t="s">
        <v>991</v>
      </c>
      <c r="E361" s="19" t="s">
        <v>12</v>
      </c>
      <c r="F361" s="20">
        <v>3.31</v>
      </c>
      <c r="G361" s="20"/>
      <c r="H361" s="20">
        <v>2.8</v>
      </c>
      <c r="I361" s="20"/>
      <c r="J361" s="20"/>
      <c r="K361" s="21">
        <f t="shared" si="46"/>
        <v>9.2679999999999989</v>
      </c>
      <c r="L361" s="21"/>
      <c r="M361" s="21"/>
      <c r="N361" s="21"/>
      <c r="O361" s="21"/>
      <c r="P361" s="21"/>
      <c r="Q361" s="21">
        <f t="shared" si="48"/>
        <v>0</v>
      </c>
      <c r="R361" s="21"/>
      <c r="S361" s="22">
        <f t="shared" si="49"/>
        <v>9.2679999999999989</v>
      </c>
      <c r="T361" s="6"/>
      <c r="U361" s="6"/>
      <c r="V361" s="6"/>
      <c r="W361" s="6"/>
    </row>
    <row r="362" spans="1:23" s="5" customFormat="1" ht="17.25" customHeight="1" x14ac:dyDescent="0.25">
      <c r="A362" s="17"/>
      <c r="B362" s="17"/>
      <c r="C362" s="17"/>
      <c r="D362" s="125" t="s">
        <v>1079</v>
      </c>
      <c r="E362" s="19" t="s">
        <v>12</v>
      </c>
      <c r="F362" s="20">
        <v>3.7</v>
      </c>
      <c r="G362" s="20"/>
      <c r="H362" s="20">
        <v>0.9</v>
      </c>
      <c r="I362" s="20"/>
      <c r="J362" s="20"/>
      <c r="K362" s="21">
        <f t="shared" ref="K362:K364" si="53">+F362*H362</f>
        <v>3.33</v>
      </c>
      <c r="L362" s="21"/>
      <c r="M362" s="21"/>
      <c r="N362" s="21"/>
      <c r="O362" s="21"/>
      <c r="P362" s="21"/>
      <c r="Q362" s="21">
        <f t="shared" ref="Q362:Q365" si="54">+N362*P362</f>
        <v>0</v>
      </c>
      <c r="R362" s="21"/>
      <c r="S362" s="22">
        <f t="shared" ref="S362:S365" si="55">+K362-Q362</f>
        <v>3.33</v>
      </c>
      <c r="T362" s="6"/>
      <c r="U362" s="6"/>
      <c r="V362" s="6"/>
      <c r="W362" s="6"/>
    </row>
    <row r="363" spans="1:23" s="5" customFormat="1" ht="17.25" customHeight="1" x14ac:dyDescent="0.25">
      <c r="A363" s="17"/>
      <c r="B363" s="17"/>
      <c r="C363" s="17"/>
      <c r="D363" s="125" t="s">
        <v>1080</v>
      </c>
      <c r="E363" s="19" t="s">
        <v>12</v>
      </c>
      <c r="F363" s="20">
        <v>6.77</v>
      </c>
      <c r="G363" s="20"/>
      <c r="H363" s="20">
        <v>0.9</v>
      </c>
      <c r="I363" s="20"/>
      <c r="J363" s="20"/>
      <c r="K363" s="21">
        <f t="shared" si="53"/>
        <v>6.093</v>
      </c>
      <c r="L363" s="21"/>
      <c r="M363" s="21"/>
      <c r="N363" s="21"/>
      <c r="O363" s="21"/>
      <c r="P363" s="21"/>
      <c r="Q363" s="21">
        <f t="shared" si="54"/>
        <v>0</v>
      </c>
      <c r="R363" s="21"/>
      <c r="S363" s="22">
        <f t="shared" si="55"/>
        <v>6.093</v>
      </c>
      <c r="T363" s="6"/>
      <c r="U363" s="6"/>
      <c r="V363" s="6"/>
      <c r="W363" s="6"/>
    </row>
    <row r="364" spans="1:23" s="5" customFormat="1" ht="17.25" customHeight="1" x14ac:dyDescent="0.25">
      <c r="A364" s="17"/>
      <c r="B364" s="17"/>
      <c r="C364" s="17"/>
      <c r="D364" s="125" t="s">
        <v>1081</v>
      </c>
      <c r="E364" s="19" t="s">
        <v>12</v>
      </c>
      <c r="F364" s="20">
        <v>1.86</v>
      </c>
      <c r="G364" s="20"/>
      <c r="H364" s="20">
        <v>3</v>
      </c>
      <c r="I364" s="20"/>
      <c r="J364" s="20"/>
      <c r="K364" s="21">
        <f t="shared" si="53"/>
        <v>5.58</v>
      </c>
      <c r="L364" s="21"/>
      <c r="M364" s="21"/>
      <c r="N364" s="21"/>
      <c r="O364" s="21"/>
      <c r="P364" s="21"/>
      <c r="Q364" s="21">
        <f t="shared" si="54"/>
        <v>0</v>
      </c>
      <c r="R364" s="21"/>
      <c r="S364" s="22">
        <f t="shared" si="55"/>
        <v>5.58</v>
      </c>
      <c r="T364" s="6"/>
      <c r="U364" s="6"/>
      <c r="V364" s="6"/>
      <c r="W364" s="6"/>
    </row>
    <row r="365" spans="1:23" s="5" customFormat="1" ht="17.25" customHeight="1" x14ac:dyDescent="0.25">
      <c r="A365" s="17"/>
      <c r="B365" s="17"/>
      <c r="C365" s="17"/>
      <c r="D365" s="144" t="s">
        <v>1087</v>
      </c>
      <c r="E365" s="19"/>
      <c r="F365" s="20"/>
      <c r="G365" s="20"/>
      <c r="H365" s="20"/>
      <c r="I365" s="20"/>
      <c r="J365" s="20"/>
      <c r="K365" s="21">
        <f t="shared" ref="K365:K427" si="56">+F365*H365</f>
        <v>0</v>
      </c>
      <c r="L365" s="21"/>
      <c r="M365" s="21"/>
      <c r="N365" s="21"/>
      <c r="O365" s="21"/>
      <c r="P365" s="21"/>
      <c r="Q365" s="21">
        <f t="shared" si="54"/>
        <v>0</v>
      </c>
      <c r="R365" s="21"/>
      <c r="S365" s="22">
        <f t="shared" si="55"/>
        <v>0</v>
      </c>
      <c r="T365" s="6"/>
      <c r="U365" s="6"/>
      <c r="V365" s="6"/>
      <c r="W365" s="6"/>
    </row>
    <row r="366" spans="1:23" s="5" customFormat="1" ht="17.25" customHeight="1" x14ac:dyDescent="0.25">
      <c r="A366" s="17"/>
      <c r="B366" s="17"/>
      <c r="C366" s="17"/>
      <c r="D366" s="125" t="s">
        <v>1088</v>
      </c>
      <c r="E366" s="19" t="s">
        <v>12</v>
      </c>
      <c r="F366" s="20">
        <v>6.69</v>
      </c>
      <c r="G366" s="20"/>
      <c r="H366" s="20">
        <v>1.9</v>
      </c>
      <c r="I366" s="20"/>
      <c r="J366" s="20"/>
      <c r="K366" s="21">
        <f t="shared" si="56"/>
        <v>12.711</v>
      </c>
      <c r="L366" s="21"/>
      <c r="M366" s="21"/>
      <c r="N366" s="21"/>
      <c r="O366" s="21"/>
      <c r="P366" s="21"/>
      <c r="Q366" s="21">
        <f t="shared" ref="Q366:Q400" si="57">+N366*P366</f>
        <v>0</v>
      </c>
      <c r="R366" s="21"/>
      <c r="S366" s="22">
        <f t="shared" ref="S366:S400" si="58">+K366-Q366</f>
        <v>12.711</v>
      </c>
      <c r="T366" s="6"/>
      <c r="U366" s="6"/>
      <c r="V366" s="6"/>
      <c r="W366" s="6"/>
    </row>
    <row r="367" spans="1:23" s="5" customFormat="1" ht="17.25" customHeight="1" x14ac:dyDescent="0.25">
      <c r="A367" s="17"/>
      <c r="B367" s="17"/>
      <c r="C367" s="17"/>
      <c r="D367" s="125" t="s">
        <v>1089</v>
      </c>
      <c r="E367" s="19" t="s">
        <v>12</v>
      </c>
      <c r="F367" s="20">
        <v>5.69</v>
      </c>
      <c r="G367" s="20"/>
      <c r="H367" s="20">
        <v>1.9</v>
      </c>
      <c r="I367" s="20"/>
      <c r="J367" s="20"/>
      <c r="K367" s="21">
        <f t="shared" si="56"/>
        <v>10.811</v>
      </c>
      <c r="L367" s="21"/>
      <c r="M367" s="21"/>
      <c r="N367" s="21"/>
      <c r="O367" s="21"/>
      <c r="P367" s="21"/>
      <c r="Q367" s="21">
        <f t="shared" si="57"/>
        <v>0</v>
      </c>
      <c r="R367" s="21"/>
      <c r="S367" s="22">
        <f t="shared" si="58"/>
        <v>10.811</v>
      </c>
      <c r="T367" s="6"/>
      <c r="U367" s="6"/>
      <c r="V367" s="6"/>
      <c r="W367" s="6"/>
    </row>
    <row r="368" spans="1:23" s="5" customFormat="1" ht="17.25" customHeight="1" x14ac:dyDescent="0.25">
      <c r="A368" s="17"/>
      <c r="B368" s="17"/>
      <c r="C368" s="17"/>
      <c r="D368" s="125" t="s">
        <v>1090</v>
      </c>
      <c r="E368" s="19" t="s">
        <v>12</v>
      </c>
      <c r="F368" s="20">
        <v>3.47</v>
      </c>
      <c r="G368" s="20"/>
      <c r="H368" s="20">
        <v>1.9</v>
      </c>
      <c r="I368" s="20"/>
      <c r="J368" s="20"/>
      <c r="K368" s="21">
        <f t="shared" si="56"/>
        <v>6.593</v>
      </c>
      <c r="L368" s="21"/>
      <c r="M368" s="21"/>
      <c r="N368" s="21"/>
      <c r="O368" s="21"/>
      <c r="P368" s="21"/>
      <c r="Q368" s="21">
        <f t="shared" si="57"/>
        <v>0</v>
      </c>
      <c r="R368" s="21"/>
      <c r="S368" s="22">
        <f t="shared" si="58"/>
        <v>6.593</v>
      </c>
      <c r="T368" s="6"/>
      <c r="U368" s="6"/>
      <c r="V368" s="6"/>
      <c r="W368" s="6"/>
    </row>
    <row r="369" spans="1:23" s="5" customFormat="1" ht="17.25" customHeight="1" x14ac:dyDescent="0.25">
      <c r="A369" s="17"/>
      <c r="B369" s="17"/>
      <c r="C369" s="17"/>
      <c r="D369" s="125" t="s">
        <v>1091</v>
      </c>
      <c r="E369" s="19" t="s">
        <v>12</v>
      </c>
      <c r="F369" s="20">
        <v>6.77</v>
      </c>
      <c r="G369" s="20"/>
      <c r="H369" s="20">
        <v>1.9</v>
      </c>
      <c r="I369" s="20"/>
      <c r="J369" s="20"/>
      <c r="K369" s="21">
        <f t="shared" si="56"/>
        <v>12.862999999999998</v>
      </c>
      <c r="L369" s="21"/>
      <c r="M369" s="21"/>
      <c r="N369" s="21"/>
      <c r="O369" s="21"/>
      <c r="P369" s="21"/>
      <c r="Q369" s="21">
        <f t="shared" si="57"/>
        <v>0</v>
      </c>
      <c r="R369" s="21"/>
      <c r="S369" s="22">
        <f t="shared" si="58"/>
        <v>12.862999999999998</v>
      </c>
      <c r="T369" s="6"/>
      <c r="U369" s="6"/>
      <c r="V369" s="6"/>
      <c r="W369" s="6"/>
    </row>
    <row r="370" spans="1:23" s="5" customFormat="1" ht="17.25" customHeight="1" x14ac:dyDescent="0.25">
      <c r="A370" s="17"/>
      <c r="B370" s="17"/>
      <c r="C370" s="17"/>
      <c r="D370" s="125" t="s">
        <v>1092</v>
      </c>
      <c r="E370" s="19" t="s">
        <v>12</v>
      </c>
      <c r="F370" s="20">
        <v>6</v>
      </c>
      <c r="G370" s="20"/>
      <c r="H370" s="20">
        <v>1.9</v>
      </c>
      <c r="I370" s="20"/>
      <c r="J370" s="20"/>
      <c r="K370" s="21">
        <f t="shared" si="56"/>
        <v>11.399999999999999</v>
      </c>
      <c r="L370" s="21"/>
      <c r="M370" s="21"/>
      <c r="N370" s="21"/>
      <c r="O370" s="21"/>
      <c r="P370" s="21"/>
      <c r="Q370" s="21">
        <f t="shared" si="57"/>
        <v>0</v>
      </c>
      <c r="R370" s="21"/>
      <c r="S370" s="22">
        <f t="shared" si="58"/>
        <v>11.399999999999999</v>
      </c>
      <c r="T370" s="6"/>
      <c r="U370" s="6"/>
      <c r="V370" s="6"/>
      <c r="W370" s="6"/>
    </row>
    <row r="371" spans="1:23" s="5" customFormat="1" ht="17.25" customHeight="1" x14ac:dyDescent="0.25">
      <c r="A371" s="17"/>
      <c r="B371" s="17"/>
      <c r="C371" s="17"/>
      <c r="D371" s="125" t="s">
        <v>1093</v>
      </c>
      <c r="E371" s="19" t="s">
        <v>12</v>
      </c>
      <c r="F371" s="20">
        <v>4.3099999999999996</v>
      </c>
      <c r="G371" s="20"/>
      <c r="H371" s="20">
        <v>1.9</v>
      </c>
      <c r="I371" s="20"/>
      <c r="J371" s="20"/>
      <c r="K371" s="21">
        <f t="shared" si="56"/>
        <v>8.1889999999999983</v>
      </c>
      <c r="L371" s="21"/>
      <c r="M371" s="21"/>
      <c r="N371" s="21"/>
      <c r="O371" s="21"/>
      <c r="P371" s="21"/>
      <c r="Q371" s="21">
        <f t="shared" si="57"/>
        <v>0</v>
      </c>
      <c r="R371" s="21"/>
      <c r="S371" s="22">
        <f t="shared" si="58"/>
        <v>8.1889999999999983</v>
      </c>
      <c r="T371" s="6"/>
      <c r="U371" s="6"/>
      <c r="V371" s="6"/>
      <c r="W371" s="6"/>
    </row>
    <row r="372" spans="1:23" s="5" customFormat="1" ht="17.25" customHeight="1" x14ac:dyDescent="0.25">
      <c r="A372" s="17"/>
      <c r="B372" s="17"/>
      <c r="C372" s="17"/>
      <c r="D372" s="125" t="s">
        <v>1094</v>
      </c>
      <c r="E372" s="19" t="s">
        <v>12</v>
      </c>
      <c r="F372" s="20">
        <v>4.03</v>
      </c>
      <c r="G372" s="20"/>
      <c r="H372" s="20">
        <v>1.9</v>
      </c>
      <c r="I372" s="20"/>
      <c r="J372" s="20"/>
      <c r="K372" s="21">
        <f t="shared" si="56"/>
        <v>7.657</v>
      </c>
      <c r="L372" s="21"/>
      <c r="M372" s="21"/>
      <c r="N372" s="21"/>
      <c r="O372" s="21"/>
      <c r="P372" s="21"/>
      <c r="Q372" s="21">
        <f t="shared" si="57"/>
        <v>0</v>
      </c>
      <c r="R372" s="21"/>
      <c r="S372" s="22">
        <f t="shared" si="58"/>
        <v>7.657</v>
      </c>
      <c r="T372" s="6"/>
      <c r="U372" s="6"/>
      <c r="V372" s="6"/>
      <c r="W372" s="6"/>
    </row>
    <row r="373" spans="1:23" s="5" customFormat="1" ht="17.25" customHeight="1" x14ac:dyDescent="0.25">
      <c r="A373" s="17"/>
      <c r="B373" s="17"/>
      <c r="C373" s="17"/>
      <c r="D373" s="125" t="s">
        <v>1095</v>
      </c>
      <c r="E373" s="19" t="s">
        <v>12</v>
      </c>
      <c r="F373" s="20">
        <v>3.64</v>
      </c>
      <c r="G373" s="20"/>
      <c r="H373" s="20">
        <v>1.9</v>
      </c>
      <c r="I373" s="20"/>
      <c r="J373" s="20"/>
      <c r="K373" s="21">
        <f t="shared" si="56"/>
        <v>6.9159999999999995</v>
      </c>
      <c r="L373" s="21"/>
      <c r="M373" s="21"/>
      <c r="N373" s="21"/>
      <c r="O373" s="21"/>
      <c r="P373" s="21"/>
      <c r="Q373" s="21">
        <f t="shared" si="57"/>
        <v>0</v>
      </c>
      <c r="R373" s="21"/>
      <c r="S373" s="22">
        <f t="shared" si="58"/>
        <v>6.9159999999999995</v>
      </c>
      <c r="T373" s="6"/>
      <c r="U373" s="6"/>
      <c r="V373" s="6"/>
      <c r="W373" s="6"/>
    </row>
    <row r="374" spans="1:23" s="5" customFormat="1" ht="17.25" customHeight="1" x14ac:dyDescent="0.25">
      <c r="A374" s="17"/>
      <c r="B374" s="17"/>
      <c r="C374" s="17"/>
      <c r="D374" s="125" t="s">
        <v>1096</v>
      </c>
      <c r="E374" s="19" t="s">
        <v>12</v>
      </c>
      <c r="F374" s="20">
        <v>0.94</v>
      </c>
      <c r="G374" s="20"/>
      <c r="H374" s="20">
        <v>1.9</v>
      </c>
      <c r="I374" s="20"/>
      <c r="J374" s="20"/>
      <c r="K374" s="21">
        <f t="shared" si="56"/>
        <v>1.7859999999999998</v>
      </c>
      <c r="L374" s="21"/>
      <c r="M374" s="21"/>
      <c r="N374" s="21"/>
      <c r="O374" s="21"/>
      <c r="P374" s="21"/>
      <c r="Q374" s="21">
        <f t="shared" si="57"/>
        <v>0</v>
      </c>
      <c r="R374" s="21"/>
      <c r="S374" s="22">
        <f t="shared" si="58"/>
        <v>1.7859999999999998</v>
      </c>
      <c r="T374" s="6"/>
      <c r="U374" s="6"/>
      <c r="V374" s="6"/>
      <c r="W374" s="6"/>
    </row>
    <row r="375" spans="1:23" s="5" customFormat="1" ht="17.25" customHeight="1" x14ac:dyDescent="0.25">
      <c r="A375" s="17"/>
      <c r="B375" s="17"/>
      <c r="C375" s="17"/>
      <c r="D375" s="125" t="s">
        <v>1097</v>
      </c>
      <c r="E375" s="19" t="s">
        <v>12</v>
      </c>
      <c r="F375" s="20">
        <v>7.79</v>
      </c>
      <c r="G375" s="20"/>
      <c r="H375" s="20">
        <v>1.9</v>
      </c>
      <c r="I375" s="20"/>
      <c r="J375" s="20"/>
      <c r="K375" s="21">
        <f t="shared" si="56"/>
        <v>14.801</v>
      </c>
      <c r="L375" s="21"/>
      <c r="M375" s="21"/>
      <c r="N375" s="21"/>
      <c r="O375" s="21"/>
      <c r="P375" s="21"/>
      <c r="Q375" s="21">
        <f t="shared" si="57"/>
        <v>0</v>
      </c>
      <c r="R375" s="21"/>
      <c r="S375" s="22">
        <f t="shared" si="58"/>
        <v>14.801</v>
      </c>
      <c r="T375" s="6"/>
      <c r="U375" s="6"/>
      <c r="V375" s="6"/>
      <c r="W375" s="6"/>
    </row>
    <row r="376" spans="1:23" s="5" customFormat="1" ht="17.25" customHeight="1" x14ac:dyDescent="0.25">
      <c r="A376" s="17"/>
      <c r="B376" s="17"/>
      <c r="C376" s="17"/>
      <c r="D376" s="125" t="s">
        <v>1098</v>
      </c>
      <c r="E376" s="19" t="s">
        <v>12</v>
      </c>
      <c r="F376" s="20">
        <v>0.44</v>
      </c>
      <c r="G376" s="20"/>
      <c r="H376" s="20">
        <v>1.9</v>
      </c>
      <c r="I376" s="20"/>
      <c r="J376" s="20"/>
      <c r="K376" s="21">
        <f t="shared" si="56"/>
        <v>0.83599999999999997</v>
      </c>
      <c r="L376" s="21"/>
      <c r="M376" s="21"/>
      <c r="N376" s="21"/>
      <c r="O376" s="21"/>
      <c r="P376" s="21"/>
      <c r="Q376" s="21">
        <f t="shared" si="57"/>
        <v>0</v>
      </c>
      <c r="R376" s="21"/>
      <c r="S376" s="22">
        <f t="shared" si="58"/>
        <v>0.83599999999999997</v>
      </c>
      <c r="T376" s="6"/>
      <c r="U376" s="6"/>
      <c r="V376" s="6"/>
      <c r="W376" s="6"/>
    </row>
    <row r="377" spans="1:23" s="5" customFormat="1" ht="17.25" customHeight="1" x14ac:dyDescent="0.25">
      <c r="A377" s="17"/>
      <c r="B377" s="17"/>
      <c r="C377" s="17"/>
      <c r="D377" s="125" t="s">
        <v>1099</v>
      </c>
      <c r="E377" s="19" t="s">
        <v>12</v>
      </c>
      <c r="F377" s="20">
        <v>2.2999999999999998</v>
      </c>
      <c r="G377" s="20"/>
      <c r="H377" s="20">
        <v>1.9</v>
      </c>
      <c r="I377" s="20"/>
      <c r="J377" s="20"/>
      <c r="K377" s="21">
        <f t="shared" si="56"/>
        <v>4.3699999999999992</v>
      </c>
      <c r="L377" s="21"/>
      <c r="M377" s="21"/>
      <c r="N377" s="21"/>
      <c r="O377" s="21"/>
      <c r="P377" s="21"/>
      <c r="Q377" s="21">
        <f t="shared" si="57"/>
        <v>0</v>
      </c>
      <c r="R377" s="21"/>
      <c r="S377" s="22">
        <f t="shared" si="58"/>
        <v>4.3699999999999992</v>
      </c>
      <c r="T377" s="6"/>
      <c r="U377" s="6"/>
      <c r="V377" s="6"/>
      <c r="W377" s="6"/>
    </row>
    <row r="378" spans="1:23" s="5" customFormat="1" ht="17.25" customHeight="1" x14ac:dyDescent="0.25">
      <c r="A378" s="17"/>
      <c r="B378" s="17"/>
      <c r="C378" s="17"/>
      <c r="D378" s="125" t="s">
        <v>1100</v>
      </c>
      <c r="E378" s="19" t="s">
        <v>12</v>
      </c>
      <c r="F378" s="20">
        <v>0.55000000000000004</v>
      </c>
      <c r="G378" s="20"/>
      <c r="H378" s="20">
        <v>1.9</v>
      </c>
      <c r="I378" s="20"/>
      <c r="J378" s="20"/>
      <c r="K378" s="21">
        <f t="shared" si="56"/>
        <v>1.0449999999999999</v>
      </c>
      <c r="L378" s="21"/>
      <c r="M378" s="21"/>
      <c r="N378" s="21"/>
      <c r="O378" s="21"/>
      <c r="P378" s="21"/>
      <c r="Q378" s="21">
        <f t="shared" si="57"/>
        <v>0</v>
      </c>
      <c r="R378" s="21"/>
      <c r="S378" s="22">
        <f t="shared" si="58"/>
        <v>1.0449999999999999</v>
      </c>
      <c r="T378" s="6"/>
      <c r="U378" s="6"/>
      <c r="V378" s="6"/>
      <c r="W378" s="6"/>
    </row>
    <row r="379" spans="1:23" s="5" customFormat="1" ht="17.25" customHeight="1" x14ac:dyDescent="0.25">
      <c r="A379" s="17"/>
      <c r="B379" s="17"/>
      <c r="C379" s="17"/>
      <c r="D379" s="125" t="s">
        <v>1101</v>
      </c>
      <c r="E379" s="19" t="s">
        <v>12</v>
      </c>
      <c r="F379" s="20">
        <v>6.8</v>
      </c>
      <c r="G379" s="20"/>
      <c r="H379" s="20">
        <v>1.9</v>
      </c>
      <c r="I379" s="20"/>
      <c r="J379" s="20"/>
      <c r="K379" s="21">
        <f t="shared" si="56"/>
        <v>12.92</v>
      </c>
      <c r="L379" s="21"/>
      <c r="M379" s="21"/>
      <c r="N379" s="21"/>
      <c r="O379" s="21"/>
      <c r="P379" s="21"/>
      <c r="Q379" s="21">
        <f t="shared" si="57"/>
        <v>0</v>
      </c>
      <c r="R379" s="21"/>
      <c r="S379" s="22">
        <f t="shared" si="58"/>
        <v>12.92</v>
      </c>
      <c r="T379" s="6"/>
      <c r="U379" s="6"/>
      <c r="V379" s="6"/>
      <c r="W379" s="6"/>
    </row>
    <row r="380" spans="1:23" s="5" customFormat="1" ht="17.25" customHeight="1" x14ac:dyDescent="0.25">
      <c r="A380" s="17"/>
      <c r="B380" s="17"/>
      <c r="C380" s="17"/>
      <c r="D380" s="125" t="s">
        <v>1102</v>
      </c>
      <c r="E380" s="19" t="s">
        <v>12</v>
      </c>
      <c r="F380" s="20">
        <v>5.36</v>
      </c>
      <c r="G380" s="20"/>
      <c r="H380" s="20">
        <v>1.9</v>
      </c>
      <c r="I380" s="20"/>
      <c r="J380" s="20"/>
      <c r="K380" s="21">
        <f t="shared" si="56"/>
        <v>10.183999999999999</v>
      </c>
      <c r="L380" s="21"/>
      <c r="M380" s="21"/>
      <c r="N380" s="21"/>
      <c r="O380" s="21"/>
      <c r="P380" s="21"/>
      <c r="Q380" s="21">
        <f t="shared" si="57"/>
        <v>0</v>
      </c>
      <c r="R380" s="21"/>
      <c r="S380" s="22">
        <f t="shared" si="58"/>
        <v>10.183999999999999</v>
      </c>
      <c r="T380" s="6"/>
      <c r="U380" s="6"/>
      <c r="V380" s="6"/>
      <c r="W380" s="6"/>
    </row>
    <row r="381" spans="1:23" s="5" customFormat="1" ht="17.25" customHeight="1" x14ac:dyDescent="0.25">
      <c r="A381" s="17"/>
      <c r="B381" s="17"/>
      <c r="C381" s="17"/>
      <c r="D381" s="125" t="s">
        <v>1103</v>
      </c>
      <c r="E381" s="19" t="s">
        <v>12</v>
      </c>
      <c r="F381" s="20">
        <v>5.69</v>
      </c>
      <c r="G381" s="20"/>
      <c r="H381" s="20">
        <v>1.9</v>
      </c>
      <c r="I381" s="20"/>
      <c r="J381" s="20"/>
      <c r="K381" s="21">
        <f t="shared" si="56"/>
        <v>10.811</v>
      </c>
      <c r="L381" s="21"/>
      <c r="M381" s="21"/>
      <c r="N381" s="21"/>
      <c r="O381" s="21"/>
      <c r="P381" s="21"/>
      <c r="Q381" s="21">
        <f t="shared" si="57"/>
        <v>0</v>
      </c>
      <c r="R381" s="21"/>
      <c r="S381" s="22">
        <f t="shared" si="58"/>
        <v>10.811</v>
      </c>
      <c r="T381" s="6"/>
      <c r="U381" s="6"/>
      <c r="V381" s="6"/>
      <c r="W381" s="6"/>
    </row>
    <row r="382" spans="1:23" s="5" customFormat="1" ht="17.25" customHeight="1" x14ac:dyDescent="0.25">
      <c r="A382" s="17"/>
      <c r="B382" s="17"/>
      <c r="C382" s="17"/>
      <c r="D382" s="125" t="s">
        <v>1104</v>
      </c>
      <c r="E382" s="19" t="s">
        <v>12</v>
      </c>
      <c r="F382" s="20">
        <v>3.52</v>
      </c>
      <c r="G382" s="20"/>
      <c r="H382" s="20">
        <v>1.9</v>
      </c>
      <c r="I382" s="20"/>
      <c r="J382" s="20"/>
      <c r="K382" s="21">
        <f t="shared" si="56"/>
        <v>6.6879999999999997</v>
      </c>
      <c r="L382" s="21"/>
      <c r="M382" s="21"/>
      <c r="N382" s="21"/>
      <c r="O382" s="21"/>
      <c r="P382" s="21"/>
      <c r="Q382" s="21">
        <f t="shared" si="57"/>
        <v>0</v>
      </c>
      <c r="R382" s="21"/>
      <c r="S382" s="22">
        <f t="shared" si="58"/>
        <v>6.6879999999999997</v>
      </c>
      <c r="T382" s="6"/>
      <c r="U382" s="6"/>
      <c r="V382" s="6"/>
      <c r="W382" s="6"/>
    </row>
    <row r="383" spans="1:23" s="5" customFormat="1" ht="17.25" customHeight="1" x14ac:dyDescent="0.25">
      <c r="A383" s="17"/>
      <c r="B383" s="17"/>
      <c r="C383" s="17"/>
      <c r="D383" s="125" t="s">
        <v>1105</v>
      </c>
      <c r="E383" s="19" t="s">
        <v>12</v>
      </c>
      <c r="F383" s="20">
        <v>3.52</v>
      </c>
      <c r="G383" s="20"/>
      <c r="H383" s="20">
        <v>1.9</v>
      </c>
      <c r="I383" s="20"/>
      <c r="J383" s="20"/>
      <c r="K383" s="21">
        <f t="shared" si="56"/>
        <v>6.6879999999999997</v>
      </c>
      <c r="L383" s="21"/>
      <c r="M383" s="21"/>
      <c r="N383" s="21"/>
      <c r="O383" s="21"/>
      <c r="P383" s="21"/>
      <c r="Q383" s="21">
        <f t="shared" si="57"/>
        <v>0</v>
      </c>
      <c r="R383" s="21"/>
      <c r="S383" s="22">
        <f t="shared" si="58"/>
        <v>6.6879999999999997</v>
      </c>
      <c r="T383" s="6"/>
      <c r="U383" s="6"/>
      <c r="V383" s="6"/>
      <c r="W383" s="6"/>
    </row>
    <row r="384" spans="1:23" s="5" customFormat="1" ht="17.25" customHeight="1" x14ac:dyDescent="0.25">
      <c r="A384" s="17"/>
      <c r="B384" s="17"/>
      <c r="C384" s="17"/>
      <c r="D384" s="125" t="s">
        <v>1106</v>
      </c>
      <c r="E384" s="19" t="s">
        <v>12</v>
      </c>
      <c r="F384" s="20">
        <v>5.69</v>
      </c>
      <c r="G384" s="20"/>
      <c r="H384" s="20">
        <v>1.9</v>
      </c>
      <c r="I384" s="20"/>
      <c r="J384" s="20"/>
      <c r="K384" s="21">
        <f t="shared" si="56"/>
        <v>10.811</v>
      </c>
      <c r="L384" s="21"/>
      <c r="M384" s="21"/>
      <c r="N384" s="21"/>
      <c r="O384" s="21"/>
      <c r="P384" s="21"/>
      <c r="Q384" s="21">
        <f t="shared" si="57"/>
        <v>0</v>
      </c>
      <c r="R384" s="21"/>
      <c r="S384" s="22">
        <f t="shared" si="58"/>
        <v>10.811</v>
      </c>
      <c r="T384" s="6"/>
      <c r="U384" s="6"/>
      <c r="V384" s="6"/>
      <c r="W384" s="6"/>
    </row>
    <row r="385" spans="1:23" s="5" customFormat="1" ht="17.25" customHeight="1" x14ac:dyDescent="0.25">
      <c r="A385" s="17"/>
      <c r="B385" s="17"/>
      <c r="C385" s="17"/>
      <c r="D385" s="125" t="s">
        <v>1107</v>
      </c>
      <c r="E385" s="19" t="s">
        <v>12</v>
      </c>
      <c r="F385" s="20">
        <v>6.74</v>
      </c>
      <c r="G385" s="20"/>
      <c r="H385" s="20">
        <v>1.9</v>
      </c>
      <c r="I385" s="20"/>
      <c r="J385" s="20"/>
      <c r="K385" s="21">
        <f t="shared" si="56"/>
        <v>12.805999999999999</v>
      </c>
      <c r="L385" s="21"/>
      <c r="M385" s="21"/>
      <c r="N385" s="21"/>
      <c r="O385" s="21"/>
      <c r="P385" s="21"/>
      <c r="Q385" s="21">
        <f t="shared" si="57"/>
        <v>0</v>
      </c>
      <c r="R385" s="21"/>
      <c r="S385" s="22">
        <f t="shared" si="58"/>
        <v>12.805999999999999</v>
      </c>
      <c r="T385" s="6"/>
      <c r="U385" s="6"/>
      <c r="V385" s="6"/>
      <c r="W385" s="6"/>
    </row>
    <row r="386" spans="1:23" s="5" customFormat="1" ht="17.25" customHeight="1" x14ac:dyDescent="0.25">
      <c r="A386" s="17"/>
      <c r="B386" s="17"/>
      <c r="C386" s="17"/>
      <c r="D386" s="125" t="s">
        <v>1116</v>
      </c>
      <c r="E386" s="19" t="s">
        <v>12</v>
      </c>
      <c r="F386" s="20">
        <v>4.03</v>
      </c>
      <c r="G386" s="20"/>
      <c r="H386" s="20">
        <v>2.8</v>
      </c>
      <c r="I386" s="20"/>
      <c r="J386" s="20"/>
      <c r="K386" s="21">
        <f t="shared" si="56"/>
        <v>11.284000000000001</v>
      </c>
      <c r="L386" s="21"/>
      <c r="M386" s="21" t="s">
        <v>1003</v>
      </c>
      <c r="N386" s="21">
        <v>3</v>
      </c>
      <c r="O386" s="21"/>
      <c r="P386" s="21">
        <v>1</v>
      </c>
      <c r="Q386" s="21">
        <f t="shared" si="57"/>
        <v>3</v>
      </c>
      <c r="R386" s="21"/>
      <c r="S386" s="22">
        <f t="shared" si="58"/>
        <v>8.2840000000000007</v>
      </c>
      <c r="T386" s="6"/>
      <c r="U386" s="6"/>
      <c r="V386" s="6"/>
      <c r="W386" s="6"/>
    </row>
    <row r="387" spans="1:23" s="5" customFormat="1" ht="17.25" customHeight="1" x14ac:dyDescent="0.25">
      <c r="A387" s="17"/>
      <c r="B387" s="17"/>
      <c r="C387" s="17"/>
      <c r="D387" s="147" t="s">
        <v>1162</v>
      </c>
      <c r="E387" s="19"/>
      <c r="F387" s="20"/>
      <c r="G387" s="20"/>
      <c r="H387" s="20"/>
      <c r="I387" s="20"/>
      <c r="J387" s="20"/>
      <c r="K387" s="21"/>
      <c r="L387" s="21"/>
      <c r="M387" s="21"/>
      <c r="N387" s="21"/>
      <c r="O387" s="21"/>
      <c r="P387" s="21"/>
      <c r="Q387" s="21"/>
      <c r="R387" s="21"/>
      <c r="S387" s="22"/>
      <c r="T387" s="6"/>
      <c r="U387" s="6"/>
      <c r="V387" s="6"/>
      <c r="W387" s="6"/>
    </row>
    <row r="388" spans="1:23" s="5" customFormat="1" ht="17.25" customHeight="1" x14ac:dyDescent="0.25">
      <c r="A388" s="17"/>
      <c r="B388" s="17"/>
      <c r="C388" s="17"/>
      <c r="D388" s="144" t="s">
        <v>1157</v>
      </c>
      <c r="E388" s="19"/>
      <c r="F388" s="20"/>
      <c r="G388" s="20"/>
      <c r="H388" s="20"/>
      <c r="I388" s="20"/>
      <c r="J388" s="20"/>
      <c r="K388" s="21"/>
      <c r="L388" s="21"/>
      <c r="M388" s="21"/>
      <c r="N388" s="21"/>
      <c r="O388" s="21"/>
      <c r="P388" s="21"/>
      <c r="Q388" s="21"/>
      <c r="R388" s="21"/>
      <c r="S388" s="22"/>
      <c r="T388" s="6"/>
      <c r="U388" s="6"/>
      <c r="V388" s="6"/>
      <c r="W388" s="6"/>
    </row>
    <row r="389" spans="1:23" s="5" customFormat="1" ht="17.25" customHeight="1" x14ac:dyDescent="0.25">
      <c r="A389" s="17"/>
      <c r="B389" s="17"/>
      <c r="C389" s="17"/>
      <c r="D389" s="125" t="s">
        <v>1108</v>
      </c>
      <c r="E389" s="19" t="s">
        <v>12</v>
      </c>
      <c r="F389" s="20">
        <v>2.4700000000000002</v>
      </c>
      <c r="G389" s="20"/>
      <c r="H389" s="20">
        <v>2.8</v>
      </c>
      <c r="I389" s="20"/>
      <c r="J389" s="20"/>
      <c r="K389" s="21">
        <f t="shared" si="56"/>
        <v>6.9160000000000004</v>
      </c>
      <c r="L389" s="21"/>
      <c r="M389" s="21"/>
      <c r="N389" s="21"/>
      <c r="O389" s="21"/>
      <c r="P389" s="21"/>
      <c r="Q389" s="21">
        <f t="shared" si="57"/>
        <v>0</v>
      </c>
      <c r="R389" s="21"/>
      <c r="S389" s="22">
        <f t="shared" si="58"/>
        <v>6.9160000000000004</v>
      </c>
      <c r="T389" s="6"/>
      <c r="U389" s="6"/>
      <c r="V389" s="6"/>
      <c r="W389" s="6"/>
    </row>
    <row r="390" spans="1:23" s="5" customFormat="1" ht="17.25" customHeight="1" x14ac:dyDescent="0.25">
      <c r="A390" s="17"/>
      <c r="B390" s="17"/>
      <c r="C390" s="17"/>
      <c r="D390" s="125" t="s">
        <v>1109</v>
      </c>
      <c r="E390" s="19" t="s">
        <v>12</v>
      </c>
      <c r="F390" s="20">
        <v>4.2699999999999996</v>
      </c>
      <c r="G390" s="20"/>
      <c r="H390" s="20">
        <v>2.8</v>
      </c>
      <c r="I390" s="20"/>
      <c r="J390" s="20"/>
      <c r="K390" s="21">
        <f t="shared" si="56"/>
        <v>11.955999999999998</v>
      </c>
      <c r="L390" s="21"/>
      <c r="M390" s="21"/>
      <c r="N390" s="21">
        <v>0.9</v>
      </c>
      <c r="O390" s="21"/>
      <c r="P390" s="21">
        <v>2.1</v>
      </c>
      <c r="Q390" s="21">
        <f t="shared" si="57"/>
        <v>1.8900000000000001</v>
      </c>
      <c r="R390" s="21"/>
      <c r="S390" s="22"/>
      <c r="T390" s="6"/>
      <c r="U390" s="6"/>
      <c r="V390" s="6"/>
      <c r="W390" s="6"/>
    </row>
    <row r="391" spans="1:23" s="5" customFormat="1" ht="17.25" customHeight="1" x14ac:dyDescent="0.25">
      <c r="A391" s="17"/>
      <c r="B391" s="17"/>
      <c r="C391" s="17"/>
      <c r="D391" s="125"/>
      <c r="E391" s="19"/>
      <c r="F391" s="20"/>
      <c r="G391" s="20"/>
      <c r="H391" s="20"/>
      <c r="I391" s="20"/>
      <c r="J391" s="20"/>
      <c r="K391" s="21"/>
      <c r="L391" s="21"/>
      <c r="M391" s="21"/>
      <c r="N391" s="21">
        <v>1.2</v>
      </c>
      <c r="O391" s="21"/>
      <c r="P391" s="21">
        <v>1.1000000000000001</v>
      </c>
      <c r="Q391" s="21">
        <f t="shared" si="57"/>
        <v>1.32</v>
      </c>
      <c r="R391" s="21"/>
      <c r="S391" s="22"/>
      <c r="T391" s="6"/>
      <c r="U391" s="6"/>
      <c r="V391" s="6"/>
      <c r="W391" s="6"/>
    </row>
    <row r="392" spans="1:23" s="5" customFormat="1" ht="17.25" customHeight="1" x14ac:dyDescent="0.25">
      <c r="A392" s="17"/>
      <c r="B392" s="17"/>
      <c r="C392" s="17"/>
      <c r="D392" s="125"/>
      <c r="E392" s="19"/>
      <c r="F392" s="20"/>
      <c r="G392" s="20"/>
      <c r="H392" s="20"/>
      <c r="I392" s="20"/>
      <c r="J392" s="20"/>
      <c r="K392" s="21"/>
      <c r="L392" s="21"/>
      <c r="M392" s="21"/>
      <c r="N392" s="21">
        <v>0.7</v>
      </c>
      <c r="O392" s="21"/>
      <c r="P392" s="21">
        <v>2.1</v>
      </c>
      <c r="Q392" s="21">
        <f t="shared" si="57"/>
        <v>1.47</v>
      </c>
      <c r="R392" s="21"/>
      <c r="S392" s="22"/>
      <c r="T392" s="6"/>
      <c r="U392" s="6"/>
      <c r="V392" s="6"/>
      <c r="W392" s="6"/>
    </row>
    <row r="393" spans="1:23" s="5" customFormat="1" ht="17.25" customHeight="1" x14ac:dyDescent="0.25">
      <c r="A393" s="17"/>
      <c r="B393" s="17"/>
      <c r="C393" s="17"/>
      <c r="D393" s="125"/>
      <c r="E393" s="19"/>
      <c r="F393" s="20"/>
      <c r="G393" s="20"/>
      <c r="H393" s="20"/>
      <c r="I393" s="20"/>
      <c r="J393" s="20"/>
      <c r="K393" s="21"/>
      <c r="L393" s="21"/>
      <c r="M393" s="21"/>
      <c r="N393" s="21"/>
      <c r="O393" s="21"/>
      <c r="P393" s="21"/>
      <c r="Q393" s="21"/>
      <c r="R393" s="21"/>
      <c r="S393" s="22">
        <f>+K390-(Q390+Q391+Q392)</f>
        <v>7.275999999999998</v>
      </c>
      <c r="T393" s="6"/>
      <c r="U393" s="6"/>
      <c r="V393" s="6"/>
      <c r="W393" s="6"/>
    </row>
    <row r="394" spans="1:23" s="5" customFormat="1" ht="17.25" customHeight="1" x14ac:dyDescent="0.25">
      <c r="A394" s="17"/>
      <c r="B394" s="17"/>
      <c r="C394" s="17"/>
      <c r="D394" s="125" t="s">
        <v>1110</v>
      </c>
      <c r="E394" s="19" t="s">
        <v>12</v>
      </c>
      <c r="F394" s="20">
        <v>1.58</v>
      </c>
      <c r="G394" s="20"/>
      <c r="H394" s="20">
        <v>3</v>
      </c>
      <c r="I394" s="20"/>
      <c r="J394" s="20"/>
      <c r="K394" s="21">
        <f t="shared" si="56"/>
        <v>4.74</v>
      </c>
      <c r="L394" s="21"/>
      <c r="M394" s="21"/>
      <c r="N394" s="21"/>
      <c r="O394" s="21"/>
      <c r="P394" s="21"/>
      <c r="Q394" s="21">
        <f t="shared" si="57"/>
        <v>0</v>
      </c>
      <c r="R394" s="21"/>
      <c r="S394" s="22">
        <f t="shared" si="58"/>
        <v>4.74</v>
      </c>
      <c r="T394" s="6"/>
      <c r="U394" s="6"/>
      <c r="V394" s="6"/>
      <c r="W394" s="6"/>
    </row>
    <row r="395" spans="1:23" s="5" customFormat="1" ht="17.25" customHeight="1" x14ac:dyDescent="0.25">
      <c r="A395" s="17"/>
      <c r="B395" s="17"/>
      <c r="C395" s="17"/>
      <c r="D395" s="125" t="s">
        <v>1111</v>
      </c>
      <c r="E395" s="19" t="s">
        <v>12</v>
      </c>
      <c r="F395" s="20">
        <v>1.58</v>
      </c>
      <c r="G395" s="20"/>
      <c r="H395" s="20">
        <v>2.8</v>
      </c>
      <c r="I395" s="20"/>
      <c r="J395" s="20"/>
      <c r="K395" s="21">
        <f t="shared" si="56"/>
        <v>4.4239999999999995</v>
      </c>
      <c r="L395" s="21"/>
      <c r="M395" s="21"/>
      <c r="N395" s="21">
        <v>0.4</v>
      </c>
      <c r="O395" s="21"/>
      <c r="P395" s="21">
        <v>1</v>
      </c>
      <c r="Q395" s="21">
        <f t="shared" si="57"/>
        <v>0.4</v>
      </c>
      <c r="R395" s="21"/>
      <c r="S395" s="22">
        <f t="shared" si="58"/>
        <v>4.0239999999999991</v>
      </c>
      <c r="T395" s="6"/>
      <c r="U395" s="6"/>
      <c r="V395" s="6"/>
      <c r="W395" s="6"/>
    </row>
    <row r="396" spans="1:23" s="5" customFormat="1" ht="17.25" customHeight="1" x14ac:dyDescent="0.25">
      <c r="A396" s="17"/>
      <c r="B396" s="17"/>
      <c r="C396" s="17"/>
      <c r="D396" s="125" t="s">
        <v>1112</v>
      </c>
      <c r="E396" s="19" t="s">
        <v>12</v>
      </c>
      <c r="F396" s="20">
        <v>4.2699999999999996</v>
      </c>
      <c r="G396" s="20"/>
      <c r="H396" s="20">
        <v>3</v>
      </c>
      <c r="I396" s="20"/>
      <c r="J396" s="20"/>
      <c r="K396" s="21">
        <f t="shared" si="56"/>
        <v>12.809999999999999</v>
      </c>
      <c r="L396" s="21"/>
      <c r="M396" s="21"/>
      <c r="N396" s="21"/>
      <c r="O396" s="21"/>
      <c r="P396" s="21"/>
      <c r="Q396" s="21">
        <f t="shared" si="57"/>
        <v>0</v>
      </c>
      <c r="R396" s="21"/>
      <c r="S396" s="22">
        <f t="shared" si="58"/>
        <v>12.809999999999999</v>
      </c>
      <c r="T396" s="6"/>
      <c r="U396" s="6"/>
      <c r="V396" s="6"/>
      <c r="W396" s="6"/>
    </row>
    <row r="397" spans="1:23" s="5" customFormat="1" ht="17.25" customHeight="1" x14ac:dyDescent="0.25">
      <c r="A397" s="17"/>
      <c r="B397" s="17"/>
      <c r="C397" s="17"/>
      <c r="D397" s="144" t="s">
        <v>1158</v>
      </c>
      <c r="E397" s="19"/>
      <c r="F397" s="20"/>
      <c r="G397" s="20"/>
      <c r="H397" s="20"/>
      <c r="I397" s="20"/>
      <c r="J397" s="20"/>
      <c r="K397" s="21"/>
      <c r="L397" s="21"/>
      <c r="M397" s="21"/>
      <c r="N397" s="21"/>
      <c r="O397" s="21"/>
      <c r="P397" s="21"/>
      <c r="Q397" s="21"/>
      <c r="R397" s="21"/>
      <c r="S397" s="22"/>
      <c r="T397" s="6"/>
      <c r="U397" s="6"/>
      <c r="V397" s="6"/>
      <c r="W397" s="6"/>
    </row>
    <row r="398" spans="1:23" s="5" customFormat="1" ht="17.25" customHeight="1" x14ac:dyDescent="0.25">
      <c r="A398" s="17"/>
      <c r="B398" s="17"/>
      <c r="C398" s="17"/>
      <c r="D398" s="125" t="s">
        <v>1113</v>
      </c>
      <c r="E398" s="19" t="s">
        <v>12</v>
      </c>
      <c r="F398" s="20">
        <v>2.39</v>
      </c>
      <c r="G398" s="20"/>
      <c r="H398" s="20">
        <v>3</v>
      </c>
      <c r="I398" s="20"/>
      <c r="J398" s="20"/>
      <c r="K398" s="21">
        <f t="shared" si="56"/>
        <v>7.17</v>
      </c>
      <c r="L398" s="21"/>
      <c r="M398" s="21"/>
      <c r="N398" s="21"/>
      <c r="O398" s="21"/>
      <c r="P398" s="21"/>
      <c r="Q398" s="21">
        <f t="shared" si="57"/>
        <v>0</v>
      </c>
      <c r="R398" s="21"/>
      <c r="S398" s="22">
        <f t="shared" si="58"/>
        <v>7.17</v>
      </c>
      <c r="T398" s="6"/>
      <c r="U398" s="6"/>
      <c r="V398" s="6"/>
      <c r="W398" s="6"/>
    </row>
    <row r="399" spans="1:23" s="5" customFormat="1" ht="17.25" customHeight="1" x14ac:dyDescent="0.25">
      <c r="A399" s="17"/>
      <c r="B399" s="17"/>
      <c r="C399" s="17"/>
      <c r="D399" s="125" t="s">
        <v>1114</v>
      </c>
      <c r="E399" s="19" t="s">
        <v>12</v>
      </c>
      <c r="F399" s="20">
        <v>2.39</v>
      </c>
      <c r="G399" s="20"/>
      <c r="H399" s="20">
        <v>2.8</v>
      </c>
      <c r="I399" s="20"/>
      <c r="J399" s="20"/>
      <c r="K399" s="21">
        <f t="shared" si="56"/>
        <v>6.6920000000000002</v>
      </c>
      <c r="L399" s="21"/>
      <c r="M399" s="21"/>
      <c r="N399" s="21">
        <v>1.5</v>
      </c>
      <c r="O399" s="21"/>
      <c r="P399" s="21">
        <v>2.1</v>
      </c>
      <c r="Q399" s="21">
        <f t="shared" si="57"/>
        <v>3.1500000000000004</v>
      </c>
      <c r="R399" s="21"/>
      <c r="S399" s="22">
        <f t="shared" si="58"/>
        <v>3.5419999999999998</v>
      </c>
      <c r="T399" s="6"/>
      <c r="U399" s="6"/>
      <c r="V399" s="6"/>
      <c r="W399" s="6"/>
    </row>
    <row r="400" spans="1:23" s="5" customFormat="1" ht="17.25" customHeight="1" x14ac:dyDescent="0.25">
      <c r="A400" s="17"/>
      <c r="B400" s="17"/>
      <c r="C400" s="17"/>
      <c r="D400" s="125" t="s">
        <v>1115</v>
      </c>
      <c r="E400" s="19" t="s">
        <v>12</v>
      </c>
      <c r="F400" s="20">
        <v>3.7</v>
      </c>
      <c r="G400" s="20"/>
      <c r="H400" s="20">
        <v>2.8</v>
      </c>
      <c r="I400" s="20"/>
      <c r="J400" s="20"/>
      <c r="K400" s="21">
        <f t="shared" si="56"/>
        <v>10.36</v>
      </c>
      <c r="L400" s="21"/>
      <c r="M400" s="21"/>
      <c r="N400" s="21">
        <v>3.7</v>
      </c>
      <c r="O400" s="21"/>
      <c r="P400" s="21">
        <v>0.6</v>
      </c>
      <c r="Q400" s="21">
        <f t="shared" si="57"/>
        <v>2.2200000000000002</v>
      </c>
      <c r="R400" s="21"/>
      <c r="S400" s="22">
        <f t="shared" si="58"/>
        <v>8.1399999999999988</v>
      </c>
      <c r="T400" s="6"/>
      <c r="U400" s="6"/>
      <c r="V400" s="6"/>
      <c r="W400" s="6"/>
    </row>
    <row r="401" spans="1:23" s="5" customFormat="1" ht="17.25" customHeight="1" x14ac:dyDescent="0.25">
      <c r="A401" s="17"/>
      <c r="B401" s="17"/>
      <c r="C401" s="17"/>
      <c r="D401" s="144" t="s">
        <v>1159</v>
      </c>
      <c r="E401" s="19"/>
      <c r="F401" s="20"/>
      <c r="G401" s="20"/>
      <c r="H401" s="20"/>
      <c r="I401" s="20"/>
      <c r="J401" s="20"/>
      <c r="K401" s="21"/>
      <c r="L401" s="21"/>
      <c r="M401" s="21"/>
      <c r="N401" s="21"/>
      <c r="O401" s="21"/>
      <c r="P401" s="21"/>
      <c r="Q401" s="21"/>
      <c r="R401" s="21"/>
      <c r="S401" s="22"/>
      <c r="T401" s="6"/>
      <c r="U401" s="6"/>
      <c r="V401" s="6"/>
      <c r="W401" s="6"/>
    </row>
    <row r="402" spans="1:23" s="5" customFormat="1" ht="17.25" customHeight="1" x14ac:dyDescent="0.25">
      <c r="A402" s="17"/>
      <c r="B402" s="17"/>
      <c r="C402" s="17"/>
      <c r="D402" s="125" t="s">
        <v>1142</v>
      </c>
      <c r="E402" s="19" t="s">
        <v>12</v>
      </c>
      <c r="F402" s="20">
        <v>2.6</v>
      </c>
      <c r="G402" s="20"/>
      <c r="H402" s="20">
        <v>2.8</v>
      </c>
      <c r="I402" s="20"/>
      <c r="J402" s="20"/>
      <c r="K402" s="21">
        <f t="shared" si="56"/>
        <v>7.2799999999999994</v>
      </c>
      <c r="L402" s="21"/>
      <c r="M402" s="21"/>
      <c r="N402" s="21"/>
      <c r="O402" s="21"/>
      <c r="P402" s="21"/>
      <c r="Q402" s="21">
        <f t="shared" ref="Q402:Q421" si="59">+N402*P402</f>
        <v>0</v>
      </c>
      <c r="R402" s="21"/>
      <c r="S402" s="22">
        <f t="shared" ref="S402:S421" si="60">+K402-Q402</f>
        <v>7.2799999999999994</v>
      </c>
      <c r="T402" s="6"/>
      <c r="U402" s="6"/>
      <c r="V402" s="6"/>
      <c r="W402" s="6"/>
    </row>
    <row r="403" spans="1:23" s="5" customFormat="1" ht="17.25" customHeight="1" x14ac:dyDescent="0.25">
      <c r="A403" s="17"/>
      <c r="B403" s="17"/>
      <c r="C403" s="17"/>
      <c r="D403" s="125" t="s">
        <v>1143</v>
      </c>
      <c r="E403" s="19" t="s">
        <v>12</v>
      </c>
      <c r="F403" s="20">
        <v>3.6</v>
      </c>
      <c r="G403" s="20"/>
      <c r="H403" s="20">
        <v>2.8</v>
      </c>
      <c r="I403" s="20"/>
      <c r="J403" s="20"/>
      <c r="K403" s="21">
        <f t="shared" si="56"/>
        <v>10.08</v>
      </c>
      <c r="L403" s="21"/>
      <c r="M403" s="21"/>
      <c r="N403" s="21"/>
      <c r="O403" s="21"/>
      <c r="P403" s="21"/>
      <c r="Q403" s="21">
        <f t="shared" si="59"/>
        <v>0</v>
      </c>
      <c r="R403" s="21"/>
      <c r="S403" s="22">
        <f t="shared" si="60"/>
        <v>10.08</v>
      </c>
      <c r="T403" s="6"/>
      <c r="U403" s="6"/>
      <c r="V403" s="6"/>
      <c r="W403" s="6"/>
    </row>
    <row r="404" spans="1:23" s="5" customFormat="1" ht="17.25" customHeight="1" x14ac:dyDescent="0.25">
      <c r="A404" s="17"/>
      <c r="B404" s="17"/>
      <c r="C404" s="17"/>
      <c r="D404" s="125" t="s">
        <v>1144</v>
      </c>
      <c r="E404" s="19" t="s">
        <v>12</v>
      </c>
      <c r="F404" s="20">
        <v>2.6</v>
      </c>
      <c r="G404" s="20"/>
      <c r="H404" s="20">
        <v>2.8</v>
      </c>
      <c r="I404" s="20"/>
      <c r="J404" s="20"/>
      <c r="K404" s="21">
        <f t="shared" si="56"/>
        <v>7.2799999999999994</v>
      </c>
      <c r="L404" s="21"/>
      <c r="M404" s="21"/>
      <c r="N404" s="21">
        <v>1.8</v>
      </c>
      <c r="O404" s="21"/>
      <c r="P404" s="21">
        <v>1.1000000000000001</v>
      </c>
      <c r="Q404" s="21">
        <f t="shared" si="59"/>
        <v>1.9800000000000002</v>
      </c>
      <c r="R404" s="21"/>
      <c r="S404" s="22">
        <f t="shared" si="60"/>
        <v>5.2999999999999989</v>
      </c>
      <c r="T404" s="6"/>
      <c r="U404" s="6"/>
      <c r="V404" s="6"/>
      <c r="W404" s="6"/>
    </row>
    <row r="405" spans="1:23" s="5" customFormat="1" ht="17.25" customHeight="1" x14ac:dyDescent="0.25">
      <c r="A405" s="17"/>
      <c r="B405" s="17"/>
      <c r="C405" s="17"/>
      <c r="D405" s="125" t="s">
        <v>1145</v>
      </c>
      <c r="E405" s="19" t="s">
        <v>12</v>
      </c>
      <c r="F405" s="20">
        <v>3.6</v>
      </c>
      <c r="G405" s="20"/>
      <c r="H405" s="20">
        <v>2.8</v>
      </c>
      <c r="I405" s="20"/>
      <c r="J405" s="20"/>
      <c r="K405" s="21">
        <f t="shared" si="56"/>
        <v>10.08</v>
      </c>
      <c r="L405" s="21"/>
      <c r="M405" s="21"/>
      <c r="N405" s="21">
        <v>1.8</v>
      </c>
      <c r="O405" s="21"/>
      <c r="P405" s="21">
        <v>1.1000000000000001</v>
      </c>
      <c r="Q405" s="21">
        <f t="shared" si="59"/>
        <v>1.9800000000000002</v>
      </c>
      <c r="R405" s="21"/>
      <c r="S405" s="22"/>
      <c r="T405" s="6"/>
      <c r="U405" s="6"/>
      <c r="V405" s="6"/>
      <c r="W405" s="6"/>
    </row>
    <row r="406" spans="1:23" s="5" customFormat="1" ht="17.25" customHeight="1" x14ac:dyDescent="0.25">
      <c r="A406" s="17"/>
      <c r="B406" s="17"/>
      <c r="C406" s="17"/>
      <c r="D406" s="125"/>
      <c r="E406" s="19"/>
      <c r="F406" s="20"/>
      <c r="G406" s="20"/>
      <c r="H406" s="20"/>
      <c r="I406" s="20"/>
      <c r="J406" s="20"/>
      <c r="K406" s="21"/>
      <c r="L406" s="21"/>
      <c r="M406" s="21"/>
      <c r="N406" s="21">
        <v>0.9</v>
      </c>
      <c r="O406" s="21"/>
      <c r="P406" s="21">
        <v>2.1</v>
      </c>
      <c r="Q406" s="21">
        <f t="shared" si="59"/>
        <v>1.8900000000000001</v>
      </c>
      <c r="R406" s="21"/>
      <c r="S406" s="22"/>
      <c r="T406" s="6"/>
      <c r="U406" s="6"/>
      <c r="V406" s="6"/>
      <c r="W406" s="6"/>
    </row>
    <row r="407" spans="1:23" s="5" customFormat="1" ht="17.25" customHeight="1" x14ac:dyDescent="0.25">
      <c r="A407" s="17"/>
      <c r="B407" s="17"/>
      <c r="C407" s="17"/>
      <c r="D407" s="125"/>
      <c r="E407" s="19"/>
      <c r="F407" s="20"/>
      <c r="G407" s="20"/>
      <c r="H407" s="20"/>
      <c r="I407" s="20"/>
      <c r="J407" s="20"/>
      <c r="K407" s="21"/>
      <c r="L407" s="21"/>
      <c r="M407" s="21"/>
      <c r="N407" s="21"/>
      <c r="O407" s="21"/>
      <c r="P407" s="21"/>
      <c r="Q407" s="21"/>
      <c r="R407" s="21"/>
      <c r="S407" s="22">
        <f>+K405-(Q405+Q406)</f>
        <v>6.21</v>
      </c>
      <c r="T407" s="6"/>
      <c r="U407" s="6"/>
      <c r="V407" s="6"/>
      <c r="W407" s="6"/>
    </row>
    <row r="408" spans="1:23" s="5" customFormat="1" ht="17.25" customHeight="1" x14ac:dyDescent="0.25">
      <c r="A408" s="17"/>
      <c r="B408" s="17"/>
      <c r="C408" s="17"/>
      <c r="D408" s="144" t="s">
        <v>1160</v>
      </c>
      <c r="E408" s="19"/>
      <c r="F408" s="20"/>
      <c r="G408" s="20"/>
      <c r="H408" s="20"/>
      <c r="I408" s="20"/>
      <c r="J408" s="20"/>
      <c r="K408" s="21"/>
      <c r="L408" s="21"/>
      <c r="M408" s="21"/>
      <c r="N408" s="21"/>
      <c r="O408" s="21"/>
      <c r="P408" s="21"/>
      <c r="Q408" s="21"/>
      <c r="R408" s="21"/>
      <c r="S408" s="22"/>
      <c r="T408" s="6"/>
      <c r="U408" s="6"/>
      <c r="V408" s="6"/>
      <c r="W408" s="6"/>
    </row>
    <row r="409" spans="1:23" s="5" customFormat="1" ht="17.25" customHeight="1" x14ac:dyDescent="0.25">
      <c r="A409" s="17"/>
      <c r="B409" s="17"/>
      <c r="C409" s="17"/>
      <c r="D409" s="125" t="s">
        <v>1146</v>
      </c>
      <c r="E409" s="19" t="s">
        <v>12</v>
      </c>
      <c r="F409" s="20">
        <v>1.62</v>
      </c>
      <c r="G409" s="20"/>
      <c r="H409" s="20">
        <v>2.8</v>
      </c>
      <c r="I409" s="20"/>
      <c r="J409" s="20"/>
      <c r="K409" s="21">
        <f t="shared" si="56"/>
        <v>4.5359999999999996</v>
      </c>
      <c r="L409" s="21"/>
      <c r="M409" s="21"/>
      <c r="N409" s="21">
        <v>0.7</v>
      </c>
      <c r="O409" s="21"/>
      <c r="P409" s="21">
        <v>2.1</v>
      </c>
      <c r="Q409" s="21">
        <f t="shared" si="59"/>
        <v>1.47</v>
      </c>
      <c r="R409" s="21"/>
      <c r="S409" s="22">
        <f t="shared" si="60"/>
        <v>3.0659999999999998</v>
      </c>
      <c r="T409" s="6"/>
      <c r="U409" s="6"/>
      <c r="V409" s="6"/>
      <c r="W409" s="6"/>
    </row>
    <row r="410" spans="1:23" s="5" customFormat="1" ht="17.25" customHeight="1" x14ac:dyDescent="0.25">
      <c r="A410" s="17"/>
      <c r="B410" s="17"/>
      <c r="C410" s="17"/>
      <c r="D410" s="125" t="s">
        <v>1147</v>
      </c>
      <c r="E410" s="19" t="s">
        <v>12</v>
      </c>
      <c r="F410" s="20">
        <v>1.5</v>
      </c>
      <c r="G410" s="20"/>
      <c r="H410" s="20">
        <v>2.8</v>
      </c>
      <c r="I410" s="20"/>
      <c r="J410" s="20"/>
      <c r="K410" s="21">
        <f t="shared" si="56"/>
        <v>4.1999999999999993</v>
      </c>
      <c r="L410" s="21"/>
      <c r="M410" s="21"/>
      <c r="N410" s="21">
        <v>1.1000000000000001</v>
      </c>
      <c r="O410" s="21"/>
      <c r="P410" s="21">
        <v>1</v>
      </c>
      <c r="Q410" s="21">
        <f t="shared" si="59"/>
        <v>1.1000000000000001</v>
      </c>
      <c r="R410" s="21"/>
      <c r="S410" s="22">
        <f t="shared" si="60"/>
        <v>3.0999999999999992</v>
      </c>
      <c r="T410" s="6"/>
      <c r="U410" s="6"/>
      <c r="V410" s="6"/>
      <c r="W410" s="6"/>
    </row>
    <row r="411" spans="1:23" s="5" customFormat="1" ht="17.25" customHeight="1" x14ac:dyDescent="0.25">
      <c r="A411" s="17"/>
      <c r="B411" s="17"/>
      <c r="C411" s="17"/>
      <c r="D411" s="125" t="s">
        <v>1148</v>
      </c>
      <c r="E411" s="19" t="s">
        <v>12</v>
      </c>
      <c r="F411" s="20">
        <v>1.5</v>
      </c>
      <c r="G411" s="20"/>
      <c r="H411" s="20">
        <v>2.8</v>
      </c>
      <c r="I411" s="20"/>
      <c r="J411" s="20"/>
      <c r="K411" s="21">
        <f t="shared" si="56"/>
        <v>4.1999999999999993</v>
      </c>
      <c r="L411" s="21"/>
      <c r="M411" s="21"/>
      <c r="N411" s="21">
        <v>1.1000000000000001</v>
      </c>
      <c r="O411" s="21"/>
      <c r="P411" s="21">
        <v>1</v>
      </c>
      <c r="Q411" s="21">
        <f t="shared" ref="Q411" si="61">+N411*P411</f>
        <v>1.1000000000000001</v>
      </c>
      <c r="R411" s="21"/>
      <c r="S411" s="22">
        <f t="shared" si="60"/>
        <v>3.0999999999999992</v>
      </c>
      <c r="T411" s="6"/>
      <c r="U411" s="6"/>
      <c r="V411" s="6"/>
      <c r="W411" s="6"/>
    </row>
    <row r="412" spans="1:23" s="5" customFormat="1" ht="17.25" customHeight="1" x14ac:dyDescent="0.25">
      <c r="A412" s="17"/>
      <c r="B412" s="17"/>
      <c r="C412" s="17"/>
      <c r="D412" s="125" t="s">
        <v>1149</v>
      </c>
      <c r="E412" s="19" t="s">
        <v>12</v>
      </c>
      <c r="F412" s="20">
        <v>1.5</v>
      </c>
      <c r="G412" s="20"/>
      <c r="H412" s="20">
        <v>2.8</v>
      </c>
      <c r="I412" s="20"/>
      <c r="J412" s="20"/>
      <c r="K412" s="21">
        <f t="shared" ref="K412" si="62">+F412*H412</f>
        <v>4.1999999999999993</v>
      </c>
      <c r="L412" s="21"/>
      <c r="M412" s="21"/>
      <c r="N412" s="21">
        <v>1.1000000000000001</v>
      </c>
      <c r="O412" s="21"/>
      <c r="P412" s="21">
        <v>1</v>
      </c>
      <c r="Q412" s="21">
        <f t="shared" ref="Q412" si="63">+N412*P412</f>
        <v>1.1000000000000001</v>
      </c>
      <c r="R412" s="21"/>
      <c r="S412" s="22">
        <f t="shared" ref="S412" si="64">+K412-Q412</f>
        <v>3.0999999999999992</v>
      </c>
      <c r="T412" s="6"/>
      <c r="U412" s="6"/>
      <c r="V412" s="6"/>
      <c r="W412" s="6"/>
    </row>
    <row r="413" spans="1:23" s="5" customFormat="1" ht="17.25" customHeight="1" x14ac:dyDescent="0.25">
      <c r="A413" s="17"/>
      <c r="B413" s="17"/>
      <c r="C413" s="17"/>
      <c r="D413" s="125" t="s">
        <v>1161</v>
      </c>
      <c r="E413" s="19" t="s">
        <v>12</v>
      </c>
      <c r="F413" s="20"/>
      <c r="G413" s="20"/>
      <c r="H413" s="20"/>
      <c r="I413" s="20"/>
      <c r="J413" s="20"/>
      <c r="K413" s="21">
        <v>1.41</v>
      </c>
      <c r="L413" s="21"/>
      <c r="M413" s="21"/>
      <c r="N413" s="21"/>
      <c r="O413" s="21"/>
      <c r="P413" s="21"/>
      <c r="Q413" s="21">
        <f t="shared" si="59"/>
        <v>0</v>
      </c>
      <c r="R413" s="21"/>
      <c r="S413" s="22">
        <f t="shared" si="60"/>
        <v>1.41</v>
      </c>
      <c r="T413" s="6"/>
      <c r="U413" s="6"/>
      <c r="V413" s="6"/>
      <c r="W413" s="6"/>
    </row>
    <row r="414" spans="1:23" s="5" customFormat="1" ht="17.25" customHeight="1" x14ac:dyDescent="0.25">
      <c r="A414" s="17"/>
      <c r="B414" s="17"/>
      <c r="C414" s="17"/>
      <c r="D414" s="125" t="s">
        <v>1150</v>
      </c>
      <c r="E414" s="19" t="s">
        <v>12</v>
      </c>
      <c r="F414" s="20"/>
      <c r="G414" s="20"/>
      <c r="H414" s="20"/>
      <c r="I414" s="20"/>
      <c r="J414" s="20"/>
      <c r="K414" s="21">
        <v>0.65</v>
      </c>
      <c r="L414" s="21"/>
      <c r="M414" s="21"/>
      <c r="N414" s="21"/>
      <c r="O414" s="21"/>
      <c r="P414" s="21"/>
      <c r="Q414" s="21">
        <f t="shared" si="59"/>
        <v>0</v>
      </c>
      <c r="R414" s="21"/>
      <c r="S414" s="22">
        <f t="shared" si="60"/>
        <v>0.65</v>
      </c>
      <c r="T414" s="6"/>
      <c r="U414" s="6"/>
      <c r="V414" s="6"/>
      <c r="W414" s="6"/>
    </row>
    <row r="415" spans="1:23" s="5" customFormat="1" ht="17.25" customHeight="1" x14ac:dyDescent="0.25">
      <c r="A415" s="17"/>
      <c r="B415" s="17"/>
      <c r="C415" s="17"/>
      <c r="D415" s="125" t="s">
        <v>1151</v>
      </c>
      <c r="E415" s="19" t="s">
        <v>12</v>
      </c>
      <c r="F415" s="20"/>
      <c r="G415" s="20"/>
      <c r="H415" s="20"/>
      <c r="I415" s="20"/>
      <c r="J415" s="20"/>
      <c r="K415" s="21">
        <v>1.4</v>
      </c>
      <c r="L415" s="21"/>
      <c r="M415" s="21"/>
      <c r="N415" s="21"/>
      <c r="O415" s="21"/>
      <c r="P415" s="21"/>
      <c r="Q415" s="21">
        <f t="shared" si="59"/>
        <v>0</v>
      </c>
      <c r="R415" s="21"/>
      <c r="S415" s="22">
        <f t="shared" si="60"/>
        <v>1.4</v>
      </c>
      <c r="T415" s="6"/>
      <c r="U415" s="6"/>
      <c r="V415" s="6"/>
      <c r="W415" s="6"/>
    </row>
    <row r="416" spans="1:23" s="5" customFormat="1" ht="17.25" customHeight="1" x14ac:dyDescent="0.25">
      <c r="A416" s="17"/>
      <c r="B416" s="17"/>
      <c r="C416" s="17"/>
      <c r="D416" s="125" t="s">
        <v>1152</v>
      </c>
      <c r="E416" s="19" t="s">
        <v>12</v>
      </c>
      <c r="F416" s="20"/>
      <c r="G416" s="20"/>
      <c r="H416" s="20"/>
      <c r="I416" s="20"/>
      <c r="J416" s="20"/>
      <c r="K416" s="21">
        <v>1.41</v>
      </c>
      <c r="L416" s="21"/>
      <c r="M416" s="21"/>
      <c r="N416" s="21"/>
      <c r="O416" s="21"/>
      <c r="P416" s="21"/>
      <c r="Q416" s="21">
        <f t="shared" si="59"/>
        <v>0</v>
      </c>
      <c r="R416" s="21"/>
      <c r="S416" s="22">
        <f t="shared" si="60"/>
        <v>1.41</v>
      </c>
      <c r="T416" s="6"/>
      <c r="U416" s="6"/>
      <c r="V416" s="6"/>
      <c r="W416" s="6"/>
    </row>
    <row r="417" spans="1:23" s="5" customFormat="1" ht="17.25" customHeight="1" x14ac:dyDescent="0.25">
      <c r="A417" s="17"/>
      <c r="B417" s="17"/>
      <c r="C417" s="17"/>
      <c r="D417" s="144" t="s">
        <v>1082</v>
      </c>
      <c r="E417" s="19"/>
      <c r="F417" s="20"/>
      <c r="G417" s="20"/>
      <c r="H417" s="20"/>
      <c r="I417" s="20"/>
      <c r="J417" s="20"/>
      <c r="K417" s="21"/>
      <c r="L417" s="21"/>
      <c r="M417" s="21"/>
      <c r="N417" s="21"/>
      <c r="O417" s="21"/>
      <c r="P417" s="21"/>
      <c r="Q417" s="21"/>
      <c r="R417" s="21"/>
      <c r="S417" s="22"/>
      <c r="T417" s="6"/>
      <c r="U417" s="6"/>
      <c r="V417" s="6"/>
      <c r="W417" s="6"/>
    </row>
    <row r="418" spans="1:23" s="5" customFormat="1" ht="17.25" customHeight="1" x14ac:dyDescent="0.25">
      <c r="A418" s="17"/>
      <c r="B418" s="17"/>
      <c r="C418" s="17"/>
      <c r="D418" s="125" t="s">
        <v>1153</v>
      </c>
      <c r="E418" s="19" t="s">
        <v>12</v>
      </c>
      <c r="F418" s="20">
        <v>4.05</v>
      </c>
      <c r="G418" s="20"/>
      <c r="H418" s="20">
        <v>2.8</v>
      </c>
      <c r="I418" s="20"/>
      <c r="J418" s="20"/>
      <c r="K418" s="21">
        <f t="shared" si="56"/>
        <v>11.339999999999998</v>
      </c>
      <c r="L418" s="21"/>
      <c r="M418" s="21"/>
      <c r="N418" s="21">
        <v>1.5</v>
      </c>
      <c r="O418" s="21"/>
      <c r="P418" s="21">
        <v>2.1</v>
      </c>
      <c r="Q418" s="21">
        <f t="shared" si="59"/>
        <v>3.1500000000000004</v>
      </c>
      <c r="R418" s="21"/>
      <c r="S418" s="22">
        <f t="shared" si="60"/>
        <v>8.1899999999999977</v>
      </c>
      <c r="T418" s="6"/>
      <c r="U418" s="6"/>
      <c r="V418" s="6"/>
      <c r="W418" s="6"/>
    </row>
    <row r="419" spans="1:23" s="5" customFormat="1" ht="17.25" customHeight="1" x14ac:dyDescent="0.25">
      <c r="A419" s="17"/>
      <c r="B419" s="17"/>
      <c r="C419" s="17"/>
      <c r="D419" s="125" t="s">
        <v>1154</v>
      </c>
      <c r="E419" s="19" t="s">
        <v>12</v>
      </c>
      <c r="F419" s="20">
        <v>3.25</v>
      </c>
      <c r="G419" s="20"/>
      <c r="H419" s="20">
        <v>2.8</v>
      </c>
      <c r="I419" s="20"/>
      <c r="J419" s="20"/>
      <c r="K419" s="21">
        <f t="shared" si="56"/>
        <v>9.1</v>
      </c>
      <c r="L419" s="21"/>
      <c r="M419" s="21"/>
      <c r="N419" s="21"/>
      <c r="O419" s="21"/>
      <c r="P419" s="21"/>
      <c r="Q419" s="21">
        <f t="shared" si="59"/>
        <v>0</v>
      </c>
      <c r="R419" s="21"/>
      <c r="S419" s="22">
        <f t="shared" si="60"/>
        <v>9.1</v>
      </c>
      <c r="T419" s="6"/>
      <c r="U419" s="6"/>
      <c r="V419" s="6"/>
      <c r="W419" s="6"/>
    </row>
    <row r="420" spans="1:23" s="5" customFormat="1" ht="17.25" customHeight="1" x14ac:dyDescent="0.25">
      <c r="A420" s="17"/>
      <c r="B420" s="17"/>
      <c r="C420" s="17"/>
      <c r="D420" s="125" t="s">
        <v>1155</v>
      </c>
      <c r="E420" s="19" t="s">
        <v>12</v>
      </c>
      <c r="F420" s="20">
        <v>4.05</v>
      </c>
      <c r="G420" s="20"/>
      <c r="H420" s="20">
        <v>2.8</v>
      </c>
      <c r="I420" s="20"/>
      <c r="J420" s="20"/>
      <c r="K420" s="21">
        <f t="shared" si="56"/>
        <v>11.339999999999998</v>
      </c>
      <c r="L420" s="21"/>
      <c r="M420" s="21"/>
      <c r="N420" s="21"/>
      <c r="O420" s="21"/>
      <c r="P420" s="21"/>
      <c r="Q420" s="21">
        <f t="shared" si="59"/>
        <v>0</v>
      </c>
      <c r="R420" s="21"/>
      <c r="S420" s="22">
        <f t="shared" si="60"/>
        <v>11.339999999999998</v>
      </c>
      <c r="T420" s="6"/>
      <c r="U420" s="6"/>
      <c r="V420" s="6"/>
      <c r="W420" s="6"/>
    </row>
    <row r="421" spans="1:23" s="5" customFormat="1" ht="17.25" customHeight="1" x14ac:dyDescent="0.25">
      <c r="A421" s="17"/>
      <c r="B421" s="17"/>
      <c r="C421" s="17"/>
      <c r="D421" s="125" t="s">
        <v>1156</v>
      </c>
      <c r="E421" s="19" t="s">
        <v>12</v>
      </c>
      <c r="F421" s="20">
        <v>3.63</v>
      </c>
      <c r="G421" s="20"/>
      <c r="H421" s="20">
        <v>3</v>
      </c>
      <c r="I421" s="20"/>
      <c r="J421" s="20"/>
      <c r="K421" s="21">
        <f t="shared" si="56"/>
        <v>10.89</v>
      </c>
      <c r="L421" s="21"/>
      <c r="M421" s="21"/>
      <c r="N421" s="21"/>
      <c r="O421" s="21"/>
      <c r="P421" s="21"/>
      <c r="Q421" s="21">
        <f t="shared" si="59"/>
        <v>0</v>
      </c>
      <c r="R421" s="21"/>
      <c r="S421" s="22">
        <f t="shared" si="60"/>
        <v>10.89</v>
      </c>
      <c r="T421" s="6"/>
      <c r="U421" s="6"/>
      <c r="V421" s="6"/>
      <c r="W421" s="6"/>
    </row>
    <row r="422" spans="1:23" s="5" customFormat="1" ht="17.25" customHeight="1" x14ac:dyDescent="0.25">
      <c r="A422" s="17"/>
      <c r="B422" s="17"/>
      <c r="C422" s="17"/>
      <c r="D422" s="125" t="s">
        <v>1163</v>
      </c>
      <c r="E422" s="19" t="s">
        <v>12</v>
      </c>
      <c r="F422" s="20">
        <v>3.63</v>
      </c>
      <c r="G422" s="20"/>
      <c r="H422" s="20">
        <v>3</v>
      </c>
      <c r="I422" s="20"/>
      <c r="J422" s="20"/>
      <c r="K422" s="21">
        <f t="shared" ref="K422" si="65">+F422*H422</f>
        <v>10.89</v>
      </c>
      <c r="L422" s="21"/>
      <c r="M422" s="21"/>
      <c r="N422" s="21"/>
      <c r="O422" s="21"/>
      <c r="P422" s="21"/>
      <c r="Q422" s="21">
        <f t="shared" ref="Q422" si="66">+N422*P422</f>
        <v>0</v>
      </c>
      <c r="R422" s="21"/>
      <c r="S422" s="22">
        <f t="shared" ref="S422" si="67">+K422-Q422</f>
        <v>10.89</v>
      </c>
      <c r="T422" s="6"/>
      <c r="U422" s="6"/>
      <c r="V422" s="6"/>
      <c r="W422" s="6"/>
    </row>
    <row r="423" spans="1:23" s="5" customFormat="1" ht="17.25" customHeight="1" x14ac:dyDescent="0.25">
      <c r="A423" s="17"/>
      <c r="B423" s="17"/>
      <c r="C423" s="17"/>
      <c r="D423" s="125" t="s">
        <v>1164</v>
      </c>
      <c r="E423" s="19" t="s">
        <v>12</v>
      </c>
      <c r="F423" s="20">
        <v>4.05</v>
      </c>
      <c r="G423" s="20"/>
      <c r="H423" s="20">
        <v>2.8</v>
      </c>
      <c r="I423" s="20"/>
      <c r="J423" s="20"/>
      <c r="K423" s="21">
        <f t="shared" si="56"/>
        <v>11.339999999999998</v>
      </c>
      <c r="L423" s="21"/>
      <c r="M423" s="21"/>
      <c r="N423" s="21"/>
      <c r="O423" s="21"/>
      <c r="P423" s="21"/>
      <c r="Q423" s="21">
        <f t="shared" ref="Q423:Q435" si="68">+N423*P423</f>
        <v>0</v>
      </c>
      <c r="R423" s="21"/>
      <c r="S423" s="22">
        <f t="shared" ref="S423:S435" si="69">+K423-Q423</f>
        <v>11.339999999999998</v>
      </c>
      <c r="T423" s="6"/>
      <c r="U423" s="6"/>
      <c r="V423" s="6"/>
      <c r="W423" s="6"/>
    </row>
    <row r="424" spans="1:23" s="5" customFormat="1" ht="17.25" customHeight="1" x14ac:dyDescent="0.25">
      <c r="A424" s="17"/>
      <c r="B424" s="17"/>
      <c r="C424" s="17"/>
      <c r="D424" s="125" t="s">
        <v>1165</v>
      </c>
      <c r="E424" s="19" t="s">
        <v>12</v>
      </c>
      <c r="F424" s="20">
        <v>4.05</v>
      </c>
      <c r="G424" s="20"/>
      <c r="H424" s="20">
        <v>2.8</v>
      </c>
      <c r="I424" s="20"/>
      <c r="J424" s="20"/>
      <c r="K424" s="21">
        <f t="shared" si="56"/>
        <v>11.339999999999998</v>
      </c>
      <c r="L424" s="21"/>
      <c r="M424" s="21"/>
      <c r="N424" s="21">
        <v>1.5</v>
      </c>
      <c r="O424" s="21"/>
      <c r="P424" s="21">
        <v>2.1</v>
      </c>
      <c r="Q424" s="21">
        <f t="shared" si="68"/>
        <v>3.1500000000000004</v>
      </c>
      <c r="R424" s="21"/>
      <c r="S424" s="22"/>
      <c r="T424" s="6"/>
      <c r="U424" s="6"/>
      <c r="V424" s="6"/>
      <c r="W424" s="6"/>
    </row>
    <row r="425" spans="1:23" s="5" customFormat="1" ht="17.25" customHeight="1" x14ac:dyDescent="0.25">
      <c r="A425" s="17"/>
      <c r="B425" s="17"/>
      <c r="C425" s="17"/>
      <c r="D425" s="125"/>
      <c r="E425" s="19"/>
      <c r="F425" s="20"/>
      <c r="G425" s="20"/>
      <c r="H425" s="20"/>
      <c r="I425" s="20"/>
      <c r="J425" s="20"/>
      <c r="K425" s="21"/>
      <c r="L425" s="21"/>
      <c r="M425" s="21"/>
      <c r="N425" s="21">
        <v>1.5</v>
      </c>
      <c r="O425" s="21"/>
      <c r="P425" s="21">
        <v>2.1</v>
      </c>
      <c r="Q425" s="21">
        <f t="shared" si="68"/>
        <v>3.1500000000000004</v>
      </c>
      <c r="R425" s="21"/>
      <c r="S425" s="22"/>
      <c r="T425" s="6"/>
      <c r="U425" s="6"/>
      <c r="V425" s="6"/>
      <c r="W425" s="6"/>
    </row>
    <row r="426" spans="1:23" s="5" customFormat="1" ht="17.25" customHeight="1" x14ac:dyDescent="0.25">
      <c r="A426" s="17"/>
      <c r="B426" s="17"/>
      <c r="C426" s="17"/>
      <c r="D426" s="125"/>
      <c r="E426" s="19"/>
      <c r="F426" s="20"/>
      <c r="G426" s="20"/>
      <c r="H426" s="20"/>
      <c r="I426" s="20"/>
      <c r="J426" s="20"/>
      <c r="K426" s="21"/>
      <c r="L426" s="21"/>
      <c r="M426" s="21"/>
      <c r="N426" s="21"/>
      <c r="O426" s="21"/>
      <c r="P426" s="21"/>
      <c r="Q426" s="21"/>
      <c r="R426" s="21"/>
      <c r="S426" s="22">
        <f>+K424-(Q424+Q425)</f>
        <v>5.0399999999999974</v>
      </c>
      <c r="T426" s="6"/>
      <c r="U426" s="6"/>
      <c r="V426" s="6"/>
      <c r="W426" s="6"/>
    </row>
    <row r="427" spans="1:23" s="5" customFormat="1" ht="17.25" customHeight="1" x14ac:dyDescent="0.25">
      <c r="A427" s="17"/>
      <c r="B427" s="17"/>
      <c r="C427" s="17"/>
      <c r="D427" s="125" t="s">
        <v>1166</v>
      </c>
      <c r="E427" s="19" t="s">
        <v>12</v>
      </c>
      <c r="F427" s="20">
        <v>3.25</v>
      </c>
      <c r="G427" s="20"/>
      <c r="H427" s="20">
        <v>2.8</v>
      </c>
      <c r="I427" s="20"/>
      <c r="J427" s="20"/>
      <c r="K427" s="21">
        <f t="shared" si="56"/>
        <v>9.1</v>
      </c>
      <c r="L427" s="21"/>
      <c r="M427" s="21"/>
      <c r="N427" s="21"/>
      <c r="O427" s="21"/>
      <c r="P427" s="21"/>
      <c r="Q427" s="21">
        <f t="shared" si="68"/>
        <v>0</v>
      </c>
      <c r="R427" s="21"/>
      <c r="S427" s="22">
        <f t="shared" si="69"/>
        <v>9.1</v>
      </c>
      <c r="T427" s="6"/>
      <c r="U427" s="6"/>
      <c r="V427" s="6"/>
      <c r="W427" s="6"/>
    </row>
    <row r="428" spans="1:23" s="5" customFormat="1" ht="17.25" customHeight="1" x14ac:dyDescent="0.25">
      <c r="A428" s="17"/>
      <c r="B428" s="17"/>
      <c r="C428" s="17"/>
      <c r="D428" s="125" t="s">
        <v>1167</v>
      </c>
      <c r="E428" s="19" t="s">
        <v>12</v>
      </c>
      <c r="F428" s="20"/>
      <c r="G428" s="20"/>
      <c r="H428" s="20"/>
      <c r="I428" s="20"/>
      <c r="J428" s="20"/>
      <c r="K428" s="21">
        <v>4.9000000000000004</v>
      </c>
      <c r="L428" s="21"/>
      <c r="M428" s="21"/>
      <c r="N428" s="21"/>
      <c r="O428" s="21"/>
      <c r="P428" s="21"/>
      <c r="Q428" s="21">
        <f t="shared" si="68"/>
        <v>0</v>
      </c>
      <c r="R428" s="21"/>
      <c r="S428" s="22">
        <f t="shared" si="69"/>
        <v>4.9000000000000004</v>
      </c>
      <c r="T428" s="6"/>
      <c r="U428" s="6"/>
      <c r="V428" s="6"/>
      <c r="W428" s="6"/>
    </row>
    <row r="429" spans="1:23" s="5" customFormat="1" ht="17.25" customHeight="1" x14ac:dyDescent="0.25">
      <c r="A429" s="17"/>
      <c r="B429" s="17"/>
      <c r="C429" s="17"/>
      <c r="D429" s="125" t="s">
        <v>1168</v>
      </c>
      <c r="E429" s="19" t="s">
        <v>12</v>
      </c>
      <c r="F429" s="20"/>
      <c r="G429" s="20"/>
      <c r="H429" s="20"/>
      <c r="I429" s="20"/>
      <c r="J429" s="20"/>
      <c r="K429" s="21">
        <v>4.9000000000000004</v>
      </c>
      <c r="L429" s="21"/>
      <c r="M429" s="21"/>
      <c r="N429" s="21"/>
      <c r="O429" s="21"/>
      <c r="P429" s="21"/>
      <c r="Q429" s="21">
        <f t="shared" si="68"/>
        <v>0</v>
      </c>
      <c r="R429" s="21"/>
      <c r="S429" s="22">
        <f t="shared" si="69"/>
        <v>4.9000000000000004</v>
      </c>
      <c r="T429" s="6"/>
      <c r="U429" s="6"/>
      <c r="V429" s="6"/>
      <c r="W429" s="6"/>
    </row>
    <row r="430" spans="1:23" s="5" customFormat="1" ht="17.25" customHeight="1" x14ac:dyDescent="0.25">
      <c r="A430" s="17"/>
      <c r="B430" s="17"/>
      <c r="C430" s="17"/>
      <c r="D430" s="125" t="s">
        <v>1169</v>
      </c>
      <c r="E430" s="19" t="s">
        <v>12</v>
      </c>
      <c r="F430" s="20"/>
      <c r="G430" s="20"/>
      <c r="H430" s="20"/>
      <c r="I430" s="20"/>
      <c r="J430" s="20"/>
      <c r="K430" s="21">
        <v>3.27</v>
      </c>
      <c r="L430" s="21"/>
      <c r="M430" s="21"/>
      <c r="N430" s="21"/>
      <c r="O430" s="21"/>
      <c r="P430" s="21"/>
      <c r="Q430" s="21">
        <f t="shared" si="68"/>
        <v>0</v>
      </c>
      <c r="R430" s="21"/>
      <c r="S430" s="22">
        <f t="shared" si="69"/>
        <v>3.27</v>
      </c>
      <c r="T430" s="6"/>
      <c r="U430" s="6"/>
      <c r="V430" s="6"/>
      <c r="W430" s="6"/>
    </row>
    <row r="431" spans="1:23" s="5" customFormat="1" ht="17.25" customHeight="1" x14ac:dyDescent="0.25">
      <c r="A431" s="17"/>
      <c r="B431" s="17"/>
      <c r="C431" s="17"/>
      <c r="D431" s="125" t="s">
        <v>1170</v>
      </c>
      <c r="E431" s="19" t="s">
        <v>12</v>
      </c>
      <c r="F431" s="20"/>
      <c r="G431" s="20"/>
      <c r="H431" s="20"/>
      <c r="I431" s="20"/>
      <c r="J431" s="20"/>
      <c r="K431" s="21">
        <v>3.31</v>
      </c>
      <c r="L431" s="21"/>
      <c r="M431" s="21"/>
      <c r="N431" s="21"/>
      <c r="O431" s="21"/>
      <c r="P431" s="21"/>
      <c r="Q431" s="21">
        <f t="shared" si="68"/>
        <v>0</v>
      </c>
      <c r="R431" s="21"/>
      <c r="S431" s="22">
        <f t="shared" si="69"/>
        <v>3.31</v>
      </c>
      <c r="T431" s="6"/>
      <c r="U431" s="6"/>
      <c r="V431" s="6"/>
      <c r="W431" s="6"/>
    </row>
    <row r="432" spans="1:23" s="5" customFormat="1" ht="17.25" customHeight="1" x14ac:dyDescent="0.25">
      <c r="A432" s="17"/>
      <c r="B432" s="17"/>
      <c r="C432" s="17"/>
      <c r="D432" s="125" t="s">
        <v>1171</v>
      </c>
      <c r="E432" s="19" t="s">
        <v>12</v>
      </c>
      <c r="F432" s="20"/>
      <c r="G432" s="20"/>
      <c r="H432" s="20"/>
      <c r="I432" s="20"/>
      <c r="J432" s="20"/>
      <c r="K432" s="21">
        <v>3.27</v>
      </c>
      <c r="L432" s="21"/>
      <c r="M432" s="21"/>
      <c r="N432" s="21"/>
      <c r="O432" s="21"/>
      <c r="P432" s="21"/>
      <c r="Q432" s="21">
        <f t="shared" si="68"/>
        <v>0</v>
      </c>
      <c r="R432" s="21"/>
      <c r="S432" s="22">
        <f t="shared" si="69"/>
        <v>3.27</v>
      </c>
      <c r="T432" s="6"/>
      <c r="U432" s="6"/>
      <c r="V432" s="6"/>
      <c r="W432" s="6"/>
    </row>
    <row r="433" spans="1:23" s="5" customFormat="1" ht="17.25" customHeight="1" x14ac:dyDescent="0.25">
      <c r="A433" s="17"/>
      <c r="B433" s="17"/>
      <c r="C433" s="17"/>
      <c r="D433" s="125" t="s">
        <v>1172</v>
      </c>
      <c r="E433" s="19" t="s">
        <v>12</v>
      </c>
      <c r="F433" s="20"/>
      <c r="G433" s="20"/>
      <c r="H433" s="20"/>
      <c r="I433" s="20"/>
      <c r="J433" s="20"/>
      <c r="K433" s="21">
        <v>3.31</v>
      </c>
      <c r="L433" s="21"/>
      <c r="M433" s="21"/>
      <c r="N433" s="21"/>
      <c r="O433" s="21"/>
      <c r="P433" s="21"/>
      <c r="Q433" s="21">
        <f t="shared" si="68"/>
        <v>0</v>
      </c>
      <c r="R433" s="21"/>
      <c r="S433" s="22">
        <f t="shared" si="69"/>
        <v>3.31</v>
      </c>
      <c r="T433" s="6"/>
      <c r="U433" s="6"/>
      <c r="V433" s="6"/>
      <c r="W433" s="6"/>
    </row>
    <row r="434" spans="1:23" s="5" customFormat="1" ht="17.25" customHeight="1" x14ac:dyDescent="0.25">
      <c r="A434" s="17"/>
      <c r="B434" s="17"/>
      <c r="C434" s="17"/>
      <c r="D434" s="125" t="s">
        <v>1173</v>
      </c>
      <c r="E434" s="19" t="s">
        <v>12</v>
      </c>
      <c r="F434" s="20"/>
      <c r="G434" s="20"/>
      <c r="H434" s="20"/>
      <c r="I434" s="20"/>
      <c r="J434" s="20"/>
      <c r="K434" s="21">
        <v>3.27</v>
      </c>
      <c r="L434" s="21"/>
      <c r="M434" s="21"/>
      <c r="N434" s="21"/>
      <c r="O434" s="21"/>
      <c r="P434" s="21"/>
      <c r="Q434" s="21">
        <f t="shared" si="68"/>
        <v>0</v>
      </c>
      <c r="R434" s="21"/>
      <c r="S434" s="22">
        <f t="shared" si="69"/>
        <v>3.27</v>
      </c>
      <c r="T434" s="6"/>
      <c r="U434" s="6"/>
      <c r="V434" s="6"/>
      <c r="W434" s="6"/>
    </row>
    <row r="435" spans="1:23" s="5" customFormat="1" ht="17.25" customHeight="1" x14ac:dyDescent="0.25">
      <c r="A435" s="17"/>
      <c r="B435" s="17"/>
      <c r="C435" s="17"/>
      <c r="D435" s="125" t="s">
        <v>1174</v>
      </c>
      <c r="E435" s="19" t="s">
        <v>12</v>
      </c>
      <c r="F435" s="20"/>
      <c r="G435" s="20"/>
      <c r="H435" s="20"/>
      <c r="I435" s="20"/>
      <c r="J435" s="20"/>
      <c r="K435" s="21">
        <v>3.27</v>
      </c>
      <c r="L435" s="21"/>
      <c r="M435" s="21"/>
      <c r="N435" s="21"/>
      <c r="O435" s="21"/>
      <c r="P435" s="21"/>
      <c r="Q435" s="21">
        <f t="shared" si="68"/>
        <v>0</v>
      </c>
      <c r="R435" s="21"/>
      <c r="S435" s="22">
        <f t="shared" si="69"/>
        <v>3.27</v>
      </c>
      <c r="T435" s="6"/>
      <c r="U435" s="6"/>
      <c r="V435" s="6"/>
      <c r="W435" s="6"/>
    </row>
    <row r="436" spans="1:23" s="5" customFormat="1" ht="17.25" customHeight="1" x14ac:dyDescent="0.25">
      <c r="A436" s="17"/>
      <c r="B436" s="17"/>
      <c r="C436" s="17"/>
      <c r="D436" s="144" t="s">
        <v>1180</v>
      </c>
      <c r="E436" s="19"/>
      <c r="F436" s="20"/>
      <c r="G436" s="20"/>
      <c r="H436" s="20"/>
      <c r="I436" s="20"/>
      <c r="J436" s="20"/>
      <c r="K436" s="21"/>
      <c r="L436" s="21"/>
      <c r="M436" s="21"/>
      <c r="N436" s="21"/>
      <c r="O436" s="21"/>
      <c r="P436" s="21"/>
      <c r="Q436" s="21"/>
      <c r="R436" s="21"/>
      <c r="S436" s="22"/>
      <c r="T436" s="6"/>
      <c r="U436" s="6"/>
      <c r="V436" s="6"/>
      <c r="W436" s="6"/>
    </row>
    <row r="437" spans="1:23" s="5" customFormat="1" ht="17.25" customHeight="1" x14ac:dyDescent="0.25">
      <c r="A437" s="17"/>
      <c r="B437" s="17"/>
      <c r="C437" s="17"/>
      <c r="D437" s="125" t="s">
        <v>1175</v>
      </c>
      <c r="E437" s="19" t="s">
        <v>12</v>
      </c>
      <c r="F437" s="20">
        <v>5.58</v>
      </c>
      <c r="G437" s="20"/>
      <c r="H437" s="20">
        <v>1.6</v>
      </c>
      <c r="I437" s="20"/>
      <c r="J437" s="20"/>
      <c r="K437" s="21">
        <f t="shared" ref="K437:K458" si="70">+F437*H437</f>
        <v>8.9280000000000008</v>
      </c>
      <c r="L437" s="21"/>
      <c r="M437" s="21"/>
      <c r="N437" s="21"/>
      <c r="O437" s="21"/>
      <c r="P437" s="21"/>
      <c r="Q437" s="21">
        <f t="shared" ref="Q437" si="71">+N437*P437</f>
        <v>0</v>
      </c>
      <c r="R437" s="21"/>
      <c r="S437" s="22">
        <f t="shared" ref="S437" si="72">+K437-Q437</f>
        <v>8.9280000000000008</v>
      </c>
      <c r="T437" s="6"/>
      <c r="U437" s="6"/>
      <c r="V437" s="6"/>
      <c r="W437" s="6"/>
    </row>
    <row r="438" spans="1:23" s="5" customFormat="1" ht="17.25" customHeight="1" x14ac:dyDescent="0.25">
      <c r="A438" s="17"/>
      <c r="B438" s="17"/>
      <c r="C438" s="17"/>
      <c r="D438" s="125" t="s">
        <v>1176</v>
      </c>
      <c r="E438" s="19" t="s">
        <v>12</v>
      </c>
      <c r="F438" s="20">
        <v>2.99</v>
      </c>
      <c r="G438" s="20"/>
      <c r="H438" s="20">
        <v>1.6</v>
      </c>
      <c r="I438" s="20"/>
      <c r="J438" s="20"/>
      <c r="K438" s="21">
        <f t="shared" si="70"/>
        <v>4.7840000000000007</v>
      </c>
      <c r="L438" s="21"/>
      <c r="M438" s="21"/>
      <c r="N438" s="21"/>
      <c r="O438" s="21"/>
      <c r="P438" s="21"/>
      <c r="Q438" s="21">
        <f t="shared" ref="Q438:Q458" si="73">+N438*P438</f>
        <v>0</v>
      </c>
      <c r="R438" s="21"/>
      <c r="S438" s="22">
        <f t="shared" ref="S438:S458" si="74">+K438-Q438</f>
        <v>4.7840000000000007</v>
      </c>
      <c r="T438" s="6"/>
      <c r="U438" s="6"/>
      <c r="V438" s="6"/>
      <c r="W438" s="6"/>
    </row>
    <row r="439" spans="1:23" s="5" customFormat="1" ht="17.25" customHeight="1" x14ac:dyDescent="0.25">
      <c r="A439" s="17"/>
      <c r="B439" s="17"/>
      <c r="C439" s="17"/>
      <c r="D439" s="125" t="s">
        <v>1177</v>
      </c>
      <c r="E439" s="19" t="s">
        <v>12</v>
      </c>
      <c r="F439" s="20">
        <v>1.4</v>
      </c>
      <c r="G439" s="20"/>
      <c r="H439" s="20">
        <v>1.6</v>
      </c>
      <c r="I439" s="20"/>
      <c r="J439" s="20"/>
      <c r="K439" s="21">
        <f t="shared" si="70"/>
        <v>2.2399999999999998</v>
      </c>
      <c r="L439" s="21"/>
      <c r="M439" s="21"/>
      <c r="N439" s="21"/>
      <c r="O439" s="21"/>
      <c r="P439" s="21"/>
      <c r="Q439" s="21">
        <f t="shared" si="73"/>
        <v>0</v>
      </c>
      <c r="R439" s="21"/>
      <c r="S439" s="22">
        <f t="shared" si="74"/>
        <v>2.2399999999999998</v>
      </c>
      <c r="T439" s="6"/>
      <c r="U439" s="6"/>
      <c r="V439" s="6"/>
      <c r="W439" s="6"/>
    </row>
    <row r="440" spans="1:23" s="5" customFormat="1" ht="17.25" customHeight="1" x14ac:dyDescent="0.25">
      <c r="A440" s="17"/>
      <c r="B440" s="17"/>
      <c r="C440" s="17"/>
      <c r="D440" s="125" t="s">
        <v>1178</v>
      </c>
      <c r="E440" s="19" t="s">
        <v>12</v>
      </c>
      <c r="F440" s="20">
        <v>9.42</v>
      </c>
      <c r="G440" s="20"/>
      <c r="H440" s="20">
        <v>1.6</v>
      </c>
      <c r="I440" s="20"/>
      <c r="J440" s="20"/>
      <c r="K440" s="21">
        <f t="shared" si="70"/>
        <v>15.072000000000001</v>
      </c>
      <c r="L440" s="21"/>
      <c r="M440" s="21"/>
      <c r="N440" s="21"/>
      <c r="O440" s="21"/>
      <c r="P440" s="21"/>
      <c r="Q440" s="21">
        <f t="shared" si="73"/>
        <v>0</v>
      </c>
      <c r="R440" s="21"/>
      <c r="S440" s="22">
        <f t="shared" si="74"/>
        <v>15.072000000000001</v>
      </c>
      <c r="T440" s="6"/>
      <c r="U440" s="6"/>
      <c r="V440" s="6"/>
      <c r="W440" s="6"/>
    </row>
    <row r="441" spans="1:23" s="5" customFormat="1" ht="17.25" customHeight="1" x14ac:dyDescent="0.25">
      <c r="A441" s="17"/>
      <c r="B441" s="17"/>
      <c r="C441" s="17"/>
      <c r="D441" s="125" t="s">
        <v>1179</v>
      </c>
      <c r="E441" s="19" t="s">
        <v>12</v>
      </c>
      <c r="F441" s="20">
        <v>1.5</v>
      </c>
      <c r="G441" s="20"/>
      <c r="H441" s="20">
        <v>1.6</v>
      </c>
      <c r="I441" s="20"/>
      <c r="J441" s="20"/>
      <c r="K441" s="21">
        <f t="shared" si="70"/>
        <v>2.4000000000000004</v>
      </c>
      <c r="L441" s="21"/>
      <c r="M441" s="21"/>
      <c r="N441" s="21"/>
      <c r="O441" s="21"/>
      <c r="P441" s="21"/>
      <c r="Q441" s="21">
        <f t="shared" si="73"/>
        <v>0</v>
      </c>
      <c r="R441" s="21"/>
      <c r="S441" s="22">
        <f t="shared" si="74"/>
        <v>2.4000000000000004</v>
      </c>
      <c r="T441" s="6"/>
      <c r="U441" s="6"/>
      <c r="V441" s="6"/>
      <c r="W441" s="6"/>
    </row>
    <row r="442" spans="1:23" s="5" customFormat="1" ht="17.25" customHeight="1" x14ac:dyDescent="0.25">
      <c r="A442" s="17"/>
      <c r="B442" s="17"/>
      <c r="C442" s="17"/>
      <c r="D442" s="125" t="s">
        <v>1181</v>
      </c>
      <c r="E442" s="19" t="s">
        <v>12</v>
      </c>
      <c r="F442" s="20">
        <v>3.39</v>
      </c>
      <c r="G442" s="20"/>
      <c r="H442" s="20">
        <v>1.6</v>
      </c>
      <c r="I442" s="20"/>
      <c r="J442" s="20"/>
      <c r="K442" s="21">
        <f t="shared" si="70"/>
        <v>5.4240000000000004</v>
      </c>
      <c r="L442" s="21"/>
      <c r="M442" s="21"/>
      <c r="N442" s="21"/>
      <c r="O442" s="21"/>
      <c r="P442" s="21"/>
      <c r="Q442" s="21">
        <f t="shared" si="73"/>
        <v>0</v>
      </c>
      <c r="R442" s="21"/>
      <c r="S442" s="22">
        <f t="shared" si="74"/>
        <v>5.4240000000000004</v>
      </c>
      <c r="T442" s="6"/>
      <c r="U442" s="6"/>
      <c r="V442" s="6"/>
      <c r="W442" s="6"/>
    </row>
    <row r="443" spans="1:23" s="5" customFormat="1" ht="17.25" customHeight="1" x14ac:dyDescent="0.25">
      <c r="A443" s="17"/>
      <c r="B443" s="17"/>
      <c r="C443" s="17"/>
      <c r="D443" s="125" t="s">
        <v>1182</v>
      </c>
      <c r="E443" s="19" t="s">
        <v>12</v>
      </c>
      <c r="F443" s="20">
        <v>1.5</v>
      </c>
      <c r="G443" s="20"/>
      <c r="H443" s="20">
        <v>1.6</v>
      </c>
      <c r="I443" s="20"/>
      <c r="J443" s="20"/>
      <c r="K443" s="21">
        <f t="shared" si="70"/>
        <v>2.4000000000000004</v>
      </c>
      <c r="L443" s="21"/>
      <c r="M443" s="21"/>
      <c r="N443" s="21"/>
      <c r="O443" s="21"/>
      <c r="P443" s="21"/>
      <c r="Q443" s="21">
        <f t="shared" si="73"/>
        <v>0</v>
      </c>
      <c r="R443" s="21"/>
      <c r="S443" s="22">
        <f t="shared" si="74"/>
        <v>2.4000000000000004</v>
      </c>
      <c r="T443" s="6"/>
      <c r="U443" s="6"/>
      <c r="V443" s="6"/>
      <c r="W443" s="6"/>
    </row>
    <row r="444" spans="1:23" s="5" customFormat="1" ht="17.25" customHeight="1" x14ac:dyDescent="0.25">
      <c r="A444" s="17"/>
      <c r="B444" s="17"/>
      <c r="C444" s="17"/>
      <c r="D444" s="125" t="s">
        <v>1183</v>
      </c>
      <c r="E444" s="19" t="s">
        <v>12</v>
      </c>
      <c r="F444" s="20">
        <v>11.34</v>
      </c>
      <c r="G444" s="20"/>
      <c r="H444" s="20">
        <v>1.6</v>
      </c>
      <c r="I444" s="20"/>
      <c r="J444" s="20"/>
      <c r="K444" s="21">
        <f t="shared" si="70"/>
        <v>18.144000000000002</v>
      </c>
      <c r="L444" s="21"/>
      <c r="M444" s="21"/>
      <c r="N444" s="21"/>
      <c r="O444" s="21"/>
      <c r="P444" s="21"/>
      <c r="Q444" s="21">
        <f t="shared" si="73"/>
        <v>0</v>
      </c>
      <c r="R444" s="21"/>
      <c r="S444" s="22">
        <f t="shared" si="74"/>
        <v>18.144000000000002</v>
      </c>
      <c r="T444" s="6"/>
      <c r="U444" s="6"/>
      <c r="V444" s="6"/>
      <c r="W444" s="6"/>
    </row>
    <row r="445" spans="1:23" s="5" customFormat="1" ht="17.25" customHeight="1" x14ac:dyDescent="0.25">
      <c r="A445" s="17"/>
      <c r="B445" s="17"/>
      <c r="C445" s="17"/>
      <c r="D445" s="125" t="s">
        <v>1184</v>
      </c>
      <c r="E445" s="19" t="s">
        <v>12</v>
      </c>
      <c r="F445" s="20">
        <v>1.5</v>
      </c>
      <c r="G445" s="20"/>
      <c r="H445" s="20">
        <v>1.6</v>
      </c>
      <c r="I445" s="20"/>
      <c r="J445" s="20"/>
      <c r="K445" s="21">
        <f t="shared" si="70"/>
        <v>2.4000000000000004</v>
      </c>
      <c r="L445" s="21"/>
      <c r="M445" s="21"/>
      <c r="N445" s="21"/>
      <c r="O445" s="21"/>
      <c r="P445" s="21"/>
      <c r="Q445" s="21">
        <f t="shared" si="73"/>
        <v>0</v>
      </c>
      <c r="R445" s="21"/>
      <c r="S445" s="22">
        <f t="shared" si="74"/>
        <v>2.4000000000000004</v>
      </c>
      <c r="T445" s="6"/>
      <c r="U445" s="6"/>
      <c r="V445" s="6"/>
      <c r="W445" s="6"/>
    </row>
    <row r="446" spans="1:23" s="5" customFormat="1" ht="17.25" customHeight="1" x14ac:dyDescent="0.25">
      <c r="A446" s="17"/>
      <c r="B446" s="17"/>
      <c r="C446" s="17"/>
      <c r="D446" s="125" t="s">
        <v>1185</v>
      </c>
      <c r="E446" s="19" t="s">
        <v>12</v>
      </c>
      <c r="F446" s="20">
        <v>2.52</v>
      </c>
      <c r="G446" s="20"/>
      <c r="H446" s="20">
        <v>1.6</v>
      </c>
      <c r="I446" s="20"/>
      <c r="J446" s="20"/>
      <c r="K446" s="21">
        <f t="shared" si="70"/>
        <v>4.032</v>
      </c>
      <c r="L446" s="21"/>
      <c r="M446" s="21"/>
      <c r="N446" s="21"/>
      <c r="O446" s="21"/>
      <c r="P446" s="21"/>
      <c r="Q446" s="21">
        <f t="shared" si="73"/>
        <v>0</v>
      </c>
      <c r="R446" s="21"/>
      <c r="S446" s="22">
        <f t="shared" si="74"/>
        <v>4.032</v>
      </c>
      <c r="T446" s="6"/>
      <c r="U446" s="6"/>
      <c r="V446" s="6"/>
      <c r="W446" s="6"/>
    </row>
    <row r="447" spans="1:23" s="5" customFormat="1" ht="17.25" customHeight="1" x14ac:dyDescent="0.25">
      <c r="A447" s="17"/>
      <c r="B447" s="17"/>
      <c r="C447" s="17"/>
      <c r="D447" s="125" t="s">
        <v>1186</v>
      </c>
      <c r="E447" s="19" t="s">
        <v>12</v>
      </c>
      <c r="F447" s="20">
        <v>2.99</v>
      </c>
      <c r="G447" s="20"/>
      <c r="H447" s="20">
        <v>1.6</v>
      </c>
      <c r="I447" s="20"/>
      <c r="J447" s="20"/>
      <c r="K447" s="21">
        <f t="shared" si="70"/>
        <v>4.7840000000000007</v>
      </c>
      <c r="L447" s="21"/>
      <c r="M447" s="21"/>
      <c r="N447" s="21"/>
      <c r="O447" s="21"/>
      <c r="P447" s="21"/>
      <c r="Q447" s="21">
        <f t="shared" si="73"/>
        <v>0</v>
      </c>
      <c r="R447" s="21"/>
      <c r="S447" s="22">
        <f t="shared" si="74"/>
        <v>4.7840000000000007</v>
      </c>
      <c r="T447" s="6"/>
      <c r="U447" s="6"/>
      <c r="V447" s="6"/>
      <c r="W447" s="6"/>
    </row>
    <row r="448" spans="1:23" s="5" customFormat="1" ht="17.25" customHeight="1" x14ac:dyDescent="0.25">
      <c r="A448" s="17"/>
      <c r="B448" s="17"/>
      <c r="C448" s="17"/>
      <c r="D448" s="125" t="s">
        <v>1187</v>
      </c>
      <c r="E448" s="19" t="s">
        <v>12</v>
      </c>
      <c r="F448" s="20">
        <v>5.59</v>
      </c>
      <c r="G448" s="20"/>
      <c r="H448" s="20">
        <v>1.6</v>
      </c>
      <c r="I448" s="20"/>
      <c r="J448" s="20"/>
      <c r="K448" s="21">
        <f t="shared" si="70"/>
        <v>8.9440000000000008</v>
      </c>
      <c r="L448" s="21"/>
      <c r="M448" s="21"/>
      <c r="N448" s="21"/>
      <c r="O448" s="21"/>
      <c r="P448" s="21"/>
      <c r="Q448" s="21">
        <f t="shared" si="73"/>
        <v>0</v>
      </c>
      <c r="R448" s="21"/>
      <c r="S448" s="22">
        <f t="shared" si="74"/>
        <v>8.9440000000000008</v>
      </c>
      <c r="T448" s="6"/>
      <c r="U448" s="6"/>
      <c r="V448" s="6"/>
      <c r="W448" s="6"/>
    </row>
    <row r="449" spans="1:23" s="5" customFormat="1" ht="17.25" customHeight="1" x14ac:dyDescent="0.25">
      <c r="A449" s="17"/>
      <c r="B449" s="17"/>
      <c r="C449" s="17"/>
      <c r="D449" s="125" t="s">
        <v>1188</v>
      </c>
      <c r="E449" s="19" t="s">
        <v>12</v>
      </c>
      <c r="F449" s="20"/>
      <c r="G449" s="20"/>
      <c r="H449" s="20"/>
      <c r="I449" s="20"/>
      <c r="J449" s="20"/>
      <c r="K449" s="21">
        <v>10.3</v>
      </c>
      <c r="L449" s="21"/>
      <c r="M449" s="21"/>
      <c r="N449" s="21"/>
      <c r="O449" s="21"/>
      <c r="P449" s="21"/>
      <c r="Q449" s="21">
        <f t="shared" si="73"/>
        <v>0</v>
      </c>
      <c r="R449" s="21"/>
      <c r="S449" s="22">
        <f t="shared" si="74"/>
        <v>10.3</v>
      </c>
      <c r="T449" s="6"/>
      <c r="U449" s="6"/>
      <c r="V449" s="6"/>
      <c r="W449" s="6"/>
    </row>
    <row r="450" spans="1:23" s="5" customFormat="1" ht="17.25" customHeight="1" x14ac:dyDescent="0.25">
      <c r="A450" s="17"/>
      <c r="B450" s="17"/>
      <c r="C450" s="17"/>
      <c r="D450" s="125" t="s">
        <v>1189</v>
      </c>
      <c r="E450" s="19" t="s">
        <v>12</v>
      </c>
      <c r="F450" s="20"/>
      <c r="G450" s="20"/>
      <c r="H450" s="20"/>
      <c r="I450" s="20"/>
      <c r="J450" s="20"/>
      <c r="K450" s="21">
        <v>7.8</v>
      </c>
      <c r="L450" s="21"/>
      <c r="M450" s="21"/>
      <c r="N450" s="21"/>
      <c r="O450" s="21"/>
      <c r="P450" s="21"/>
      <c r="Q450" s="21">
        <f t="shared" si="73"/>
        <v>0</v>
      </c>
      <c r="R450" s="21"/>
      <c r="S450" s="22">
        <f t="shared" si="74"/>
        <v>7.8</v>
      </c>
      <c r="T450" s="6"/>
      <c r="U450" s="6"/>
      <c r="V450" s="6"/>
      <c r="W450" s="6"/>
    </row>
    <row r="451" spans="1:23" s="5" customFormat="1" ht="17.25" customHeight="1" x14ac:dyDescent="0.25">
      <c r="A451" s="17"/>
      <c r="B451" s="17"/>
      <c r="C451" s="17"/>
      <c r="D451" s="125" t="s">
        <v>1190</v>
      </c>
      <c r="E451" s="19" t="s">
        <v>12</v>
      </c>
      <c r="F451" s="20"/>
      <c r="G451" s="20"/>
      <c r="H451" s="20"/>
      <c r="I451" s="20"/>
      <c r="J451" s="20"/>
      <c r="K451" s="21">
        <v>2.68</v>
      </c>
      <c r="L451" s="21"/>
      <c r="M451" s="21"/>
      <c r="N451" s="21"/>
      <c r="O451" s="21"/>
      <c r="P451" s="21"/>
      <c r="Q451" s="21">
        <f t="shared" si="73"/>
        <v>0</v>
      </c>
      <c r="R451" s="21"/>
      <c r="S451" s="22">
        <f t="shared" si="74"/>
        <v>2.68</v>
      </c>
      <c r="T451" s="6"/>
      <c r="U451" s="6"/>
      <c r="V451" s="6"/>
      <c r="W451" s="6"/>
    </row>
    <row r="452" spans="1:23" s="5" customFormat="1" ht="17.25" customHeight="1" x14ac:dyDescent="0.25">
      <c r="A452" s="17"/>
      <c r="B452" s="17"/>
      <c r="C452" s="17"/>
      <c r="D452" s="125" t="s">
        <v>1191</v>
      </c>
      <c r="E452" s="19" t="s">
        <v>12</v>
      </c>
      <c r="F452" s="20"/>
      <c r="G452" s="20"/>
      <c r="H452" s="20"/>
      <c r="I452" s="20"/>
      <c r="J452" s="20"/>
      <c r="K452" s="21">
        <v>5.0999999999999996</v>
      </c>
      <c r="L452" s="21"/>
      <c r="M452" s="21"/>
      <c r="N452" s="21"/>
      <c r="O452" s="21"/>
      <c r="P452" s="21"/>
      <c r="Q452" s="21">
        <f t="shared" si="73"/>
        <v>0</v>
      </c>
      <c r="R452" s="21"/>
      <c r="S452" s="22">
        <f t="shared" si="74"/>
        <v>5.0999999999999996</v>
      </c>
      <c r="T452" s="6"/>
      <c r="U452" s="6"/>
      <c r="V452" s="6"/>
      <c r="W452" s="6"/>
    </row>
    <row r="453" spans="1:23" s="5" customFormat="1" ht="17.25" customHeight="1" x14ac:dyDescent="0.25">
      <c r="A453" s="17"/>
      <c r="B453" s="17"/>
      <c r="C453" s="17"/>
      <c r="D453" s="125" t="s">
        <v>1192</v>
      </c>
      <c r="E453" s="19" t="s">
        <v>12</v>
      </c>
      <c r="F453" s="20"/>
      <c r="G453" s="20"/>
      <c r="H453" s="20"/>
      <c r="I453" s="20"/>
      <c r="J453" s="20"/>
      <c r="K453" s="21">
        <v>1.31</v>
      </c>
      <c r="L453" s="21"/>
      <c r="M453" s="21"/>
      <c r="N453" s="21"/>
      <c r="O453" s="21"/>
      <c r="P453" s="21"/>
      <c r="Q453" s="21">
        <f t="shared" si="73"/>
        <v>0</v>
      </c>
      <c r="R453" s="21"/>
      <c r="S453" s="22">
        <f t="shared" si="74"/>
        <v>1.31</v>
      </c>
      <c r="T453" s="6"/>
      <c r="U453" s="6"/>
      <c r="V453" s="6"/>
      <c r="W453" s="6"/>
    </row>
    <row r="454" spans="1:23" s="5" customFormat="1" ht="17.25" customHeight="1" x14ac:dyDescent="0.25">
      <c r="A454" s="17"/>
      <c r="B454" s="17"/>
      <c r="C454" s="17"/>
      <c r="D454" s="125" t="s">
        <v>1193</v>
      </c>
      <c r="E454" s="19" t="s">
        <v>12</v>
      </c>
      <c r="F454" s="20"/>
      <c r="G454" s="20"/>
      <c r="H454" s="20"/>
      <c r="I454" s="20"/>
      <c r="J454" s="20"/>
      <c r="K454" s="21">
        <v>1.56</v>
      </c>
      <c r="L454" s="21"/>
      <c r="M454" s="21"/>
      <c r="N454" s="21"/>
      <c r="O454" s="21"/>
      <c r="P454" s="21"/>
      <c r="Q454" s="21">
        <f t="shared" si="73"/>
        <v>0</v>
      </c>
      <c r="R454" s="21"/>
      <c r="S454" s="22">
        <f t="shared" si="74"/>
        <v>1.56</v>
      </c>
      <c r="T454" s="6"/>
      <c r="U454" s="6"/>
      <c r="V454" s="6"/>
      <c r="W454" s="6"/>
    </row>
    <row r="455" spans="1:23" s="5" customFormat="1" ht="17.25" customHeight="1" x14ac:dyDescent="0.25">
      <c r="A455" s="17"/>
      <c r="B455" s="17"/>
      <c r="C455" s="17"/>
      <c r="D455" s="125" t="s">
        <v>1194</v>
      </c>
      <c r="E455" s="19" t="s">
        <v>12</v>
      </c>
      <c r="F455" s="20"/>
      <c r="G455" s="20"/>
      <c r="H455" s="20"/>
      <c r="I455" s="20"/>
      <c r="J455" s="20"/>
      <c r="K455" s="21">
        <v>5.0999999999999996</v>
      </c>
      <c r="L455" s="21"/>
      <c r="M455" s="21"/>
      <c r="N455" s="21"/>
      <c r="O455" s="21"/>
      <c r="P455" s="21"/>
      <c r="Q455" s="21">
        <f t="shared" si="73"/>
        <v>0</v>
      </c>
      <c r="R455" s="21"/>
      <c r="S455" s="22">
        <f t="shared" si="74"/>
        <v>5.0999999999999996</v>
      </c>
      <c r="T455" s="6"/>
      <c r="U455" s="6"/>
      <c r="V455" s="6"/>
      <c r="W455" s="6"/>
    </row>
    <row r="456" spans="1:23" s="5" customFormat="1" ht="17.25" customHeight="1" x14ac:dyDescent="0.25">
      <c r="A456" s="17"/>
      <c r="B456" s="17"/>
      <c r="C456" s="17"/>
      <c r="D456" s="144" t="s">
        <v>1197</v>
      </c>
      <c r="E456" s="19"/>
      <c r="F456" s="20"/>
      <c r="G456" s="20"/>
      <c r="H456" s="20"/>
      <c r="I456" s="20"/>
      <c r="J456" s="20"/>
      <c r="K456" s="21"/>
      <c r="L456" s="21"/>
      <c r="M456" s="21"/>
      <c r="N456" s="21"/>
      <c r="O456" s="21"/>
      <c r="P456" s="21"/>
      <c r="Q456" s="21"/>
      <c r="R456" s="21"/>
      <c r="S456" s="22"/>
      <c r="T456" s="6"/>
      <c r="U456" s="6"/>
      <c r="V456" s="6"/>
      <c r="W456" s="6"/>
    </row>
    <row r="457" spans="1:23" s="5" customFormat="1" ht="17.25" customHeight="1" x14ac:dyDescent="0.25">
      <c r="A457" s="17"/>
      <c r="B457" s="17"/>
      <c r="C457" s="17"/>
      <c r="D457" s="125" t="s">
        <v>1195</v>
      </c>
      <c r="E457" s="19" t="s">
        <v>12</v>
      </c>
      <c r="F457" s="20">
        <v>4.2699999999999996</v>
      </c>
      <c r="G457" s="20"/>
      <c r="H457" s="20">
        <v>0.9</v>
      </c>
      <c r="I457" s="20"/>
      <c r="J457" s="20"/>
      <c r="K457" s="21">
        <f t="shared" si="70"/>
        <v>3.8429999999999995</v>
      </c>
      <c r="L457" s="21"/>
      <c r="M457" s="21"/>
      <c r="N457" s="21"/>
      <c r="O457" s="21"/>
      <c r="P457" s="21"/>
      <c r="Q457" s="21">
        <f t="shared" si="73"/>
        <v>0</v>
      </c>
      <c r="R457" s="21"/>
      <c r="S457" s="22">
        <f t="shared" si="74"/>
        <v>3.8429999999999995</v>
      </c>
      <c r="T457" s="6"/>
      <c r="U457" s="6"/>
      <c r="V457" s="6"/>
      <c r="W457" s="6"/>
    </row>
    <row r="458" spans="1:23" s="5" customFormat="1" ht="17.25" customHeight="1" x14ac:dyDescent="0.25">
      <c r="A458" s="17"/>
      <c r="B458" s="17"/>
      <c r="C458" s="17"/>
      <c r="D458" s="125" t="s">
        <v>1196</v>
      </c>
      <c r="E458" s="19" t="s">
        <v>12</v>
      </c>
      <c r="F458" s="20">
        <v>1.64</v>
      </c>
      <c r="G458" s="20"/>
      <c r="H458" s="20">
        <v>0.9</v>
      </c>
      <c r="I458" s="20"/>
      <c r="J458" s="20"/>
      <c r="K458" s="21">
        <f t="shared" si="70"/>
        <v>1.476</v>
      </c>
      <c r="L458" s="21"/>
      <c r="M458" s="21"/>
      <c r="N458" s="21"/>
      <c r="O458" s="21"/>
      <c r="P458" s="21"/>
      <c r="Q458" s="21">
        <f t="shared" si="73"/>
        <v>0</v>
      </c>
      <c r="R458" s="21"/>
      <c r="S458" s="22">
        <f t="shared" si="74"/>
        <v>1.476</v>
      </c>
      <c r="T458" s="6"/>
      <c r="U458" s="6"/>
      <c r="V458" s="6"/>
      <c r="W458" s="6"/>
    </row>
    <row r="459" spans="1:23" s="5" customFormat="1" ht="17.25" customHeight="1" x14ac:dyDescent="0.25">
      <c r="A459" s="17"/>
      <c r="B459" s="17"/>
      <c r="C459" s="17"/>
      <c r="D459" s="125" t="s">
        <v>1198</v>
      </c>
      <c r="E459" s="19" t="s">
        <v>12</v>
      </c>
      <c r="F459" s="20">
        <v>1.64</v>
      </c>
      <c r="G459" s="20"/>
      <c r="H459" s="20">
        <v>0.9</v>
      </c>
      <c r="I459" s="20"/>
      <c r="J459" s="20"/>
      <c r="K459" s="21">
        <f t="shared" ref="K459:K464" si="75">+F459*H459</f>
        <v>1.476</v>
      </c>
      <c r="L459" s="21"/>
      <c r="M459" s="21"/>
      <c r="N459" s="21"/>
      <c r="O459" s="21"/>
      <c r="P459" s="21"/>
      <c r="Q459" s="21">
        <f t="shared" ref="Q459:Q464" si="76">+N459*P459</f>
        <v>0</v>
      </c>
      <c r="R459" s="21"/>
      <c r="S459" s="22">
        <f t="shared" ref="S459:S464" si="77">+K459-Q459</f>
        <v>1.476</v>
      </c>
      <c r="T459" s="6"/>
      <c r="U459" s="6"/>
      <c r="V459" s="6"/>
      <c r="W459" s="6"/>
    </row>
    <row r="460" spans="1:23" s="5" customFormat="1" ht="17.25" customHeight="1" x14ac:dyDescent="0.25">
      <c r="A460" s="17"/>
      <c r="B460" s="17"/>
      <c r="C460" s="17"/>
      <c r="D460" s="125" t="s">
        <v>1199</v>
      </c>
      <c r="E460" s="19" t="s">
        <v>12</v>
      </c>
      <c r="F460" s="20">
        <v>4.2699999999999996</v>
      </c>
      <c r="G460" s="20"/>
      <c r="H460" s="20">
        <v>0.9</v>
      </c>
      <c r="I460" s="20"/>
      <c r="J460" s="20"/>
      <c r="K460" s="21">
        <f t="shared" si="75"/>
        <v>3.8429999999999995</v>
      </c>
      <c r="L460" s="21"/>
      <c r="M460" s="21"/>
      <c r="N460" s="21"/>
      <c r="O460" s="21"/>
      <c r="P460" s="21"/>
      <c r="Q460" s="21">
        <f t="shared" si="76"/>
        <v>0</v>
      </c>
      <c r="R460" s="21"/>
      <c r="S460" s="22">
        <f t="shared" si="77"/>
        <v>3.8429999999999995</v>
      </c>
      <c r="T460" s="6"/>
      <c r="U460" s="6"/>
      <c r="V460" s="6"/>
      <c r="W460" s="6"/>
    </row>
    <row r="461" spans="1:23" s="5" customFormat="1" ht="17.25" customHeight="1" x14ac:dyDescent="0.25">
      <c r="A461" s="17"/>
      <c r="B461" s="17"/>
      <c r="C461" s="17"/>
      <c r="D461" s="125" t="s">
        <v>1200</v>
      </c>
      <c r="E461" s="19" t="s">
        <v>12</v>
      </c>
      <c r="F461" s="20">
        <v>4.2699999999999996</v>
      </c>
      <c r="G461" s="20"/>
      <c r="H461" s="20">
        <v>0.9</v>
      </c>
      <c r="I461" s="20"/>
      <c r="J461" s="20"/>
      <c r="K461" s="21">
        <f t="shared" si="75"/>
        <v>3.8429999999999995</v>
      </c>
      <c r="L461" s="21"/>
      <c r="M461" s="21"/>
      <c r="N461" s="21"/>
      <c r="O461" s="21"/>
      <c r="P461" s="21"/>
      <c r="Q461" s="21">
        <f t="shared" si="76"/>
        <v>0</v>
      </c>
      <c r="R461" s="21"/>
      <c r="S461" s="22">
        <f t="shared" si="77"/>
        <v>3.8429999999999995</v>
      </c>
      <c r="T461" s="6"/>
      <c r="U461" s="6"/>
      <c r="V461" s="6"/>
      <c r="W461" s="6"/>
    </row>
    <row r="462" spans="1:23" s="5" customFormat="1" ht="17.25" customHeight="1" x14ac:dyDescent="0.25">
      <c r="A462" s="17"/>
      <c r="B462" s="17"/>
      <c r="C462" s="17"/>
      <c r="D462" s="125" t="s">
        <v>1201</v>
      </c>
      <c r="E462" s="19" t="s">
        <v>12</v>
      </c>
      <c r="F462" s="20">
        <v>2.61</v>
      </c>
      <c r="G462" s="20"/>
      <c r="H462" s="20">
        <v>0.9</v>
      </c>
      <c r="I462" s="20"/>
      <c r="J462" s="20"/>
      <c r="K462" s="21">
        <f t="shared" si="75"/>
        <v>2.3489999999999998</v>
      </c>
      <c r="L462" s="21"/>
      <c r="M462" s="21"/>
      <c r="N462" s="21"/>
      <c r="O462" s="21"/>
      <c r="P462" s="21"/>
      <c r="Q462" s="21">
        <f t="shared" si="76"/>
        <v>0</v>
      </c>
      <c r="R462" s="21"/>
      <c r="S462" s="22">
        <f t="shared" si="77"/>
        <v>2.3489999999999998</v>
      </c>
      <c r="T462" s="6"/>
      <c r="U462" s="6"/>
      <c r="V462" s="6"/>
      <c r="W462" s="6"/>
    </row>
    <row r="463" spans="1:23" s="5" customFormat="1" ht="17.25" customHeight="1" x14ac:dyDescent="0.25">
      <c r="A463" s="17"/>
      <c r="B463" s="17"/>
      <c r="C463" s="17"/>
      <c r="D463" s="125" t="s">
        <v>1202</v>
      </c>
      <c r="E463" s="19" t="s">
        <v>12</v>
      </c>
      <c r="F463" s="20">
        <v>2.61</v>
      </c>
      <c r="G463" s="20"/>
      <c r="H463" s="20">
        <v>0.9</v>
      </c>
      <c r="I463" s="20"/>
      <c r="J463" s="20"/>
      <c r="K463" s="21">
        <f t="shared" si="75"/>
        <v>2.3489999999999998</v>
      </c>
      <c r="L463" s="21"/>
      <c r="M463" s="21"/>
      <c r="N463" s="21"/>
      <c r="O463" s="21"/>
      <c r="P463" s="21"/>
      <c r="Q463" s="21">
        <f t="shared" si="76"/>
        <v>0</v>
      </c>
      <c r="R463" s="21"/>
      <c r="S463" s="22">
        <f t="shared" si="77"/>
        <v>2.3489999999999998</v>
      </c>
      <c r="T463" s="6"/>
      <c r="U463" s="6"/>
      <c r="V463" s="6"/>
      <c r="W463" s="6"/>
    </row>
    <row r="464" spans="1:23" s="5" customFormat="1" ht="17.25" customHeight="1" x14ac:dyDescent="0.25">
      <c r="A464" s="17"/>
      <c r="B464" s="17"/>
      <c r="C464" s="17"/>
      <c r="D464" s="125" t="s">
        <v>1203</v>
      </c>
      <c r="E464" s="19" t="s">
        <v>12</v>
      </c>
      <c r="F464" s="20">
        <v>4.2699999999999996</v>
      </c>
      <c r="G464" s="20"/>
      <c r="H464" s="20">
        <v>0.9</v>
      </c>
      <c r="I464" s="20"/>
      <c r="J464" s="20"/>
      <c r="K464" s="21">
        <f t="shared" si="75"/>
        <v>3.8429999999999995</v>
      </c>
      <c r="L464" s="21"/>
      <c r="M464" s="21"/>
      <c r="N464" s="21"/>
      <c r="O464" s="21"/>
      <c r="P464" s="21"/>
      <c r="Q464" s="21">
        <f t="shared" si="76"/>
        <v>0</v>
      </c>
      <c r="R464" s="21"/>
      <c r="S464" s="22">
        <f t="shared" si="77"/>
        <v>3.8429999999999995</v>
      </c>
      <c r="T464" s="6"/>
      <c r="U464" s="6"/>
      <c r="V464" s="6"/>
      <c r="W464" s="6"/>
    </row>
    <row r="465" spans="1:23" s="5" customFormat="1" ht="15" x14ac:dyDescent="0.25">
      <c r="A465" s="17"/>
      <c r="B465" s="17"/>
      <c r="C465" s="17"/>
      <c r="D465" s="18" t="str">
        <f>+'PRESUPUESTO DE OBRA'!D40</f>
        <v>Revoque muro incluye dilataciones y filos</v>
      </c>
      <c r="E465" s="19" t="str">
        <f>+'PRESUPUESTO DE OBRA'!E39</f>
        <v>m²</v>
      </c>
      <c r="F465" s="20"/>
      <c r="G465" s="20"/>
      <c r="H465" s="20"/>
      <c r="I465" s="20">
        <v>2</v>
      </c>
      <c r="J465" s="20"/>
      <c r="K465" s="21">
        <f>+S87</f>
        <v>1945.9169999999999</v>
      </c>
      <c r="L465" s="21"/>
      <c r="M465" s="21"/>
      <c r="N465" s="21"/>
      <c r="O465" s="21"/>
      <c r="P465" s="21"/>
      <c r="Q465" s="21"/>
      <c r="R465" s="21"/>
      <c r="S465" s="22">
        <f>+(I465*K465)-K466</f>
        <v>3334.7639999999997</v>
      </c>
      <c r="T465" s="6"/>
      <c r="U465" s="6"/>
      <c r="V465" s="6"/>
      <c r="W465" s="6"/>
    </row>
    <row r="466" spans="1:23" s="5" customFormat="1" ht="15" x14ac:dyDescent="0.25">
      <c r="A466" s="17"/>
      <c r="B466" s="17"/>
      <c r="C466" s="17"/>
      <c r="D466" s="18" t="str">
        <f>+'PRESUPUESTO DE OBRA'!D41</f>
        <v>Revoque muro impermeabilizado, incluye dilataciones y filos</v>
      </c>
      <c r="E466" s="19" t="str">
        <f>+'PRESUPUESTO DE OBRA'!E40</f>
        <v>m²</v>
      </c>
      <c r="F466" s="20"/>
      <c r="G466" s="20"/>
      <c r="H466" s="20"/>
      <c r="I466" s="20"/>
      <c r="J466" s="20"/>
      <c r="K466" s="21">
        <f>118.18+110.04+32.02+47.73+58.69+9+39.94+9+119.5+7.68+2.94+2.35</f>
        <v>557.07000000000005</v>
      </c>
      <c r="L466" s="21"/>
      <c r="M466" s="21"/>
      <c r="N466" s="21"/>
      <c r="O466" s="21"/>
      <c r="P466" s="21"/>
      <c r="Q466" s="21"/>
      <c r="R466" s="21"/>
      <c r="S466" s="22">
        <f>+K466</f>
        <v>557.07000000000005</v>
      </c>
      <c r="T466" s="6"/>
      <c r="U466" s="6"/>
      <c r="V466" s="6"/>
      <c r="W466" s="6"/>
    </row>
    <row r="467" spans="1:23" s="5" customFormat="1" ht="35.25" customHeight="1" x14ac:dyDescent="0.25">
      <c r="A467" s="17"/>
      <c r="B467" s="17"/>
      <c r="C467" s="17"/>
      <c r="D467" s="18" t="str">
        <f>+'PRESUPUESTO DE OBRA'!D42</f>
        <v>Revestimiento en lámina de plomo para muros, losa y puerta para rayos X</v>
      </c>
      <c r="E467" s="19" t="str">
        <f>+'PRESUPUESTO DE OBRA'!E41</f>
        <v>m²</v>
      </c>
      <c r="F467" s="20"/>
      <c r="G467" s="20"/>
      <c r="H467" s="20"/>
      <c r="I467" s="20"/>
      <c r="J467" s="20"/>
      <c r="K467" s="21"/>
      <c r="L467" s="21"/>
      <c r="M467" s="21"/>
      <c r="N467" s="21"/>
      <c r="O467" s="21"/>
      <c r="P467" s="21"/>
      <c r="Q467" s="21"/>
      <c r="R467" s="21"/>
      <c r="S467" s="22">
        <f>+K469+K470+(K468-Q468)</f>
        <v>100.16799999999999</v>
      </c>
      <c r="T467" s="6"/>
      <c r="U467" s="6"/>
      <c r="V467" s="6"/>
      <c r="W467" s="6"/>
    </row>
    <row r="468" spans="1:23" s="5" customFormat="1" ht="15" x14ac:dyDescent="0.25">
      <c r="A468" s="17"/>
      <c r="B468" s="17"/>
      <c r="C468" s="17"/>
      <c r="D468" s="125" t="s">
        <v>1139</v>
      </c>
      <c r="E468" s="19"/>
      <c r="F468" s="20">
        <v>20.309999999999999</v>
      </c>
      <c r="G468" s="20"/>
      <c r="H468" s="20">
        <v>2.8</v>
      </c>
      <c r="I468" s="20"/>
      <c r="J468" s="20"/>
      <c r="K468" s="21">
        <f>+F468*H468</f>
        <v>56.867999999999995</v>
      </c>
      <c r="L468" s="21"/>
      <c r="M468" s="21"/>
      <c r="N468" s="21">
        <v>0.4</v>
      </c>
      <c r="O468" s="21">
        <v>0.9</v>
      </c>
      <c r="P468" s="21"/>
      <c r="Q468" s="21">
        <f>+N468*O468</f>
        <v>0.36000000000000004</v>
      </c>
      <c r="R468" s="21"/>
      <c r="S468" s="22"/>
      <c r="T468" s="6"/>
      <c r="U468" s="6"/>
      <c r="V468" s="6"/>
      <c r="W468" s="6"/>
    </row>
    <row r="469" spans="1:23" s="5" customFormat="1" ht="15" x14ac:dyDescent="0.25">
      <c r="A469" s="17"/>
      <c r="B469" s="17"/>
      <c r="C469" s="17"/>
      <c r="D469" s="125" t="s">
        <v>1140</v>
      </c>
      <c r="E469" s="19"/>
      <c r="F469" s="20"/>
      <c r="G469" s="20"/>
      <c r="H469" s="20"/>
      <c r="I469" s="20"/>
      <c r="J469" s="20"/>
      <c r="K469" s="21">
        <v>21.83</v>
      </c>
      <c r="L469" s="21"/>
      <c r="M469" s="21"/>
      <c r="N469" s="21"/>
      <c r="O469" s="21"/>
      <c r="P469" s="21"/>
      <c r="Q469" s="21"/>
      <c r="R469" s="21"/>
      <c r="S469" s="22"/>
      <c r="T469" s="6"/>
      <c r="U469" s="6"/>
      <c r="V469" s="6"/>
      <c r="W469" s="6"/>
    </row>
    <row r="470" spans="1:23" s="5" customFormat="1" ht="15" x14ac:dyDescent="0.25">
      <c r="A470" s="17"/>
      <c r="B470" s="17"/>
      <c r="C470" s="17"/>
      <c r="D470" s="125" t="s">
        <v>1141</v>
      </c>
      <c r="E470" s="19"/>
      <c r="F470" s="20"/>
      <c r="G470" s="20"/>
      <c r="H470" s="20"/>
      <c r="I470" s="20"/>
      <c r="J470" s="20"/>
      <c r="K470" s="21">
        <v>21.83</v>
      </c>
      <c r="L470" s="21"/>
      <c r="M470" s="21"/>
      <c r="N470" s="21"/>
      <c r="O470" s="21"/>
      <c r="P470" s="21"/>
      <c r="Q470" s="21"/>
      <c r="R470" s="21"/>
      <c r="S470" s="22"/>
      <c r="T470" s="6"/>
      <c r="U470" s="6"/>
      <c r="V470" s="6"/>
      <c r="W470" s="6"/>
    </row>
    <row r="471" spans="1:23" s="5" customFormat="1" ht="19.5" customHeight="1" x14ac:dyDescent="0.25">
      <c r="A471" s="13"/>
      <c r="B471" s="13"/>
      <c r="C471" s="13"/>
      <c r="D471" s="456" t="str">
        <f>+'PRESUPUESTO DE OBRA'!D43</f>
        <v>ESTUCO Y PINTURA</v>
      </c>
      <c r="E471" s="458"/>
      <c r="F471" s="16"/>
      <c r="G471" s="16"/>
      <c r="H471" s="16"/>
      <c r="I471" s="16"/>
      <c r="J471" s="16"/>
      <c r="K471" s="16"/>
      <c r="L471" s="16"/>
      <c r="M471" s="16"/>
      <c r="N471" s="16"/>
      <c r="O471" s="16"/>
      <c r="P471" s="16"/>
      <c r="Q471" s="16"/>
      <c r="R471" s="16"/>
      <c r="S471" s="16"/>
      <c r="T471" s="6"/>
      <c r="U471" s="6"/>
      <c r="V471" s="6"/>
      <c r="W471" s="6"/>
    </row>
    <row r="472" spans="1:23" s="5" customFormat="1" ht="18" customHeight="1" x14ac:dyDescent="0.25">
      <c r="A472" s="17"/>
      <c r="B472" s="17"/>
      <c r="C472" s="17"/>
      <c r="D472" s="18" t="str">
        <f>+'PRESUPUESTO DE OBRA'!D44</f>
        <v xml:space="preserve">Estuco interior </v>
      </c>
      <c r="E472" s="19" t="str">
        <f>+'PRESUPUESTO DE OBRA'!E44</f>
        <v>m²</v>
      </c>
      <c r="F472" s="20"/>
      <c r="G472" s="20"/>
      <c r="H472" s="20"/>
      <c r="I472" s="20">
        <v>2</v>
      </c>
      <c r="J472" s="20"/>
      <c r="K472" s="21">
        <f>+K465</f>
        <v>1945.9169999999999</v>
      </c>
      <c r="L472" s="21"/>
      <c r="M472" s="21"/>
      <c r="N472" s="21"/>
      <c r="O472" s="21"/>
      <c r="P472" s="21"/>
      <c r="Q472" s="21"/>
      <c r="R472" s="21"/>
      <c r="S472" s="22">
        <f>+K472*I472</f>
        <v>3891.8339999999998</v>
      </c>
      <c r="T472" s="6"/>
      <c r="U472" s="6"/>
      <c r="V472" s="6"/>
      <c r="W472" s="6"/>
    </row>
    <row r="473" spans="1:23" s="5" customFormat="1" ht="15" x14ac:dyDescent="0.25">
      <c r="A473" s="17"/>
      <c r="B473" s="17"/>
      <c r="C473" s="17"/>
      <c r="D473" s="18" t="str">
        <f>+'PRESUPUESTO DE OBRA'!D45</f>
        <v>Pintura interior en vinilo tipo 1 a 2 manos</v>
      </c>
      <c r="E473" s="19" t="str">
        <f>+'PRESUPUESTO DE OBRA'!E45</f>
        <v>m²</v>
      </c>
      <c r="F473" s="20"/>
      <c r="G473" s="20"/>
      <c r="H473" s="20"/>
      <c r="I473" s="20">
        <v>2</v>
      </c>
      <c r="J473" s="20"/>
      <c r="K473" s="21">
        <f>+K465</f>
        <v>1945.9169999999999</v>
      </c>
      <c r="L473" s="21"/>
      <c r="M473" s="21"/>
      <c r="N473" s="21"/>
      <c r="O473" s="21"/>
      <c r="P473" s="21"/>
      <c r="Q473" s="21"/>
      <c r="R473" s="21"/>
      <c r="S473" s="22">
        <f>+K473*I473</f>
        <v>3891.8339999999998</v>
      </c>
      <c r="T473" s="6"/>
      <c r="U473" s="6"/>
      <c r="V473" s="6"/>
      <c r="W473" s="6"/>
    </row>
    <row r="474" spans="1:23" s="5" customFormat="1" ht="15.75" customHeight="1" x14ac:dyDescent="0.25">
      <c r="A474" s="17"/>
      <c r="B474" s="17"/>
      <c r="C474" s="17"/>
      <c r="D474" s="148" t="str">
        <f>+'PRESUPUESTO DE OBRA'!D46</f>
        <v>Pintura exteriores (koraza o similar)</v>
      </c>
      <c r="E474" s="12"/>
      <c r="F474" s="20"/>
      <c r="G474" s="20"/>
      <c r="H474" s="20"/>
      <c r="I474" s="20"/>
      <c r="J474" s="20"/>
      <c r="K474" s="21">
        <f>+K466</f>
        <v>557.07000000000005</v>
      </c>
      <c r="L474" s="21"/>
      <c r="M474" s="21"/>
      <c r="N474" s="21"/>
      <c r="O474" s="21"/>
      <c r="P474" s="21"/>
      <c r="Q474" s="21"/>
      <c r="R474" s="21"/>
      <c r="S474" s="22">
        <f>+K474</f>
        <v>557.07000000000005</v>
      </c>
      <c r="T474" s="6"/>
      <c r="U474" s="6"/>
      <c r="V474" s="6"/>
      <c r="W474" s="6"/>
    </row>
    <row r="475" spans="1:23" s="5" customFormat="1" ht="15.75" customHeight="1" x14ac:dyDescent="0.25">
      <c r="A475" s="13"/>
      <c r="B475" s="13"/>
      <c r="C475" s="13"/>
      <c r="D475" s="14" t="str">
        <f>+'PRESUPUESTO DE OBRA'!D47</f>
        <v>PISO</v>
      </c>
      <c r="E475" s="15"/>
      <c r="F475" s="31"/>
      <c r="G475" s="31"/>
      <c r="H475" s="31"/>
      <c r="I475" s="31"/>
      <c r="J475" s="31"/>
      <c r="K475" s="16"/>
      <c r="L475" s="16"/>
      <c r="M475" s="16"/>
      <c r="N475" s="16"/>
      <c r="O475" s="16"/>
      <c r="P475" s="16"/>
      <c r="Q475" s="16"/>
      <c r="R475" s="16"/>
      <c r="S475" s="16"/>
      <c r="T475" s="6"/>
      <c r="U475" s="6"/>
      <c r="V475" s="6"/>
      <c r="W475" s="6"/>
    </row>
    <row r="476" spans="1:23" s="5" customFormat="1" ht="15.75" customHeight="1" x14ac:dyDescent="0.25">
      <c r="A476" s="17"/>
      <c r="B476" s="17"/>
      <c r="C476" s="17"/>
      <c r="D476" s="18" t="str">
        <f>+'PRESUPUESTO DE OBRA'!D48</f>
        <v>Mortero de nivelacion e=0,05m parra pisos</v>
      </c>
      <c r="E476" s="19" t="str">
        <f>+'PRESUPUESTO DE OBRA'!E48</f>
        <v>m²</v>
      </c>
      <c r="F476" s="22"/>
      <c r="G476" s="22"/>
      <c r="H476" s="22"/>
      <c r="I476" s="21"/>
      <c r="J476" s="22"/>
      <c r="K476" s="21">
        <f>709.52+34.65+13.44+2.82+56.18</f>
        <v>816.61</v>
      </c>
      <c r="L476" s="22"/>
      <c r="M476" s="22"/>
      <c r="N476" s="22"/>
      <c r="O476" s="22"/>
      <c r="P476" s="22"/>
      <c r="Q476" s="22"/>
      <c r="R476" s="22"/>
      <c r="S476" s="22">
        <f>+K476</f>
        <v>816.61</v>
      </c>
      <c r="T476" s="6"/>
      <c r="U476" s="6"/>
      <c r="V476" s="6"/>
      <c r="W476" s="6"/>
    </row>
    <row r="477" spans="1:23" s="5" customFormat="1" ht="15.75" customHeight="1" x14ac:dyDescent="0.25">
      <c r="A477" s="17"/>
      <c r="B477" s="17"/>
      <c r="C477" s="17"/>
      <c r="D477" s="18" t="str">
        <f>+'PRESUPUESTO DE OBRA'!D49</f>
        <v xml:space="preserve">Placa de contrapiso en concreto de 30000psi, e = 0.10m </v>
      </c>
      <c r="E477" s="19" t="str">
        <f>+'PRESUPUESTO DE OBRA'!E49</f>
        <v>m²</v>
      </c>
      <c r="F477" s="22"/>
      <c r="G477" s="22"/>
      <c r="H477" s="22"/>
      <c r="I477" s="21"/>
      <c r="J477" s="22"/>
      <c r="K477" s="21">
        <f>+K476</f>
        <v>816.61</v>
      </c>
      <c r="L477" s="22"/>
      <c r="M477" s="22"/>
      <c r="N477" s="22"/>
      <c r="O477" s="22"/>
      <c r="P477" s="22"/>
      <c r="Q477" s="22"/>
      <c r="R477" s="22"/>
      <c r="S477" s="22">
        <f t="shared" ref="S477:S479" si="78">+K477</f>
        <v>816.61</v>
      </c>
      <c r="T477" s="6"/>
      <c r="U477" s="6"/>
      <c r="V477" s="6"/>
      <c r="W477" s="6"/>
    </row>
    <row r="478" spans="1:23" s="5" customFormat="1" ht="15.75" customHeight="1" x14ac:dyDescent="0.25">
      <c r="A478" s="17"/>
      <c r="B478" s="17"/>
      <c r="C478" s="17"/>
      <c r="D478" s="18" t="str">
        <f>+'PRESUPUESTO DE OBRA'!D50</f>
        <v>Piso en baldosa trafico pesado (granito)</v>
      </c>
      <c r="E478" s="19" t="str">
        <f>+'PRESUPUESTO DE OBRA'!E50</f>
        <v>m²</v>
      </c>
      <c r="F478" s="20"/>
      <c r="G478" s="20"/>
      <c r="H478" s="20"/>
      <c r="I478" s="20"/>
      <c r="J478" s="20"/>
      <c r="K478" s="21">
        <f>+K477</f>
        <v>816.61</v>
      </c>
      <c r="L478" s="21"/>
      <c r="M478" s="21"/>
      <c r="N478" s="21"/>
      <c r="O478" s="21"/>
      <c r="P478" s="21"/>
      <c r="Q478" s="21"/>
      <c r="R478" s="21"/>
      <c r="S478" s="22">
        <f t="shared" si="78"/>
        <v>816.61</v>
      </c>
      <c r="T478" s="6"/>
      <c r="U478" s="6"/>
      <c r="V478" s="6"/>
      <c r="W478" s="6"/>
    </row>
    <row r="479" spans="1:23" s="5" customFormat="1" ht="15" x14ac:dyDescent="0.25">
      <c r="A479" s="17"/>
      <c r="B479" s="17"/>
      <c r="C479" s="17"/>
      <c r="D479" s="18" t="str">
        <f>+'PRESUPUESTO DE OBRA'!D51</f>
        <v>Destronque, pulida y brillada de piso</v>
      </c>
      <c r="E479" s="19" t="str">
        <f>+'PRESUPUESTO DE OBRA'!E51</f>
        <v>m²</v>
      </c>
      <c r="F479" s="20"/>
      <c r="G479" s="20"/>
      <c r="H479" s="20"/>
      <c r="I479" s="20"/>
      <c r="J479" s="20"/>
      <c r="K479" s="21">
        <f>+K478</f>
        <v>816.61</v>
      </c>
      <c r="L479" s="21"/>
      <c r="M479" s="21"/>
      <c r="N479" s="21"/>
      <c r="O479" s="21"/>
      <c r="P479" s="21"/>
      <c r="Q479" s="21"/>
      <c r="R479" s="21"/>
      <c r="S479" s="22">
        <f t="shared" si="78"/>
        <v>816.61</v>
      </c>
      <c r="T479" s="6"/>
      <c r="U479" s="6"/>
      <c r="V479" s="6"/>
      <c r="W479" s="6"/>
    </row>
    <row r="480" spans="1:23" s="5" customFormat="1" ht="15.75" customHeight="1" x14ac:dyDescent="0.25">
      <c r="A480" s="17"/>
      <c r="B480" s="17"/>
      <c r="C480" s="17"/>
      <c r="D480" s="18" t="str">
        <f>+'PRESUPUESTO DE OBRA'!D52</f>
        <v>Mediacaña en granito pulido y brillado</v>
      </c>
      <c r="E480" s="19" t="str">
        <f>+'PRESUPUESTO DE OBRA'!E52</f>
        <v>ml</v>
      </c>
      <c r="F480" s="20"/>
      <c r="G480" s="20"/>
      <c r="H480" s="20"/>
      <c r="I480" s="20"/>
      <c r="J480" s="20">
        <v>724.56</v>
      </c>
      <c r="K480" s="21"/>
      <c r="L480" s="21"/>
      <c r="M480" s="21"/>
      <c r="N480" s="21"/>
      <c r="O480" s="21"/>
      <c r="P480" s="21"/>
      <c r="Q480" s="21"/>
      <c r="R480" s="21"/>
      <c r="S480" s="22">
        <f>+J480</f>
        <v>724.56</v>
      </c>
      <c r="T480" s="6"/>
      <c r="U480" s="6"/>
      <c r="V480" s="6"/>
      <c r="W480" s="6"/>
    </row>
    <row r="481" spans="1:23" s="5" customFormat="1" ht="15.75" customHeight="1" x14ac:dyDescent="0.25">
      <c r="A481" s="13"/>
      <c r="B481" s="13"/>
      <c r="C481" s="13"/>
      <c r="D481" s="456" t="str">
        <f>+'PRESUPUESTO DE OBRA'!D53</f>
        <v>CUBIERTA Y CIELO RASO</v>
      </c>
      <c r="E481" s="458"/>
      <c r="F481" s="31"/>
      <c r="G481" s="31"/>
      <c r="H481" s="31"/>
      <c r="I481" s="31"/>
      <c r="J481" s="31"/>
      <c r="K481" s="25"/>
      <c r="L481" s="16"/>
      <c r="M481" s="16"/>
      <c r="N481" s="16"/>
      <c r="O481" s="16"/>
      <c r="P481" s="16"/>
      <c r="Q481" s="16"/>
      <c r="R481" s="16"/>
      <c r="S481" s="16">
        <f t="shared" ref="S481:S567" si="79">+I481</f>
        <v>0</v>
      </c>
      <c r="T481" s="6"/>
      <c r="U481" s="6"/>
      <c r="V481" s="6"/>
      <c r="W481" s="6"/>
    </row>
    <row r="482" spans="1:23" s="5" customFormat="1" ht="15.75" customHeight="1" x14ac:dyDescent="0.25">
      <c r="A482" s="17"/>
      <c r="B482" s="17"/>
      <c r="C482" s="17"/>
      <c r="D482" s="148" t="str">
        <f>+'PRESUPUESTO DE OBRA'!D54</f>
        <v>Estructura metalica para cubierta, según diseño</v>
      </c>
      <c r="E482" s="12"/>
      <c r="F482" s="20"/>
      <c r="G482" s="20"/>
      <c r="H482" s="20"/>
      <c r="I482" s="20"/>
      <c r="J482" s="20"/>
      <c r="K482" s="21"/>
      <c r="L482" s="21"/>
      <c r="M482" s="21"/>
      <c r="N482" s="21"/>
      <c r="O482" s="21"/>
      <c r="P482" s="21"/>
      <c r="Q482" s="21"/>
      <c r="R482" s="21"/>
      <c r="S482" s="22">
        <f t="shared" si="79"/>
        <v>0</v>
      </c>
      <c r="T482" s="6"/>
      <c r="U482" s="6"/>
      <c r="V482" s="6"/>
      <c r="W482" s="6"/>
    </row>
    <row r="483" spans="1:23" s="5" customFormat="1" ht="15.75" customHeight="1" x14ac:dyDescent="0.25">
      <c r="A483" s="17"/>
      <c r="B483" s="17"/>
      <c r="C483" s="17"/>
      <c r="D483" s="18" t="str">
        <f>+'PRESUPUESTO DE OBRA'!D55</f>
        <v>Techo en lámina arquitectónica pintada</v>
      </c>
      <c r="E483" s="19" t="str">
        <f>+'PRESUPUESTO DE OBRA'!E55</f>
        <v>m²</v>
      </c>
      <c r="F483" s="22"/>
      <c r="G483" s="22"/>
      <c r="H483" s="22"/>
      <c r="I483" s="22"/>
      <c r="J483" s="22"/>
      <c r="K483" s="21">
        <f>154.72+99.76+156.76+233.97+53.89+7.23+12.67+64.7</f>
        <v>783.7</v>
      </c>
      <c r="L483" s="22"/>
      <c r="M483" s="22"/>
      <c r="N483" s="22"/>
      <c r="O483" s="22"/>
      <c r="P483" s="22"/>
      <c r="Q483" s="22"/>
      <c r="R483" s="22"/>
      <c r="S483" s="22">
        <f>+K483</f>
        <v>783.7</v>
      </c>
      <c r="T483" s="6"/>
      <c r="U483" s="6"/>
      <c r="V483" s="6"/>
      <c r="W483" s="6"/>
    </row>
    <row r="484" spans="1:23" s="5" customFormat="1" ht="15.75" customHeight="1" x14ac:dyDescent="0.25">
      <c r="A484" s="17"/>
      <c r="B484" s="17"/>
      <c r="C484" s="17"/>
      <c r="D484" s="18" t="str">
        <f>+'PRESUPUESTO DE OBRA'!D56</f>
        <v>Techo en lámina policarbonato</v>
      </c>
      <c r="E484" s="19" t="str">
        <f>+'PRESUPUESTO DE OBRA'!E56</f>
        <v>m²</v>
      </c>
      <c r="F484" s="20"/>
      <c r="G484" s="20"/>
      <c r="H484" s="20"/>
      <c r="I484" s="20"/>
      <c r="J484" s="20"/>
      <c r="K484" s="21">
        <f>90.6+36.62+19.2</f>
        <v>146.41999999999999</v>
      </c>
      <c r="L484" s="21"/>
      <c r="M484" s="21"/>
      <c r="N484" s="21"/>
      <c r="O484" s="21"/>
      <c r="P484" s="21"/>
      <c r="Q484" s="21"/>
      <c r="R484" s="21"/>
      <c r="S484" s="22">
        <f>+K484</f>
        <v>146.41999999999999</v>
      </c>
      <c r="T484" s="6"/>
      <c r="U484" s="6"/>
      <c r="V484" s="6"/>
      <c r="W484" s="6"/>
    </row>
    <row r="485" spans="1:23" s="5" customFormat="1" ht="15" x14ac:dyDescent="0.25">
      <c r="A485" s="17"/>
      <c r="B485" s="17"/>
      <c r="C485" s="17"/>
      <c r="D485" s="18" t="str">
        <f>+'PRESUPUESTO DE OBRA'!D57</f>
        <v>Cielo falso en superboard, incluye estructura</v>
      </c>
      <c r="E485" s="19" t="str">
        <f>+'PRESUPUESTO DE OBRA'!E57</f>
        <v>m²</v>
      </c>
      <c r="F485" s="20"/>
      <c r="G485" s="20"/>
      <c r="H485" s="20"/>
      <c r="I485" s="20"/>
      <c r="J485" s="20"/>
      <c r="K485" s="21">
        <f>(625.45+256.78)*1.1</f>
        <v>970.45300000000009</v>
      </c>
      <c r="L485" s="21"/>
      <c r="M485" s="21"/>
      <c r="N485" s="21"/>
      <c r="O485" s="21"/>
      <c r="P485" s="21"/>
      <c r="Q485" s="21"/>
      <c r="R485" s="21"/>
      <c r="S485" s="22">
        <f>+K485</f>
        <v>970.45300000000009</v>
      </c>
      <c r="T485" s="6"/>
      <c r="U485" s="6"/>
      <c r="V485" s="6"/>
      <c r="W485" s="6"/>
    </row>
    <row r="486" spans="1:23" s="5" customFormat="1" ht="18.75" customHeight="1" x14ac:dyDescent="0.25">
      <c r="A486" s="17"/>
      <c r="B486" s="17"/>
      <c r="C486" s="17"/>
      <c r="D486" s="18" t="str">
        <f>+'PRESUPUESTO DE OBRA'!D58</f>
        <v>Manto bituminoso para control de humedades, incluye cintas asfalticas</v>
      </c>
      <c r="E486" s="19" t="str">
        <f>+'PRESUPUESTO DE OBRA'!E58</f>
        <v>m²</v>
      </c>
      <c r="F486" s="20"/>
      <c r="G486" s="20"/>
      <c r="H486" s="20"/>
      <c r="I486" s="20"/>
      <c r="J486" s="20"/>
      <c r="K486" s="21">
        <v>252</v>
      </c>
      <c r="L486" s="21"/>
      <c r="M486" s="21"/>
      <c r="N486" s="21"/>
      <c r="O486" s="21"/>
      <c r="P486" s="21"/>
      <c r="Q486" s="21"/>
      <c r="R486" s="21"/>
      <c r="S486" s="22">
        <f>+K486</f>
        <v>252</v>
      </c>
      <c r="T486" s="6"/>
      <c r="U486" s="6"/>
      <c r="V486" s="6"/>
      <c r="W486" s="6"/>
    </row>
    <row r="487" spans="1:23" s="5" customFormat="1" ht="18.75" customHeight="1" x14ac:dyDescent="0.25">
      <c r="A487" s="13"/>
      <c r="B487" s="13"/>
      <c r="C487" s="13"/>
      <c r="D487" s="456" t="str">
        <f>+'PRESUPUESTO DE OBRA'!D59</f>
        <v>CARPINTERIA METALICA</v>
      </c>
      <c r="E487" s="458"/>
      <c r="F487" s="31"/>
      <c r="G487" s="31"/>
      <c r="H487" s="31"/>
      <c r="I487" s="31"/>
      <c r="J487" s="31"/>
      <c r="K487" s="16"/>
      <c r="L487" s="16"/>
      <c r="M487" s="16"/>
      <c r="N487" s="16"/>
      <c r="O487" s="16"/>
      <c r="P487" s="16"/>
      <c r="Q487" s="16"/>
      <c r="R487" s="16"/>
      <c r="S487" s="16">
        <f t="shared" si="79"/>
        <v>0</v>
      </c>
      <c r="T487" s="6"/>
      <c r="U487" s="6"/>
      <c r="V487" s="6"/>
      <c r="W487" s="6"/>
    </row>
    <row r="488" spans="1:23" s="5" customFormat="1" ht="16.5" customHeight="1" x14ac:dyDescent="0.25">
      <c r="A488" s="388"/>
      <c r="B488" s="388"/>
      <c r="C488" s="388"/>
      <c r="D488" s="456" t="str">
        <f>+'PRESUPUESTO DE OBRA'!D60</f>
        <v>Puertas</v>
      </c>
      <c r="E488" s="27">
        <f>+'PRESUPUESTO DE OBRA'!E60</f>
        <v>0</v>
      </c>
      <c r="F488" s="28"/>
      <c r="G488" s="28"/>
      <c r="H488" s="28"/>
      <c r="I488" s="28"/>
      <c r="J488" s="28"/>
      <c r="K488" s="25"/>
      <c r="L488" s="25"/>
      <c r="M488" s="25"/>
      <c r="N488" s="25"/>
      <c r="O488" s="25"/>
      <c r="P488" s="25"/>
      <c r="Q488" s="25"/>
      <c r="R488" s="25"/>
      <c r="S488" s="16">
        <f t="shared" si="79"/>
        <v>0</v>
      </c>
      <c r="T488" s="6"/>
      <c r="U488" s="6"/>
      <c r="V488" s="6"/>
      <c r="W488" s="6"/>
    </row>
    <row r="489" spans="1:23" s="5" customFormat="1" ht="28.5" x14ac:dyDescent="0.25">
      <c r="A489" s="17"/>
      <c r="B489" s="17"/>
      <c r="C489" s="17"/>
      <c r="D489" s="18" t="str">
        <f>+'PRESUPUESTO DE OBRA'!D61</f>
        <v>Puerta Corrediza (P1) en aluminio y vidrio 3+3 de 2,10 x 3,6mts, según diseños</v>
      </c>
      <c r="E489" s="26" t="str">
        <f>+'PRESUPUESTO DE OBRA'!E61</f>
        <v>und</v>
      </c>
      <c r="F489" s="20"/>
      <c r="G489" s="20"/>
      <c r="H489" s="20"/>
      <c r="I489" s="20">
        <v>1</v>
      </c>
      <c r="J489" s="20"/>
      <c r="K489" s="21"/>
      <c r="L489" s="21"/>
      <c r="M489" s="21"/>
      <c r="N489" s="21"/>
      <c r="O489" s="21"/>
      <c r="P489" s="21"/>
      <c r="Q489" s="21"/>
      <c r="R489" s="21"/>
      <c r="S489" s="22">
        <f>+I489</f>
        <v>1</v>
      </c>
      <c r="T489" s="6"/>
      <c r="U489" s="6"/>
      <c r="V489" s="6"/>
      <c r="W489" s="6"/>
    </row>
    <row r="490" spans="1:23" s="5" customFormat="1" ht="33.75" customHeight="1" x14ac:dyDescent="0.25">
      <c r="A490" s="17"/>
      <c r="B490" s="17"/>
      <c r="C490" s="17"/>
      <c r="D490" s="18" t="str">
        <f>+'PRESUPUESTO DE OBRA'!D62</f>
        <v>Puerta Doble Vatiente (P2) en aluminio y vidrio 3+3 de 2,10 x 2,0mts, según diseños</v>
      </c>
      <c r="E490" s="26" t="str">
        <f>+'PRESUPUESTO DE OBRA'!E62</f>
        <v>und</v>
      </c>
      <c r="F490" s="20"/>
      <c r="G490" s="20"/>
      <c r="H490" s="20"/>
      <c r="I490" s="20">
        <v>2</v>
      </c>
      <c r="J490" s="20"/>
      <c r="K490" s="21"/>
      <c r="L490" s="21"/>
      <c r="M490" s="21"/>
      <c r="N490" s="21"/>
      <c r="O490" s="21"/>
      <c r="P490" s="21"/>
      <c r="Q490" s="21"/>
      <c r="R490" s="21"/>
      <c r="S490" s="22">
        <f t="shared" ref="S490:S530" si="80">+I490</f>
        <v>2</v>
      </c>
      <c r="T490" s="6"/>
      <c r="U490" s="6"/>
      <c r="V490" s="6"/>
      <c r="W490" s="6"/>
    </row>
    <row r="491" spans="1:23" s="5" customFormat="1" ht="28.5" x14ac:dyDescent="0.25">
      <c r="A491" s="17"/>
      <c r="B491" s="17"/>
      <c r="C491" s="17"/>
      <c r="D491" s="18" t="str">
        <f>+'PRESUPUESTO DE OBRA'!D63</f>
        <v>Puerta Doble Vatiente (P3) en aluminio y vidrio 3+3 de 2,10 x 1,8mts, según diseños</v>
      </c>
      <c r="E491" s="26" t="str">
        <f>+'PRESUPUESTO DE OBRA'!E63</f>
        <v>und</v>
      </c>
      <c r="F491" s="22"/>
      <c r="G491" s="22"/>
      <c r="H491" s="22"/>
      <c r="I491" s="21">
        <v>1</v>
      </c>
      <c r="J491" s="22"/>
      <c r="K491" s="21"/>
      <c r="L491" s="22"/>
      <c r="M491" s="22"/>
      <c r="N491" s="22"/>
      <c r="O491" s="22"/>
      <c r="P491" s="22"/>
      <c r="Q491" s="22"/>
      <c r="R491" s="22"/>
      <c r="S491" s="22">
        <f t="shared" si="80"/>
        <v>1</v>
      </c>
      <c r="T491" s="6"/>
      <c r="U491" s="6"/>
      <c r="V491" s="6"/>
      <c r="W491" s="6"/>
    </row>
    <row r="492" spans="1:23" s="5" customFormat="1" ht="28.5" x14ac:dyDescent="0.25">
      <c r="A492" s="17"/>
      <c r="B492" s="17"/>
      <c r="C492" s="17"/>
      <c r="D492" s="18" t="str">
        <f>+'PRESUPUESTO DE OBRA'!D64</f>
        <v>Puerta Doble Vatiente (P4) en aluminio y vidrio 3+3  de 2,10 x 2,0mts, según diseños</v>
      </c>
      <c r="E492" s="26" t="str">
        <f>+'PRESUPUESTO DE OBRA'!E64</f>
        <v>und</v>
      </c>
      <c r="F492" s="20"/>
      <c r="G492" s="20"/>
      <c r="H492" s="20"/>
      <c r="I492" s="20">
        <v>3</v>
      </c>
      <c r="J492" s="20"/>
      <c r="K492" s="21"/>
      <c r="L492" s="21"/>
      <c r="M492" s="21"/>
      <c r="N492" s="21"/>
      <c r="O492" s="21"/>
      <c r="P492" s="21"/>
      <c r="Q492" s="21"/>
      <c r="R492" s="21"/>
      <c r="S492" s="22">
        <f t="shared" si="80"/>
        <v>3</v>
      </c>
      <c r="T492" s="6"/>
      <c r="U492" s="6"/>
      <c r="V492" s="6"/>
      <c r="W492" s="6"/>
    </row>
    <row r="493" spans="1:23" s="5" customFormat="1" ht="28.5" x14ac:dyDescent="0.25">
      <c r="A493" s="17"/>
      <c r="B493" s="17"/>
      <c r="C493" s="17"/>
      <c r="D493" s="18" t="str">
        <f>+'PRESUPUESTO DE OBRA'!D65</f>
        <v>Puerta Doble Vatiente (P5) en aluminio y vidrio 3+3 de 2,10 x 1,5mts, según diseños</v>
      </c>
      <c r="E493" s="26" t="str">
        <f>+'PRESUPUESTO DE OBRA'!E65</f>
        <v>und</v>
      </c>
      <c r="F493" s="20"/>
      <c r="G493" s="20"/>
      <c r="H493" s="20"/>
      <c r="I493" s="20">
        <v>5</v>
      </c>
      <c r="J493" s="20"/>
      <c r="K493" s="21"/>
      <c r="L493" s="21"/>
      <c r="M493" s="21"/>
      <c r="N493" s="21"/>
      <c r="O493" s="21"/>
      <c r="P493" s="21"/>
      <c r="Q493" s="21"/>
      <c r="R493" s="21"/>
      <c r="S493" s="22">
        <f t="shared" si="80"/>
        <v>5</v>
      </c>
      <c r="T493" s="6"/>
      <c r="U493" s="6"/>
      <c r="V493" s="6"/>
      <c r="W493" s="6"/>
    </row>
    <row r="494" spans="1:23" s="5" customFormat="1" ht="28.5" x14ac:dyDescent="0.25">
      <c r="A494" s="17"/>
      <c r="B494" s="17"/>
      <c r="C494" s="17"/>
      <c r="D494" s="18" t="str">
        <f>+'PRESUPUESTO DE OBRA'!D66</f>
        <v>Puerta Doble Vatiente (P6) en aluminio y vidrio 3+3 de 2,10 x 1,20mts, según diseños</v>
      </c>
      <c r="E494" s="26" t="str">
        <f>+'PRESUPUESTO DE OBRA'!E66</f>
        <v>und</v>
      </c>
      <c r="F494" s="20"/>
      <c r="G494" s="20"/>
      <c r="H494" s="20"/>
      <c r="I494" s="20">
        <v>1</v>
      </c>
      <c r="J494" s="20"/>
      <c r="K494" s="21"/>
      <c r="L494" s="21"/>
      <c r="M494" s="21"/>
      <c r="N494" s="21"/>
      <c r="O494" s="21"/>
      <c r="P494" s="21"/>
      <c r="Q494" s="21"/>
      <c r="R494" s="21"/>
      <c r="S494" s="22">
        <f t="shared" si="80"/>
        <v>1</v>
      </c>
      <c r="T494" s="6"/>
      <c r="U494" s="6"/>
      <c r="V494" s="6"/>
      <c r="W494" s="6"/>
    </row>
    <row r="495" spans="1:23" s="5" customFormat="1" ht="28.5" x14ac:dyDescent="0.25">
      <c r="A495" s="17"/>
      <c r="B495" s="17"/>
      <c r="C495" s="17"/>
      <c r="D495" s="18" t="str">
        <f>+'PRESUPUESTO DE OBRA'!D67</f>
        <v>Puerta Doble Vatiente (P7) en aluminio y vidrio 3+3 de 2,10 x 1,40mts, según diseños</v>
      </c>
      <c r="E495" s="26" t="str">
        <f>+'PRESUPUESTO DE OBRA'!E67</f>
        <v>und</v>
      </c>
      <c r="F495" s="20"/>
      <c r="G495" s="20"/>
      <c r="H495" s="20"/>
      <c r="I495" s="20">
        <v>1</v>
      </c>
      <c r="J495" s="20"/>
      <c r="K495" s="21"/>
      <c r="L495" s="21"/>
      <c r="M495" s="21"/>
      <c r="N495" s="21"/>
      <c r="O495" s="21"/>
      <c r="P495" s="21"/>
      <c r="Q495" s="21"/>
      <c r="R495" s="21"/>
      <c r="S495" s="22">
        <f t="shared" si="80"/>
        <v>1</v>
      </c>
      <c r="T495" s="6"/>
      <c r="U495" s="6"/>
      <c r="V495" s="6"/>
      <c r="W495" s="6"/>
    </row>
    <row r="496" spans="1:23" s="5" customFormat="1" ht="28.5" x14ac:dyDescent="0.25">
      <c r="A496" s="17"/>
      <c r="B496" s="17"/>
      <c r="C496" s="17"/>
      <c r="D496" s="18" t="str">
        <f>+'PRESUPUESTO DE OBRA'!D68</f>
        <v>Puerta Vatiente Izq (P8) en aluminio y PLOMO de 2,10 x 1,30mts, según diseños</v>
      </c>
      <c r="E496" s="26" t="str">
        <f>+'PRESUPUESTO DE OBRA'!E68</f>
        <v>und</v>
      </c>
      <c r="F496" s="20"/>
      <c r="G496" s="20"/>
      <c r="H496" s="20"/>
      <c r="I496" s="20">
        <v>1</v>
      </c>
      <c r="J496" s="20"/>
      <c r="K496" s="21"/>
      <c r="L496" s="21"/>
      <c r="M496" s="21"/>
      <c r="N496" s="21"/>
      <c r="O496" s="21"/>
      <c r="P496" s="21"/>
      <c r="Q496" s="21"/>
      <c r="R496" s="21"/>
      <c r="S496" s="22">
        <f t="shared" si="80"/>
        <v>1</v>
      </c>
      <c r="T496" s="6"/>
      <c r="U496" s="6"/>
      <c r="V496" s="6"/>
      <c r="W496" s="6"/>
    </row>
    <row r="497" spans="1:23" s="5" customFormat="1" ht="28.5" x14ac:dyDescent="0.25">
      <c r="A497" s="17"/>
      <c r="B497" s="17"/>
      <c r="C497" s="17"/>
      <c r="D497" s="18" t="str">
        <f>+'PRESUPUESTO DE OBRA'!D69</f>
        <v>Puerta Corrediza (P9) en aluminio y PLOMO de 2,10 x 1,40mts, según diseños</v>
      </c>
      <c r="E497" s="26" t="str">
        <f>+'PRESUPUESTO DE OBRA'!E69</f>
        <v>und</v>
      </c>
      <c r="F497" s="20"/>
      <c r="G497" s="20"/>
      <c r="H497" s="20"/>
      <c r="I497" s="20">
        <v>1</v>
      </c>
      <c r="J497" s="20"/>
      <c r="K497" s="21"/>
      <c r="L497" s="21"/>
      <c r="M497" s="21"/>
      <c r="N497" s="21"/>
      <c r="O497" s="21"/>
      <c r="P497" s="21"/>
      <c r="Q497" s="21"/>
      <c r="R497" s="21"/>
      <c r="S497" s="22">
        <f t="shared" si="80"/>
        <v>1</v>
      </c>
      <c r="T497" s="6"/>
      <c r="U497" s="6"/>
      <c r="V497" s="6"/>
      <c r="W497" s="6"/>
    </row>
    <row r="498" spans="1:23" s="5" customFormat="1" ht="28.5" x14ac:dyDescent="0.25">
      <c r="A498" s="17"/>
      <c r="B498" s="17"/>
      <c r="C498" s="17"/>
      <c r="D498" s="18" t="str">
        <f>+'PRESUPUESTO DE OBRA'!D70</f>
        <v>Puerta Vatiente Izq (P10) en aluminio y vidrio 3+3 de 2,10 x 0,9mts, según diseños</v>
      </c>
      <c r="E498" s="26" t="str">
        <f>+'PRESUPUESTO DE OBRA'!E70</f>
        <v>und</v>
      </c>
      <c r="F498" s="20"/>
      <c r="G498" s="20"/>
      <c r="H498" s="20"/>
      <c r="I498" s="20">
        <v>5</v>
      </c>
      <c r="J498" s="20"/>
      <c r="K498" s="21"/>
      <c r="L498" s="21"/>
      <c r="M498" s="21"/>
      <c r="N498" s="21"/>
      <c r="O498" s="21"/>
      <c r="P498" s="21"/>
      <c r="Q498" s="21"/>
      <c r="R498" s="21"/>
      <c r="S498" s="22">
        <f t="shared" si="80"/>
        <v>5</v>
      </c>
      <c r="T498" s="6"/>
      <c r="U498" s="6"/>
      <c r="V498" s="6"/>
      <c r="W498" s="6"/>
    </row>
    <row r="499" spans="1:23" s="5" customFormat="1" ht="28.5" x14ac:dyDescent="0.25">
      <c r="A499" s="17"/>
      <c r="B499" s="17"/>
      <c r="C499" s="17"/>
      <c r="D499" s="18" t="str">
        <f>+'PRESUPUESTO DE OBRA'!D71</f>
        <v>Puerta Vatiente Izq (P11) en aluminio y vidrio 3+3 de 2,10 x 1,00mts, según diseños</v>
      </c>
      <c r="E499" s="26" t="str">
        <f>+'PRESUPUESTO DE OBRA'!E71</f>
        <v>und</v>
      </c>
      <c r="F499" s="20"/>
      <c r="G499" s="20"/>
      <c r="H499" s="20"/>
      <c r="I499" s="20">
        <v>13</v>
      </c>
      <c r="J499" s="20"/>
      <c r="K499" s="21"/>
      <c r="L499" s="21"/>
      <c r="M499" s="21"/>
      <c r="N499" s="21"/>
      <c r="O499" s="21"/>
      <c r="P499" s="21"/>
      <c r="Q499" s="21"/>
      <c r="R499" s="21"/>
      <c r="S499" s="22">
        <f t="shared" si="80"/>
        <v>13</v>
      </c>
      <c r="T499" s="6"/>
      <c r="U499" s="6"/>
      <c r="V499" s="6"/>
      <c r="W499" s="6"/>
    </row>
    <row r="500" spans="1:23" s="5" customFormat="1" ht="28.5" x14ac:dyDescent="0.25">
      <c r="A500" s="17"/>
      <c r="B500" s="17"/>
      <c r="C500" s="17"/>
      <c r="D500" s="18" t="str">
        <f>+'PRESUPUESTO DE OBRA'!D72</f>
        <v>Puerta Vatiente Der (P12) en aluminio y vidrio 3+3 de 2,10 x 0,9mts, según diseños</v>
      </c>
      <c r="E500" s="26" t="str">
        <f>+'PRESUPUESTO DE OBRA'!E72</f>
        <v>und</v>
      </c>
      <c r="F500" s="20"/>
      <c r="G500" s="20"/>
      <c r="H500" s="20"/>
      <c r="I500" s="20">
        <v>5</v>
      </c>
      <c r="J500" s="20"/>
      <c r="K500" s="21"/>
      <c r="L500" s="21"/>
      <c r="M500" s="21"/>
      <c r="N500" s="21"/>
      <c r="O500" s="21"/>
      <c r="P500" s="21"/>
      <c r="Q500" s="21"/>
      <c r="R500" s="21"/>
      <c r="S500" s="22">
        <f t="shared" si="80"/>
        <v>5</v>
      </c>
      <c r="T500" s="6"/>
      <c r="U500" s="6"/>
      <c r="V500" s="6"/>
      <c r="W500" s="6"/>
    </row>
    <row r="501" spans="1:23" s="5" customFormat="1" ht="28.5" x14ac:dyDescent="0.25">
      <c r="A501" s="17"/>
      <c r="B501" s="17"/>
      <c r="C501" s="17"/>
      <c r="D501" s="18" t="str">
        <f>+'PRESUPUESTO DE OBRA'!D73</f>
        <v>Puerta Vatiente Izq (P13) en aluminio y vidrio 3+3 de 2,10 x 0,7mts, según diseños</v>
      </c>
      <c r="E501" s="26" t="str">
        <f>+'PRESUPUESTO DE OBRA'!E73</f>
        <v>und</v>
      </c>
      <c r="F501" s="20"/>
      <c r="G501" s="20"/>
      <c r="H501" s="20"/>
      <c r="I501" s="20">
        <v>26</v>
      </c>
      <c r="J501" s="20"/>
      <c r="K501" s="21"/>
      <c r="L501" s="21"/>
      <c r="M501" s="21"/>
      <c r="N501" s="21"/>
      <c r="O501" s="21"/>
      <c r="P501" s="21"/>
      <c r="Q501" s="21"/>
      <c r="R501" s="21"/>
      <c r="S501" s="22">
        <f t="shared" si="80"/>
        <v>26</v>
      </c>
      <c r="T501" s="6"/>
      <c r="U501" s="6"/>
      <c r="V501" s="6"/>
      <c r="W501" s="6"/>
    </row>
    <row r="502" spans="1:23" s="5" customFormat="1" ht="28.5" x14ac:dyDescent="0.25">
      <c r="A502" s="17"/>
      <c r="B502" s="17"/>
      <c r="C502" s="17"/>
      <c r="D502" s="18" t="str">
        <f>+'PRESUPUESTO DE OBRA'!D74</f>
        <v>Puerta Corrediza (P14) en aluminio y vidrio 3+3 de 2,10 x 1,00mts, según diseños</v>
      </c>
      <c r="E502" s="26" t="str">
        <f>+'PRESUPUESTO DE OBRA'!E74</f>
        <v>und</v>
      </c>
      <c r="F502" s="20"/>
      <c r="G502" s="20"/>
      <c r="H502" s="20"/>
      <c r="I502" s="20">
        <v>2</v>
      </c>
      <c r="J502" s="20"/>
      <c r="K502" s="21"/>
      <c r="L502" s="21"/>
      <c r="M502" s="21"/>
      <c r="N502" s="21"/>
      <c r="O502" s="21"/>
      <c r="P502" s="21"/>
      <c r="Q502" s="21"/>
      <c r="R502" s="21"/>
      <c r="S502" s="22">
        <f t="shared" si="80"/>
        <v>2</v>
      </c>
      <c r="T502" s="6"/>
      <c r="U502" s="6"/>
      <c r="V502" s="6"/>
      <c r="W502" s="6"/>
    </row>
    <row r="503" spans="1:23" s="5" customFormat="1" ht="28.5" x14ac:dyDescent="0.25">
      <c r="A503" s="17"/>
      <c r="B503" s="17"/>
      <c r="C503" s="17"/>
      <c r="D503" s="18" t="str">
        <f>+'PRESUPUESTO DE OBRA'!D75</f>
        <v>Puerta Vatiente izq (P15) en aluminio y vidrio 3+3 de 2,10 x 1,00mts, según diseños</v>
      </c>
      <c r="E503" s="26" t="str">
        <f>+'PRESUPUESTO DE OBRA'!E75</f>
        <v>und</v>
      </c>
      <c r="F503" s="20"/>
      <c r="G503" s="20"/>
      <c r="H503" s="20"/>
      <c r="I503" s="20">
        <v>4</v>
      </c>
      <c r="J503" s="20"/>
      <c r="K503" s="21"/>
      <c r="L503" s="21"/>
      <c r="M503" s="21"/>
      <c r="N503" s="21"/>
      <c r="O503" s="21"/>
      <c r="P503" s="21"/>
      <c r="Q503" s="21"/>
      <c r="R503" s="21"/>
      <c r="S503" s="22">
        <f t="shared" si="80"/>
        <v>4</v>
      </c>
      <c r="T503" s="6"/>
      <c r="U503" s="6"/>
      <c r="V503" s="6"/>
      <c r="W503" s="6"/>
    </row>
    <row r="504" spans="1:23" s="5" customFormat="1" ht="28.5" x14ac:dyDescent="0.25">
      <c r="A504" s="17"/>
      <c r="B504" s="17"/>
      <c r="C504" s="17"/>
      <c r="D504" s="18" t="str">
        <f>+'PRESUPUESTO DE OBRA'!D76</f>
        <v>Puerta Vatiente izq (P16) en aluminio y vidrio 3+3 de 2,10 x 0,80mts, según diseños</v>
      </c>
      <c r="E504" s="26" t="str">
        <f>+'PRESUPUESTO DE OBRA'!E76</f>
        <v>und</v>
      </c>
      <c r="F504" s="20"/>
      <c r="G504" s="20"/>
      <c r="H504" s="20"/>
      <c r="I504" s="20">
        <v>3</v>
      </c>
      <c r="J504" s="20"/>
      <c r="K504" s="21"/>
      <c r="L504" s="21"/>
      <c r="M504" s="21"/>
      <c r="N504" s="21"/>
      <c r="O504" s="21"/>
      <c r="P504" s="21"/>
      <c r="Q504" s="21"/>
      <c r="R504" s="21"/>
      <c r="S504" s="22">
        <f t="shared" si="80"/>
        <v>3</v>
      </c>
      <c r="T504" s="6"/>
      <c r="U504" s="6"/>
      <c r="V504" s="6"/>
      <c r="W504" s="6"/>
    </row>
    <row r="505" spans="1:23" s="5" customFormat="1" ht="28.5" x14ac:dyDescent="0.25">
      <c r="A505" s="17"/>
      <c r="B505" s="17"/>
      <c r="C505" s="17"/>
      <c r="D505" s="18" t="str">
        <f>+'PRESUPUESTO DE OBRA'!D77</f>
        <v>Puerta Corrediza (P17) en aluminio y vidrio 3+3 de 2,10 x 0,9mts, según diseños</v>
      </c>
      <c r="E505" s="26" t="str">
        <f>+'PRESUPUESTO DE OBRA'!E77</f>
        <v>und</v>
      </c>
      <c r="F505" s="20"/>
      <c r="G505" s="20"/>
      <c r="H505" s="20"/>
      <c r="I505" s="20">
        <v>10</v>
      </c>
      <c r="J505" s="20"/>
      <c r="K505" s="21"/>
      <c r="L505" s="21"/>
      <c r="M505" s="21"/>
      <c r="N505" s="21"/>
      <c r="O505" s="21"/>
      <c r="P505" s="21"/>
      <c r="Q505" s="21"/>
      <c r="R505" s="21"/>
      <c r="S505" s="22">
        <f t="shared" si="80"/>
        <v>10</v>
      </c>
      <c r="T505" s="6"/>
      <c r="U505" s="6"/>
      <c r="V505" s="6"/>
      <c r="W505" s="6"/>
    </row>
    <row r="506" spans="1:23" s="5" customFormat="1" ht="28.5" x14ac:dyDescent="0.25">
      <c r="A506" s="17"/>
      <c r="B506" s="17"/>
      <c r="C506" s="17"/>
      <c r="D506" s="18" t="str">
        <f>+'PRESUPUESTO DE OBRA'!D78</f>
        <v>Puerta Corrediza (P18) en aluminio y vidrio 3+3 de 2,10 x 1,20mts, según diseños</v>
      </c>
      <c r="E506" s="26" t="str">
        <f>+'PRESUPUESTO DE OBRA'!E78</f>
        <v>und</v>
      </c>
      <c r="F506" s="20"/>
      <c r="G506" s="20"/>
      <c r="H506" s="20"/>
      <c r="I506" s="20">
        <v>2</v>
      </c>
      <c r="J506" s="20"/>
      <c r="K506" s="21"/>
      <c r="L506" s="21"/>
      <c r="M506" s="21"/>
      <c r="N506" s="21"/>
      <c r="O506" s="21"/>
      <c r="P506" s="21"/>
      <c r="Q506" s="21"/>
      <c r="R506" s="21"/>
      <c r="S506" s="22">
        <f t="shared" si="80"/>
        <v>2</v>
      </c>
      <c r="T506" s="6"/>
      <c r="U506" s="6"/>
      <c r="V506" s="6"/>
      <c r="W506" s="6"/>
    </row>
    <row r="507" spans="1:23" s="5" customFormat="1" ht="15" x14ac:dyDescent="0.25">
      <c r="A507" s="13"/>
      <c r="B507" s="13"/>
      <c r="C507" s="13"/>
      <c r="D507" s="456" t="str">
        <f>+'PRESUPUESTO DE OBRA'!D79</f>
        <v>Ventanas</v>
      </c>
      <c r="E507" s="457"/>
      <c r="F507" s="31"/>
      <c r="G507" s="31"/>
      <c r="H507" s="31"/>
      <c r="I507" s="31"/>
      <c r="J507" s="31"/>
      <c r="K507" s="16"/>
      <c r="L507" s="16"/>
      <c r="M507" s="16"/>
      <c r="N507" s="16"/>
      <c r="O507" s="16"/>
      <c r="P507" s="16"/>
      <c r="Q507" s="16"/>
      <c r="R507" s="16"/>
      <c r="S507" s="16"/>
      <c r="T507" s="6"/>
      <c r="U507" s="6"/>
      <c r="V507" s="6"/>
      <c r="W507" s="6"/>
    </row>
    <row r="508" spans="1:23" s="5" customFormat="1" ht="28.5" x14ac:dyDescent="0.25">
      <c r="A508" s="17"/>
      <c r="B508" s="17"/>
      <c r="C508" s="17"/>
      <c r="D508" s="18" t="str">
        <f>+'PRESUPUESTO DE OBRA'!D80</f>
        <v>Ventana Corrediza (V1) en aluminio y vridrio 3+3 de 4,03 x 1,10mts, según diseños</v>
      </c>
      <c r="E508" s="26" t="str">
        <f>+'PRESUPUESTO DE OBRA'!E80</f>
        <v>und</v>
      </c>
      <c r="F508" s="20"/>
      <c r="G508" s="20"/>
      <c r="H508" s="20"/>
      <c r="I508" s="20">
        <v>1</v>
      </c>
      <c r="J508" s="20"/>
      <c r="K508" s="21"/>
      <c r="L508" s="21"/>
      <c r="M508" s="21"/>
      <c r="N508" s="21"/>
      <c r="O508" s="21"/>
      <c r="P508" s="21"/>
      <c r="Q508" s="21"/>
      <c r="R508" s="21"/>
      <c r="S508" s="22">
        <f t="shared" si="80"/>
        <v>1</v>
      </c>
      <c r="T508" s="6"/>
      <c r="U508" s="6"/>
      <c r="V508" s="6"/>
      <c r="W508" s="6"/>
    </row>
    <row r="509" spans="1:23" s="5" customFormat="1" ht="28.5" x14ac:dyDescent="0.25">
      <c r="A509" s="17"/>
      <c r="B509" s="17"/>
      <c r="C509" s="17"/>
      <c r="D509" s="18" t="str">
        <f>+'PRESUPUESTO DE OBRA'!D81</f>
        <v>Ventana Corrediza (V2) en aluminio y vridrio 3+3 de 2,00 x 1,10mts, según diseños</v>
      </c>
      <c r="E509" s="26" t="str">
        <f>+'PRESUPUESTO DE OBRA'!E81</f>
        <v>und</v>
      </c>
      <c r="F509" s="20"/>
      <c r="G509" s="20"/>
      <c r="H509" s="20"/>
      <c r="I509" s="20">
        <v>3</v>
      </c>
      <c r="J509" s="20"/>
      <c r="K509" s="21"/>
      <c r="L509" s="21"/>
      <c r="M509" s="21"/>
      <c r="N509" s="21"/>
      <c r="O509" s="21"/>
      <c r="P509" s="21"/>
      <c r="Q509" s="21"/>
      <c r="R509" s="21"/>
      <c r="S509" s="22">
        <f t="shared" si="80"/>
        <v>3</v>
      </c>
      <c r="T509" s="6"/>
      <c r="U509" s="6"/>
      <c r="V509" s="6"/>
      <c r="W509" s="6"/>
    </row>
    <row r="510" spans="1:23" s="5" customFormat="1" ht="28.5" x14ac:dyDescent="0.25">
      <c r="A510" s="17"/>
      <c r="B510" s="17"/>
      <c r="C510" s="17"/>
      <c r="D510" s="18" t="str">
        <f>+'PRESUPUESTO DE OBRA'!D82</f>
        <v>Ventana Corrediza (V3) en aluminio y vridrio 3+3 de 1,20 x 1,10mts, según diseños</v>
      </c>
      <c r="E510" s="26" t="str">
        <f>+'PRESUPUESTO DE OBRA'!E82</f>
        <v>und</v>
      </c>
      <c r="F510" s="20"/>
      <c r="G510" s="20"/>
      <c r="H510" s="20"/>
      <c r="I510" s="20">
        <v>3</v>
      </c>
      <c r="J510" s="20"/>
      <c r="K510" s="21"/>
      <c r="L510" s="21"/>
      <c r="M510" s="21"/>
      <c r="N510" s="21"/>
      <c r="O510" s="21"/>
      <c r="P510" s="21"/>
      <c r="Q510" s="21"/>
      <c r="R510" s="21"/>
      <c r="S510" s="22">
        <f t="shared" si="80"/>
        <v>3</v>
      </c>
      <c r="T510" s="6"/>
      <c r="U510" s="6"/>
      <c r="V510" s="6"/>
      <c r="W510" s="6"/>
    </row>
    <row r="511" spans="1:23" s="5" customFormat="1" ht="28.5" x14ac:dyDescent="0.25">
      <c r="A511" s="17"/>
      <c r="B511" s="17"/>
      <c r="C511" s="17"/>
      <c r="D511" s="18" t="str">
        <f>+'PRESUPUESTO DE OBRA'!D83</f>
        <v>Ventana Corrediza (V4) en aluminio y vridrio 3+3 de 0,9 x 1,10mts, según diseños</v>
      </c>
      <c r="E511" s="26" t="str">
        <f>+'PRESUPUESTO DE OBRA'!E83</f>
        <v>und</v>
      </c>
      <c r="F511" s="20"/>
      <c r="G511" s="20"/>
      <c r="H511" s="20"/>
      <c r="I511" s="20">
        <v>4</v>
      </c>
      <c r="J511" s="20"/>
      <c r="K511" s="21"/>
      <c r="L511" s="21"/>
      <c r="M511" s="21"/>
      <c r="N511" s="21"/>
      <c r="O511" s="21"/>
      <c r="P511" s="21"/>
      <c r="Q511" s="21"/>
      <c r="R511" s="21"/>
      <c r="S511" s="22">
        <f t="shared" si="80"/>
        <v>4</v>
      </c>
      <c r="T511" s="6"/>
      <c r="U511" s="6"/>
      <c r="V511" s="6"/>
      <c r="W511" s="6"/>
    </row>
    <row r="512" spans="1:23" s="5" customFormat="1" ht="28.5" x14ac:dyDescent="0.25">
      <c r="A512" s="17"/>
      <c r="B512" s="17"/>
      <c r="C512" s="17"/>
      <c r="D512" s="18" t="str">
        <f>+'PRESUPUESTO DE OBRA'!D84</f>
        <v>Ventana Corrediza (V5) en aluminio y vridrio 3+3 de 0,6 x 1,10mts, según diseños</v>
      </c>
      <c r="E512" s="26" t="str">
        <f>+'PRESUPUESTO DE OBRA'!E84</f>
        <v>und</v>
      </c>
      <c r="F512" s="20"/>
      <c r="G512" s="20"/>
      <c r="H512" s="20"/>
      <c r="I512" s="20">
        <v>3</v>
      </c>
      <c r="J512" s="20"/>
      <c r="K512" s="21"/>
      <c r="L512" s="21"/>
      <c r="M512" s="21"/>
      <c r="N512" s="21"/>
      <c r="O512" s="21"/>
      <c r="P512" s="21"/>
      <c r="Q512" s="21"/>
      <c r="R512" s="21"/>
      <c r="S512" s="22">
        <f t="shared" si="80"/>
        <v>3</v>
      </c>
      <c r="T512" s="6"/>
      <c r="U512" s="6"/>
      <c r="V512" s="6"/>
      <c r="W512" s="6"/>
    </row>
    <row r="513" spans="1:23" s="5" customFormat="1" ht="28.5" x14ac:dyDescent="0.25">
      <c r="A513" s="17"/>
      <c r="B513" s="17"/>
      <c r="C513" s="17"/>
      <c r="D513" s="18" t="str">
        <f>+'PRESUPUESTO DE OBRA'!D85</f>
        <v>Ventana Corrediza (V6) en aluminio y vridrio 3+3 de 1,00 x 1,10mts, según diseños</v>
      </c>
      <c r="E513" s="26" t="str">
        <f>+'PRESUPUESTO DE OBRA'!E85</f>
        <v>und</v>
      </c>
      <c r="F513" s="20"/>
      <c r="G513" s="20"/>
      <c r="H513" s="20"/>
      <c r="I513" s="20">
        <v>2</v>
      </c>
      <c r="J513" s="20"/>
      <c r="K513" s="21"/>
      <c r="L513" s="21"/>
      <c r="M513" s="21"/>
      <c r="N513" s="21"/>
      <c r="O513" s="21"/>
      <c r="P513" s="21"/>
      <c r="Q513" s="21"/>
      <c r="R513" s="21"/>
      <c r="S513" s="22">
        <f t="shared" si="80"/>
        <v>2</v>
      </c>
      <c r="T513" s="6"/>
      <c r="U513" s="6"/>
      <c r="V513" s="6"/>
      <c r="W513" s="6"/>
    </row>
    <row r="514" spans="1:23" s="5" customFormat="1" ht="28.5" x14ac:dyDescent="0.25">
      <c r="A514" s="17"/>
      <c r="B514" s="17"/>
      <c r="C514" s="17"/>
      <c r="D514" s="18" t="str">
        <f>+'PRESUPUESTO DE OBRA'!D86</f>
        <v>Ventana Corrediza (V7) en aluminio y vridrio 3+3 de 3,00 x 0,40mts, según diseños</v>
      </c>
      <c r="E514" s="26" t="str">
        <f>+'PRESUPUESTO DE OBRA'!E86</f>
        <v>und</v>
      </c>
      <c r="F514" s="20"/>
      <c r="G514" s="20"/>
      <c r="H514" s="20"/>
      <c r="I514" s="20">
        <v>2</v>
      </c>
      <c r="J514" s="20"/>
      <c r="K514" s="21"/>
      <c r="L514" s="21"/>
      <c r="M514" s="21"/>
      <c r="N514" s="21"/>
      <c r="O514" s="21"/>
      <c r="P514" s="21"/>
      <c r="Q514" s="21"/>
      <c r="R514" s="21"/>
      <c r="S514" s="22">
        <f t="shared" si="80"/>
        <v>2</v>
      </c>
      <c r="T514" s="6"/>
      <c r="U514" s="6"/>
      <c r="V514" s="6"/>
      <c r="W514" s="6"/>
    </row>
    <row r="515" spans="1:23" s="5" customFormat="1" ht="28.5" x14ac:dyDescent="0.25">
      <c r="A515" s="17"/>
      <c r="B515" s="17"/>
      <c r="C515" s="17"/>
      <c r="D515" s="18" t="str">
        <f>+'PRESUPUESTO DE OBRA'!D87</f>
        <v>Ventana Corrediza (V8) en aluminio y vridrio 3+3 de 1,00 x 0,40mts, según diseños</v>
      </c>
      <c r="E515" s="26" t="str">
        <f>+'PRESUPUESTO DE OBRA'!E87</f>
        <v>und</v>
      </c>
      <c r="F515" s="20"/>
      <c r="G515" s="20"/>
      <c r="H515" s="20"/>
      <c r="I515" s="20">
        <v>8</v>
      </c>
      <c r="J515" s="20"/>
      <c r="K515" s="21"/>
      <c r="L515" s="21"/>
      <c r="M515" s="21"/>
      <c r="N515" s="21"/>
      <c r="O515" s="21"/>
      <c r="P515" s="21"/>
      <c r="Q515" s="21"/>
      <c r="R515" s="21"/>
      <c r="S515" s="22">
        <f t="shared" si="80"/>
        <v>8</v>
      </c>
      <c r="T515" s="6"/>
      <c r="U515" s="6"/>
      <c r="V515" s="6"/>
      <c r="W515" s="6"/>
    </row>
    <row r="516" spans="1:23" s="5" customFormat="1" ht="28.5" x14ac:dyDescent="0.25">
      <c r="A516" s="17"/>
      <c r="B516" s="17"/>
      <c r="C516" s="17"/>
      <c r="D516" s="18" t="str">
        <f>+'PRESUPUESTO DE OBRA'!D88</f>
        <v>Ventana Corrediza (V9) en aluminio y vridrio 3+3 de 0,90 x 0,40mts, según diseños</v>
      </c>
      <c r="E516" s="26" t="str">
        <f>+'PRESUPUESTO DE OBRA'!E88</f>
        <v>und</v>
      </c>
      <c r="F516" s="20"/>
      <c r="G516" s="20"/>
      <c r="H516" s="20"/>
      <c r="I516" s="20">
        <v>2</v>
      </c>
      <c r="J516" s="20"/>
      <c r="K516" s="21"/>
      <c r="L516" s="21"/>
      <c r="M516" s="21"/>
      <c r="N516" s="21"/>
      <c r="O516" s="21"/>
      <c r="P516" s="21"/>
      <c r="Q516" s="21"/>
      <c r="R516" s="21"/>
      <c r="S516" s="22">
        <f t="shared" si="80"/>
        <v>2</v>
      </c>
      <c r="T516" s="6"/>
      <c r="U516" s="6"/>
      <c r="V516" s="6"/>
      <c r="W516" s="6"/>
    </row>
    <row r="517" spans="1:23" s="5" customFormat="1" ht="28.5" x14ac:dyDescent="0.25">
      <c r="A517" s="17"/>
      <c r="B517" s="17"/>
      <c r="C517" s="17"/>
      <c r="D517" s="18" t="str">
        <f>+'PRESUPUESTO DE OBRA'!D89</f>
        <v>Ventana Corrediza (V10) en aluminio y PLOMO 3+3 de 0,90 x 0,40mts, según diseños</v>
      </c>
      <c r="E517" s="26" t="str">
        <f>+'PRESUPUESTO DE OBRA'!E89</f>
        <v>und</v>
      </c>
      <c r="F517" s="20"/>
      <c r="G517" s="20"/>
      <c r="H517" s="20"/>
      <c r="I517" s="20">
        <v>1</v>
      </c>
      <c r="J517" s="20"/>
      <c r="K517" s="21"/>
      <c r="L517" s="21"/>
      <c r="M517" s="21"/>
      <c r="N517" s="21"/>
      <c r="O517" s="21"/>
      <c r="P517" s="21"/>
      <c r="Q517" s="21"/>
      <c r="R517" s="21"/>
      <c r="S517" s="22">
        <f t="shared" si="80"/>
        <v>1</v>
      </c>
      <c r="T517" s="6"/>
      <c r="U517" s="6"/>
      <c r="V517" s="6"/>
      <c r="W517" s="6"/>
    </row>
    <row r="518" spans="1:23" s="5" customFormat="1" ht="15" x14ac:dyDescent="0.25">
      <c r="A518" s="17"/>
      <c r="B518" s="17"/>
      <c r="C518" s="17"/>
      <c r="D518" s="18" t="str">
        <f>+'PRESUPUESTO DE OBRA'!D90</f>
        <v>Ventana Corrediza (V11) en aluminio de 3,70 x 0,60mts, según diseños</v>
      </c>
      <c r="E518" s="26" t="str">
        <f>+'PRESUPUESTO DE OBRA'!E90</f>
        <v>und</v>
      </c>
      <c r="F518" s="20"/>
      <c r="G518" s="20"/>
      <c r="H518" s="20"/>
      <c r="I518" s="20">
        <v>1</v>
      </c>
      <c r="J518" s="20"/>
      <c r="K518" s="21"/>
      <c r="L518" s="21"/>
      <c r="M518" s="21"/>
      <c r="N518" s="21"/>
      <c r="O518" s="21"/>
      <c r="P518" s="21"/>
      <c r="Q518" s="21"/>
      <c r="R518" s="21"/>
      <c r="S518" s="22">
        <f t="shared" si="80"/>
        <v>1</v>
      </c>
      <c r="T518" s="6"/>
      <c r="U518" s="6"/>
      <c r="V518" s="6"/>
      <c r="W518" s="6"/>
    </row>
    <row r="519" spans="1:23" s="5" customFormat="1" ht="15" x14ac:dyDescent="0.25">
      <c r="A519" s="13"/>
      <c r="B519" s="13"/>
      <c r="C519" s="13"/>
      <c r="D519" s="456" t="str">
        <f>+'PRESUPUESTO DE OBRA'!D91</f>
        <v>Varios</v>
      </c>
      <c r="E519" s="457"/>
      <c r="F519" s="31"/>
      <c r="G519" s="31"/>
      <c r="H519" s="31"/>
      <c r="I519" s="31"/>
      <c r="J519" s="31"/>
      <c r="K519" s="16"/>
      <c r="L519" s="16"/>
      <c r="M519" s="16"/>
      <c r="N519" s="16"/>
      <c r="O519" s="16"/>
      <c r="P519" s="16"/>
      <c r="Q519" s="16"/>
      <c r="R519" s="16"/>
      <c r="S519" s="22">
        <f t="shared" si="80"/>
        <v>0</v>
      </c>
      <c r="T519" s="6"/>
      <c r="U519" s="6"/>
      <c r="V519" s="6"/>
      <c r="W519" s="6"/>
    </row>
    <row r="520" spans="1:23" s="5" customFormat="1" ht="28.5" x14ac:dyDescent="0.25">
      <c r="A520" s="17"/>
      <c r="B520" s="17"/>
      <c r="C520" s="17"/>
      <c r="D520" s="18" t="str">
        <f>+'PRESUPUESTO DE OBRA'!D92</f>
        <v>Division para baño en acero inoxidable anclada con perno expansivo, de 1.56 * 1.8 m.</v>
      </c>
      <c r="E520" s="26" t="str">
        <f>+'PRESUPUESTO DE OBRA'!E92</f>
        <v>und</v>
      </c>
      <c r="F520" s="20"/>
      <c r="G520" s="20"/>
      <c r="H520" s="20"/>
      <c r="I520" s="20">
        <v>5</v>
      </c>
      <c r="J520" s="20"/>
      <c r="K520" s="21"/>
      <c r="L520" s="21"/>
      <c r="M520" s="21"/>
      <c r="N520" s="21"/>
      <c r="O520" s="21"/>
      <c r="P520" s="21"/>
      <c r="Q520" s="21"/>
      <c r="R520" s="21"/>
      <c r="S520" s="22">
        <f t="shared" si="80"/>
        <v>5</v>
      </c>
      <c r="T520" s="6"/>
      <c r="U520" s="6"/>
      <c r="V520" s="6"/>
      <c r="W520" s="6"/>
    </row>
    <row r="521" spans="1:23" s="5" customFormat="1" ht="28.5" x14ac:dyDescent="0.25">
      <c r="A521" s="17"/>
      <c r="B521" s="17"/>
      <c r="C521" s="17"/>
      <c r="D521" s="18" t="str">
        <f>+'PRESUPUESTO DE OBRA'!D93</f>
        <v>Puerta para baño en acero inoxidable anclada con perno expansivo, de 0.9 * 1.8 m.</v>
      </c>
      <c r="E521" s="26" t="str">
        <f>+'PRESUPUESTO DE OBRA'!E93</f>
        <v>und</v>
      </c>
      <c r="F521" s="20"/>
      <c r="G521" s="20"/>
      <c r="H521" s="20"/>
      <c r="I521" s="20">
        <v>8</v>
      </c>
      <c r="J521" s="20"/>
      <c r="K521" s="21"/>
      <c r="L521" s="21"/>
      <c r="M521" s="21"/>
      <c r="N521" s="21"/>
      <c r="O521" s="21"/>
      <c r="P521" s="21"/>
      <c r="Q521" s="21"/>
      <c r="R521" s="21"/>
      <c r="S521" s="22">
        <f t="shared" si="80"/>
        <v>8</v>
      </c>
      <c r="T521" s="6"/>
      <c r="U521" s="6"/>
      <c r="V521" s="6"/>
      <c r="W521" s="6"/>
    </row>
    <row r="522" spans="1:23" s="5" customFormat="1" ht="28.5" x14ac:dyDescent="0.25">
      <c r="A522" s="17"/>
      <c r="B522" s="17"/>
      <c r="C522" s="17"/>
      <c r="D522" s="18" t="str">
        <f>+'PRESUPUESTO DE OBRA'!D94</f>
        <v>Pasamanos  hierro forjado, incluye anclajes, pintura anticorrosiva y esmalte.</v>
      </c>
      <c r="E522" s="26" t="str">
        <f>+'PRESUPUESTO DE OBRA'!E94</f>
        <v>m</v>
      </c>
      <c r="F522" s="20">
        <v>17</v>
      </c>
      <c r="G522" s="20"/>
      <c r="H522" s="20"/>
      <c r="I522" s="20"/>
      <c r="J522" s="20"/>
      <c r="K522" s="21"/>
      <c r="L522" s="21"/>
      <c r="M522" s="21"/>
      <c r="N522" s="21"/>
      <c r="O522" s="21"/>
      <c r="P522" s="21"/>
      <c r="Q522" s="21"/>
      <c r="R522" s="21"/>
      <c r="S522" s="22">
        <f>+F522</f>
        <v>17</v>
      </c>
      <c r="T522" s="6"/>
      <c r="U522" s="6"/>
      <c r="V522" s="6"/>
      <c r="W522" s="6"/>
    </row>
    <row r="523" spans="1:23" s="5" customFormat="1" ht="15" x14ac:dyDescent="0.25">
      <c r="A523" s="17"/>
      <c r="B523" s="17"/>
      <c r="C523" s="17"/>
      <c r="D523" s="18" t="str">
        <f>+'PRESUPUESTO DE OBRA'!D95</f>
        <v>Meson en acero inoxidable</v>
      </c>
      <c r="E523" s="26" t="str">
        <f>+'PRESUPUESTO DE OBRA'!E95</f>
        <v>m</v>
      </c>
      <c r="F523" s="20">
        <f>1.26+1.5+1.5+2+2.6+2.7+2.7+3.71+3.7+2.12+2.34+2+1.6+2.38+1.7</f>
        <v>33.81</v>
      </c>
      <c r="G523" s="20"/>
      <c r="H523" s="20"/>
      <c r="I523" s="20"/>
      <c r="J523" s="20"/>
      <c r="K523" s="21"/>
      <c r="L523" s="21"/>
      <c r="M523" s="21"/>
      <c r="N523" s="21"/>
      <c r="O523" s="21"/>
      <c r="P523" s="21"/>
      <c r="Q523" s="21"/>
      <c r="R523" s="21"/>
      <c r="S523" s="22">
        <f>+F523</f>
        <v>33.81</v>
      </c>
      <c r="T523" s="6"/>
      <c r="U523" s="6"/>
      <c r="V523" s="6"/>
      <c r="W523" s="6"/>
    </row>
    <row r="524" spans="1:23" s="5" customFormat="1" ht="15" x14ac:dyDescent="0.25">
      <c r="A524" s="17"/>
      <c r="B524" s="17"/>
      <c r="C524" s="17"/>
      <c r="D524" s="18" t="str">
        <f>+'PRESUPUESTO DE OBRA'!D96</f>
        <v>Barra de seguridad en acero inoxidable</v>
      </c>
      <c r="E524" s="26" t="str">
        <f>+'PRESUPUESTO DE OBRA'!E96</f>
        <v>und</v>
      </c>
      <c r="F524" s="20"/>
      <c r="G524" s="20"/>
      <c r="H524" s="20"/>
      <c r="I524" s="20">
        <v>5</v>
      </c>
      <c r="J524" s="20"/>
      <c r="K524" s="21"/>
      <c r="L524" s="21"/>
      <c r="M524" s="21"/>
      <c r="N524" s="21"/>
      <c r="O524" s="21"/>
      <c r="P524" s="21"/>
      <c r="Q524" s="21"/>
      <c r="R524" s="21"/>
      <c r="S524" s="22">
        <f t="shared" si="80"/>
        <v>5</v>
      </c>
      <c r="T524" s="6"/>
      <c r="U524" s="6"/>
      <c r="V524" s="6"/>
      <c r="W524" s="6"/>
    </row>
    <row r="525" spans="1:23" s="5" customFormat="1" ht="114" x14ac:dyDescent="0.25">
      <c r="A525" s="17"/>
      <c r="B525" s="17"/>
      <c r="C525" s="17"/>
      <c r="D525" s="18" t="str">
        <f>+'PRESUPUESTO DE OBRA'!D97</f>
        <v xml:space="preserve">Fabricacion e instalacion de malla eslabonada para cerramiento perimetral, incluye excavacion manual en material heterogeneo, zapata de 80x80cm, columnas de 30x30cm, viga de 25cmx25cm todo en concreto reforzado de 3000 psi,  mamposteria de concreto de 12x20x40 a la vista prensado, postes verticales longitudinales diagonales y riostras en tuberia en hierro galvanizado de 2" exterior calibre 16 - separados cada 2,3mts, malla eslabonada galvanizada 5cm, pintura para acabado final y todos los elementos necesarios para su correcta instalacion. </v>
      </c>
      <c r="E525" s="26" t="str">
        <f>+'PRESUPUESTO DE OBRA'!E97</f>
        <v>m²</v>
      </c>
      <c r="F525" s="20">
        <v>197.33</v>
      </c>
      <c r="G525" s="20"/>
      <c r="H525" s="20">
        <v>2.87</v>
      </c>
      <c r="I525" s="20"/>
      <c r="J525" s="20"/>
      <c r="K525" s="21">
        <f>+F525*H525</f>
        <v>566.33710000000008</v>
      </c>
      <c r="L525" s="21"/>
      <c r="M525" s="21"/>
      <c r="N525" s="21"/>
      <c r="O525" s="21"/>
      <c r="P525" s="21"/>
      <c r="Q525" s="21"/>
      <c r="R525" s="21"/>
      <c r="S525" s="22">
        <f>+K525</f>
        <v>566.33710000000008</v>
      </c>
      <c r="T525" s="6"/>
      <c r="U525" s="6"/>
      <c r="V525" s="6"/>
      <c r="W525" s="6"/>
    </row>
    <row r="526" spans="1:23" s="5" customFormat="1" ht="15" x14ac:dyDescent="0.25">
      <c r="A526" s="17"/>
      <c r="B526" s="17"/>
      <c r="C526" s="17"/>
      <c r="D526" s="18" t="str">
        <f>+'PRESUPUESTO DE OBRA'!D98</f>
        <v>Fachada flotante en lamina microperforada, según diseños y detalles</v>
      </c>
      <c r="E526" s="26" t="str">
        <f>+'PRESUPUESTO DE OBRA'!E98</f>
        <v>m²</v>
      </c>
      <c r="F526" s="20"/>
      <c r="G526" s="20"/>
      <c r="H526" s="20"/>
      <c r="I526" s="20"/>
      <c r="J526" s="20"/>
      <c r="K526" s="21"/>
      <c r="L526" s="21"/>
      <c r="M526" s="21"/>
      <c r="N526" s="21"/>
      <c r="O526" s="21"/>
      <c r="P526" s="21"/>
      <c r="Q526" s="21"/>
      <c r="R526" s="21"/>
      <c r="S526" s="22">
        <f>+K527+K528+K529</f>
        <v>953.62999999999988</v>
      </c>
      <c r="T526" s="6"/>
      <c r="U526" s="6"/>
      <c r="V526" s="6"/>
      <c r="W526" s="6"/>
    </row>
    <row r="527" spans="1:23" s="5" customFormat="1" ht="15" x14ac:dyDescent="0.25">
      <c r="A527" s="17"/>
      <c r="B527" s="17"/>
      <c r="C527" s="17"/>
      <c r="D527" s="18"/>
      <c r="E527" s="26"/>
      <c r="F527" s="20"/>
      <c r="G527" s="20">
        <v>0.7</v>
      </c>
      <c r="H527" s="20">
        <v>5.3</v>
      </c>
      <c r="I527" s="20">
        <v>104</v>
      </c>
      <c r="J527" s="20"/>
      <c r="K527" s="21">
        <f>+G527*H527*I527</f>
        <v>385.84</v>
      </c>
      <c r="L527" s="21"/>
      <c r="M527" s="21"/>
      <c r="N527" s="21"/>
      <c r="O527" s="21"/>
      <c r="P527" s="21"/>
      <c r="Q527" s="21"/>
      <c r="R527" s="21"/>
      <c r="S527" s="22"/>
      <c r="T527" s="6"/>
      <c r="U527" s="6"/>
      <c r="V527" s="6"/>
      <c r="W527" s="6"/>
    </row>
    <row r="528" spans="1:23" s="5" customFormat="1" ht="15" x14ac:dyDescent="0.25">
      <c r="A528" s="17"/>
      <c r="B528" s="17"/>
      <c r="C528" s="17"/>
      <c r="D528" s="18"/>
      <c r="E528" s="26"/>
      <c r="F528" s="20"/>
      <c r="G528" s="20">
        <v>0.7</v>
      </c>
      <c r="H528" s="20">
        <v>8.8000000000000007</v>
      </c>
      <c r="I528" s="20">
        <v>89</v>
      </c>
      <c r="J528" s="20"/>
      <c r="K528" s="21">
        <f>+G528*H528*I528</f>
        <v>548.24</v>
      </c>
      <c r="L528" s="21"/>
      <c r="M528" s="21"/>
      <c r="N528" s="21"/>
      <c r="O528" s="21"/>
      <c r="P528" s="21"/>
      <c r="Q528" s="21"/>
      <c r="R528" s="21"/>
      <c r="S528" s="22"/>
      <c r="T528" s="6"/>
      <c r="U528" s="6"/>
      <c r="V528" s="6"/>
      <c r="W528" s="6"/>
    </row>
    <row r="529" spans="1:23" s="5" customFormat="1" ht="15" x14ac:dyDescent="0.25">
      <c r="A529" s="17"/>
      <c r="B529" s="17"/>
      <c r="C529" s="17"/>
      <c r="D529" s="18"/>
      <c r="E529" s="26"/>
      <c r="F529" s="20"/>
      <c r="G529" s="20"/>
      <c r="H529" s="20"/>
      <c r="I529" s="20"/>
      <c r="J529" s="20"/>
      <c r="K529" s="21">
        <v>19.55</v>
      </c>
      <c r="L529" s="21"/>
      <c r="M529" s="21"/>
      <c r="N529" s="21"/>
      <c r="O529" s="21"/>
      <c r="P529" s="21"/>
      <c r="Q529" s="21"/>
      <c r="R529" s="21"/>
      <c r="S529" s="22"/>
      <c r="T529" s="6"/>
      <c r="U529" s="6"/>
      <c r="V529" s="6"/>
      <c r="W529" s="6"/>
    </row>
    <row r="530" spans="1:23" s="5" customFormat="1" ht="30" x14ac:dyDescent="0.25">
      <c r="A530" s="13"/>
      <c r="B530" s="13"/>
      <c r="C530" s="13"/>
      <c r="D530" s="456" t="str">
        <f>+'PRESUPUESTO DE OBRA'!D99</f>
        <v>INSTALACIONES HIDROSANITARIAS, PATOGENAS, AGUAS LLUVIAS, CONTRAINCENDIO, ENCHAPES Y APARATOS SANITARIOS</v>
      </c>
      <c r="E530" s="458"/>
      <c r="F530" s="31"/>
      <c r="G530" s="31"/>
      <c r="H530" s="31"/>
      <c r="I530" s="31"/>
      <c r="J530" s="31"/>
      <c r="K530" s="16"/>
      <c r="L530" s="16"/>
      <c r="M530" s="16"/>
      <c r="N530" s="16"/>
      <c r="O530" s="16"/>
      <c r="P530" s="16"/>
      <c r="Q530" s="16"/>
      <c r="R530" s="16"/>
      <c r="S530" s="16">
        <f t="shared" si="80"/>
        <v>0</v>
      </c>
      <c r="T530" s="6"/>
      <c r="U530" s="6"/>
      <c r="V530" s="6"/>
      <c r="W530" s="6"/>
    </row>
    <row r="531" spans="1:23" s="5" customFormat="1" ht="21.75" customHeight="1" x14ac:dyDescent="0.25">
      <c r="A531" s="13"/>
      <c r="B531" s="13"/>
      <c r="C531" s="13"/>
      <c r="D531" s="456" t="str">
        <f>+'PRESUPUESTO DE OBRA'!D100</f>
        <v>Red e Instalaciones Hidraulicas</v>
      </c>
      <c r="E531" s="458"/>
      <c r="F531" s="31"/>
      <c r="G531" s="31"/>
      <c r="H531" s="31"/>
      <c r="I531" s="31"/>
      <c r="J531" s="31"/>
      <c r="K531" s="16"/>
      <c r="L531" s="16"/>
      <c r="M531" s="16"/>
      <c r="N531" s="16"/>
      <c r="O531" s="16"/>
      <c r="P531" s="16"/>
      <c r="Q531" s="16"/>
      <c r="R531" s="16"/>
      <c r="S531" s="16"/>
      <c r="T531" s="6"/>
      <c r="U531" s="6"/>
      <c r="V531" s="6"/>
      <c r="W531" s="6"/>
    </row>
    <row r="532" spans="1:23" s="5" customFormat="1" ht="36" customHeight="1" x14ac:dyDescent="0.25">
      <c r="A532" s="17"/>
      <c r="B532" s="17"/>
      <c r="C532" s="17"/>
      <c r="D532" s="18" t="str">
        <f>+'PRESUPUESTO DE OBRA'!D101</f>
        <v>Tuberia PVC - Presion, con un Diametro de 1/2", empotradas por losas y/o colgadas. Incluye Accesorios</v>
      </c>
      <c r="E532" s="19" t="str">
        <f>+'PRESUPUESTO DE OBRA'!E101</f>
        <v>m</v>
      </c>
      <c r="F532" s="20"/>
      <c r="G532" s="20"/>
      <c r="H532" s="20"/>
      <c r="I532" s="20"/>
      <c r="J532" s="389">
        <f>2.49+1.25+1.54+1.06+0.6+0.47+0.52+0.53+1.18+1.57+1.13+0.32+0.73+0.52+0.54+0.98+0.95+0.95+1.84+3.39+0.78+0.65+0.87+0.87+0.87+2.13+0.59+0.81+1.16+2.6+1.32+1.4+2.92+0.4+0.17+0.64+0.8+4.25+0.31+0.82+0.19+0.69+1.25+0.3+0.17+0.63+0.89+2.17+0.94+0.87+1.17+0.36+1.25+1.92+0.37+0.37+0.98+0.33+0.9+3.968+0.17+0.17+1.16+0.3+0.3+1.13+0.22+0.71+0.25+0.3+0.17+0.64+2.23+0.8+2.22+1.71+0.49+1.72+3.21+2.45+0.6+2.26+0.3+0.2+1.86+3.56+0.71+0.42+0.42+0.42+1.98+0.36+0.36+0.43+0.34+0.21+0.34+0.47+0.34+1.02+1.24+1.69+1.67+0.67+0.61+3.95+1.08+0.63+2.04+1.77+0.32+0.32+0.61+2.2+0.93+1.59+1.08+0.97+2.15+2.04+0.36+1.02+0.32+1.61+1.3+2.16+0.31+1.01</f>
        <v>139.23799999999997</v>
      </c>
      <c r="K532" s="21"/>
      <c r="L532" s="21"/>
      <c r="M532" s="21"/>
      <c r="N532" s="21"/>
      <c r="O532" s="21"/>
      <c r="P532" s="21"/>
      <c r="Q532" s="21"/>
      <c r="R532" s="21"/>
      <c r="S532" s="22">
        <f>+J532</f>
        <v>139.23799999999997</v>
      </c>
      <c r="T532" s="6"/>
      <c r="U532" s="6"/>
      <c r="V532" s="6"/>
      <c r="W532" s="6"/>
    </row>
    <row r="533" spans="1:23" s="5" customFormat="1" ht="28.5" x14ac:dyDescent="0.25">
      <c r="A533" s="17"/>
      <c r="B533" s="17"/>
      <c r="C533" s="17"/>
      <c r="D533" s="18" t="str">
        <f>+'PRESUPUESTO DE OBRA'!D102</f>
        <v>Tuberia PVC - Presion, con un Diametro de 3/4", empotradas por losas y/o colgadas. Incluye Accesorios</v>
      </c>
      <c r="E533" s="19" t="str">
        <f>+'PRESUPUESTO DE OBRA'!E102</f>
        <v>m</v>
      </c>
      <c r="F533" s="20"/>
      <c r="G533" s="20"/>
      <c r="H533" s="20"/>
      <c r="I533" s="20"/>
      <c r="J533" s="389">
        <f>1.87+0.89+1.06+0.6+1.6+0.78+13.9+6.05+1.67+0.35+6.98+2.89+2.66+2.66+11.64+6.3+12.64+2.92+1.37+5.04+1.06+7.82+0.2+2.53+0.74+0.47+0.96+0.14+0.14+18.45+0.25+2.5+0.24+2.19+5.17+2.61+2.1+12.3+1.55+0.34+0.28+20.16+3.87</f>
        <v>169.94000000000003</v>
      </c>
      <c r="K533" s="21"/>
      <c r="L533" s="21"/>
      <c r="M533" s="21"/>
      <c r="N533" s="21"/>
      <c r="O533" s="21"/>
      <c r="P533" s="21"/>
      <c r="Q533" s="21"/>
      <c r="R533" s="21"/>
      <c r="S533" s="22">
        <f t="shared" ref="S533:S535" si="81">+J533</f>
        <v>169.94000000000003</v>
      </c>
      <c r="T533" s="6"/>
      <c r="U533" s="6"/>
      <c r="V533" s="6"/>
      <c r="W533" s="6"/>
    </row>
    <row r="534" spans="1:23" s="5" customFormat="1" ht="28.5" x14ac:dyDescent="0.25">
      <c r="A534" s="17"/>
      <c r="B534" s="17"/>
      <c r="C534" s="17"/>
      <c r="D534" s="18" t="str">
        <f>+'PRESUPUESTO DE OBRA'!D103</f>
        <v>Tuberia PVC - Presion, con un Diametro de 1", empotradas por losas y/o colgadas. Incluye Accesorios</v>
      </c>
      <c r="E534" s="19" t="str">
        <f>+'PRESUPUESTO DE OBRA'!E103</f>
        <v>m</v>
      </c>
      <c r="F534" s="20"/>
      <c r="G534" s="20"/>
      <c r="H534" s="20"/>
      <c r="I534" s="20"/>
      <c r="J534" s="389">
        <f>4.5+4.5+2+3</f>
        <v>14</v>
      </c>
      <c r="K534" s="21"/>
      <c r="L534" s="21"/>
      <c r="M534" s="21"/>
      <c r="N534" s="21"/>
      <c r="O534" s="21"/>
      <c r="P534" s="21"/>
      <c r="Q534" s="21"/>
      <c r="R534" s="21"/>
      <c r="S534" s="22">
        <f t="shared" si="81"/>
        <v>14</v>
      </c>
      <c r="T534" s="6"/>
      <c r="U534" s="6"/>
      <c r="V534" s="6"/>
      <c r="W534" s="6"/>
    </row>
    <row r="535" spans="1:23" s="5" customFormat="1" ht="15" x14ac:dyDescent="0.25">
      <c r="A535" s="17"/>
      <c r="B535" s="17"/>
      <c r="C535" s="17"/>
      <c r="D535" s="18">
        <f>+'PRESUPUESTO DE OBRA'!D104</f>
        <v>0</v>
      </c>
      <c r="E535" s="19">
        <f>+'PRESUPUESTO DE OBRA'!E104</f>
        <v>0</v>
      </c>
      <c r="F535" s="20"/>
      <c r="G535" s="20"/>
      <c r="H535" s="20"/>
      <c r="I535" s="20"/>
      <c r="J535" s="389">
        <f>11.02+16.36+22.75+3.47+10.5</f>
        <v>64.099999999999994</v>
      </c>
      <c r="K535" s="21"/>
      <c r="L535" s="21"/>
      <c r="M535" s="21"/>
      <c r="N535" s="21"/>
      <c r="O535" s="21"/>
      <c r="P535" s="21"/>
      <c r="Q535" s="21"/>
      <c r="R535" s="21"/>
      <c r="S535" s="22">
        <f t="shared" si="81"/>
        <v>64.099999999999994</v>
      </c>
      <c r="T535" s="6"/>
      <c r="U535" s="6"/>
      <c r="V535" s="6"/>
      <c r="W535" s="6"/>
    </row>
    <row r="536" spans="1:23" s="5" customFormat="1" ht="15" x14ac:dyDescent="0.25">
      <c r="A536" s="17"/>
      <c r="B536" s="17"/>
      <c r="C536" s="17"/>
      <c r="D536" s="18" t="str">
        <f>+'PRESUPUESTO DE OBRA'!D105</f>
        <v>Punto Hidraulico Diametro de 1/2"</v>
      </c>
      <c r="E536" s="19" t="str">
        <f>+'PRESUPUESTO DE OBRA'!E105</f>
        <v>und</v>
      </c>
      <c r="F536" s="20"/>
      <c r="G536" s="20"/>
      <c r="H536" s="20"/>
      <c r="I536" s="389">
        <f>3+2+1+4+1+4+3+1+3+4+3+4+3+2+1+3+2+2+1+2+2+1+2+1+2+3+2+1+1+6+4+3+2+4+2+1</f>
        <v>86</v>
      </c>
      <c r="J536" s="389"/>
      <c r="K536" s="21"/>
      <c r="L536" s="21"/>
      <c r="M536" s="21"/>
      <c r="N536" s="21"/>
      <c r="O536" s="21"/>
      <c r="P536" s="21"/>
      <c r="Q536" s="21"/>
      <c r="R536" s="21"/>
      <c r="S536" s="22">
        <f>+I536</f>
        <v>86</v>
      </c>
      <c r="T536" s="6"/>
      <c r="U536" s="6"/>
      <c r="V536" s="6"/>
      <c r="W536" s="6"/>
    </row>
    <row r="537" spans="1:23" s="5" customFormat="1" ht="15" x14ac:dyDescent="0.25">
      <c r="A537" s="17"/>
      <c r="B537" s="17"/>
      <c r="C537" s="17"/>
      <c r="D537" s="18" t="str">
        <f>+'PRESUPUESTO DE OBRA'!D106</f>
        <v>Punto Hidraulico Diametro de 1/2" incluye llave terminal</v>
      </c>
      <c r="E537" s="19" t="str">
        <f>+'PRESUPUESTO DE OBRA'!E106</f>
        <v>und</v>
      </c>
      <c r="F537" s="20"/>
      <c r="G537" s="20"/>
      <c r="H537" s="20"/>
      <c r="I537" s="389">
        <f>1+1+1+1+1+1+1+1</f>
        <v>8</v>
      </c>
      <c r="J537" s="389"/>
      <c r="K537" s="21"/>
      <c r="L537" s="21"/>
      <c r="M537" s="21"/>
      <c r="N537" s="21"/>
      <c r="O537" s="21"/>
      <c r="P537" s="21"/>
      <c r="Q537" s="21"/>
      <c r="R537" s="21"/>
      <c r="S537" s="22">
        <f t="shared" ref="S537:S545" si="82">+I537</f>
        <v>8</v>
      </c>
      <c r="T537" s="6"/>
      <c r="U537" s="6"/>
      <c r="V537" s="6"/>
      <c r="W537" s="6"/>
    </row>
    <row r="538" spans="1:23" s="5" customFormat="1" ht="15" x14ac:dyDescent="0.25">
      <c r="A538" s="17"/>
      <c r="B538" s="17"/>
      <c r="C538" s="17"/>
      <c r="D538" s="18" t="str">
        <f>+'PRESUPUESTO DE OBRA'!D107</f>
        <v>Punto Hidraulico Diametro de 3/4"</v>
      </c>
      <c r="E538" s="19" t="str">
        <f>+'PRESUPUESTO DE OBRA'!E107</f>
        <v>und</v>
      </c>
      <c r="F538" s="20"/>
      <c r="G538" s="20"/>
      <c r="H538" s="20"/>
      <c r="I538" s="20">
        <v>5</v>
      </c>
      <c r="J538" s="20"/>
      <c r="K538" s="21"/>
      <c r="L538" s="21"/>
      <c r="M538" s="21"/>
      <c r="N538" s="21"/>
      <c r="O538" s="21"/>
      <c r="P538" s="21"/>
      <c r="Q538" s="21"/>
      <c r="R538" s="21"/>
      <c r="S538" s="22">
        <f t="shared" si="82"/>
        <v>5</v>
      </c>
      <c r="T538" s="6"/>
      <c r="U538" s="6"/>
      <c r="V538" s="6"/>
      <c r="W538" s="6"/>
    </row>
    <row r="539" spans="1:23" s="5" customFormat="1" ht="15" x14ac:dyDescent="0.25">
      <c r="A539" s="17"/>
      <c r="B539" s="17"/>
      <c r="C539" s="17"/>
      <c r="D539" s="18" t="str">
        <f>+'PRESUPUESTO DE OBRA'!D108</f>
        <v>Punto Hidraulico Diametro de 1"</v>
      </c>
      <c r="E539" s="19" t="str">
        <f>+'PRESUPUESTO DE OBRA'!E108</f>
        <v>und</v>
      </c>
      <c r="F539" s="20"/>
      <c r="G539" s="20"/>
      <c r="H539" s="20"/>
      <c r="I539" s="389">
        <f>1+4</f>
        <v>5</v>
      </c>
      <c r="J539" s="389"/>
      <c r="K539" s="21"/>
      <c r="L539" s="21"/>
      <c r="M539" s="21"/>
      <c r="N539" s="21"/>
      <c r="O539" s="21"/>
      <c r="P539" s="21"/>
      <c r="Q539" s="21"/>
      <c r="R539" s="21"/>
      <c r="S539" s="22">
        <f t="shared" si="82"/>
        <v>5</v>
      </c>
      <c r="T539" s="6"/>
      <c r="U539" s="6"/>
      <c r="V539" s="6"/>
      <c r="W539" s="6"/>
    </row>
    <row r="540" spans="1:23" s="5" customFormat="1" ht="15" x14ac:dyDescent="0.25">
      <c r="A540" s="17"/>
      <c r="B540" s="17"/>
      <c r="C540" s="17"/>
      <c r="D540" s="18" t="str">
        <f>+'PRESUPUESTO DE OBRA'!D109</f>
        <v>Llave de paso Diametro de 1/2"</v>
      </c>
      <c r="E540" s="19" t="str">
        <f>+'PRESUPUESTO DE OBRA'!E109</f>
        <v>und</v>
      </c>
      <c r="F540" s="20"/>
      <c r="G540" s="20"/>
      <c r="H540" s="20"/>
      <c r="I540" s="389">
        <f>1+1+3+1+1+1+1+1+1+3+1+1+1+1+2+1+3+2+2+2+1+2+6+1</f>
        <v>40</v>
      </c>
      <c r="J540" s="389"/>
      <c r="K540" s="21"/>
      <c r="L540" s="21"/>
      <c r="M540" s="21"/>
      <c r="N540" s="21"/>
      <c r="O540" s="21"/>
      <c r="P540" s="21"/>
      <c r="Q540" s="21"/>
      <c r="R540" s="21"/>
      <c r="S540" s="22">
        <f t="shared" si="82"/>
        <v>40</v>
      </c>
      <c r="T540" s="6"/>
      <c r="U540" s="6"/>
      <c r="V540" s="6"/>
      <c r="W540" s="6"/>
    </row>
    <row r="541" spans="1:23" s="5" customFormat="1" ht="15" x14ac:dyDescent="0.25">
      <c r="A541" s="17"/>
      <c r="B541" s="17"/>
      <c r="C541" s="17"/>
      <c r="D541" s="18" t="str">
        <f>+'PRESUPUESTO DE OBRA'!D110</f>
        <v>Llave de paso Diametro de 3/4"</v>
      </c>
      <c r="E541" s="19" t="str">
        <f>+'PRESUPUESTO DE OBRA'!E110</f>
        <v>und</v>
      </c>
      <c r="F541" s="20"/>
      <c r="G541" s="20"/>
      <c r="H541" s="20"/>
      <c r="I541" s="389">
        <v>2</v>
      </c>
      <c r="J541" s="389"/>
      <c r="K541" s="21"/>
      <c r="L541" s="21"/>
      <c r="M541" s="21"/>
      <c r="N541" s="21"/>
      <c r="O541" s="21"/>
      <c r="P541" s="21"/>
      <c r="Q541" s="21"/>
      <c r="R541" s="21"/>
      <c r="S541" s="22">
        <f t="shared" si="82"/>
        <v>2</v>
      </c>
      <c r="T541" s="6"/>
      <c r="U541" s="6"/>
      <c r="V541" s="6"/>
      <c r="W541" s="6"/>
    </row>
    <row r="542" spans="1:23" s="5" customFormat="1" ht="15" x14ac:dyDescent="0.25">
      <c r="A542" s="17"/>
      <c r="B542" s="17"/>
      <c r="C542" s="17"/>
      <c r="D542" s="18" t="str">
        <f>+'PRESUPUESTO DE OBRA'!D111</f>
        <v>Llave de paso Diametro de 1"</v>
      </c>
      <c r="E542" s="19" t="str">
        <f>+'PRESUPUESTO DE OBRA'!E111</f>
        <v>und</v>
      </c>
      <c r="F542" s="20"/>
      <c r="G542" s="20"/>
      <c r="H542" s="20"/>
      <c r="I542" s="389">
        <v>3</v>
      </c>
      <c r="J542" s="389"/>
      <c r="K542" s="21"/>
      <c r="L542" s="21"/>
      <c r="M542" s="21"/>
      <c r="N542" s="21"/>
      <c r="O542" s="21"/>
      <c r="P542" s="21"/>
      <c r="Q542" s="21"/>
      <c r="R542" s="21"/>
      <c r="S542" s="22">
        <f t="shared" si="82"/>
        <v>3</v>
      </c>
      <c r="T542" s="6"/>
      <c r="U542" s="6"/>
      <c r="V542" s="6"/>
      <c r="W542" s="6"/>
    </row>
    <row r="543" spans="1:23" s="5" customFormat="1" ht="15" x14ac:dyDescent="0.25">
      <c r="A543" s="17"/>
      <c r="B543" s="17"/>
      <c r="C543" s="17"/>
      <c r="D543" s="18" t="e">
        <f>+'PRESUPUESTO DE OBRA'!#REF!</f>
        <v>#REF!</v>
      </c>
      <c r="E543" s="19" t="e">
        <f>+'PRESUPUESTO DE OBRA'!#REF!</f>
        <v>#REF!</v>
      </c>
      <c r="F543" s="20"/>
      <c r="G543" s="20"/>
      <c r="H543" s="20"/>
      <c r="I543" s="20">
        <v>1</v>
      </c>
      <c r="J543" s="20"/>
      <c r="K543" s="21"/>
      <c r="L543" s="21"/>
      <c r="M543" s="21"/>
      <c r="N543" s="21"/>
      <c r="O543" s="21"/>
      <c r="P543" s="21"/>
      <c r="Q543" s="21"/>
      <c r="R543" s="21"/>
      <c r="S543" s="22">
        <f t="shared" si="82"/>
        <v>1</v>
      </c>
      <c r="T543" s="6"/>
      <c r="U543" s="6"/>
      <c r="V543" s="6"/>
      <c r="W543" s="6"/>
    </row>
    <row r="544" spans="1:23" s="5" customFormat="1" ht="15" x14ac:dyDescent="0.25">
      <c r="A544" s="17"/>
      <c r="B544" s="17"/>
      <c r="C544" s="17"/>
      <c r="D544" s="18" t="str">
        <f>+'PRESUPUESTO DE OBRA'!D112</f>
        <v>Tanque plástico 2000 Litros, con tapa, incluye accesorios</v>
      </c>
      <c r="E544" s="19" t="str">
        <f>+'PRESUPUESTO DE OBRA'!E112</f>
        <v>und</v>
      </c>
      <c r="F544" s="20"/>
      <c r="G544" s="20"/>
      <c r="H544" s="20"/>
      <c r="I544" s="20">
        <v>4</v>
      </c>
      <c r="J544" s="20"/>
      <c r="K544" s="21"/>
      <c r="L544" s="21"/>
      <c r="M544" s="21"/>
      <c r="N544" s="21"/>
      <c r="O544" s="21"/>
      <c r="P544" s="21"/>
      <c r="Q544" s="21"/>
      <c r="R544" s="21"/>
      <c r="S544" s="22">
        <f t="shared" si="82"/>
        <v>4</v>
      </c>
      <c r="T544" s="6"/>
      <c r="U544" s="6"/>
      <c r="V544" s="6"/>
      <c r="W544" s="6"/>
    </row>
    <row r="545" spans="1:23" s="5" customFormat="1" ht="28.5" x14ac:dyDescent="0.25">
      <c r="A545" s="17"/>
      <c r="B545" s="17"/>
      <c r="C545" s="17"/>
      <c r="D545" s="18" t="str">
        <f>+'PRESUPUESTO DE OBRA'!D113</f>
        <v>Sistema de Planta de Tratamiento de Agua Potable (PTAP), incluye accesorios para su correcto funcionamiento</v>
      </c>
      <c r="E545" s="19" t="str">
        <f>+'PRESUPUESTO DE OBRA'!E113</f>
        <v>und</v>
      </c>
      <c r="F545" s="20"/>
      <c r="G545" s="20"/>
      <c r="H545" s="20"/>
      <c r="I545" s="20">
        <v>1</v>
      </c>
      <c r="J545" s="20"/>
      <c r="K545" s="21"/>
      <c r="L545" s="21"/>
      <c r="M545" s="21"/>
      <c r="N545" s="21"/>
      <c r="O545" s="21"/>
      <c r="P545" s="21"/>
      <c r="Q545" s="21"/>
      <c r="R545" s="21"/>
      <c r="S545" s="22">
        <f t="shared" si="82"/>
        <v>1</v>
      </c>
      <c r="T545" s="6"/>
      <c r="U545" s="6"/>
      <c r="V545" s="6"/>
      <c r="W545" s="6"/>
    </row>
    <row r="546" spans="1:23" s="5" customFormat="1" ht="15" x14ac:dyDescent="0.25">
      <c r="A546" s="13"/>
      <c r="B546" s="13"/>
      <c r="C546" s="13"/>
      <c r="D546" s="456" t="str">
        <f>+'PRESUPUESTO DE OBRA'!D114</f>
        <v>Red e Instalaciones Sanitarias</v>
      </c>
      <c r="E546" s="458"/>
      <c r="F546" s="31"/>
      <c r="G546" s="31"/>
      <c r="H546" s="31"/>
      <c r="I546" s="31"/>
      <c r="J546" s="31"/>
      <c r="K546" s="16"/>
      <c r="L546" s="16"/>
      <c r="M546" s="16"/>
      <c r="N546" s="16"/>
      <c r="O546" s="16"/>
      <c r="P546" s="16"/>
      <c r="Q546" s="16"/>
      <c r="R546" s="16"/>
      <c r="S546" s="16">
        <f t="shared" si="79"/>
        <v>0</v>
      </c>
      <c r="T546" s="6"/>
      <c r="U546" s="6"/>
      <c r="V546" s="6"/>
      <c r="W546" s="6"/>
    </row>
    <row r="547" spans="1:23" s="5" customFormat="1" ht="28.5" x14ac:dyDescent="0.25">
      <c r="A547" s="17"/>
      <c r="B547" s="17"/>
      <c r="C547" s="17"/>
      <c r="D547" s="18" t="str">
        <f>+'PRESUPUESTO DE OBRA'!D115</f>
        <v>Tuberia PVC - Sanitaria, con un Diametro de 2", para aguas residuales enterrada, empotradas por losas y/o colgadas. Incluye Accesorios</v>
      </c>
      <c r="E547" s="19" t="str">
        <f>+'PRESUPUESTO DE OBRA'!E115</f>
        <v>m</v>
      </c>
      <c r="F547" s="20"/>
      <c r="G547" s="20"/>
      <c r="H547" s="20"/>
      <c r="I547" s="20"/>
      <c r="J547" s="389">
        <f>0.61+1.14+0.57+0.27+0.59+0.88+0.4+1.61+0.9+0.95+0.5+0.48+0.76+0.78+2+0.85+0.2+0.16+0.18+0.26+0.53+0.34+0.79+0.49+0.24+0.51+1.57+0.2+0.77+1.02+0.77+0.29+0.39+1.06+0.53+0.53+0.87+1.58+0.79+0.43+1.1+0.72+0.41+0.72+0.33+0.79+1.67+1.77+0.86+0.45+0.89</f>
        <v>37.5</v>
      </c>
      <c r="K547" s="21"/>
      <c r="L547" s="21"/>
      <c r="M547" s="21"/>
      <c r="N547" s="21"/>
      <c r="O547" s="21"/>
      <c r="P547" s="21"/>
      <c r="Q547" s="21"/>
      <c r="R547" s="21"/>
      <c r="S547" s="22">
        <f>+J547</f>
        <v>37.5</v>
      </c>
      <c r="T547" s="6"/>
      <c r="U547" s="6"/>
      <c r="V547" s="6"/>
      <c r="W547" s="6"/>
    </row>
    <row r="548" spans="1:23" s="5" customFormat="1" ht="34.5" customHeight="1" x14ac:dyDescent="0.25">
      <c r="A548" s="17"/>
      <c r="B548" s="17"/>
      <c r="C548" s="17"/>
      <c r="D548" s="18" t="str">
        <f>+'PRESUPUESTO DE OBRA'!D116</f>
        <v>Tuberia PVC - Sanitaria, con un Diametro de 4", para aguas residuales enterrada, empotradas por losas y/o colgadas. Incluye Accesorios</v>
      </c>
      <c r="E548" s="19" t="str">
        <f>+'PRESUPUESTO DE OBRA'!E116</f>
        <v>m</v>
      </c>
      <c r="F548" s="20"/>
      <c r="G548" s="20"/>
      <c r="H548" s="20"/>
      <c r="I548" s="20"/>
      <c r="J548" s="389">
        <f>2.04+2.1+4.26+0.71+1.1+1.1+1.1+0.5+0.72+0.41+0.69+3.25+0.54+2.47+1.91+0.16+0.77+0.29+2.37+0.79+2.97+0.57+1.72+1.31+0.39+5.15+1.84+1.9+3.13+2.96+2.38+1.74+2.37+2.37+1.74+2.47+3.52+3.33+1.22+1.03+1.46+0.25+0.2+1.87+0.27+2.01+1.53+0.38+3.83+1.37+0.3+0.81+1.25+0.4+3.75+1.81+2+8.85+0.4+10.13+1.57+2.54</f>
        <v>118.37</v>
      </c>
      <c r="K548" s="21"/>
      <c r="L548" s="21"/>
      <c r="M548" s="21"/>
      <c r="N548" s="21"/>
      <c r="O548" s="21"/>
      <c r="P548" s="21"/>
      <c r="Q548" s="21"/>
      <c r="R548" s="21"/>
      <c r="S548" s="22">
        <f t="shared" ref="S548:S549" si="83">+J548</f>
        <v>118.37</v>
      </c>
      <c r="T548" s="6"/>
      <c r="U548" s="6"/>
      <c r="V548" s="6"/>
      <c r="W548" s="6"/>
    </row>
    <row r="549" spans="1:23" s="5" customFormat="1" ht="30.75" customHeight="1" x14ac:dyDescent="0.25">
      <c r="A549" s="17"/>
      <c r="B549" s="17"/>
      <c r="C549" s="17"/>
      <c r="D549" s="18" t="str">
        <f>+'PRESUPUESTO DE OBRA'!D117</f>
        <v>Tuberia PVC - Sanitaria, con un Diametro de 6",para aguas residuales enterrada, empotradas por losas y/o colgadas Incluye Accesorios</v>
      </c>
      <c r="E549" s="19" t="str">
        <f>+'PRESUPUESTO DE OBRA'!E117</f>
        <v>m</v>
      </c>
      <c r="F549" s="20"/>
      <c r="G549" s="20"/>
      <c r="H549" s="20"/>
      <c r="I549" s="20"/>
      <c r="J549" s="389">
        <f>14.32+10+0.95+4.4+10.1+10.5+8.47+0.95+1.06+0.94+1.44+11.2+6.14+7.19+0.97+8.2+9.59+1+3.5+9.95+4.51+3.63+3.28+19.21+50</f>
        <v>201.50000000000003</v>
      </c>
      <c r="K549" s="21"/>
      <c r="L549" s="21"/>
      <c r="M549" s="21"/>
      <c r="N549" s="21"/>
      <c r="O549" s="21"/>
      <c r="P549" s="21"/>
      <c r="Q549" s="21"/>
      <c r="R549" s="21"/>
      <c r="S549" s="22">
        <f t="shared" si="83"/>
        <v>201.50000000000003</v>
      </c>
      <c r="T549" s="6"/>
      <c r="U549" s="6"/>
      <c r="V549" s="6"/>
      <c r="W549" s="6"/>
    </row>
    <row r="550" spans="1:23" s="5" customFormat="1" ht="17.25" customHeight="1" x14ac:dyDescent="0.25">
      <c r="A550" s="17"/>
      <c r="B550" s="17"/>
      <c r="C550" s="17"/>
      <c r="D550" s="18" t="str">
        <f>+'PRESUPUESTO DE OBRA'!D118</f>
        <v>Punto Sanitario con Diametro de 2"</v>
      </c>
      <c r="E550" s="19" t="str">
        <f>+'PRESUPUESTO DE OBRA'!E118</f>
        <v>und</v>
      </c>
      <c r="F550" s="20"/>
      <c r="G550" s="20"/>
      <c r="H550" s="20"/>
      <c r="I550" s="389">
        <f>1+1+1+2+1+1+1+1+1+3+1+1+1+1+1+1+1+2+1+2+1+1+1+1+1+2+1+2+2+1+1</f>
        <v>39</v>
      </c>
      <c r="J550" s="20"/>
      <c r="K550" s="21"/>
      <c r="L550" s="21"/>
      <c r="M550" s="21"/>
      <c r="N550" s="21"/>
      <c r="O550" s="21"/>
      <c r="P550" s="21"/>
      <c r="Q550" s="21"/>
      <c r="R550" s="21"/>
      <c r="S550" s="22">
        <f t="shared" si="79"/>
        <v>39</v>
      </c>
      <c r="T550" s="6"/>
      <c r="U550" s="6"/>
      <c r="V550" s="6"/>
      <c r="W550" s="6"/>
    </row>
    <row r="551" spans="1:23" s="5" customFormat="1" ht="15" x14ac:dyDescent="0.25">
      <c r="A551" s="17"/>
      <c r="B551" s="17"/>
      <c r="C551" s="17"/>
      <c r="D551" s="18" t="str">
        <f>+'PRESUPUESTO DE OBRA'!D119</f>
        <v>Punto PVC - Sifon de piso con Diametro de 2"</v>
      </c>
      <c r="E551" s="19" t="str">
        <f>+'PRESUPUESTO DE OBRA'!E119</f>
        <v>und</v>
      </c>
      <c r="F551" s="20"/>
      <c r="G551" s="20"/>
      <c r="H551" s="20"/>
      <c r="I551" s="389">
        <f>1+1+1+3+1+2+1+1+1+1+1+1+2+1+1+1+1+1+1</f>
        <v>23</v>
      </c>
      <c r="J551" s="20"/>
      <c r="K551" s="21"/>
      <c r="L551" s="21"/>
      <c r="M551" s="21"/>
      <c r="N551" s="21"/>
      <c r="O551" s="21"/>
      <c r="P551" s="21"/>
      <c r="Q551" s="21"/>
      <c r="R551" s="21"/>
      <c r="S551" s="22">
        <f t="shared" si="79"/>
        <v>23</v>
      </c>
      <c r="T551" s="6"/>
      <c r="U551" s="6"/>
      <c r="V551" s="6"/>
      <c r="W551" s="6"/>
    </row>
    <row r="552" spans="1:23" s="5" customFormat="1" ht="15" x14ac:dyDescent="0.25">
      <c r="A552" s="17"/>
      <c r="B552" s="17"/>
      <c r="C552" s="17"/>
      <c r="D552" s="18" t="str">
        <f>+'PRESUPUESTO DE OBRA'!D120</f>
        <v>Punto Sanitario con Diametro de 4"</v>
      </c>
      <c r="E552" s="19" t="str">
        <f>+'PRESUPUESTO DE OBRA'!E120</f>
        <v>und</v>
      </c>
      <c r="F552" s="20"/>
      <c r="G552" s="20"/>
      <c r="H552" s="20"/>
      <c r="I552" s="389">
        <f>1+1+1+1+5+1+2+1+1+1+1+3+1+1+2+1+2+2+1+1</f>
        <v>30</v>
      </c>
      <c r="J552" s="20"/>
      <c r="K552" s="21"/>
      <c r="L552" s="21"/>
      <c r="M552" s="21"/>
      <c r="N552" s="21"/>
      <c r="O552" s="21"/>
      <c r="P552" s="21"/>
      <c r="Q552" s="21"/>
      <c r="R552" s="21"/>
      <c r="S552" s="22">
        <f t="shared" si="79"/>
        <v>30</v>
      </c>
      <c r="T552" s="6"/>
      <c r="U552" s="6"/>
      <c r="V552" s="6"/>
      <c r="W552" s="6"/>
    </row>
    <row r="553" spans="1:23" s="5" customFormat="1" ht="28.5" x14ac:dyDescent="0.25">
      <c r="A553" s="17"/>
      <c r="B553" s="17"/>
      <c r="C553" s="17"/>
      <c r="D553" s="18" t="str">
        <f>+'PRESUPUESTO DE OBRA'!D121</f>
        <v>Construcción de Caja de inspección Sanitaria en concreto de 3000 psi con sección libre (80x80 cm) h/variable.</v>
      </c>
      <c r="E553" s="19" t="str">
        <f>+'PRESUPUESTO DE OBRA'!E121</f>
        <v>und</v>
      </c>
      <c r="F553" s="20"/>
      <c r="G553" s="20"/>
      <c r="H553" s="20"/>
      <c r="I553" s="389">
        <v>15</v>
      </c>
      <c r="J553" s="20"/>
      <c r="K553" s="21"/>
      <c r="L553" s="21"/>
      <c r="M553" s="21"/>
      <c r="N553" s="21"/>
      <c r="O553" s="21"/>
      <c r="P553" s="21"/>
      <c r="Q553" s="21"/>
      <c r="R553" s="21"/>
      <c r="S553" s="22">
        <f t="shared" si="79"/>
        <v>15</v>
      </c>
      <c r="T553" s="6"/>
      <c r="U553" s="6"/>
      <c r="V553" s="6"/>
      <c r="W553" s="6"/>
    </row>
    <row r="554" spans="1:23" s="5" customFormat="1" ht="28.5" x14ac:dyDescent="0.25">
      <c r="A554" s="17"/>
      <c r="B554" s="17"/>
      <c r="C554" s="17"/>
      <c r="D554" s="18" t="str">
        <f>+'PRESUPUESTO DE OBRA'!D122</f>
        <v>Sistema de Planta de Tratamiento de Aguas Residules (PTAR), incluye emisario final y accesorios para su correcto funcionamiento</v>
      </c>
      <c r="E554" s="19" t="str">
        <f>+'PRESUPUESTO DE OBRA'!E122</f>
        <v>und</v>
      </c>
      <c r="F554" s="20"/>
      <c r="G554" s="20"/>
      <c r="H554" s="20"/>
      <c r="I554" s="20">
        <v>1</v>
      </c>
      <c r="J554" s="20"/>
      <c r="K554" s="21"/>
      <c r="L554" s="21"/>
      <c r="M554" s="21"/>
      <c r="N554" s="21"/>
      <c r="O554" s="21"/>
      <c r="P554" s="21"/>
      <c r="Q554" s="21"/>
      <c r="R554" s="21"/>
      <c r="S554" s="22">
        <f t="shared" si="79"/>
        <v>1</v>
      </c>
      <c r="T554" s="6"/>
      <c r="U554" s="6"/>
      <c r="V554" s="6"/>
      <c r="W554" s="6"/>
    </row>
    <row r="555" spans="1:23" s="5" customFormat="1" ht="22.5" customHeight="1" x14ac:dyDescent="0.25">
      <c r="A555" s="17"/>
      <c r="B555" s="17"/>
      <c r="C555" s="17"/>
      <c r="D555" s="18" t="str">
        <f>+'PRESUPUESTO DE OBRA'!D123</f>
        <v>Sistema de Trampa de Grasas</v>
      </c>
      <c r="E555" s="19" t="str">
        <f>+'PRESUPUESTO DE OBRA'!E123</f>
        <v>und</v>
      </c>
      <c r="F555" s="20"/>
      <c r="G555" s="20"/>
      <c r="H555" s="20"/>
      <c r="I555" s="20">
        <v>1</v>
      </c>
      <c r="J555" s="20"/>
      <c r="K555" s="21"/>
      <c r="L555" s="21"/>
      <c r="M555" s="21"/>
      <c r="N555" s="21"/>
      <c r="O555" s="21"/>
      <c r="P555" s="21"/>
      <c r="Q555" s="21"/>
      <c r="R555" s="21"/>
      <c r="S555" s="22">
        <f t="shared" si="79"/>
        <v>1</v>
      </c>
      <c r="T555" s="6"/>
      <c r="U555" s="6"/>
      <c r="V555" s="6"/>
      <c r="W555" s="6"/>
    </row>
    <row r="556" spans="1:23" s="5" customFormat="1" ht="15" x14ac:dyDescent="0.25">
      <c r="A556" s="17"/>
      <c r="B556" s="17"/>
      <c r="C556" s="17"/>
      <c r="D556" s="18" t="str">
        <f>+'PRESUPUESTO DE OBRA'!D124</f>
        <v xml:space="preserve">Suministro e instalacion de tubos en concreto para alcantarilla D = 36" </v>
      </c>
      <c r="E556" s="19" t="str">
        <f>+'PRESUPUESTO DE OBRA'!E124</f>
        <v>und</v>
      </c>
      <c r="F556" s="20"/>
      <c r="G556" s="20"/>
      <c r="H556" s="20"/>
      <c r="I556" s="20">
        <v>9</v>
      </c>
      <c r="J556" s="20"/>
      <c r="K556" s="21"/>
      <c r="L556" s="21"/>
      <c r="M556" s="21"/>
      <c r="N556" s="21"/>
      <c r="O556" s="21"/>
      <c r="P556" s="21"/>
      <c r="Q556" s="21"/>
      <c r="R556" s="21"/>
      <c r="S556" s="22">
        <f t="shared" si="79"/>
        <v>9</v>
      </c>
      <c r="T556" s="6"/>
      <c r="U556" s="6"/>
      <c r="V556" s="6"/>
      <c r="W556" s="6"/>
    </row>
    <row r="557" spans="1:23" s="5" customFormat="1" ht="15" x14ac:dyDescent="0.25">
      <c r="A557" s="388"/>
      <c r="B557" s="388"/>
      <c r="C557" s="388"/>
      <c r="D557" s="456" t="str">
        <f>+'PRESUPUESTO DE OBRA'!D125</f>
        <v>Red e Instalaciones Patogenas</v>
      </c>
      <c r="E557" s="27"/>
      <c r="F557" s="28"/>
      <c r="G557" s="28"/>
      <c r="H557" s="28"/>
      <c r="I557" s="28"/>
      <c r="J557" s="28"/>
      <c r="K557" s="25"/>
      <c r="L557" s="25"/>
      <c r="M557" s="25"/>
      <c r="N557" s="25"/>
      <c r="O557" s="25"/>
      <c r="P557" s="25"/>
      <c r="Q557" s="25"/>
      <c r="R557" s="25"/>
      <c r="S557" s="16">
        <f t="shared" si="79"/>
        <v>0</v>
      </c>
      <c r="T557" s="6"/>
      <c r="U557" s="6"/>
      <c r="V557" s="6"/>
      <c r="W557" s="6"/>
    </row>
    <row r="558" spans="1:23" s="5" customFormat="1" ht="28.5" x14ac:dyDescent="0.25">
      <c r="A558" s="17"/>
      <c r="B558" s="17"/>
      <c r="C558" s="17"/>
      <c r="D558" s="18" t="str">
        <f>+'PRESUPUESTO DE OBRA'!D126</f>
        <v>Tuberia PVC - Patogena, con un Diametro de 2", para aguas residuales enterrada, empotradas por losas y/o colgadas. Incluye Accesorios</v>
      </c>
      <c r="E558" s="19" t="str">
        <f>+'PRESUPUESTO DE OBRA'!E126</f>
        <v>m</v>
      </c>
      <c r="F558" s="20"/>
      <c r="G558" s="20"/>
      <c r="H558" s="20"/>
      <c r="I558" s="20"/>
      <c r="J558" s="389">
        <f>1.16+1.16+0.8+0.85+1.36+0.86</f>
        <v>6.19</v>
      </c>
      <c r="K558" s="21"/>
      <c r="L558" s="21"/>
      <c r="M558" s="21"/>
      <c r="N558" s="21"/>
      <c r="O558" s="21"/>
      <c r="P558" s="21"/>
      <c r="Q558" s="21"/>
      <c r="R558" s="21"/>
      <c r="S558" s="22">
        <f>+J558</f>
        <v>6.19</v>
      </c>
      <c r="T558" s="6"/>
      <c r="U558" s="6"/>
      <c r="V558" s="6"/>
      <c r="W558" s="6"/>
    </row>
    <row r="559" spans="1:23" s="5" customFormat="1" ht="28.5" x14ac:dyDescent="0.25">
      <c r="A559" s="17"/>
      <c r="B559" s="17"/>
      <c r="C559" s="17"/>
      <c r="D559" s="18" t="str">
        <f>+'PRESUPUESTO DE OBRA'!D127</f>
        <v>Tuberia PVC - Patogena, con un Diametro de 4", para aguas residuales enterrada, empotradas por losas y/o colgadas. Incluye Accesorios</v>
      </c>
      <c r="E559" s="19" t="str">
        <f>+'PRESUPUESTO DE OBRA'!E127</f>
        <v>m</v>
      </c>
      <c r="F559" s="20"/>
      <c r="G559" s="20"/>
      <c r="H559" s="20"/>
      <c r="I559" s="20"/>
      <c r="J559" s="389">
        <f>1.83+5.74+5.72+1.27+8.94+8.45+10+2+1.78+0.6+1+1.53+2.51+3.91+8.79+1.52+6.94</f>
        <v>72.529999999999987</v>
      </c>
      <c r="K559" s="21"/>
      <c r="L559" s="21"/>
      <c r="M559" s="21"/>
      <c r="N559" s="21"/>
      <c r="O559" s="21"/>
      <c r="P559" s="21"/>
      <c r="Q559" s="21"/>
      <c r="R559" s="21"/>
      <c r="S559" s="22">
        <f t="shared" ref="S559:S560" si="84">+J559</f>
        <v>72.529999999999987</v>
      </c>
      <c r="T559" s="6"/>
      <c r="U559" s="6"/>
      <c r="V559" s="6"/>
      <c r="W559" s="6"/>
    </row>
    <row r="560" spans="1:23" s="5" customFormat="1" ht="28.5" x14ac:dyDescent="0.25">
      <c r="A560" s="17"/>
      <c r="B560" s="17"/>
      <c r="C560" s="17"/>
      <c r="D560" s="18" t="str">
        <f>+'PRESUPUESTO DE OBRA'!D128</f>
        <v>Tuberia PVC - Patogena, con un Diametro de 6", para aguas residuales enterrada, empotradas por losas y/o colgadas. Incluye Accesorios</v>
      </c>
      <c r="E560" s="19" t="str">
        <f>+'PRESUPUESTO DE OBRA'!E128</f>
        <v>m</v>
      </c>
      <c r="F560" s="20"/>
      <c r="G560" s="20"/>
      <c r="H560" s="20"/>
      <c r="I560" s="20"/>
      <c r="J560" s="389">
        <f>10.13+2.6+2.61+11.93+10.2+9.1+6.43+2.93+2.04+9.93+5.02+4.09+11.55+6.83+50+3.5</f>
        <v>148.88999999999999</v>
      </c>
      <c r="K560" s="21"/>
      <c r="L560" s="21"/>
      <c r="M560" s="21"/>
      <c r="N560" s="21"/>
      <c r="O560" s="21"/>
      <c r="P560" s="21"/>
      <c r="Q560" s="21"/>
      <c r="R560" s="21"/>
      <c r="S560" s="22">
        <f t="shared" si="84"/>
        <v>148.88999999999999</v>
      </c>
      <c r="T560" s="6"/>
      <c r="U560" s="6"/>
      <c r="V560" s="6"/>
      <c r="W560" s="6"/>
    </row>
    <row r="561" spans="1:23" s="5" customFormat="1" ht="20.25" customHeight="1" x14ac:dyDescent="0.25">
      <c r="A561" s="17"/>
      <c r="B561" s="17"/>
      <c r="C561" s="17"/>
      <c r="D561" s="18" t="str">
        <f>+'PRESUPUESTO DE OBRA'!D129</f>
        <v>Punto Patogeno con Diametro de 2"</v>
      </c>
      <c r="E561" s="19" t="str">
        <f>+'PRESUPUESTO DE OBRA'!E129</f>
        <v>und</v>
      </c>
      <c r="F561" s="20"/>
      <c r="G561" s="20"/>
      <c r="H561" s="20"/>
      <c r="I561" s="389">
        <f>4+3+1+1+1+3+3</f>
        <v>16</v>
      </c>
      <c r="J561" s="20"/>
      <c r="K561" s="21"/>
      <c r="L561" s="21"/>
      <c r="M561" s="21"/>
      <c r="N561" s="21"/>
      <c r="O561" s="21"/>
      <c r="P561" s="21"/>
      <c r="Q561" s="21"/>
      <c r="R561" s="21"/>
      <c r="S561" s="22">
        <f t="shared" si="79"/>
        <v>16</v>
      </c>
      <c r="T561" s="6"/>
      <c r="U561" s="6"/>
      <c r="V561" s="6"/>
      <c r="W561" s="6"/>
    </row>
    <row r="562" spans="1:23" s="5" customFormat="1" ht="33.75" customHeight="1" x14ac:dyDescent="0.25">
      <c r="A562" s="17"/>
      <c r="B562" s="17"/>
      <c r="C562" s="17"/>
      <c r="D562" s="18" t="str">
        <f>+'PRESUPUESTO DE OBRA'!D130</f>
        <v>Construcción de Caja de inspección Patogena en concreto de 3000 psi con sección libre (80x80 cm) h/variable.</v>
      </c>
      <c r="E562" s="19" t="str">
        <f>+'PRESUPUESTO DE OBRA'!E130</f>
        <v>und</v>
      </c>
      <c r="F562" s="20"/>
      <c r="G562" s="20"/>
      <c r="H562" s="20"/>
      <c r="I562" s="389">
        <v>10</v>
      </c>
      <c r="J562" s="20"/>
      <c r="K562" s="21"/>
      <c r="L562" s="21"/>
      <c r="M562" s="21"/>
      <c r="N562" s="21"/>
      <c r="O562" s="21"/>
      <c r="P562" s="21"/>
      <c r="Q562" s="21"/>
      <c r="R562" s="21"/>
      <c r="S562" s="22">
        <f t="shared" si="79"/>
        <v>10</v>
      </c>
      <c r="T562" s="6"/>
      <c r="U562" s="6"/>
      <c r="V562" s="6"/>
      <c r="W562" s="6"/>
    </row>
    <row r="563" spans="1:23" s="5" customFormat="1" ht="20.25" customHeight="1" x14ac:dyDescent="0.25">
      <c r="A563" s="13"/>
      <c r="B563" s="13"/>
      <c r="C563" s="13"/>
      <c r="D563" s="456" t="str">
        <f>+'PRESUPUESTO DE OBRA'!D131</f>
        <v>Red e Instalaciones Aguas lluvias</v>
      </c>
      <c r="E563" s="458"/>
      <c r="F563" s="31"/>
      <c r="G563" s="31"/>
      <c r="H563" s="31"/>
      <c r="I563" s="31"/>
      <c r="J563" s="31"/>
      <c r="K563" s="16"/>
      <c r="L563" s="16"/>
      <c r="M563" s="16"/>
      <c r="N563" s="16"/>
      <c r="O563" s="16"/>
      <c r="P563" s="16"/>
      <c r="Q563" s="16"/>
      <c r="R563" s="16"/>
      <c r="S563" s="16">
        <f t="shared" si="79"/>
        <v>0</v>
      </c>
      <c r="T563" s="6"/>
      <c r="U563" s="6"/>
      <c r="V563" s="6"/>
      <c r="W563" s="6"/>
    </row>
    <row r="564" spans="1:23" s="5" customFormat="1" ht="28.5" x14ac:dyDescent="0.25">
      <c r="A564" s="17"/>
      <c r="B564" s="17"/>
      <c r="C564" s="17"/>
      <c r="D564" s="18" t="str">
        <f>+'PRESUPUESTO DE OBRA'!D132</f>
        <v>Tuberia PVC - Sanitaria, con un Diametro de 6", para aguas lluvias, enterrada, empotradas por losas y/o colgadas. Incluye Accesorios</v>
      </c>
      <c r="E564" s="19" t="str">
        <f>+'PRESUPUESTO DE OBRA'!E132</f>
        <v>m</v>
      </c>
      <c r="F564" s="20"/>
      <c r="G564" s="20"/>
      <c r="H564" s="20"/>
      <c r="I564" s="20"/>
      <c r="J564" s="389">
        <f>2.53+17.54+2.33+17.53+0.72+0.4+16</f>
        <v>57.05</v>
      </c>
      <c r="K564" s="21"/>
      <c r="L564" s="21"/>
      <c r="M564" s="21"/>
      <c r="N564" s="21"/>
      <c r="O564" s="21"/>
      <c r="P564" s="21"/>
      <c r="Q564" s="21"/>
      <c r="R564" s="21"/>
      <c r="S564" s="22">
        <f>+J564</f>
        <v>57.05</v>
      </c>
      <c r="T564" s="6"/>
      <c r="U564" s="6"/>
      <c r="V564" s="6"/>
      <c r="W564" s="6"/>
    </row>
    <row r="565" spans="1:23" s="5" customFormat="1" ht="20.25" customHeight="1" x14ac:dyDescent="0.25">
      <c r="A565" s="13"/>
      <c r="B565" s="13"/>
      <c r="C565" s="13"/>
      <c r="D565" s="456" t="str">
        <f>+'PRESUPUESTO DE OBRA'!D133</f>
        <v>Red e Instalaciones ContraIncendio</v>
      </c>
      <c r="E565" s="458"/>
      <c r="F565" s="31"/>
      <c r="G565" s="31"/>
      <c r="H565" s="31"/>
      <c r="I565" s="31"/>
      <c r="J565" s="31"/>
      <c r="K565" s="16"/>
      <c r="L565" s="16"/>
      <c r="M565" s="16"/>
      <c r="N565" s="16"/>
      <c r="O565" s="16"/>
      <c r="P565" s="16"/>
      <c r="Q565" s="16"/>
      <c r="R565" s="16"/>
      <c r="S565" s="16">
        <f t="shared" si="79"/>
        <v>0</v>
      </c>
      <c r="T565" s="6"/>
      <c r="U565" s="6"/>
      <c r="V565" s="6"/>
      <c r="W565" s="6"/>
    </row>
    <row r="566" spans="1:23" s="5" customFormat="1" ht="20.25" customHeight="1" x14ac:dyDescent="0.25">
      <c r="A566" s="17"/>
      <c r="B566" s="17"/>
      <c r="C566" s="17"/>
      <c r="D566" s="18" t="str">
        <f>+'PRESUPUESTO DE OBRA'!D134</f>
        <v>Gabinete contra incendios</v>
      </c>
      <c r="E566" s="19" t="str">
        <f>+'PRESUPUESTO DE OBRA'!E134</f>
        <v>und</v>
      </c>
      <c r="F566" s="20"/>
      <c r="G566" s="20"/>
      <c r="H566" s="20"/>
      <c r="I566" s="20">
        <v>2</v>
      </c>
      <c r="J566" s="20"/>
      <c r="K566" s="21"/>
      <c r="L566" s="21"/>
      <c r="M566" s="21"/>
      <c r="N566" s="21"/>
      <c r="O566" s="21"/>
      <c r="P566" s="21"/>
      <c r="Q566" s="21"/>
      <c r="R566" s="21"/>
      <c r="S566" s="22">
        <f t="shared" si="79"/>
        <v>2</v>
      </c>
      <c r="T566" s="6"/>
      <c r="U566" s="6"/>
      <c r="V566" s="6"/>
      <c r="W566" s="6"/>
    </row>
    <row r="567" spans="1:23" s="5" customFormat="1" ht="15" customHeight="1" x14ac:dyDescent="0.25">
      <c r="A567" s="17"/>
      <c r="B567" s="17"/>
      <c r="C567" s="17"/>
      <c r="D567" s="18" t="str">
        <f>+'PRESUPUESTO DE OBRA'!D135</f>
        <v xml:space="preserve">Rociadores </v>
      </c>
      <c r="E567" s="19" t="str">
        <f>+'PRESUPUESTO DE OBRA'!E135</f>
        <v>und</v>
      </c>
      <c r="F567" s="20"/>
      <c r="G567" s="20"/>
      <c r="H567" s="20"/>
      <c r="I567" s="20">
        <v>80</v>
      </c>
      <c r="J567" s="20"/>
      <c r="K567" s="21"/>
      <c r="L567" s="21"/>
      <c r="M567" s="21"/>
      <c r="N567" s="21"/>
      <c r="O567" s="21"/>
      <c r="P567" s="21"/>
      <c r="Q567" s="21"/>
      <c r="R567" s="21"/>
      <c r="S567" s="22">
        <f t="shared" si="79"/>
        <v>80</v>
      </c>
      <c r="T567" s="6"/>
      <c r="U567" s="6"/>
      <c r="V567" s="6"/>
      <c r="W567" s="6"/>
    </row>
    <row r="568" spans="1:23" s="5" customFormat="1" ht="15" customHeight="1" x14ac:dyDescent="0.25">
      <c r="A568" s="17"/>
      <c r="B568" s="17"/>
      <c r="C568" s="17"/>
      <c r="D568" s="18" t="str">
        <f>+'PRESUPUESTO DE OBRA'!D136</f>
        <v>Tuberia HG 1" hasta H=3M (incluye accesorios)</v>
      </c>
      <c r="E568" s="19" t="str">
        <f>+'PRESUPUESTO DE OBRA'!E136</f>
        <v>m</v>
      </c>
      <c r="F568" s="20"/>
      <c r="G568" s="20"/>
      <c r="H568" s="20"/>
      <c r="I568" s="20"/>
      <c r="J568" s="20">
        <v>80</v>
      </c>
      <c r="K568" s="21"/>
      <c r="L568" s="21"/>
      <c r="M568" s="21"/>
      <c r="N568" s="21"/>
      <c r="O568" s="21"/>
      <c r="P568" s="21"/>
      <c r="Q568" s="21"/>
      <c r="R568" s="21"/>
      <c r="S568" s="22">
        <f>+J568</f>
        <v>80</v>
      </c>
      <c r="T568" s="6"/>
      <c r="U568" s="6"/>
      <c r="V568" s="6"/>
      <c r="W568" s="6"/>
    </row>
    <row r="569" spans="1:23" s="5" customFormat="1" ht="15" customHeight="1" x14ac:dyDescent="0.25">
      <c r="A569" s="17"/>
      <c r="B569" s="17"/>
      <c r="C569" s="17"/>
      <c r="D569" s="18" t="str">
        <f>+'PRESUPUESTO DE OBRA'!D137</f>
        <v>Tuberia HG 2" hasta H=3M (incluye accesorios)</v>
      </c>
      <c r="E569" s="19" t="str">
        <f>+'PRESUPUESTO DE OBRA'!E137</f>
        <v>m</v>
      </c>
      <c r="F569" s="20"/>
      <c r="G569" s="20"/>
      <c r="H569" s="20"/>
      <c r="I569" s="20"/>
      <c r="J569" s="20">
        <v>140</v>
      </c>
      <c r="K569" s="21"/>
      <c r="L569" s="21"/>
      <c r="M569" s="21"/>
      <c r="N569" s="21"/>
      <c r="O569" s="21"/>
      <c r="P569" s="21"/>
      <c r="Q569" s="21"/>
      <c r="R569" s="21"/>
      <c r="S569" s="22">
        <f>+J569</f>
        <v>140</v>
      </c>
      <c r="T569" s="6"/>
      <c r="U569" s="6"/>
      <c r="V569" s="6"/>
      <c r="W569" s="6"/>
    </row>
    <row r="570" spans="1:23" s="5" customFormat="1" ht="15" customHeight="1" x14ac:dyDescent="0.25">
      <c r="A570" s="17"/>
      <c r="B570" s="17"/>
      <c r="C570" s="17"/>
      <c r="D570" s="18" t="str">
        <f>+'PRESUPUESTO DE OBRA'!D138</f>
        <v>Valvula Siamesa</v>
      </c>
      <c r="E570" s="19" t="str">
        <f>+'PRESUPUESTO DE OBRA'!E138</f>
        <v>und</v>
      </c>
      <c r="F570" s="20"/>
      <c r="G570" s="20"/>
      <c r="H570" s="20"/>
      <c r="I570" s="20">
        <v>1</v>
      </c>
      <c r="J570" s="20"/>
      <c r="K570" s="21"/>
      <c r="L570" s="21"/>
      <c r="M570" s="21"/>
      <c r="N570" s="21"/>
      <c r="O570" s="21"/>
      <c r="P570" s="21"/>
      <c r="Q570" s="21"/>
      <c r="R570" s="21"/>
      <c r="S570" s="22">
        <f t="shared" ref="S570:S591" si="85">+I570</f>
        <v>1</v>
      </c>
      <c r="T570" s="6"/>
      <c r="U570" s="6"/>
      <c r="V570" s="6"/>
      <c r="W570" s="6"/>
    </row>
    <row r="571" spans="1:23" s="5" customFormat="1" ht="15" customHeight="1" x14ac:dyDescent="0.25">
      <c r="A571" s="17"/>
      <c r="B571" s="17"/>
      <c r="C571" s="17"/>
      <c r="D571" s="18" t="e">
        <f>+'PRESUPUESTO DE OBRA'!#REF!</f>
        <v>#REF!</v>
      </c>
      <c r="E571" s="19" t="e">
        <f>+'PRESUPUESTO DE OBRA'!#REF!</f>
        <v>#REF!</v>
      </c>
      <c r="F571" s="20"/>
      <c r="G571" s="20"/>
      <c r="H571" s="20"/>
      <c r="I571" s="20"/>
      <c r="J571" s="20"/>
      <c r="K571" s="21"/>
      <c r="L571" s="21"/>
      <c r="M571" s="21"/>
      <c r="N571" s="21"/>
      <c r="O571" s="21"/>
      <c r="P571" s="21"/>
      <c r="Q571" s="21"/>
      <c r="R571" s="21"/>
      <c r="S571" s="22">
        <f t="shared" si="85"/>
        <v>0</v>
      </c>
      <c r="T571" s="6"/>
      <c r="U571" s="6"/>
      <c r="V571" s="6"/>
      <c r="W571" s="6"/>
    </row>
    <row r="572" spans="1:23" s="5" customFormat="1" ht="15" x14ac:dyDescent="0.25">
      <c r="A572" s="13"/>
      <c r="B572" s="13"/>
      <c r="C572" s="13"/>
      <c r="D572" s="456" t="str">
        <f>+'PRESUPUESTO DE OBRA'!D139</f>
        <v>Enchapes y Aparatos Sanitarios</v>
      </c>
      <c r="E572" s="458"/>
      <c r="F572" s="31"/>
      <c r="G572" s="31"/>
      <c r="H572" s="31"/>
      <c r="I572" s="31"/>
      <c r="J572" s="31"/>
      <c r="K572" s="16"/>
      <c r="L572" s="16"/>
      <c r="M572" s="16"/>
      <c r="N572" s="16"/>
      <c r="O572" s="16"/>
      <c r="P572" s="16"/>
      <c r="Q572" s="16"/>
      <c r="R572" s="16"/>
      <c r="S572" s="16">
        <f t="shared" si="85"/>
        <v>0</v>
      </c>
      <c r="T572" s="6"/>
      <c r="U572" s="142"/>
      <c r="V572" s="6"/>
      <c r="W572" s="6"/>
    </row>
    <row r="573" spans="1:23" s="5" customFormat="1" ht="15" x14ac:dyDescent="0.25">
      <c r="A573" s="17"/>
      <c r="B573" s="17"/>
      <c r="C573" s="17"/>
      <c r="D573" s="18" t="str">
        <f>+'PRESUPUESTO DE OBRA'!D140</f>
        <v>Enchape piso-pared en ceramica de 1ra de 20 x 20cm</v>
      </c>
      <c r="E573" s="19" t="str">
        <f>+'PRESUPUESTO DE OBRA'!E140</f>
        <v>und</v>
      </c>
      <c r="F573" s="20"/>
      <c r="G573" s="20"/>
      <c r="H573" s="20"/>
      <c r="I573" s="20"/>
      <c r="J573" s="20"/>
      <c r="K573" s="21">
        <v>650.04999999999995</v>
      </c>
      <c r="L573" s="21"/>
      <c r="M573" s="21"/>
      <c r="N573" s="21"/>
      <c r="O573" s="21"/>
      <c r="P573" s="21"/>
      <c r="Q573" s="21"/>
      <c r="R573" s="21"/>
      <c r="S573" s="22">
        <f>+K573</f>
        <v>650.04999999999995</v>
      </c>
      <c r="T573" s="6"/>
      <c r="U573" s="6"/>
      <c r="V573" s="6"/>
      <c r="W573" s="6"/>
    </row>
    <row r="574" spans="1:23" s="5" customFormat="1" ht="15" x14ac:dyDescent="0.25">
      <c r="A574" s="17"/>
      <c r="B574" s="17"/>
      <c r="C574" s="17"/>
      <c r="D574" s="18" t="str">
        <f>+'PRESUPUESTO DE OBRA'!D141</f>
        <v>Sanitario tipo avanti de bajo consumo</v>
      </c>
      <c r="E574" s="19" t="str">
        <f>+'PRESUPUESTO DE OBRA'!E141</f>
        <v>und</v>
      </c>
      <c r="F574" s="20"/>
      <c r="G574" s="20"/>
      <c r="H574" s="20"/>
      <c r="I574" s="20">
        <v>27</v>
      </c>
      <c r="J574" s="20"/>
      <c r="K574" s="21"/>
      <c r="L574" s="21"/>
      <c r="M574" s="21"/>
      <c r="N574" s="21"/>
      <c r="O574" s="21"/>
      <c r="P574" s="21"/>
      <c r="Q574" s="21"/>
      <c r="R574" s="21"/>
      <c r="S574" s="22">
        <f t="shared" si="85"/>
        <v>27</v>
      </c>
      <c r="T574" s="6"/>
      <c r="U574" s="6"/>
      <c r="V574" s="6"/>
      <c r="W574" s="6"/>
    </row>
    <row r="575" spans="1:23" s="5" customFormat="1" ht="15" customHeight="1" x14ac:dyDescent="0.25">
      <c r="A575" s="17"/>
      <c r="B575" s="17"/>
      <c r="C575" s="17"/>
      <c r="D575" s="18" t="str">
        <f>+'PRESUPUESTO DE OBRA'!D142</f>
        <v>Lavamanos tipo avanti de pedestal con griferia, incluye griferia tipo llave</v>
      </c>
      <c r="E575" s="19" t="str">
        <f>+'PRESUPUESTO DE OBRA'!E142</f>
        <v>und</v>
      </c>
      <c r="F575" s="20"/>
      <c r="G575" s="20"/>
      <c r="H575" s="20"/>
      <c r="I575" s="20">
        <v>31</v>
      </c>
      <c r="J575" s="20"/>
      <c r="K575" s="21"/>
      <c r="L575" s="21"/>
      <c r="M575" s="21"/>
      <c r="N575" s="21"/>
      <c r="O575" s="21"/>
      <c r="P575" s="21"/>
      <c r="Q575" s="21"/>
      <c r="R575" s="21"/>
      <c r="S575" s="22">
        <f t="shared" si="85"/>
        <v>31</v>
      </c>
      <c r="T575" s="6"/>
      <c r="U575" s="6"/>
      <c r="V575" s="6"/>
      <c r="W575" s="6"/>
    </row>
    <row r="576" spans="1:23" s="5" customFormat="1" ht="15" customHeight="1" x14ac:dyDescent="0.25">
      <c r="A576" s="17"/>
      <c r="B576" s="17"/>
      <c r="C576" s="17"/>
      <c r="D576" s="18" t="str">
        <f>+'PRESUPUESTO DE OBRA'!D143</f>
        <v>Poceta de aseo prefabricada en balsoda</v>
      </c>
      <c r="E576" s="19" t="str">
        <f>+'PRESUPUESTO DE OBRA'!E143</f>
        <v>und</v>
      </c>
      <c r="F576" s="20"/>
      <c r="G576" s="20"/>
      <c r="H576" s="20"/>
      <c r="I576" s="20">
        <v>18</v>
      </c>
      <c r="J576" s="20"/>
      <c r="K576" s="21"/>
      <c r="L576" s="21"/>
      <c r="M576" s="21"/>
      <c r="N576" s="21"/>
      <c r="O576" s="21"/>
      <c r="P576" s="21"/>
      <c r="Q576" s="21"/>
      <c r="R576" s="21"/>
      <c r="S576" s="22">
        <f t="shared" si="85"/>
        <v>18</v>
      </c>
      <c r="T576" s="6"/>
      <c r="U576" s="6"/>
      <c r="V576" s="6"/>
      <c r="W576" s="6"/>
    </row>
    <row r="577" spans="1:23" s="5" customFormat="1" ht="15" customHeight="1" x14ac:dyDescent="0.25">
      <c r="A577" s="17"/>
      <c r="B577" s="17"/>
      <c r="C577" s="17"/>
      <c r="D577" s="18" t="str">
        <f>+'PRESUPUESTO DE OBRA'!D144</f>
        <v>Ducha cromada de 1/2" con mezclador</v>
      </c>
      <c r="E577" s="19" t="str">
        <f>+'PRESUPUESTO DE OBRA'!E144</f>
        <v>und</v>
      </c>
      <c r="F577" s="20"/>
      <c r="G577" s="20"/>
      <c r="H577" s="20"/>
      <c r="I577" s="20">
        <v>5</v>
      </c>
      <c r="J577" s="20"/>
      <c r="K577" s="21"/>
      <c r="L577" s="21"/>
      <c r="M577" s="21"/>
      <c r="N577" s="21"/>
      <c r="O577" s="21"/>
      <c r="P577" s="21"/>
      <c r="Q577" s="21"/>
      <c r="R577" s="21"/>
      <c r="S577" s="22">
        <f t="shared" si="85"/>
        <v>5</v>
      </c>
      <c r="T577" s="6"/>
      <c r="U577" s="6"/>
      <c r="V577" s="6"/>
      <c r="W577" s="6"/>
    </row>
    <row r="578" spans="1:23" s="5" customFormat="1" ht="15" x14ac:dyDescent="0.25">
      <c r="A578" s="13"/>
      <c r="B578" s="13"/>
      <c r="C578" s="13"/>
      <c r="D578" s="456" t="str">
        <f>+'PRESUPUESTO DE OBRA'!D146</f>
        <v>ZONAS VERDES</v>
      </c>
      <c r="E578" s="458"/>
      <c r="F578" s="31"/>
      <c r="G578" s="31"/>
      <c r="H578" s="31"/>
      <c r="I578" s="31"/>
      <c r="J578" s="31"/>
      <c r="K578" s="16"/>
      <c r="L578" s="16"/>
      <c r="M578" s="16"/>
      <c r="N578" s="16"/>
      <c r="O578" s="16"/>
      <c r="P578" s="16"/>
      <c r="Q578" s="16"/>
      <c r="R578" s="16"/>
      <c r="S578" s="16">
        <f t="shared" si="85"/>
        <v>0</v>
      </c>
      <c r="T578" s="6"/>
      <c r="U578" s="6"/>
      <c r="V578" s="6"/>
      <c r="W578" s="6"/>
    </row>
    <row r="579" spans="1:23" s="5" customFormat="1" ht="15" x14ac:dyDescent="0.25">
      <c r="A579" s="17"/>
      <c r="B579" s="17"/>
      <c r="C579" s="17"/>
      <c r="D579" s="18" t="str">
        <f>+'PRESUPUESTO DE OBRA'!D147</f>
        <v>Semilla vegetal zonas verdes y jardines, incluye abono</v>
      </c>
      <c r="E579" s="19" t="str">
        <f>+'PRESUPUESTO DE OBRA'!E147</f>
        <v>m²</v>
      </c>
      <c r="F579" s="20"/>
      <c r="G579" s="20"/>
      <c r="H579" s="20"/>
      <c r="I579" s="20"/>
      <c r="J579" s="20"/>
      <c r="K579" s="21">
        <v>458.69</v>
      </c>
      <c r="L579" s="21"/>
      <c r="M579" s="21"/>
      <c r="N579" s="21"/>
      <c r="O579" s="21"/>
      <c r="P579" s="21"/>
      <c r="Q579" s="21"/>
      <c r="R579" s="21"/>
      <c r="S579" s="22">
        <f>+K579</f>
        <v>458.69</v>
      </c>
      <c r="T579" s="6"/>
      <c r="U579" s="6"/>
      <c r="V579" s="6"/>
      <c r="W579" s="6"/>
    </row>
    <row r="580" spans="1:23" s="5" customFormat="1" ht="15" x14ac:dyDescent="0.25">
      <c r="A580" s="17"/>
      <c r="B580" s="17"/>
      <c r="C580" s="17"/>
      <c r="D580" s="18" t="str">
        <f>+'PRESUPUESTO DE OBRA'!D148</f>
        <v>Arboles o especies nativas.</v>
      </c>
      <c r="E580" s="19" t="str">
        <f>+'PRESUPUESTO DE OBRA'!E148</f>
        <v>und</v>
      </c>
      <c r="F580" s="20"/>
      <c r="G580" s="20"/>
      <c r="H580" s="20"/>
      <c r="I580" s="20">
        <v>20</v>
      </c>
      <c r="J580" s="20"/>
      <c r="K580" s="21"/>
      <c r="L580" s="21"/>
      <c r="M580" s="21"/>
      <c r="N580" s="21"/>
      <c r="O580" s="21"/>
      <c r="P580" s="21"/>
      <c r="Q580" s="21"/>
      <c r="R580" s="21"/>
      <c r="S580" s="22">
        <f t="shared" si="85"/>
        <v>20</v>
      </c>
      <c r="T580" s="6"/>
      <c r="U580" s="6"/>
      <c r="V580" s="6"/>
      <c r="W580" s="6"/>
    </row>
    <row r="581" spans="1:23" s="5" customFormat="1" ht="15.75" customHeight="1" x14ac:dyDescent="0.25">
      <c r="A581" s="17"/>
      <c r="B581" s="17"/>
      <c r="C581" s="17"/>
      <c r="D581" s="18" t="str">
        <f>+'PRESUPUESTO DE OBRA'!D149</f>
        <v>INSTALACIONES ELECTRICAS</v>
      </c>
      <c r="E581" s="19">
        <f>+'PRESUPUESTO DE OBRA'!E149</f>
        <v>0</v>
      </c>
      <c r="F581" s="20"/>
      <c r="G581" s="20"/>
      <c r="H581" s="20"/>
      <c r="I581" s="20"/>
      <c r="J581" s="20"/>
      <c r="K581" s="21"/>
      <c r="L581" s="21"/>
      <c r="M581" s="21"/>
      <c r="N581" s="21"/>
      <c r="O581" s="21"/>
      <c r="P581" s="21"/>
      <c r="Q581" s="21"/>
      <c r="R581" s="21"/>
      <c r="S581" s="22">
        <f t="shared" si="85"/>
        <v>0</v>
      </c>
      <c r="T581" s="6"/>
      <c r="U581" s="6"/>
      <c r="V581" s="6"/>
      <c r="W581" s="6"/>
    </row>
    <row r="582" spans="1:23" s="5" customFormat="1" ht="15.75" customHeight="1" x14ac:dyDescent="0.25">
      <c r="A582" s="17"/>
      <c r="B582" s="17"/>
      <c r="C582" s="17"/>
      <c r="D582" s="18" t="e">
        <f>+'PRESUPUESTO DE OBRA'!#REF!</f>
        <v>#REF!</v>
      </c>
      <c r="E582" s="19" t="e">
        <f>+'PRESUPUESTO DE OBRA'!#REF!</f>
        <v>#REF!</v>
      </c>
      <c r="F582" s="20"/>
      <c r="G582" s="20"/>
      <c r="H582" s="20"/>
      <c r="I582" s="20"/>
      <c r="J582" s="20"/>
      <c r="K582" s="21"/>
      <c r="L582" s="21"/>
      <c r="M582" s="21"/>
      <c r="N582" s="21"/>
      <c r="O582" s="21"/>
      <c r="P582" s="21"/>
      <c r="Q582" s="21"/>
      <c r="R582" s="21"/>
      <c r="S582" s="22">
        <f t="shared" si="85"/>
        <v>0</v>
      </c>
      <c r="T582" s="6"/>
      <c r="U582" s="6"/>
      <c r="V582" s="6"/>
      <c r="W582" s="6"/>
    </row>
    <row r="583" spans="1:23" s="5" customFormat="1" ht="20.25" customHeight="1" x14ac:dyDescent="0.25">
      <c r="A583" s="17"/>
      <c r="B583" s="17"/>
      <c r="C583" s="17"/>
      <c r="D583" s="18" t="e">
        <f>+'PRESUPUESTO DE OBRA'!#REF!</f>
        <v>#REF!</v>
      </c>
      <c r="E583" s="19" t="e">
        <f>+'PRESUPUESTO DE OBRA'!#REF!</f>
        <v>#REF!</v>
      </c>
      <c r="F583" s="20"/>
      <c r="G583" s="20"/>
      <c r="H583" s="20"/>
      <c r="I583" s="20"/>
      <c r="J583" s="20"/>
      <c r="K583" s="21"/>
      <c r="L583" s="21"/>
      <c r="M583" s="21"/>
      <c r="N583" s="21"/>
      <c r="O583" s="21"/>
      <c r="P583" s="21"/>
      <c r="Q583" s="21"/>
      <c r="R583" s="21"/>
      <c r="S583" s="22">
        <f t="shared" si="85"/>
        <v>0</v>
      </c>
      <c r="T583" s="4"/>
      <c r="U583" s="4"/>
      <c r="V583" s="4"/>
      <c r="W583" s="4"/>
    </row>
    <row r="584" spans="1:23" s="5" customFormat="1" ht="15" x14ac:dyDescent="0.25">
      <c r="A584" s="17"/>
      <c r="B584" s="17"/>
      <c r="C584" s="17"/>
      <c r="D584" s="18">
        <f>+'PRESUPUESTO DE OBRA'!D191</f>
        <v>0</v>
      </c>
      <c r="E584" s="19">
        <f>+'PRESUPUESTO DE OBRA'!E191</f>
        <v>0</v>
      </c>
      <c r="F584" s="20"/>
      <c r="G584" s="20"/>
      <c r="H584" s="20"/>
      <c r="I584" s="20"/>
      <c r="J584" s="20"/>
      <c r="K584" s="21"/>
      <c r="L584" s="21"/>
      <c r="M584" s="21"/>
      <c r="N584" s="21"/>
      <c r="O584" s="21"/>
      <c r="P584" s="21"/>
      <c r="Q584" s="21"/>
      <c r="R584" s="21"/>
      <c r="S584" s="22">
        <f t="shared" si="85"/>
        <v>0</v>
      </c>
      <c r="T584" s="4"/>
      <c r="U584" s="4"/>
      <c r="V584" s="4"/>
      <c r="W584" s="4"/>
    </row>
    <row r="585" spans="1:23" s="5" customFormat="1" ht="15" x14ac:dyDescent="0.25">
      <c r="A585" s="17"/>
      <c r="B585" s="17"/>
      <c r="C585" s="17"/>
      <c r="D585" s="18" t="e">
        <f>+'PRESUPUESTO DE OBRA'!#REF!</f>
        <v>#REF!</v>
      </c>
      <c r="E585" s="19">
        <f>+'PRESUPUESTO DE OBRA'!E192</f>
        <v>0</v>
      </c>
      <c r="F585" s="20"/>
      <c r="G585" s="20"/>
      <c r="H585" s="20"/>
      <c r="I585" s="20"/>
      <c r="J585" s="20"/>
      <c r="K585" s="21"/>
      <c r="L585" s="21"/>
      <c r="M585" s="21"/>
      <c r="N585" s="21"/>
      <c r="O585" s="21"/>
      <c r="P585" s="21"/>
      <c r="Q585" s="21"/>
      <c r="R585" s="21"/>
      <c r="S585" s="22">
        <f t="shared" si="85"/>
        <v>0</v>
      </c>
      <c r="T585" s="4"/>
      <c r="U585" s="4"/>
      <c r="V585" s="4"/>
      <c r="W585" s="4"/>
    </row>
    <row r="586" spans="1:23" s="5" customFormat="1" ht="19.5" customHeight="1" x14ac:dyDescent="0.25">
      <c r="A586" s="17"/>
      <c r="B586" s="17"/>
      <c r="C586" s="17"/>
      <c r="D586" s="18" t="e">
        <f>+'PRESUPUESTO DE OBRA'!#REF!</f>
        <v>#REF!</v>
      </c>
      <c r="E586" s="19">
        <f>+'PRESUPUESTO DE OBRA'!E193</f>
        <v>0.2</v>
      </c>
      <c r="F586" s="20"/>
      <c r="G586" s="20"/>
      <c r="H586" s="20"/>
      <c r="I586" s="20"/>
      <c r="J586" s="20"/>
      <c r="K586" s="21"/>
      <c r="L586" s="21"/>
      <c r="M586" s="21"/>
      <c r="N586" s="21"/>
      <c r="O586" s="21"/>
      <c r="P586" s="21"/>
      <c r="Q586" s="21"/>
      <c r="R586" s="21"/>
      <c r="S586" s="22">
        <f t="shared" si="85"/>
        <v>0</v>
      </c>
      <c r="T586" s="4"/>
      <c r="U586" s="4"/>
      <c r="V586" s="4"/>
      <c r="W586" s="4"/>
    </row>
    <row r="587" spans="1:23" s="5" customFormat="1" ht="29.25" customHeight="1" x14ac:dyDescent="0.25">
      <c r="A587" s="17"/>
      <c r="B587" s="17"/>
      <c r="C587" s="17"/>
      <c r="D587" s="18" t="e">
        <f>+'PRESUPUESTO DE OBRA'!#REF!</f>
        <v>#REF!</v>
      </c>
      <c r="E587" s="19">
        <f>+'PRESUPUESTO DE OBRA'!E194</f>
        <v>0.05</v>
      </c>
      <c r="F587" s="20"/>
      <c r="G587" s="20"/>
      <c r="H587" s="20"/>
      <c r="I587" s="20"/>
      <c r="J587" s="20"/>
      <c r="K587" s="21"/>
      <c r="L587" s="21"/>
      <c r="M587" s="21"/>
      <c r="N587" s="21"/>
      <c r="O587" s="21"/>
      <c r="P587" s="21"/>
      <c r="Q587" s="21"/>
      <c r="R587" s="21"/>
      <c r="S587" s="22">
        <f t="shared" si="85"/>
        <v>0</v>
      </c>
      <c r="T587" s="4"/>
      <c r="U587" s="4"/>
      <c r="V587" s="4"/>
      <c r="W587" s="4"/>
    </row>
    <row r="588" spans="1:23" s="5" customFormat="1" ht="30" customHeight="1" x14ac:dyDescent="0.25">
      <c r="A588" s="17"/>
      <c r="B588" s="17"/>
      <c r="C588" s="17"/>
      <c r="D588" s="18" t="e">
        <f>+'PRESUPUESTO DE OBRA'!#REF!</f>
        <v>#REF!</v>
      </c>
      <c r="E588" s="19">
        <f>+'PRESUPUESTO DE OBRA'!E195</f>
        <v>0.05</v>
      </c>
      <c r="F588" s="20"/>
      <c r="G588" s="20"/>
      <c r="H588" s="20"/>
      <c r="I588" s="20"/>
      <c r="J588" s="20"/>
      <c r="K588" s="21"/>
      <c r="L588" s="21"/>
      <c r="M588" s="21"/>
      <c r="N588" s="21"/>
      <c r="O588" s="21"/>
      <c r="P588" s="21"/>
      <c r="Q588" s="21"/>
      <c r="R588" s="21"/>
      <c r="S588" s="22">
        <f t="shared" si="85"/>
        <v>0</v>
      </c>
      <c r="T588" s="4"/>
      <c r="U588" s="4"/>
      <c r="V588" s="4"/>
      <c r="W588" s="4"/>
    </row>
    <row r="589" spans="1:23" s="5" customFormat="1" ht="15" x14ac:dyDescent="0.25">
      <c r="A589" s="17"/>
      <c r="B589" s="17"/>
      <c r="C589" s="17"/>
      <c r="D589" s="18" t="e">
        <f>+'PRESUPUESTO DE OBRA'!#REF!</f>
        <v>#REF!</v>
      </c>
      <c r="E589" s="19">
        <f>+'PRESUPUESTO DE OBRA'!E196</f>
        <v>0</v>
      </c>
      <c r="F589" s="20"/>
      <c r="G589" s="20"/>
      <c r="H589" s="20"/>
      <c r="I589" s="20"/>
      <c r="J589" s="20"/>
      <c r="K589" s="21"/>
      <c r="L589" s="21"/>
      <c r="M589" s="21"/>
      <c r="N589" s="21"/>
      <c r="O589" s="21"/>
      <c r="P589" s="21"/>
      <c r="Q589" s="21"/>
      <c r="R589" s="21"/>
      <c r="S589" s="22">
        <f t="shared" si="85"/>
        <v>0</v>
      </c>
      <c r="T589" s="4"/>
      <c r="U589" s="4"/>
      <c r="V589" s="4"/>
      <c r="W589" s="4"/>
    </row>
    <row r="590" spans="1:23" s="5" customFormat="1" ht="15" x14ac:dyDescent="0.25">
      <c r="A590" s="17"/>
      <c r="B590" s="17"/>
      <c r="C590" s="17"/>
      <c r="D590" s="18" t="e">
        <f>+'PRESUPUESTO DE OBRA'!#REF!</f>
        <v>#REF!</v>
      </c>
      <c r="E590" s="19">
        <f>+'PRESUPUESTO DE OBRA'!E197</f>
        <v>0</v>
      </c>
      <c r="F590" s="20"/>
      <c r="G590" s="20"/>
      <c r="H590" s="20"/>
      <c r="I590" s="20"/>
      <c r="J590" s="20"/>
      <c r="K590" s="21"/>
      <c r="L590" s="21"/>
      <c r="M590" s="21"/>
      <c r="N590" s="21"/>
      <c r="O590" s="21"/>
      <c r="P590" s="21"/>
      <c r="Q590" s="21"/>
      <c r="R590" s="21"/>
      <c r="S590" s="22">
        <f t="shared" si="85"/>
        <v>0</v>
      </c>
      <c r="T590" s="4"/>
      <c r="U590" s="4"/>
      <c r="V590" s="4"/>
      <c r="W590" s="4"/>
    </row>
    <row r="591" spans="1:23" s="5" customFormat="1" ht="120" customHeight="1" x14ac:dyDescent="0.25">
      <c r="A591" s="17"/>
      <c r="B591" s="17"/>
      <c r="C591" s="17"/>
      <c r="D591" s="139" t="s">
        <v>638</v>
      </c>
      <c r="E591" s="19">
        <f>+'PRESUPUESTO DE OBRA'!E198</f>
        <v>0</v>
      </c>
      <c r="F591" s="20"/>
      <c r="G591" s="20"/>
      <c r="H591" s="20"/>
      <c r="I591" s="20"/>
      <c r="J591" s="20"/>
      <c r="K591" s="21"/>
      <c r="L591" s="21"/>
      <c r="M591" s="21"/>
      <c r="N591" s="21"/>
      <c r="O591" s="21"/>
      <c r="P591" s="21"/>
      <c r="Q591" s="21"/>
      <c r="R591" s="21"/>
      <c r="S591" s="22">
        <f t="shared" si="85"/>
        <v>0</v>
      </c>
      <c r="T591" s="4"/>
      <c r="U591" s="4"/>
      <c r="V591" s="4"/>
      <c r="W591" s="4"/>
    </row>
    <row r="592" spans="1:23" s="5" customFormat="1" ht="15" x14ac:dyDescent="0.25">
      <c r="A592" s="17"/>
      <c r="B592" s="17"/>
      <c r="C592" s="17"/>
      <c r="D592" s="139" t="s">
        <v>637</v>
      </c>
      <c r="E592" s="19">
        <f>+'PRESUPUESTO DE OBRA'!E199</f>
        <v>0</v>
      </c>
      <c r="F592" s="20">
        <v>224.65</v>
      </c>
      <c r="G592" s="20"/>
      <c r="H592" s="20">
        <v>2</v>
      </c>
      <c r="I592" s="20"/>
      <c r="J592" s="20"/>
      <c r="K592" s="21">
        <f>+F592*H592</f>
        <v>449.3</v>
      </c>
      <c r="L592" s="22"/>
      <c r="M592" s="22"/>
      <c r="N592" s="22"/>
      <c r="O592" s="22"/>
      <c r="P592" s="22"/>
      <c r="Q592" s="22"/>
      <c r="R592" s="22"/>
      <c r="S592" s="22"/>
      <c r="T592" s="4"/>
      <c r="U592" s="4"/>
      <c r="V592" s="4"/>
      <c r="W592" s="4"/>
    </row>
    <row r="593" spans="1:23" s="5" customFormat="1" ht="15" x14ac:dyDescent="0.25">
      <c r="A593" s="17"/>
      <c r="B593" s="17"/>
      <c r="C593" s="17"/>
      <c r="D593" s="24" t="s">
        <v>636</v>
      </c>
      <c r="E593" s="19" t="e">
        <f>+'PRESUPUESTO DE OBRA'!#REF!</f>
        <v>#REF!</v>
      </c>
      <c r="F593" s="20">
        <v>27.63</v>
      </c>
      <c r="G593" s="20"/>
      <c r="H593" s="20">
        <v>6</v>
      </c>
      <c r="I593" s="20"/>
      <c r="J593" s="20"/>
      <c r="K593" s="21">
        <f>+F593*H593</f>
        <v>165.78</v>
      </c>
      <c r="L593" s="22"/>
      <c r="M593" s="22"/>
      <c r="N593" s="22"/>
      <c r="O593" s="22"/>
      <c r="P593" s="22"/>
      <c r="Q593" s="22"/>
      <c r="R593" s="22"/>
      <c r="S593" s="22"/>
      <c r="T593" s="4"/>
      <c r="U593" s="4"/>
      <c r="V593" s="4"/>
      <c r="W593" s="4"/>
    </row>
    <row r="594" spans="1:23" s="5" customFormat="1" ht="15" x14ac:dyDescent="0.25">
      <c r="A594" s="17"/>
      <c r="B594" s="17"/>
      <c r="C594" s="17"/>
      <c r="D594" s="24"/>
      <c r="E594" s="19" t="e">
        <f>+'PRESUPUESTO DE OBRA'!#REF!</f>
        <v>#REF!</v>
      </c>
      <c r="F594" s="20">
        <f>24*2</f>
        <v>48</v>
      </c>
      <c r="G594" s="20"/>
      <c r="H594" s="20">
        <v>2</v>
      </c>
      <c r="I594" s="20"/>
      <c r="J594" s="20"/>
      <c r="K594" s="21">
        <f t="shared" ref="K594:K596" si="86">+F594*H594</f>
        <v>96</v>
      </c>
      <c r="L594" s="22"/>
      <c r="M594" s="22"/>
      <c r="N594" s="22"/>
      <c r="O594" s="22"/>
      <c r="P594" s="22"/>
      <c r="Q594" s="22"/>
      <c r="R594" s="22"/>
      <c r="S594" s="22"/>
      <c r="T594" s="4"/>
      <c r="U594" s="4"/>
      <c r="V594" s="4"/>
      <c r="W594" s="4"/>
    </row>
    <row r="595" spans="1:23" s="5" customFormat="1" ht="15" x14ac:dyDescent="0.25">
      <c r="A595" s="17"/>
      <c r="B595" s="17"/>
      <c r="C595" s="17"/>
      <c r="D595" s="24"/>
      <c r="E595" s="19" t="e">
        <f>+'PRESUPUESTO DE OBRA'!#REF!</f>
        <v>#REF!</v>
      </c>
      <c r="F595" s="20">
        <v>24</v>
      </c>
      <c r="G595" s="20"/>
      <c r="H595" s="20">
        <v>5.5</v>
      </c>
      <c r="I595" s="20"/>
      <c r="J595" s="20"/>
      <c r="K595" s="21">
        <f t="shared" si="86"/>
        <v>132</v>
      </c>
      <c r="L595" s="22"/>
      <c r="M595" s="22"/>
      <c r="N595" s="22"/>
      <c r="O595" s="22"/>
      <c r="P595" s="22"/>
      <c r="Q595" s="22"/>
      <c r="R595" s="22"/>
      <c r="S595" s="22"/>
      <c r="T595" s="4"/>
      <c r="U595" s="4"/>
      <c r="V595" s="4"/>
      <c r="W595" s="4"/>
    </row>
    <row r="596" spans="1:23" s="5" customFormat="1" ht="15" x14ac:dyDescent="0.25">
      <c r="A596" s="17"/>
      <c r="B596" s="17"/>
      <c r="C596" s="17"/>
      <c r="D596" s="148" t="e">
        <f>+'PRESUPUESTO DE OBRA'!#REF!</f>
        <v>#REF!</v>
      </c>
      <c r="E596" s="19" t="e">
        <f>+'PRESUPUESTO DE OBRA'!#REF!</f>
        <v>#REF!</v>
      </c>
      <c r="F596" s="20">
        <f>5.5+5.5</f>
        <v>11</v>
      </c>
      <c r="G596" s="20"/>
      <c r="H596" s="20">
        <v>2</v>
      </c>
      <c r="I596" s="20"/>
      <c r="J596" s="20"/>
      <c r="K596" s="21">
        <f t="shared" si="86"/>
        <v>22</v>
      </c>
      <c r="L596" s="22"/>
      <c r="M596" s="22"/>
      <c r="N596" s="22"/>
      <c r="O596" s="22"/>
      <c r="P596" s="22"/>
      <c r="Q596" s="22"/>
      <c r="R596" s="22"/>
      <c r="S596" s="22"/>
      <c r="T596" s="4"/>
      <c r="U596" s="4"/>
      <c r="V596" s="4"/>
      <c r="W596" s="4"/>
    </row>
    <row r="597" spans="1:23" s="5" customFormat="1" ht="15" x14ac:dyDescent="0.25">
      <c r="A597" s="17" t="e">
        <f>+'PRESUPUESTO DE OBRA'!#REF!</f>
        <v>#REF!</v>
      </c>
      <c r="B597" s="17"/>
      <c r="C597" s="17"/>
      <c r="D597" s="23" t="e">
        <f>+'PRESUPUESTO DE OBRA'!#REF!</f>
        <v>#REF!</v>
      </c>
      <c r="E597" s="19" t="e">
        <f>+'PRESUPUESTO DE OBRA'!#REF!</f>
        <v>#REF!</v>
      </c>
      <c r="F597" s="20"/>
      <c r="G597" s="20"/>
      <c r="H597" s="22"/>
      <c r="I597" s="22"/>
      <c r="J597" s="22"/>
      <c r="K597" s="21"/>
      <c r="L597" s="21"/>
      <c r="M597" s="21"/>
      <c r="N597" s="21"/>
      <c r="O597" s="21"/>
      <c r="P597" s="21"/>
      <c r="Q597" s="21"/>
      <c r="R597" s="21"/>
      <c r="S597" s="22"/>
      <c r="T597" s="4"/>
      <c r="U597" s="4"/>
      <c r="V597" s="4"/>
      <c r="W597" s="4"/>
    </row>
    <row r="598" spans="1:23" s="5" customFormat="1" ht="21.75" customHeight="1" collapsed="1" x14ac:dyDescent="0.25">
      <c r="A598" s="17"/>
      <c r="B598" s="17"/>
      <c r="C598" s="17"/>
      <c r="D598" s="23" t="e">
        <f>+'PRESUPUESTO DE OBRA'!#REF!</f>
        <v>#REF!</v>
      </c>
      <c r="E598" s="19" t="str">
        <f>+'PRESUPUESTO DE OBRA'!E201</f>
        <v>und</v>
      </c>
      <c r="F598" s="20"/>
      <c r="G598" s="20"/>
      <c r="H598" s="20">
        <v>0.3</v>
      </c>
      <c r="I598" s="20"/>
      <c r="J598" s="20"/>
      <c r="K598" s="21">
        <v>818.28</v>
      </c>
      <c r="L598" s="21">
        <f>+K598*H598</f>
        <v>245.48399999999998</v>
      </c>
      <c r="M598" s="21"/>
      <c r="N598" s="21"/>
      <c r="O598" s="21"/>
      <c r="P598" s="21"/>
      <c r="Q598" s="21"/>
      <c r="R598" s="21"/>
      <c r="S598" s="22">
        <f>+L598</f>
        <v>245.48399999999998</v>
      </c>
      <c r="T598" s="4"/>
      <c r="U598" s="4"/>
      <c r="V598" s="4"/>
      <c r="W598" s="4"/>
    </row>
    <row r="599" spans="1:23" s="5" customFormat="1" ht="15.75" customHeight="1" x14ac:dyDescent="0.25">
      <c r="A599" s="17"/>
      <c r="B599" s="17"/>
      <c r="C599" s="17"/>
      <c r="D599" s="23" t="e">
        <f>+'PRESUPUESTO DE OBRA'!#REF!</f>
        <v>#REF!</v>
      </c>
      <c r="E599" s="19" t="e">
        <f>+'PRESUPUESTO DE OBRA'!#REF!</f>
        <v>#REF!</v>
      </c>
      <c r="F599" s="20">
        <v>122.13</v>
      </c>
      <c r="G599" s="20"/>
      <c r="H599" s="20"/>
      <c r="I599" s="20"/>
      <c r="J599" s="20">
        <f>+F599</f>
        <v>122.13</v>
      </c>
      <c r="K599" s="21"/>
      <c r="L599" s="21"/>
      <c r="M599" s="21"/>
      <c r="N599" s="21"/>
      <c r="O599" s="21"/>
      <c r="P599" s="21"/>
      <c r="Q599" s="21"/>
      <c r="R599" s="21"/>
      <c r="S599" s="22">
        <f>+J599</f>
        <v>122.13</v>
      </c>
      <c r="T599" s="4"/>
      <c r="U599" s="4"/>
      <c r="V599" s="4"/>
      <c r="W599" s="4"/>
    </row>
    <row r="600" spans="1:23" s="5" customFormat="1" ht="30.75" customHeight="1" x14ac:dyDescent="0.25">
      <c r="A600" s="17"/>
      <c r="B600" s="17"/>
      <c r="C600" s="17"/>
      <c r="D600" s="23" t="e">
        <f>+'PRESUPUESTO DE OBRA'!#REF!</f>
        <v>#REF!</v>
      </c>
      <c r="E600" s="19" t="str">
        <f>+'PRESUPUESTO DE OBRA'!E202</f>
        <v>und</v>
      </c>
      <c r="F600" s="20"/>
      <c r="G600" s="20"/>
      <c r="H600" s="20">
        <v>0.1</v>
      </c>
      <c r="I600" s="20"/>
      <c r="J600" s="20"/>
      <c r="K600" s="21">
        <v>818.28</v>
      </c>
      <c r="L600" s="21">
        <f t="shared" ref="L600" si="87">+K600*H600</f>
        <v>81.828000000000003</v>
      </c>
      <c r="M600" s="21"/>
      <c r="N600" s="21"/>
      <c r="O600" s="21"/>
      <c r="P600" s="21"/>
      <c r="Q600" s="21"/>
      <c r="R600" s="21"/>
      <c r="S600" s="22">
        <f>+L600</f>
        <v>81.828000000000003</v>
      </c>
      <c r="T600" s="4"/>
      <c r="U600" s="4"/>
      <c r="V600" s="4"/>
      <c r="W600" s="4"/>
    </row>
    <row r="601" spans="1:23" s="5" customFormat="1" ht="15.75" customHeight="1" x14ac:dyDescent="0.25">
      <c r="A601" s="17"/>
      <c r="B601" s="17"/>
      <c r="C601" s="17"/>
      <c r="D601" s="23" t="e">
        <f>+'PRESUPUESTO DE OBRA'!#REF!</f>
        <v>#REF!</v>
      </c>
      <c r="E601" s="19" t="str">
        <f>+'PRESUPUESTO DE OBRA'!E203</f>
        <v>und</v>
      </c>
      <c r="F601" s="20"/>
      <c r="G601" s="20"/>
      <c r="H601" s="20"/>
      <c r="I601" s="20"/>
      <c r="J601" s="20"/>
      <c r="K601" s="21">
        <v>818.28</v>
      </c>
      <c r="L601" s="21"/>
      <c r="M601" s="21"/>
      <c r="N601" s="21"/>
      <c r="O601" s="21"/>
      <c r="P601" s="21"/>
      <c r="Q601" s="21"/>
      <c r="R601" s="21"/>
      <c r="S601" s="22">
        <f>+K601</f>
        <v>818.28</v>
      </c>
      <c r="T601" s="4"/>
      <c r="U601" s="4"/>
      <c r="V601" s="4"/>
      <c r="W601" s="4"/>
    </row>
    <row r="602" spans="1:23" s="5" customFormat="1" ht="24" customHeight="1" x14ac:dyDescent="0.25">
      <c r="A602" s="17"/>
      <c r="B602" s="17"/>
      <c r="C602" s="17"/>
      <c r="D602" s="23" t="e">
        <f>+'PRESUPUESTO DE OBRA'!#REF!</f>
        <v>#REF!</v>
      </c>
      <c r="E602" s="19">
        <f>+'PRESUPUESTO DE OBRA'!E204</f>
        <v>0</v>
      </c>
      <c r="F602" s="20"/>
      <c r="G602" s="20"/>
      <c r="H602" s="20"/>
      <c r="I602" s="20"/>
      <c r="J602" s="20"/>
      <c r="K602" s="21">
        <v>818.28</v>
      </c>
      <c r="L602" s="21"/>
      <c r="M602" s="21"/>
      <c r="N602" s="21"/>
      <c r="O602" s="21"/>
      <c r="P602" s="21"/>
      <c r="Q602" s="21"/>
      <c r="R602" s="21"/>
      <c r="S602" s="22">
        <f>+K602</f>
        <v>818.28</v>
      </c>
      <c r="T602" s="4"/>
      <c r="U602" s="4"/>
      <c r="V602" s="4"/>
      <c r="W602" s="4"/>
    </row>
    <row r="603" spans="1:23" s="5" customFormat="1" ht="33" customHeight="1" x14ac:dyDescent="0.25">
      <c r="A603" s="17"/>
      <c r="B603" s="17"/>
      <c r="C603" s="17"/>
      <c r="D603" s="23" t="e">
        <f>+'PRESUPUESTO DE OBRA'!#REF!</f>
        <v>#REF!</v>
      </c>
      <c r="E603" s="19">
        <f>+'PRESUPUESTO DE OBRA'!E205</f>
        <v>0</v>
      </c>
      <c r="F603" s="20"/>
      <c r="G603" s="20"/>
      <c r="H603" s="20"/>
      <c r="I603" s="20"/>
      <c r="J603" s="20"/>
      <c r="K603" s="21">
        <v>818.28</v>
      </c>
      <c r="L603" s="21"/>
      <c r="M603" s="21"/>
      <c r="N603" s="21"/>
      <c r="O603" s="21"/>
      <c r="P603" s="21"/>
      <c r="Q603" s="21"/>
      <c r="R603" s="21"/>
      <c r="S603" s="22">
        <f>+K603</f>
        <v>818.28</v>
      </c>
      <c r="T603" s="4"/>
      <c r="U603" s="4"/>
      <c r="V603" s="4"/>
      <c r="W603" s="4"/>
    </row>
    <row r="604" spans="1:23" s="5" customFormat="1" ht="15" x14ac:dyDescent="0.25">
      <c r="A604" s="17"/>
      <c r="B604" s="17"/>
      <c r="C604" s="17"/>
      <c r="D604" s="148" t="s">
        <v>94</v>
      </c>
      <c r="E604" s="19">
        <f>+'PRESUPUESTO DE OBRA'!E206</f>
        <v>0</v>
      </c>
      <c r="F604" s="20">
        <v>112.53</v>
      </c>
      <c r="G604" s="20"/>
      <c r="H604" s="20"/>
      <c r="I604" s="20"/>
      <c r="J604" s="20">
        <f>+F604</f>
        <v>112.53</v>
      </c>
      <c r="K604" s="21"/>
      <c r="L604" s="21"/>
      <c r="M604" s="21"/>
      <c r="N604" s="21"/>
      <c r="O604" s="21"/>
      <c r="P604" s="21"/>
      <c r="Q604" s="21"/>
      <c r="R604" s="21"/>
      <c r="S604" s="22">
        <f>+J604</f>
        <v>112.53</v>
      </c>
      <c r="T604" s="4"/>
      <c r="U604" s="4"/>
      <c r="V604" s="4"/>
      <c r="W604" s="4"/>
    </row>
    <row r="605" spans="1:23" s="5" customFormat="1" ht="22.5" customHeight="1" x14ac:dyDescent="0.25">
      <c r="A605" s="17" t="e">
        <f>+'PRESUPUESTO DE OBRA'!#REF!</f>
        <v>#REF!</v>
      </c>
      <c r="B605" s="17"/>
      <c r="C605" s="17"/>
      <c r="D605" s="37" t="e">
        <f>+'PRESUPUESTO DE OBRA'!#REF!</f>
        <v>#REF!</v>
      </c>
      <c r="E605" s="19">
        <f>+'PRESUPUESTO DE OBRA'!E208</f>
        <v>0</v>
      </c>
      <c r="F605" s="21"/>
      <c r="G605" s="146"/>
      <c r="H605" s="146"/>
      <c r="I605" s="146"/>
      <c r="J605" s="146"/>
      <c r="K605" s="21"/>
      <c r="L605" s="21"/>
      <c r="M605" s="21"/>
      <c r="N605" s="21"/>
      <c r="O605" s="21"/>
      <c r="P605" s="21"/>
      <c r="Q605" s="21"/>
      <c r="R605" s="21"/>
      <c r="S605" s="22"/>
      <c r="T605" s="4"/>
      <c r="U605" s="4"/>
      <c r="V605" s="4"/>
      <c r="W605" s="4"/>
    </row>
    <row r="606" spans="1:23" s="5" customFormat="1" ht="30" customHeight="1" x14ac:dyDescent="0.25">
      <c r="A606" s="32"/>
      <c r="B606" s="32"/>
      <c r="C606" s="32"/>
      <c r="D606" s="36" t="s">
        <v>95</v>
      </c>
      <c r="E606" s="19">
        <f>+'PRESUPUESTO DE OBRA'!E209</f>
        <v>0</v>
      </c>
      <c r="F606" s="35"/>
      <c r="G606" s="35"/>
      <c r="H606" s="35"/>
      <c r="I606" s="35"/>
      <c r="J606" s="35"/>
      <c r="K606" s="21"/>
      <c r="L606" s="21"/>
      <c r="M606" s="21"/>
      <c r="N606" s="21"/>
      <c r="O606" s="21"/>
      <c r="P606" s="21"/>
      <c r="Q606" s="21"/>
      <c r="R606" s="21"/>
      <c r="S606" s="22">
        <f>+L607+L608</f>
        <v>72.752800000000008</v>
      </c>
      <c r="T606" s="4"/>
      <c r="U606" s="4"/>
      <c r="V606" s="4"/>
      <c r="W606" s="4"/>
    </row>
    <row r="607" spans="1:23" s="5" customFormat="1" ht="15" x14ac:dyDescent="0.25">
      <c r="A607" s="32"/>
      <c r="B607" s="32"/>
      <c r="C607" s="32"/>
      <c r="D607" s="36" t="s">
        <v>96</v>
      </c>
      <c r="E607" s="19">
        <f>+'PRESUPUESTO DE OBRA'!E210</f>
        <v>0</v>
      </c>
      <c r="F607" s="35">
        <v>12</v>
      </c>
      <c r="G607" s="35">
        <v>6</v>
      </c>
      <c r="H607" s="35">
        <v>0.8</v>
      </c>
      <c r="I607" s="35"/>
      <c r="J607" s="35"/>
      <c r="K607" s="21"/>
      <c r="L607" s="21">
        <f>+F607*G607*H607*I607</f>
        <v>0</v>
      </c>
      <c r="M607" s="21"/>
      <c r="N607" s="21"/>
      <c r="O607" s="21"/>
      <c r="P607" s="21"/>
      <c r="Q607" s="21"/>
      <c r="R607" s="21"/>
      <c r="S607" s="22"/>
      <c r="T607" s="4"/>
      <c r="U607" s="4"/>
      <c r="V607" s="4"/>
      <c r="W607" s="4"/>
    </row>
    <row r="608" spans="1:23" s="5" customFormat="1" ht="15" x14ac:dyDescent="0.25">
      <c r="A608" s="32"/>
      <c r="B608" s="32"/>
      <c r="C608" s="32"/>
      <c r="D608" s="37" t="e">
        <f>+'PRESUPUESTO DE OBRA'!#REF!</f>
        <v>#REF!</v>
      </c>
      <c r="E608" s="34" t="e">
        <f>+'PRESUPUESTO DE OBRA'!#REF!</f>
        <v>#REF!</v>
      </c>
      <c r="F608" s="35">
        <v>43.1</v>
      </c>
      <c r="G608" s="35">
        <v>4.22</v>
      </c>
      <c r="H608" s="35">
        <v>0.4</v>
      </c>
      <c r="I608" s="35"/>
      <c r="J608" s="35"/>
      <c r="K608" s="21"/>
      <c r="L608" s="21">
        <f>+F608*G608*H608</f>
        <v>72.752800000000008</v>
      </c>
      <c r="M608" s="21"/>
      <c r="N608" s="21"/>
      <c r="O608" s="21"/>
      <c r="P608" s="21"/>
      <c r="Q608" s="21"/>
      <c r="R608" s="21"/>
      <c r="S608" s="22"/>
      <c r="T608" s="4"/>
      <c r="U608" s="4"/>
      <c r="V608" s="4"/>
      <c r="W608" s="4"/>
    </row>
    <row r="609" spans="1:23" s="5" customFormat="1" ht="15" x14ac:dyDescent="0.25">
      <c r="A609" s="32"/>
      <c r="B609" s="32"/>
      <c r="C609" s="32"/>
      <c r="D609" s="37" t="e">
        <f>+'PRESUPUESTO DE OBRA'!#REF!</f>
        <v>#REF!</v>
      </c>
      <c r="E609" s="38" t="e">
        <f>+'PRESUPUESTO DE OBRA'!#REF!</f>
        <v>#REF!</v>
      </c>
      <c r="F609" s="35"/>
      <c r="G609" s="35"/>
      <c r="H609" s="35"/>
      <c r="I609" s="35"/>
      <c r="J609" s="21">
        <f>+(12+6+12+0.89+0.89+9.1+3.1+9.1+3.1+21.55+21.55)*2</f>
        <v>198.56</v>
      </c>
      <c r="K609" s="21"/>
      <c r="L609" s="21"/>
      <c r="M609" s="21"/>
      <c r="N609" s="21"/>
      <c r="O609" s="21"/>
      <c r="P609" s="21"/>
      <c r="Q609" s="21"/>
      <c r="R609" s="21"/>
      <c r="S609" s="22">
        <f>+J609</f>
        <v>198.56</v>
      </c>
      <c r="T609" s="4"/>
      <c r="U609" s="4"/>
      <c r="V609" s="4"/>
      <c r="W609" s="4"/>
    </row>
    <row r="610" spans="1:23" s="5" customFormat="1" ht="33.75" customHeight="1" x14ac:dyDescent="0.25">
      <c r="A610" s="32"/>
      <c r="B610" s="32"/>
      <c r="C610" s="32"/>
      <c r="D610" s="36" t="s">
        <v>95</v>
      </c>
      <c r="E610" s="34"/>
      <c r="F610" s="35"/>
      <c r="G610" s="35"/>
      <c r="H610" s="35"/>
      <c r="I610" s="35"/>
      <c r="J610" s="35"/>
      <c r="K610" s="21"/>
      <c r="L610" s="22">
        <f>+L611+L612</f>
        <v>27.282299999999999</v>
      </c>
      <c r="M610" s="22"/>
      <c r="N610" s="22"/>
      <c r="O610" s="22"/>
      <c r="P610" s="22"/>
      <c r="Q610" s="22"/>
      <c r="R610" s="22"/>
      <c r="S610" s="22">
        <f>+(L611+L612)</f>
        <v>27.282299999999999</v>
      </c>
      <c r="T610" s="4"/>
      <c r="U610" s="4"/>
      <c r="V610" s="4"/>
      <c r="W610" s="4"/>
    </row>
    <row r="611" spans="1:23" s="5" customFormat="1" ht="15" x14ac:dyDescent="0.25">
      <c r="A611" s="32"/>
      <c r="B611" s="32"/>
      <c r="C611" s="32"/>
      <c r="D611" s="36" t="s">
        <v>96</v>
      </c>
      <c r="E611" s="34"/>
      <c r="F611" s="35">
        <v>12</v>
      </c>
      <c r="G611" s="35">
        <v>6</v>
      </c>
      <c r="H611" s="35">
        <v>0.15</v>
      </c>
      <c r="I611" s="35"/>
      <c r="J611" s="35"/>
      <c r="K611" s="21"/>
      <c r="L611" s="21">
        <f>+F611*G611*H611*I611</f>
        <v>0</v>
      </c>
      <c r="M611" s="21"/>
      <c r="N611" s="21"/>
      <c r="O611" s="21"/>
      <c r="P611" s="21"/>
      <c r="Q611" s="21"/>
      <c r="R611" s="21"/>
      <c r="S611" s="22"/>
      <c r="T611" s="4"/>
      <c r="U611" s="4"/>
      <c r="V611" s="4"/>
      <c r="W611" s="4"/>
    </row>
    <row r="612" spans="1:23" s="5" customFormat="1" ht="15" x14ac:dyDescent="0.25">
      <c r="A612" s="32"/>
      <c r="B612" s="32"/>
      <c r="C612" s="32"/>
      <c r="D612" s="37" t="e">
        <f>+'PRESUPUESTO DE OBRA'!#REF!</f>
        <v>#REF!</v>
      </c>
      <c r="E612" s="38" t="e">
        <f>+'PRESUPUESTO DE OBRA'!#REF!</f>
        <v>#REF!</v>
      </c>
      <c r="F612" s="35">
        <v>43.1</v>
      </c>
      <c r="G612" s="35">
        <v>4.22</v>
      </c>
      <c r="H612" s="35">
        <v>0.15</v>
      </c>
      <c r="I612" s="35"/>
      <c r="J612" s="35"/>
      <c r="K612" s="21"/>
      <c r="L612" s="21">
        <f>+F612*G612*H612</f>
        <v>27.282299999999999</v>
      </c>
      <c r="M612" s="21"/>
      <c r="N612" s="21"/>
      <c r="O612" s="21"/>
      <c r="P612" s="21"/>
      <c r="Q612" s="21"/>
      <c r="R612" s="21"/>
      <c r="S612" s="22"/>
      <c r="T612" s="4"/>
      <c r="U612" s="4"/>
      <c r="V612" s="4"/>
      <c r="W612" s="4"/>
    </row>
    <row r="613" spans="1:23" s="5" customFormat="1" ht="15" x14ac:dyDescent="0.25">
      <c r="A613" s="32"/>
      <c r="B613" s="32"/>
      <c r="C613" s="32"/>
      <c r="D613" s="37" t="e">
        <f>+'PRESUPUESTO DE OBRA'!#REF!</f>
        <v>#REF!</v>
      </c>
      <c r="E613" s="38" t="e">
        <f>+'PRESUPUESTO DE OBRA'!#REF!</f>
        <v>#REF!</v>
      </c>
      <c r="F613" s="35">
        <v>12</v>
      </c>
      <c r="G613" s="35">
        <v>6</v>
      </c>
      <c r="H613" s="35">
        <v>0.2</v>
      </c>
      <c r="I613" s="35"/>
      <c r="J613" s="35"/>
      <c r="K613" s="21"/>
      <c r="L613" s="21">
        <f>+F613*G613*H613</f>
        <v>14.4</v>
      </c>
      <c r="M613" s="21"/>
      <c r="N613" s="21"/>
      <c r="O613" s="21"/>
      <c r="P613" s="21"/>
      <c r="Q613" s="21"/>
      <c r="R613" s="21"/>
      <c r="S613" s="22">
        <f>+L613*1.4</f>
        <v>20.16</v>
      </c>
      <c r="T613" s="4"/>
      <c r="U613" s="4"/>
      <c r="V613" s="4"/>
      <c r="W613" s="4"/>
    </row>
    <row r="614" spans="1:23" s="5" customFormat="1" ht="15" x14ac:dyDescent="0.25">
      <c r="A614" s="32"/>
      <c r="B614" s="32"/>
      <c r="C614" s="32"/>
      <c r="D614" s="33" t="e">
        <f>+'PRESUPUESTO DE OBRA'!#REF!</f>
        <v>#REF!</v>
      </c>
      <c r="E614" s="34" t="e">
        <f>+'PRESUPUESTO DE OBRA'!#REF!</f>
        <v>#REF!</v>
      </c>
      <c r="F614" s="35">
        <v>12</v>
      </c>
      <c r="G614" s="35">
        <v>6</v>
      </c>
      <c r="H614" s="35">
        <v>0.25</v>
      </c>
      <c r="I614" s="35"/>
      <c r="J614" s="35"/>
      <c r="K614" s="21"/>
      <c r="L614" s="21">
        <f>+F614*G614*H614</f>
        <v>18</v>
      </c>
      <c r="M614" s="21"/>
      <c r="N614" s="21"/>
      <c r="O614" s="21"/>
      <c r="P614" s="21"/>
      <c r="Q614" s="21"/>
      <c r="R614" s="21"/>
      <c r="S614" s="22">
        <f>+L614</f>
        <v>18</v>
      </c>
      <c r="T614" s="4"/>
      <c r="U614" s="4"/>
      <c r="V614" s="4"/>
      <c r="W614" s="4"/>
    </row>
    <row r="615" spans="1:23" s="5" customFormat="1" ht="15" x14ac:dyDescent="0.25">
      <c r="A615" s="32"/>
      <c r="B615" s="32"/>
      <c r="C615" s="32"/>
      <c r="D615" s="33" t="e">
        <f>+'PRESUPUESTO DE OBRA'!#REF!</f>
        <v>#REF!</v>
      </c>
      <c r="E615" s="38" t="e">
        <f>+'PRESUPUESTO DE OBRA'!#REF!</f>
        <v>#REF!</v>
      </c>
      <c r="F615" s="35">
        <v>67</v>
      </c>
      <c r="G615" s="35">
        <v>6</v>
      </c>
      <c r="H615" s="35"/>
      <c r="I615" s="35"/>
      <c r="J615" s="35"/>
      <c r="K615" s="21">
        <f>+F615*G615</f>
        <v>402</v>
      </c>
      <c r="L615" s="21"/>
      <c r="M615" s="21"/>
      <c r="N615" s="21"/>
      <c r="O615" s="21"/>
      <c r="P615" s="21"/>
      <c r="Q615" s="21"/>
      <c r="R615" s="21"/>
      <c r="S615" s="22">
        <f>+K615</f>
        <v>402</v>
      </c>
      <c r="T615" s="4"/>
      <c r="U615" s="4"/>
      <c r="V615" s="4"/>
      <c r="W615" s="4"/>
    </row>
    <row r="616" spans="1:23" s="5" customFormat="1" ht="15" x14ac:dyDescent="0.25">
      <c r="A616" s="32"/>
      <c r="B616" s="32"/>
      <c r="C616" s="32"/>
      <c r="D616" s="36" t="s">
        <v>95</v>
      </c>
      <c r="E616" s="34"/>
      <c r="F616" s="35"/>
      <c r="G616" s="35"/>
      <c r="H616" s="35"/>
      <c r="I616" s="35"/>
      <c r="J616" s="35"/>
      <c r="K616" s="21">
        <f>+K617+K618</f>
        <v>181.88200000000001</v>
      </c>
      <c r="L616" s="22"/>
      <c r="M616" s="22"/>
      <c r="N616" s="22"/>
      <c r="O616" s="22"/>
      <c r="P616" s="22"/>
      <c r="Q616" s="22"/>
      <c r="R616" s="22"/>
      <c r="S616" s="22">
        <f>+K616</f>
        <v>181.88200000000001</v>
      </c>
      <c r="T616" s="4"/>
      <c r="U616" s="4"/>
      <c r="V616" s="4"/>
      <c r="W616" s="4"/>
    </row>
    <row r="617" spans="1:23" s="5" customFormat="1" ht="15" x14ac:dyDescent="0.25">
      <c r="A617" s="32"/>
      <c r="B617" s="32"/>
      <c r="C617" s="32"/>
      <c r="D617" s="36" t="s">
        <v>96</v>
      </c>
      <c r="E617" s="34"/>
      <c r="F617" s="35">
        <v>12</v>
      </c>
      <c r="G617" s="35">
        <v>6</v>
      </c>
      <c r="H617" s="35"/>
      <c r="I617" s="35"/>
      <c r="J617" s="35"/>
      <c r="K617" s="21">
        <f>+F617*G617*I617</f>
        <v>0</v>
      </c>
      <c r="L617" s="21"/>
      <c r="M617" s="21"/>
      <c r="N617" s="21"/>
      <c r="O617" s="21"/>
      <c r="P617" s="21"/>
      <c r="Q617" s="21"/>
      <c r="R617" s="21"/>
      <c r="S617" s="22"/>
      <c r="T617" s="4"/>
      <c r="U617" s="4"/>
      <c r="V617" s="4"/>
      <c r="W617" s="4"/>
    </row>
    <row r="618" spans="1:23" s="5" customFormat="1" ht="15" x14ac:dyDescent="0.25">
      <c r="A618" s="32"/>
      <c r="B618" s="32"/>
      <c r="C618" s="32"/>
      <c r="D618" s="39" t="e">
        <f>+'PRESUPUESTO DE OBRA'!#REF!</f>
        <v>#REF!</v>
      </c>
      <c r="E618" s="34" t="e">
        <f>+'PRESUPUESTO DE OBRA'!#REF!</f>
        <v>#REF!</v>
      </c>
      <c r="F618" s="35">
        <v>43.1</v>
      </c>
      <c r="G618" s="35">
        <v>4.22</v>
      </c>
      <c r="H618" s="35"/>
      <c r="I618" s="35"/>
      <c r="J618" s="35"/>
      <c r="K618" s="21">
        <f>+F618*G618</f>
        <v>181.88200000000001</v>
      </c>
      <c r="L618" s="21"/>
      <c r="M618" s="21"/>
      <c r="N618" s="21"/>
      <c r="O618" s="21"/>
      <c r="P618" s="21"/>
      <c r="Q618" s="21"/>
      <c r="R618" s="21"/>
      <c r="S618" s="22"/>
      <c r="T618" s="4"/>
      <c r="U618" s="4"/>
      <c r="V618" s="4"/>
      <c r="W618" s="4"/>
    </row>
    <row r="619" spans="1:23" s="5" customFormat="1" ht="36.75" customHeight="1" collapsed="1" x14ac:dyDescent="0.25">
      <c r="A619" s="32"/>
      <c r="B619" s="32"/>
      <c r="C619" s="32"/>
      <c r="D619" s="148" t="s">
        <v>93</v>
      </c>
      <c r="E619" s="19"/>
      <c r="F619" s="35">
        <v>43.1</v>
      </c>
      <c r="G619" s="35">
        <v>4.22</v>
      </c>
      <c r="H619" s="35"/>
      <c r="I619" s="35"/>
      <c r="J619" s="35"/>
      <c r="K619" s="21">
        <f>+F619*G619</f>
        <v>181.88200000000001</v>
      </c>
      <c r="L619" s="21"/>
      <c r="M619" s="21"/>
      <c r="N619" s="21"/>
      <c r="O619" s="21"/>
      <c r="P619" s="21"/>
      <c r="Q619" s="21"/>
      <c r="R619" s="21"/>
      <c r="S619" s="22">
        <f>+K619</f>
        <v>181.88200000000001</v>
      </c>
      <c r="T619" s="4"/>
      <c r="U619" s="4"/>
      <c r="V619" s="4"/>
      <c r="W619" s="4"/>
    </row>
    <row r="620" spans="1:23" s="5" customFormat="1" ht="27.75" customHeight="1" x14ac:dyDescent="0.25">
      <c r="A620" s="126" t="e">
        <f>+'PRESUPUESTO DE OBRA'!#REF!</f>
        <v>#REF!</v>
      </c>
      <c r="B620" s="126"/>
      <c r="C620" s="126"/>
      <c r="D620" s="37" t="e">
        <f>+'PRESUPUESTO DE OBRA'!#REF!</f>
        <v>#REF!</v>
      </c>
      <c r="E620" s="38" t="e">
        <f>+'PRESUPUESTO DE OBRA'!#REF!</f>
        <v>#REF!</v>
      </c>
      <c r="F620" s="20"/>
      <c r="G620" s="20"/>
      <c r="H620" s="22"/>
      <c r="I620" s="22"/>
      <c r="J620" s="22"/>
      <c r="K620" s="21"/>
      <c r="L620" s="21"/>
      <c r="M620" s="21"/>
      <c r="N620" s="21"/>
      <c r="O620" s="21"/>
      <c r="P620" s="21"/>
      <c r="Q620" s="21"/>
      <c r="R620" s="21"/>
      <c r="S620" s="22"/>
      <c r="T620" s="4"/>
      <c r="U620" s="4"/>
      <c r="V620" s="4"/>
      <c r="W620" s="4"/>
    </row>
    <row r="621" spans="1:23" s="5" customFormat="1" ht="34.5" customHeight="1" x14ac:dyDescent="0.25">
      <c r="A621" s="32"/>
      <c r="B621" s="32"/>
      <c r="C621" s="32"/>
      <c r="D621" s="36" t="s">
        <v>97</v>
      </c>
      <c r="E621" s="34"/>
      <c r="F621" s="35"/>
      <c r="G621" s="35"/>
      <c r="H621" s="35"/>
      <c r="I621" s="35"/>
      <c r="J621" s="35"/>
      <c r="K621" s="21"/>
      <c r="L621" s="21"/>
      <c r="M621" s="21"/>
      <c r="N621" s="21"/>
      <c r="O621" s="21"/>
      <c r="P621" s="21"/>
      <c r="Q621" s="21"/>
      <c r="R621" s="21"/>
      <c r="S621" s="22">
        <f>+L622+L623</f>
        <v>79.025760000000005</v>
      </c>
      <c r="T621" s="4"/>
      <c r="U621" s="4"/>
      <c r="V621" s="4"/>
      <c r="W621" s="4"/>
    </row>
    <row r="622" spans="1:23" s="5" customFormat="1" ht="15" x14ac:dyDescent="0.25">
      <c r="A622" s="32"/>
      <c r="B622" s="32"/>
      <c r="C622" s="32"/>
      <c r="D622" s="36" t="s">
        <v>96</v>
      </c>
      <c r="E622" s="34"/>
      <c r="F622" s="35">
        <v>11</v>
      </c>
      <c r="G622" s="35">
        <v>9</v>
      </c>
      <c r="H622" s="35">
        <v>0.3</v>
      </c>
      <c r="I622" s="35"/>
      <c r="J622" s="35"/>
      <c r="K622" s="21"/>
      <c r="L622" s="21">
        <f>+F622*G622*H622</f>
        <v>29.7</v>
      </c>
      <c r="M622" s="21"/>
      <c r="N622" s="21"/>
      <c r="O622" s="21"/>
      <c r="P622" s="21"/>
      <c r="Q622" s="21"/>
      <c r="R622" s="21"/>
      <c r="S622" s="22"/>
      <c r="T622" s="4"/>
      <c r="U622" s="4"/>
      <c r="V622" s="4"/>
      <c r="W622" s="4"/>
    </row>
    <row r="623" spans="1:23" s="5" customFormat="1" ht="15" x14ac:dyDescent="0.25">
      <c r="A623" s="32"/>
      <c r="B623" s="32"/>
      <c r="C623" s="32"/>
      <c r="D623" s="37" t="e">
        <f>+'PRESUPUESTO DE OBRA'!#REF!</f>
        <v>#REF!</v>
      </c>
      <c r="E623" s="34" t="e">
        <f>+'PRESUPUESTO DE OBRA'!#REF!</f>
        <v>#REF!</v>
      </c>
      <c r="F623" s="35">
        <v>38.06</v>
      </c>
      <c r="G623" s="35">
        <v>4.32</v>
      </c>
      <c r="H623" s="35">
        <v>0.3</v>
      </c>
      <c r="I623" s="35"/>
      <c r="J623" s="35"/>
      <c r="K623" s="21"/>
      <c r="L623" s="21">
        <f>+F623*G623*H623</f>
        <v>49.325760000000002</v>
      </c>
      <c r="M623" s="21"/>
      <c r="N623" s="21"/>
      <c r="O623" s="21"/>
      <c r="P623" s="21"/>
      <c r="Q623" s="21"/>
      <c r="R623" s="21"/>
      <c r="S623" s="22"/>
      <c r="T623" s="4"/>
      <c r="U623" s="4"/>
      <c r="V623" s="4"/>
      <c r="W623" s="4"/>
    </row>
    <row r="624" spans="1:23" s="5" customFormat="1" ht="21.75" customHeight="1" collapsed="1" x14ac:dyDescent="0.25">
      <c r="A624" s="32"/>
      <c r="B624" s="32"/>
      <c r="C624" s="32"/>
      <c r="D624" s="37" t="e">
        <f>+'PRESUPUESTO DE OBRA'!#REF!</f>
        <v>#REF!</v>
      </c>
      <c r="E624" s="38" t="e">
        <f>+'PRESUPUESTO DE OBRA'!#REF!</f>
        <v>#REF!</v>
      </c>
      <c r="F624" s="35"/>
      <c r="G624" s="35"/>
      <c r="H624" s="35"/>
      <c r="I624" s="35"/>
      <c r="J624" s="21">
        <f>38.06*2+4.32+2.34*2+11*2+9</f>
        <v>116.12</v>
      </c>
      <c r="K624" s="21"/>
      <c r="L624" s="21"/>
      <c r="M624" s="21"/>
      <c r="N624" s="21"/>
      <c r="O624" s="21"/>
      <c r="P624" s="21"/>
      <c r="Q624" s="21"/>
      <c r="R624" s="21"/>
      <c r="S624" s="22">
        <f>+J624</f>
        <v>116.12</v>
      </c>
      <c r="T624" s="4"/>
      <c r="U624" s="4"/>
      <c r="V624" s="4"/>
      <c r="W624" s="4"/>
    </row>
    <row r="625" spans="1:23" s="5" customFormat="1" ht="31.5" customHeight="1" x14ac:dyDescent="0.25">
      <c r="A625" s="32"/>
      <c r="B625" s="32"/>
      <c r="C625" s="32"/>
      <c r="D625" s="36" t="s">
        <v>97</v>
      </c>
      <c r="E625" s="34"/>
      <c r="F625" s="35"/>
      <c r="G625" s="35"/>
      <c r="H625" s="35"/>
      <c r="I625" s="35"/>
      <c r="J625" s="35"/>
      <c r="K625" s="21"/>
      <c r="L625" s="22">
        <f>+L626+L627</f>
        <v>26.341920000000002</v>
      </c>
      <c r="M625" s="22"/>
      <c r="N625" s="22"/>
      <c r="O625" s="22"/>
      <c r="P625" s="22"/>
      <c r="Q625" s="22"/>
      <c r="R625" s="22"/>
      <c r="S625" s="22">
        <f>+(L626+L627)</f>
        <v>26.341920000000002</v>
      </c>
      <c r="T625" s="4"/>
      <c r="U625" s="4"/>
      <c r="V625" s="4"/>
      <c r="W625" s="4"/>
    </row>
    <row r="626" spans="1:23" s="5" customFormat="1" ht="15" x14ac:dyDescent="0.25">
      <c r="A626" s="32"/>
      <c r="B626" s="32"/>
      <c r="C626" s="32"/>
      <c r="D626" s="36" t="s">
        <v>96</v>
      </c>
      <c r="E626" s="34"/>
      <c r="F626" s="35">
        <v>11</v>
      </c>
      <c r="G626" s="35">
        <v>9</v>
      </c>
      <c r="H626" s="35">
        <v>0.1</v>
      </c>
      <c r="I626" s="35"/>
      <c r="J626" s="35"/>
      <c r="K626" s="21"/>
      <c r="L626" s="21">
        <f>+F626*G626*H626</f>
        <v>9.9</v>
      </c>
      <c r="M626" s="21"/>
      <c r="N626" s="21"/>
      <c r="O626" s="21"/>
      <c r="P626" s="21"/>
      <c r="Q626" s="21"/>
      <c r="R626" s="21"/>
      <c r="S626" s="22"/>
      <c r="T626" s="4"/>
      <c r="U626" s="4"/>
      <c r="V626" s="4"/>
      <c r="W626" s="4"/>
    </row>
    <row r="627" spans="1:23" s="5" customFormat="1" ht="15" x14ac:dyDescent="0.25">
      <c r="A627" s="32"/>
      <c r="B627" s="32"/>
      <c r="C627" s="32"/>
      <c r="D627" s="39" t="e">
        <f>+'PRESUPUESTO DE OBRA'!#REF!</f>
        <v>#REF!</v>
      </c>
      <c r="E627" s="34" t="e">
        <f>+'PRESUPUESTO DE OBRA'!#REF!</f>
        <v>#REF!</v>
      </c>
      <c r="F627" s="35">
        <v>38.06</v>
      </c>
      <c r="G627" s="35">
        <v>4.32</v>
      </c>
      <c r="H627" s="35">
        <v>0.1</v>
      </c>
      <c r="I627" s="35"/>
      <c r="J627" s="35"/>
      <c r="K627" s="21"/>
      <c r="L627" s="21">
        <f>+F627*G627*H627</f>
        <v>16.441920000000003</v>
      </c>
      <c r="M627" s="21"/>
      <c r="N627" s="21"/>
      <c r="O627" s="21"/>
      <c r="P627" s="21"/>
      <c r="Q627" s="21"/>
      <c r="R627" s="21"/>
      <c r="S627" s="22"/>
      <c r="T627" s="4"/>
      <c r="U627" s="4"/>
      <c r="V627" s="4"/>
      <c r="W627" s="4"/>
    </row>
    <row r="628" spans="1:23" s="5" customFormat="1" ht="15" x14ac:dyDescent="0.25">
      <c r="A628" s="32"/>
      <c r="B628" s="32"/>
      <c r="C628" s="32"/>
      <c r="D628" s="33" t="e">
        <f>+'PRESUPUESTO DE OBRA'!#REF!</f>
        <v>#REF!</v>
      </c>
      <c r="E628" s="38" t="e">
        <f>+'PRESUPUESTO DE OBRA'!#REF!</f>
        <v>#REF!</v>
      </c>
      <c r="F628" s="35">
        <v>49</v>
      </c>
      <c r="G628" s="35">
        <v>6</v>
      </c>
      <c r="H628" s="35"/>
      <c r="I628" s="35"/>
      <c r="J628" s="35"/>
      <c r="K628" s="21">
        <f>+F628*G628</f>
        <v>294</v>
      </c>
      <c r="L628" s="21"/>
      <c r="M628" s="21"/>
      <c r="N628" s="21"/>
      <c r="O628" s="21"/>
      <c r="P628" s="21"/>
      <c r="Q628" s="21"/>
      <c r="R628" s="21"/>
      <c r="S628" s="22">
        <f>+K628</f>
        <v>294</v>
      </c>
      <c r="T628" s="4"/>
      <c r="U628" s="4"/>
      <c r="V628" s="4"/>
      <c r="W628" s="4"/>
    </row>
    <row r="629" spans="1:23" s="5" customFormat="1" ht="15" x14ac:dyDescent="0.25">
      <c r="A629" s="32"/>
      <c r="B629" s="32"/>
      <c r="C629" s="32"/>
      <c r="D629" s="36" t="s">
        <v>97</v>
      </c>
      <c r="E629" s="34"/>
      <c r="F629" s="35"/>
      <c r="G629" s="35"/>
      <c r="H629" s="35"/>
      <c r="I629" s="35"/>
      <c r="J629" s="35"/>
      <c r="K629" s="21">
        <f>+K630+K631</f>
        <v>240.38</v>
      </c>
      <c r="L629" s="22"/>
      <c r="M629" s="22"/>
      <c r="N629" s="22"/>
      <c r="O629" s="22"/>
      <c r="P629" s="22"/>
      <c r="Q629" s="22"/>
      <c r="R629" s="22"/>
      <c r="S629" s="22">
        <f>+K629</f>
        <v>240.38</v>
      </c>
      <c r="T629" s="4"/>
      <c r="U629" s="4"/>
      <c r="V629" s="4"/>
      <c r="W629" s="4"/>
    </row>
    <row r="630" spans="1:23" s="5" customFormat="1" ht="15" x14ac:dyDescent="0.25">
      <c r="A630" s="32"/>
      <c r="B630" s="32"/>
      <c r="C630" s="32"/>
      <c r="D630" s="36" t="s">
        <v>96</v>
      </c>
      <c r="E630" s="34"/>
      <c r="F630" s="35">
        <v>11</v>
      </c>
      <c r="G630" s="35">
        <v>9</v>
      </c>
      <c r="H630" s="35"/>
      <c r="I630" s="35">
        <v>2</v>
      </c>
      <c r="J630" s="35"/>
      <c r="K630" s="21">
        <f>+F630*G630*I630</f>
        <v>198</v>
      </c>
      <c r="L630" s="21"/>
      <c r="M630" s="21"/>
      <c r="N630" s="21"/>
      <c r="O630" s="21"/>
      <c r="P630" s="21"/>
      <c r="Q630" s="21"/>
      <c r="R630" s="21"/>
      <c r="S630" s="22"/>
      <c r="T630" s="4"/>
      <c r="U630" s="4"/>
      <c r="V630" s="4"/>
      <c r="W630" s="4"/>
    </row>
    <row r="631" spans="1:23" s="42" customFormat="1" ht="16.5" customHeight="1" x14ac:dyDescent="0.25">
      <c r="A631" s="32"/>
      <c r="B631" s="32"/>
      <c r="C631" s="32"/>
      <c r="D631" s="40" t="e">
        <f>+'PRESUPUESTO DE OBRA'!#REF!</f>
        <v>#REF!</v>
      </c>
      <c r="E631" s="38" t="e">
        <f>+'PRESUPUESTO DE OBRA'!#REF!</f>
        <v>#REF!</v>
      </c>
      <c r="F631" s="35">
        <v>38.06</v>
      </c>
      <c r="G631" s="35">
        <v>4.32</v>
      </c>
      <c r="H631" s="35"/>
      <c r="I631" s="35"/>
      <c r="J631" s="35"/>
      <c r="K631" s="21">
        <f>+F631+G631</f>
        <v>42.38</v>
      </c>
      <c r="L631" s="21"/>
      <c r="M631" s="21"/>
      <c r="N631" s="21"/>
      <c r="O631" s="21"/>
      <c r="P631" s="21"/>
      <c r="Q631" s="21"/>
      <c r="R631" s="21"/>
      <c r="S631" s="22"/>
      <c r="T631" s="41"/>
      <c r="U631" s="41"/>
      <c r="V631" s="41"/>
      <c r="W631" s="41"/>
    </row>
    <row r="632" spans="1:23" s="42" customFormat="1" ht="16.5" customHeight="1" x14ac:dyDescent="0.25">
      <c r="A632" s="32"/>
      <c r="B632" s="32"/>
      <c r="C632" s="32"/>
      <c r="D632" s="36" t="s">
        <v>97</v>
      </c>
      <c r="E632" s="38"/>
      <c r="F632" s="35"/>
      <c r="G632" s="35"/>
      <c r="H632" s="35"/>
      <c r="I632" s="35"/>
      <c r="J632" s="35"/>
      <c r="K632" s="22">
        <f>+K633+K634</f>
        <v>217.14920000000001</v>
      </c>
      <c r="L632" s="21"/>
      <c r="M632" s="21"/>
      <c r="N632" s="21"/>
      <c r="O632" s="21"/>
      <c r="P632" s="21"/>
      <c r="Q632" s="21"/>
      <c r="R632" s="21"/>
      <c r="S632" s="22">
        <f>+K632</f>
        <v>217.14920000000001</v>
      </c>
      <c r="T632" s="41"/>
      <c r="U632" s="41"/>
      <c r="V632" s="41"/>
      <c r="W632" s="41"/>
    </row>
    <row r="633" spans="1:23" s="42" customFormat="1" ht="16.5" customHeight="1" x14ac:dyDescent="0.25">
      <c r="A633" s="32"/>
      <c r="B633" s="32"/>
      <c r="C633" s="32"/>
      <c r="D633" s="36" t="s">
        <v>96</v>
      </c>
      <c r="E633" s="38"/>
      <c r="F633" s="35"/>
      <c r="G633" s="35"/>
      <c r="H633" s="35"/>
      <c r="I633" s="35"/>
      <c r="J633" s="35"/>
      <c r="K633" s="21">
        <f>(99-48)+1.73</f>
        <v>52.73</v>
      </c>
      <c r="L633" s="21"/>
      <c r="M633" s="21"/>
      <c r="N633" s="21"/>
      <c r="O633" s="21"/>
      <c r="P633" s="21"/>
      <c r="Q633" s="21"/>
      <c r="R633" s="21"/>
      <c r="S633" s="22"/>
      <c r="T633" s="41"/>
      <c r="U633" s="41"/>
      <c r="V633" s="41"/>
      <c r="W633" s="41"/>
    </row>
    <row r="634" spans="1:23" s="42" customFormat="1" ht="24.75" customHeight="1" x14ac:dyDescent="0.25">
      <c r="A634" s="32"/>
      <c r="B634" s="32"/>
      <c r="C634" s="32"/>
      <c r="D634" s="442" t="e">
        <f>+'PRESUPUESTO DE OBRA'!#REF!</f>
        <v>#REF!</v>
      </c>
      <c r="E634" s="19"/>
      <c r="F634" s="35">
        <v>38.06</v>
      </c>
      <c r="G634" s="35">
        <v>4.32</v>
      </c>
      <c r="H634" s="35"/>
      <c r="I634" s="35"/>
      <c r="J634" s="35"/>
      <c r="K634" s="21">
        <f>+F634*G634</f>
        <v>164.41920000000002</v>
      </c>
      <c r="L634" s="21"/>
      <c r="M634" s="21"/>
      <c r="N634" s="21"/>
      <c r="O634" s="21"/>
      <c r="P634" s="21"/>
      <c r="Q634" s="21"/>
      <c r="R634" s="21"/>
      <c r="S634" s="22"/>
      <c r="T634" s="41"/>
      <c r="U634" s="41"/>
      <c r="V634" s="41"/>
      <c r="W634" s="41"/>
    </row>
    <row r="635" spans="1:23" s="5" customFormat="1" ht="15" x14ac:dyDescent="0.25">
      <c r="A635" s="126" t="e">
        <f>+'PRESUPUESTO DE OBRA'!#REF!</f>
        <v>#REF!</v>
      </c>
      <c r="B635" s="126"/>
      <c r="C635" s="126"/>
      <c r="D635" s="23" t="e">
        <f>+'PRESUPUESTO DE OBRA'!#REF!</f>
        <v>#REF!</v>
      </c>
      <c r="E635" s="26" t="e">
        <f>+'PRESUPUESTO DE OBRA'!#REF!</f>
        <v>#REF!</v>
      </c>
      <c r="F635" s="22"/>
      <c r="G635" s="20"/>
      <c r="H635" s="22"/>
      <c r="I635" s="22"/>
      <c r="J635" s="22"/>
      <c r="K635" s="21"/>
      <c r="L635" s="21"/>
      <c r="M635" s="21"/>
      <c r="N635" s="21"/>
      <c r="O635" s="21"/>
      <c r="P635" s="21"/>
      <c r="Q635" s="21"/>
      <c r="R635" s="21"/>
      <c r="S635" s="22"/>
      <c r="T635" s="6"/>
      <c r="U635" s="6"/>
      <c r="V635" s="6"/>
      <c r="W635" s="6"/>
    </row>
    <row r="636" spans="1:23" s="5" customFormat="1" ht="29.25" customHeight="1" x14ac:dyDescent="0.25">
      <c r="A636" s="17"/>
      <c r="B636" s="17"/>
      <c r="C636" s="17"/>
      <c r="D636" s="23" t="e">
        <f>+'PRESUPUESTO DE OBRA'!#REF!</f>
        <v>#REF!</v>
      </c>
      <c r="E636" s="26" t="e">
        <f>+'PRESUPUESTO DE OBRA'!#REF!</f>
        <v>#REF!</v>
      </c>
      <c r="F636" s="21">
        <v>22</v>
      </c>
      <c r="G636" s="20">
        <v>14</v>
      </c>
      <c r="H636" s="20">
        <v>0.4</v>
      </c>
      <c r="I636" s="20"/>
      <c r="J636" s="20"/>
      <c r="K636" s="21"/>
      <c r="L636" s="21">
        <f>+F636*G636*H636</f>
        <v>123.2</v>
      </c>
      <c r="M636" s="21"/>
      <c r="N636" s="21"/>
      <c r="O636" s="21"/>
      <c r="P636" s="21"/>
      <c r="Q636" s="21"/>
      <c r="R636" s="21"/>
      <c r="S636" s="22">
        <f>+L636</f>
        <v>123.2</v>
      </c>
      <c r="T636" s="6"/>
      <c r="U636" s="6"/>
      <c r="V636" s="6"/>
      <c r="W636" s="6"/>
    </row>
    <row r="637" spans="1:23" s="5" customFormat="1" ht="15" x14ac:dyDescent="0.25">
      <c r="A637" s="17"/>
      <c r="B637" s="17"/>
      <c r="C637" s="17"/>
      <c r="D637" s="23" t="e">
        <f>+'PRESUPUESTO DE OBRA'!#REF!</f>
        <v>#REF!</v>
      </c>
      <c r="E637" s="26" t="e">
        <f>+'PRESUPUESTO DE OBRA'!#REF!</f>
        <v>#REF!</v>
      </c>
      <c r="F637" s="21">
        <f>22*2+14*2</f>
        <v>72</v>
      </c>
      <c r="G637" s="20"/>
      <c r="H637" s="20"/>
      <c r="I637" s="20"/>
      <c r="J637" s="20"/>
      <c r="K637" s="21"/>
      <c r="L637" s="21"/>
      <c r="M637" s="21"/>
      <c r="N637" s="21"/>
      <c r="O637" s="21"/>
      <c r="P637" s="21"/>
      <c r="Q637" s="21"/>
      <c r="R637" s="21"/>
      <c r="S637" s="22">
        <f>+F637</f>
        <v>72</v>
      </c>
      <c r="T637" s="6"/>
      <c r="U637" s="6"/>
      <c r="V637" s="6"/>
      <c r="W637" s="6"/>
    </row>
    <row r="638" spans="1:23" s="5" customFormat="1" ht="32.25" customHeight="1" x14ac:dyDescent="0.25">
      <c r="A638" s="17"/>
      <c r="B638" s="17"/>
      <c r="C638" s="17"/>
      <c r="D638" s="23" t="e">
        <f>+'PRESUPUESTO DE OBRA'!#REF!</f>
        <v>#REF!</v>
      </c>
      <c r="E638" s="26" t="e">
        <f>+'PRESUPUESTO DE OBRA'!#REF!</f>
        <v>#REF!</v>
      </c>
      <c r="F638" s="21">
        <v>22</v>
      </c>
      <c r="G638" s="20">
        <v>14</v>
      </c>
      <c r="H638" s="20">
        <v>0.1</v>
      </c>
      <c r="I638" s="20"/>
      <c r="J638" s="20"/>
      <c r="K638" s="21"/>
      <c r="L638" s="21">
        <f>+F638*G638*H638</f>
        <v>30.8</v>
      </c>
      <c r="M638" s="21"/>
      <c r="N638" s="21"/>
      <c r="O638" s="21"/>
      <c r="P638" s="21"/>
      <c r="Q638" s="21"/>
      <c r="R638" s="21"/>
      <c r="S638" s="22">
        <f>+L638</f>
        <v>30.8</v>
      </c>
      <c r="T638" s="6"/>
      <c r="U638" s="6"/>
      <c r="V638" s="6"/>
      <c r="W638" s="6"/>
    </row>
    <row r="639" spans="1:23" s="5" customFormat="1" ht="15" x14ac:dyDescent="0.25">
      <c r="A639" s="17"/>
      <c r="B639" s="17"/>
      <c r="C639" s="17"/>
      <c r="D639" s="23" t="e">
        <f>+'PRESUPUESTO DE OBRA'!#REF!</f>
        <v>#REF!</v>
      </c>
      <c r="E639" s="26" t="e">
        <f>+'PRESUPUESTO DE OBRA'!#REF!</f>
        <v>#REF!</v>
      </c>
      <c r="F639" s="21">
        <v>22</v>
      </c>
      <c r="G639" s="20">
        <v>14</v>
      </c>
      <c r="H639" s="20"/>
      <c r="I639" s="20"/>
      <c r="J639" s="20"/>
      <c r="K639" s="21">
        <f>+F639*G639</f>
        <v>308</v>
      </c>
      <c r="L639" s="21"/>
      <c r="M639" s="21"/>
      <c r="N639" s="21"/>
      <c r="O639" s="21"/>
      <c r="P639" s="21"/>
      <c r="Q639" s="21"/>
      <c r="R639" s="21"/>
      <c r="S639" s="22">
        <f>+K639</f>
        <v>308</v>
      </c>
      <c r="T639" s="6"/>
      <c r="U639" s="6"/>
      <c r="V639" s="6"/>
      <c r="W639" s="6"/>
    </row>
    <row r="640" spans="1:23" s="5" customFormat="1" ht="15" x14ac:dyDescent="0.25">
      <c r="A640" s="17"/>
      <c r="B640" s="17"/>
      <c r="C640" s="17"/>
      <c r="D640" s="23" t="e">
        <f>+'PRESUPUESTO DE OBRA'!#REF!</f>
        <v>#REF!</v>
      </c>
      <c r="E640" s="26" t="e">
        <f>+'PRESUPUESTO DE OBRA'!#REF!</f>
        <v>#REF!</v>
      </c>
      <c r="F640" s="21">
        <v>22</v>
      </c>
      <c r="G640" s="20">
        <v>14</v>
      </c>
      <c r="H640" s="20"/>
      <c r="I640" s="20"/>
      <c r="J640" s="20"/>
      <c r="K640" s="21">
        <f>+F640*G640</f>
        <v>308</v>
      </c>
      <c r="L640" s="21"/>
      <c r="M640" s="21"/>
      <c r="N640" s="21"/>
      <c r="O640" s="21"/>
      <c r="P640" s="21"/>
      <c r="Q640" s="21"/>
      <c r="R640" s="21"/>
      <c r="S640" s="22">
        <f>+K640</f>
        <v>308</v>
      </c>
      <c r="T640" s="6"/>
      <c r="U640" s="6"/>
      <c r="V640" s="6"/>
      <c r="W640" s="6"/>
    </row>
    <row r="641" spans="1:23" s="5" customFormat="1" ht="15" x14ac:dyDescent="0.25">
      <c r="A641" s="17"/>
      <c r="B641" s="17"/>
      <c r="C641" s="17"/>
      <c r="D641" s="442" t="e">
        <f>+'PRESUPUESTO DE OBRA'!#REF!</f>
        <v>#REF!</v>
      </c>
      <c r="E641" s="19"/>
      <c r="F641" s="21">
        <v>22</v>
      </c>
      <c r="G641" s="20">
        <v>14</v>
      </c>
      <c r="H641" s="20">
        <v>0.3</v>
      </c>
      <c r="I641" s="20"/>
      <c r="J641" s="20"/>
      <c r="K641" s="21"/>
      <c r="L641" s="21">
        <f>+F641*G641*H641</f>
        <v>92.399999999999991</v>
      </c>
      <c r="M641" s="21"/>
      <c r="N641" s="21"/>
      <c r="O641" s="21"/>
      <c r="P641" s="21"/>
      <c r="Q641" s="21"/>
      <c r="R641" s="21"/>
      <c r="S641" s="22">
        <f>+L641</f>
        <v>92.399999999999991</v>
      </c>
      <c r="T641" s="6"/>
      <c r="U641" s="6"/>
      <c r="V641" s="6"/>
      <c r="W641" s="6"/>
    </row>
    <row r="642" spans="1:23" s="5" customFormat="1" ht="18" customHeight="1" x14ac:dyDescent="0.25">
      <c r="A642" s="126" t="e">
        <f>+'PRESUPUESTO DE OBRA'!#REF!</f>
        <v>#REF!</v>
      </c>
      <c r="B642" s="126"/>
      <c r="C642" s="126"/>
      <c r="D642" s="23" t="e">
        <f>+'PRESUPUESTO DE OBRA'!#REF!</f>
        <v>#REF!</v>
      </c>
      <c r="E642" s="26" t="e">
        <f>+'PRESUPUESTO DE OBRA'!#REF!</f>
        <v>#REF!</v>
      </c>
      <c r="F642" s="22"/>
      <c r="G642" s="20"/>
      <c r="H642" s="22"/>
      <c r="I642" s="22"/>
      <c r="J642" s="22"/>
      <c r="K642" s="21"/>
      <c r="L642" s="21"/>
      <c r="M642" s="21"/>
      <c r="N642" s="21"/>
      <c r="O642" s="21"/>
      <c r="P642" s="21"/>
      <c r="Q642" s="21"/>
      <c r="R642" s="21"/>
      <c r="S642" s="22"/>
      <c r="T642" s="6"/>
      <c r="U642" s="6"/>
      <c r="V642" s="6"/>
      <c r="W642" s="6"/>
    </row>
    <row r="643" spans="1:23" s="5" customFormat="1" ht="27" customHeight="1" x14ac:dyDescent="0.25">
      <c r="A643" s="17"/>
      <c r="B643" s="17"/>
      <c r="C643" s="17"/>
      <c r="D643" s="23" t="e">
        <f>+'PRESUPUESTO DE OBRA'!#REF!</f>
        <v>#REF!</v>
      </c>
      <c r="E643" s="26" t="e">
        <f>+'PRESUPUESTO DE OBRA'!#REF!</f>
        <v>#REF!</v>
      </c>
      <c r="F643" s="21">
        <v>28</v>
      </c>
      <c r="G643" s="20">
        <v>19</v>
      </c>
      <c r="H643" s="20">
        <v>0.4</v>
      </c>
      <c r="I643" s="20">
        <v>3</v>
      </c>
      <c r="J643" s="20"/>
      <c r="K643" s="22"/>
      <c r="L643" s="21">
        <f>+F643*G643*H643*I643</f>
        <v>638.40000000000009</v>
      </c>
      <c r="M643" s="21"/>
      <c r="N643" s="21"/>
      <c r="O643" s="21"/>
      <c r="P643" s="21"/>
      <c r="Q643" s="21"/>
      <c r="R643" s="21"/>
      <c r="S643" s="22">
        <f>+L643</f>
        <v>638.40000000000009</v>
      </c>
      <c r="T643" s="6"/>
      <c r="U643" s="6"/>
      <c r="V643" s="6"/>
      <c r="W643" s="6"/>
    </row>
    <row r="644" spans="1:23" s="5" customFormat="1" ht="37.5" customHeight="1" collapsed="1" x14ac:dyDescent="0.25">
      <c r="A644" s="17"/>
      <c r="B644" s="17"/>
      <c r="C644" s="17"/>
      <c r="D644" s="23" t="e">
        <f>+'PRESUPUESTO DE OBRA'!#REF!</f>
        <v>#REF!</v>
      </c>
      <c r="E644" s="26" t="e">
        <f>+'PRESUPUESTO DE OBRA'!#REF!</f>
        <v>#REF!</v>
      </c>
      <c r="F644" s="21">
        <v>28</v>
      </c>
      <c r="G644" s="20">
        <v>19</v>
      </c>
      <c r="H644" s="20">
        <v>0.2</v>
      </c>
      <c r="I644" s="20">
        <v>3</v>
      </c>
      <c r="J644" s="20"/>
      <c r="K644" s="22"/>
      <c r="L644" s="21">
        <f t="shared" ref="L644" si="88">+F644*G644*H644*I644</f>
        <v>319.20000000000005</v>
      </c>
      <c r="M644" s="21"/>
      <c r="N644" s="21"/>
      <c r="O644" s="21"/>
      <c r="P644" s="21"/>
      <c r="Q644" s="21"/>
      <c r="R644" s="21"/>
      <c r="S644" s="22">
        <f>+L644</f>
        <v>319.20000000000005</v>
      </c>
      <c r="T644" s="4"/>
      <c r="U644" s="4"/>
      <c r="V644" s="4"/>
      <c r="W644" s="4"/>
    </row>
    <row r="645" spans="1:23" s="5" customFormat="1" ht="15" x14ac:dyDescent="0.25">
      <c r="A645" s="17"/>
      <c r="B645" s="17"/>
      <c r="C645" s="17"/>
      <c r="D645" s="23" t="e">
        <f>+'PRESUPUESTO DE OBRA'!#REF!</f>
        <v>#REF!</v>
      </c>
      <c r="E645" s="26" t="e">
        <f>+'PRESUPUESTO DE OBRA'!#REF!</f>
        <v>#REF!</v>
      </c>
      <c r="F645" s="21">
        <v>28</v>
      </c>
      <c r="G645" s="20">
        <v>19</v>
      </c>
      <c r="H645" s="20"/>
      <c r="I645" s="20">
        <v>3</v>
      </c>
      <c r="J645" s="20"/>
      <c r="K645" s="21">
        <f>+F645*G645*I645</f>
        <v>1596</v>
      </c>
      <c r="L645" s="21"/>
      <c r="M645" s="21"/>
      <c r="N645" s="21"/>
      <c r="O645" s="21"/>
      <c r="P645" s="21"/>
      <c r="Q645" s="21"/>
      <c r="R645" s="21"/>
      <c r="S645" s="22">
        <f>+K645</f>
        <v>1596</v>
      </c>
      <c r="T645" s="6"/>
      <c r="U645" s="6"/>
      <c r="V645" s="6"/>
      <c r="W645" s="6"/>
    </row>
    <row r="646" spans="1:23" s="5" customFormat="1" ht="15" x14ac:dyDescent="0.25">
      <c r="A646" s="17"/>
      <c r="B646" s="17"/>
      <c r="C646" s="17"/>
      <c r="D646" s="23" t="e">
        <f>+'PRESUPUESTO DE OBRA'!#REF!</f>
        <v>#REF!</v>
      </c>
      <c r="E646" s="26" t="e">
        <f>+'PRESUPUESTO DE OBRA'!#REF!</f>
        <v>#REF!</v>
      </c>
      <c r="F646" s="21">
        <f>74+200+58</f>
        <v>332</v>
      </c>
      <c r="G646" s="20"/>
      <c r="H646" s="20"/>
      <c r="I646" s="20">
        <v>3</v>
      </c>
      <c r="J646" s="20">
        <f>+F646*I646</f>
        <v>996</v>
      </c>
      <c r="K646" s="21"/>
      <c r="L646" s="21"/>
      <c r="M646" s="21"/>
      <c r="N646" s="21"/>
      <c r="O646" s="21"/>
      <c r="P646" s="21"/>
      <c r="Q646" s="21"/>
      <c r="R646" s="21"/>
      <c r="S646" s="22">
        <f>+J646</f>
        <v>996</v>
      </c>
      <c r="T646" s="6"/>
      <c r="U646" s="6"/>
      <c r="V646" s="6"/>
      <c r="W646" s="6"/>
    </row>
    <row r="647" spans="1:23" s="5" customFormat="1" ht="15" x14ac:dyDescent="0.25">
      <c r="A647" s="17"/>
      <c r="B647" s="17"/>
      <c r="C647" s="17"/>
      <c r="D647" s="23" t="e">
        <f>+'PRESUPUESTO DE OBRA'!#REF!</f>
        <v>#REF!</v>
      </c>
      <c r="E647" s="26" t="e">
        <f>+'PRESUPUESTO DE OBRA'!#REF!</f>
        <v>#REF!</v>
      </c>
      <c r="F647" s="21">
        <v>28</v>
      </c>
      <c r="G647" s="20">
        <v>19</v>
      </c>
      <c r="H647" s="20"/>
      <c r="I647" s="20">
        <v>3</v>
      </c>
      <c r="J647" s="20"/>
      <c r="K647" s="21">
        <f>+F647*G647*I647</f>
        <v>1596</v>
      </c>
      <c r="L647" s="21"/>
      <c r="M647" s="21"/>
      <c r="N647" s="21"/>
      <c r="O647" s="21"/>
      <c r="P647" s="21"/>
      <c r="Q647" s="21"/>
      <c r="R647" s="21"/>
      <c r="S647" s="22">
        <f>+K647</f>
        <v>1596</v>
      </c>
      <c r="T647" s="6"/>
      <c r="U647" s="6"/>
      <c r="V647" s="6"/>
      <c r="W647" s="6"/>
    </row>
    <row r="648" spans="1:23" s="5" customFormat="1" ht="52.5" customHeight="1" x14ac:dyDescent="0.25">
      <c r="A648" s="17"/>
      <c r="B648" s="17"/>
      <c r="C648" s="17"/>
      <c r="D648" s="23" t="e">
        <f>+'PRESUPUESTO DE OBRA'!#REF!</f>
        <v>#REF!</v>
      </c>
      <c r="E648" s="26" t="e">
        <f>+'PRESUPUESTO DE OBRA'!#REF!</f>
        <v>#REF!</v>
      </c>
      <c r="F648" s="21"/>
      <c r="G648" s="20"/>
      <c r="H648" s="20"/>
      <c r="I648" s="20">
        <v>6</v>
      </c>
      <c r="J648" s="20"/>
      <c r="K648" s="21"/>
      <c r="L648" s="21"/>
      <c r="M648" s="21"/>
      <c r="N648" s="21"/>
      <c r="O648" s="21"/>
      <c r="P648" s="21"/>
      <c r="Q648" s="21"/>
      <c r="R648" s="21"/>
      <c r="S648" s="22">
        <v>6</v>
      </c>
      <c r="T648" s="6"/>
      <c r="U648" s="6"/>
      <c r="V648" s="6"/>
      <c r="W648" s="6"/>
    </row>
    <row r="649" spans="1:23" s="5" customFormat="1" ht="15" x14ac:dyDescent="0.25">
      <c r="A649" s="17"/>
      <c r="B649" s="17"/>
      <c r="C649" s="17"/>
      <c r="D649" s="442" t="e">
        <f>+'PRESUPUESTO DE OBRA'!#REF!</f>
        <v>#REF!</v>
      </c>
      <c r="E649" s="19"/>
      <c r="F649" s="21">
        <v>120.7</v>
      </c>
      <c r="G649" s="20"/>
      <c r="H649" s="20">
        <v>5</v>
      </c>
      <c r="I649" s="20"/>
      <c r="J649" s="20"/>
      <c r="K649" s="21">
        <f>+F649*H649</f>
        <v>603.5</v>
      </c>
      <c r="L649" s="21"/>
      <c r="M649" s="21"/>
      <c r="N649" s="21"/>
      <c r="O649" s="21"/>
      <c r="P649" s="21"/>
      <c r="Q649" s="21"/>
      <c r="R649" s="21"/>
      <c r="S649" s="22">
        <f>+K649</f>
        <v>603.5</v>
      </c>
      <c r="T649" s="6"/>
      <c r="U649" s="6"/>
      <c r="V649" s="6"/>
      <c r="W649" s="6"/>
    </row>
    <row r="650" spans="1:23" ht="15" x14ac:dyDescent="0.2">
      <c r="A650" s="17"/>
      <c r="B650" s="126"/>
      <c r="C650" s="126"/>
      <c r="D650" s="141" t="e">
        <f>+'PRESUPUESTO DE OBRA'!#REF!</f>
        <v>#REF!</v>
      </c>
      <c r="E650" s="19"/>
      <c r="F650" s="22"/>
      <c r="G650" s="20"/>
      <c r="H650" s="22"/>
      <c r="I650" s="22"/>
      <c r="J650" s="22"/>
      <c r="K650" s="21"/>
      <c r="L650" s="21"/>
      <c r="M650" s="21"/>
      <c r="N650" s="21"/>
      <c r="O650" s="21"/>
      <c r="P650" s="21"/>
      <c r="Q650" s="21"/>
      <c r="R650" s="21"/>
      <c r="S650" s="22"/>
    </row>
    <row r="651" spans="1:23" ht="15" x14ac:dyDescent="0.2">
      <c r="A651" s="17"/>
      <c r="B651" s="17"/>
      <c r="C651" s="17"/>
      <c r="D651" s="23" t="e">
        <f>+'PRESUPUESTO DE OBRA'!#REF!</f>
        <v>#REF!</v>
      </c>
      <c r="E651" s="26" t="e">
        <f>+'PRESUPUESTO DE OBRA'!#REF!</f>
        <v>#REF!</v>
      </c>
      <c r="F651" s="20"/>
      <c r="G651" s="20"/>
      <c r="H651" s="20"/>
      <c r="I651" s="20"/>
      <c r="J651" s="20"/>
      <c r="K651" s="21"/>
      <c r="L651" s="21"/>
      <c r="M651" s="21"/>
      <c r="N651" s="21"/>
      <c r="O651" s="21"/>
      <c r="P651" s="21"/>
      <c r="Q651" s="21"/>
      <c r="R651" s="21"/>
      <c r="S651" s="22"/>
    </row>
    <row r="652" spans="1:23" ht="28.5" customHeight="1" x14ac:dyDescent="0.2">
      <c r="A652" s="17"/>
      <c r="B652" s="17"/>
      <c r="C652" s="17"/>
      <c r="D652" s="23" t="e">
        <f>+'PRESUPUESTO DE OBRA'!#REF!</f>
        <v>#REF!</v>
      </c>
      <c r="E652" s="26" t="e">
        <f>+'PRESUPUESTO DE OBRA'!#REF!</f>
        <v>#REF!</v>
      </c>
      <c r="F652" s="20"/>
      <c r="G652" s="20"/>
      <c r="H652" s="20">
        <v>0.25</v>
      </c>
      <c r="I652" s="20"/>
      <c r="J652" s="20"/>
      <c r="K652" s="21">
        <f>556.5+465.02+113.66</f>
        <v>1135.18</v>
      </c>
      <c r="L652" s="21">
        <f>+K652*H652</f>
        <v>283.79500000000002</v>
      </c>
      <c r="M652" s="21"/>
      <c r="N652" s="21"/>
      <c r="O652" s="21"/>
      <c r="P652" s="21"/>
      <c r="Q652" s="21"/>
      <c r="R652" s="21"/>
      <c r="S652" s="22">
        <f>+L652</f>
        <v>283.79500000000002</v>
      </c>
    </row>
    <row r="653" spans="1:23" ht="28.5" customHeight="1" x14ac:dyDescent="0.2">
      <c r="A653" s="17"/>
      <c r="B653" s="17"/>
      <c r="C653" s="17"/>
      <c r="D653" s="23" t="e">
        <f>+'PRESUPUESTO DE OBRA'!#REF!</f>
        <v>#REF!</v>
      </c>
      <c r="E653" s="26" t="e">
        <f>+'PRESUPUESTO DE OBRA'!#REF!</f>
        <v>#REF!</v>
      </c>
      <c r="F653" s="20"/>
      <c r="G653" s="20"/>
      <c r="H653" s="20">
        <v>0.2</v>
      </c>
      <c r="I653" s="20"/>
      <c r="J653" s="20"/>
      <c r="K653" s="21">
        <v>465.02</v>
      </c>
      <c r="L653" s="21">
        <f>+K653*H653</f>
        <v>93.004000000000005</v>
      </c>
      <c r="M653" s="21"/>
      <c r="N653" s="21"/>
      <c r="O653" s="21"/>
      <c r="P653" s="21"/>
      <c r="Q653" s="21"/>
      <c r="R653" s="21"/>
      <c r="S653" s="22">
        <f>+L653</f>
        <v>93.004000000000005</v>
      </c>
    </row>
    <row r="654" spans="1:23" ht="28.5" customHeight="1" x14ac:dyDescent="0.2">
      <c r="A654" s="17"/>
      <c r="B654" s="17"/>
      <c r="C654" s="17"/>
      <c r="D654" s="23" t="e">
        <f>+'PRESUPUESTO DE OBRA'!#REF!</f>
        <v>#REF!</v>
      </c>
      <c r="E654" s="26" t="e">
        <f>+'PRESUPUESTO DE OBRA'!#REF!</f>
        <v>#REF!</v>
      </c>
      <c r="F654" s="20"/>
      <c r="G654" s="20"/>
      <c r="H654" s="20">
        <v>0.1</v>
      </c>
      <c r="I654" s="20"/>
      <c r="J654" s="20"/>
      <c r="K654" s="21">
        <f>556.5+465.02+113.66</f>
        <v>1135.18</v>
      </c>
      <c r="L654" s="21">
        <f>+K654*H654</f>
        <v>113.51800000000001</v>
      </c>
      <c r="M654" s="21"/>
      <c r="N654" s="21"/>
      <c r="O654" s="21"/>
      <c r="P654" s="21"/>
      <c r="Q654" s="21"/>
      <c r="R654" s="21"/>
      <c r="S654" s="22">
        <f>+L654</f>
        <v>113.51800000000001</v>
      </c>
    </row>
    <row r="655" spans="1:23" ht="28.5" customHeight="1" x14ac:dyDescent="0.2">
      <c r="A655" s="17"/>
      <c r="B655" s="17"/>
      <c r="C655" s="17"/>
      <c r="D655" s="23" t="e">
        <f>+'PRESUPUESTO DE OBRA'!#REF!</f>
        <v>#REF!</v>
      </c>
      <c r="E655" s="26" t="e">
        <f>+'PRESUPUESTO DE OBRA'!#REF!</f>
        <v>#REF!</v>
      </c>
      <c r="F655" s="20"/>
      <c r="G655" s="20"/>
      <c r="H655" s="20"/>
      <c r="I655" s="20"/>
      <c r="J655" s="20"/>
      <c r="K655" s="21">
        <f>+K654</f>
        <v>1135.18</v>
      </c>
      <c r="L655" s="21"/>
      <c r="M655" s="21"/>
      <c r="N655" s="21"/>
      <c r="O655" s="21"/>
      <c r="P655" s="21"/>
      <c r="Q655" s="21"/>
      <c r="R655" s="21"/>
      <c r="S655" s="22">
        <f>+K655</f>
        <v>1135.18</v>
      </c>
    </row>
    <row r="656" spans="1:23" ht="28.5" customHeight="1" x14ac:dyDescent="0.2">
      <c r="A656" s="17"/>
      <c r="B656" s="17"/>
      <c r="C656" s="17"/>
      <c r="D656" s="141" t="e">
        <f>+'PRESUPUESTO DE OBRA'!#REF!</f>
        <v>#REF!</v>
      </c>
      <c r="E656" s="26"/>
      <c r="F656" s="20"/>
      <c r="G656" s="20"/>
      <c r="H656" s="20"/>
      <c r="I656" s="20"/>
      <c r="J656" s="20"/>
      <c r="K656" s="21">
        <f>+K655</f>
        <v>1135.18</v>
      </c>
      <c r="L656" s="21"/>
      <c r="M656" s="21"/>
      <c r="N656" s="21"/>
      <c r="O656" s="21"/>
      <c r="P656" s="21"/>
      <c r="Q656" s="21"/>
      <c r="R656" s="21"/>
      <c r="S656" s="22">
        <f>+K656</f>
        <v>1135.18</v>
      </c>
    </row>
    <row r="657" spans="1:21" ht="28.5" customHeight="1" x14ac:dyDescent="0.2">
      <c r="A657" s="17"/>
      <c r="B657" s="17"/>
      <c r="C657" s="17"/>
      <c r="D657" s="23" t="e">
        <f>+'PRESUPUESTO DE OBRA'!#REF!</f>
        <v>#REF!</v>
      </c>
      <c r="E657" s="26" t="e">
        <f>+'PRESUPUESTO DE OBRA'!#REF!</f>
        <v>#REF!</v>
      </c>
      <c r="F657" s="20"/>
      <c r="G657" s="20"/>
      <c r="H657" s="20"/>
      <c r="I657" s="20"/>
      <c r="J657" s="20"/>
      <c r="K657" s="21"/>
      <c r="L657" s="21"/>
      <c r="M657" s="21"/>
      <c r="N657" s="21"/>
      <c r="O657" s="21"/>
      <c r="P657" s="21"/>
      <c r="Q657" s="21"/>
      <c r="R657" s="21"/>
      <c r="S657" s="22"/>
    </row>
    <row r="658" spans="1:21" ht="28.5" customHeight="1" x14ac:dyDescent="0.2">
      <c r="A658" s="17"/>
      <c r="B658" s="17"/>
      <c r="C658" s="17"/>
      <c r="D658" s="139" t="s">
        <v>641</v>
      </c>
      <c r="E658" s="26"/>
      <c r="F658" s="20"/>
      <c r="G658" s="20"/>
      <c r="H658" s="20"/>
      <c r="I658" s="20"/>
      <c r="J658" s="20"/>
      <c r="K658" s="21"/>
      <c r="L658" s="22">
        <f>+L659+L660+L661+L662</f>
        <v>39.069500000000005</v>
      </c>
      <c r="M658" s="22"/>
      <c r="N658" s="22"/>
      <c r="O658" s="22"/>
      <c r="P658" s="22"/>
      <c r="Q658" s="22"/>
      <c r="R658" s="22"/>
      <c r="S658" s="22">
        <f>+L658</f>
        <v>39.069500000000005</v>
      </c>
    </row>
    <row r="659" spans="1:21" ht="14.25" customHeight="1" x14ac:dyDescent="0.2">
      <c r="A659" s="17"/>
      <c r="B659" s="17"/>
      <c r="C659" s="17"/>
      <c r="D659" s="139" t="s">
        <v>675</v>
      </c>
      <c r="E659" s="26"/>
      <c r="F659" s="20">
        <v>1.45</v>
      </c>
      <c r="G659" s="20">
        <v>1.45</v>
      </c>
      <c r="H659" s="20">
        <v>2.5</v>
      </c>
      <c r="I659" s="20">
        <v>6</v>
      </c>
      <c r="J659" s="20"/>
      <c r="K659" s="21"/>
      <c r="L659" s="21">
        <f>+F659*G659*H659*I659</f>
        <v>31.537499999999998</v>
      </c>
      <c r="M659" s="21"/>
      <c r="N659" s="21"/>
      <c r="O659" s="21"/>
      <c r="P659" s="21"/>
      <c r="Q659" s="21"/>
      <c r="R659" s="21"/>
      <c r="S659" s="22"/>
    </row>
    <row r="660" spans="1:21" ht="14.25" customHeight="1" x14ac:dyDescent="0.2">
      <c r="A660" s="17"/>
      <c r="B660" s="17"/>
      <c r="C660" s="17"/>
      <c r="D660" s="139" t="s">
        <v>643</v>
      </c>
      <c r="E660" s="26"/>
      <c r="F660" s="20">
        <f>9.01*2+5.14*3</f>
        <v>33.44</v>
      </c>
      <c r="G660" s="20">
        <v>0.25</v>
      </c>
      <c r="H660" s="20">
        <v>0.5</v>
      </c>
      <c r="I660" s="20"/>
      <c r="J660" s="20"/>
      <c r="K660" s="21"/>
      <c r="L660" s="21">
        <f t="shared" ref="L660:L672" si="89">+F660*G660*H660</f>
        <v>4.18</v>
      </c>
      <c r="M660" s="21"/>
      <c r="N660" s="21"/>
      <c r="O660" s="21"/>
      <c r="P660" s="21"/>
      <c r="Q660" s="21"/>
      <c r="R660" s="21"/>
      <c r="S660" s="22"/>
    </row>
    <row r="661" spans="1:21" ht="14.25" customHeight="1" x14ac:dyDescent="0.2">
      <c r="A661" s="17"/>
      <c r="B661" s="17"/>
      <c r="C661" s="17"/>
      <c r="D661" s="139" t="s">
        <v>644</v>
      </c>
      <c r="E661" s="26"/>
      <c r="F661" s="20">
        <f>5.96*2</f>
        <v>11.92</v>
      </c>
      <c r="G661" s="20">
        <v>0.25</v>
      </c>
      <c r="H661" s="20">
        <v>0.4</v>
      </c>
      <c r="I661" s="20"/>
      <c r="J661" s="20"/>
      <c r="K661" s="21"/>
      <c r="L661" s="21">
        <f t="shared" si="89"/>
        <v>1.1919999999999999</v>
      </c>
      <c r="M661" s="21"/>
      <c r="N661" s="21"/>
      <c r="O661" s="21"/>
      <c r="P661" s="21"/>
      <c r="Q661" s="21"/>
      <c r="R661" s="21"/>
      <c r="S661" s="22"/>
    </row>
    <row r="662" spans="1:21" ht="14.25" customHeight="1" x14ac:dyDescent="0.2">
      <c r="A662" s="17"/>
      <c r="B662" s="17"/>
      <c r="C662" s="17"/>
      <c r="D662" s="23" t="e">
        <f>+'PRESUPUESTO DE OBRA'!#REF!</f>
        <v>#REF!</v>
      </c>
      <c r="E662" s="26" t="e">
        <f>+'PRESUPUESTO DE OBRA'!#REF!</f>
        <v>#REF!</v>
      </c>
      <c r="F662" s="20">
        <f>7.2*6</f>
        <v>43.2</v>
      </c>
      <c r="G662" s="20">
        <v>0.25</v>
      </c>
      <c r="H662" s="20">
        <v>0.2</v>
      </c>
      <c r="I662" s="20"/>
      <c r="J662" s="20"/>
      <c r="K662" s="21"/>
      <c r="L662" s="21">
        <f t="shared" si="89"/>
        <v>2.16</v>
      </c>
      <c r="M662" s="21"/>
      <c r="N662" s="21"/>
      <c r="O662" s="21"/>
      <c r="P662" s="21"/>
      <c r="Q662" s="21"/>
      <c r="R662" s="21"/>
      <c r="S662" s="22"/>
      <c r="U662" s="139"/>
    </row>
    <row r="663" spans="1:21" ht="28.5" customHeight="1" x14ac:dyDescent="0.2">
      <c r="A663" s="17"/>
      <c r="B663" s="17"/>
      <c r="C663" s="17"/>
      <c r="D663" s="23" t="e">
        <f>+'PRESUPUESTO DE OBRA'!#REF!</f>
        <v>#REF!</v>
      </c>
      <c r="E663" s="26" t="e">
        <f>+'PRESUPUESTO DE OBRA'!#REF!</f>
        <v>#REF!</v>
      </c>
      <c r="F663" s="20"/>
      <c r="G663" s="20"/>
      <c r="H663" s="20"/>
      <c r="I663" s="20"/>
      <c r="J663" s="20"/>
      <c r="K663" s="21"/>
      <c r="L663" s="21">
        <f t="shared" si="89"/>
        <v>0</v>
      </c>
      <c r="M663" s="21"/>
      <c r="N663" s="21"/>
      <c r="O663" s="21"/>
      <c r="P663" s="21"/>
      <c r="Q663" s="21"/>
      <c r="R663" s="21"/>
      <c r="S663" s="22">
        <f>+L658*0.6</f>
        <v>23.441700000000001</v>
      </c>
    </row>
    <row r="664" spans="1:21" ht="28.5" customHeight="1" x14ac:dyDescent="0.2">
      <c r="A664" s="17"/>
      <c r="B664" s="17"/>
      <c r="C664" s="17"/>
      <c r="D664" s="139" t="s">
        <v>646</v>
      </c>
      <c r="E664" s="26"/>
      <c r="F664" s="20"/>
      <c r="G664" s="20"/>
      <c r="H664" s="20"/>
      <c r="I664" s="20"/>
      <c r="J664" s="20"/>
      <c r="K664" s="21"/>
      <c r="L664" s="22">
        <f>+L665+L666+L667+L668+L669+L670+L671+L672</f>
        <v>22.959220000000002</v>
      </c>
      <c r="M664" s="22"/>
      <c r="N664" s="22"/>
      <c r="O664" s="22"/>
      <c r="P664" s="22"/>
      <c r="Q664" s="22"/>
      <c r="R664" s="22"/>
      <c r="S664" s="22">
        <f>+L664</f>
        <v>22.959220000000002</v>
      </c>
    </row>
    <row r="665" spans="1:21" ht="15" x14ac:dyDescent="0.2">
      <c r="A665" s="17"/>
      <c r="B665" s="17"/>
      <c r="C665" s="17"/>
      <c r="D665" s="139" t="s">
        <v>645</v>
      </c>
      <c r="E665" s="26"/>
      <c r="F665" s="20">
        <v>1.45</v>
      </c>
      <c r="G665" s="20">
        <v>1.45</v>
      </c>
      <c r="H665" s="20">
        <v>0.4</v>
      </c>
      <c r="I665" s="20">
        <v>6</v>
      </c>
      <c r="J665" s="20"/>
      <c r="K665" s="21"/>
      <c r="L665" s="21">
        <f>+F665*G665*H665*I665</f>
        <v>5.0460000000000003</v>
      </c>
      <c r="M665" s="21"/>
      <c r="N665" s="21"/>
      <c r="O665" s="21"/>
      <c r="P665" s="21"/>
      <c r="Q665" s="21"/>
      <c r="R665" s="21"/>
      <c r="S665" s="22"/>
    </row>
    <row r="666" spans="1:21" ht="15" x14ac:dyDescent="0.2">
      <c r="A666" s="17"/>
      <c r="B666" s="17"/>
      <c r="C666" s="17"/>
      <c r="D666" s="139" t="s">
        <v>647</v>
      </c>
      <c r="E666" s="26"/>
      <c r="F666" s="20">
        <v>0.25</v>
      </c>
      <c r="G666" s="20">
        <v>0.25</v>
      </c>
      <c r="H666" s="20">
        <v>1.6</v>
      </c>
      <c r="I666" s="20">
        <v>6</v>
      </c>
      <c r="J666" s="20"/>
      <c r="K666" s="21"/>
      <c r="L666" s="21">
        <f>+F666*G666*H666*I666</f>
        <v>0.60000000000000009</v>
      </c>
      <c r="M666" s="21"/>
      <c r="N666" s="21"/>
      <c r="O666" s="21"/>
      <c r="P666" s="21"/>
      <c r="Q666" s="21"/>
      <c r="R666" s="21"/>
      <c r="S666" s="22"/>
    </row>
    <row r="667" spans="1:21" ht="15" x14ac:dyDescent="0.2">
      <c r="A667" s="17"/>
      <c r="B667" s="17"/>
      <c r="C667" s="17"/>
      <c r="D667" s="139" t="s">
        <v>648</v>
      </c>
      <c r="E667" s="26"/>
      <c r="F667" s="20">
        <f>+F660</f>
        <v>33.44</v>
      </c>
      <c r="G667" s="20">
        <v>0.25</v>
      </c>
      <c r="H667" s="20">
        <v>0.5</v>
      </c>
      <c r="I667" s="20"/>
      <c r="J667" s="20"/>
      <c r="K667" s="21"/>
      <c r="L667" s="21">
        <f t="shared" si="89"/>
        <v>4.18</v>
      </c>
      <c r="M667" s="21"/>
      <c r="N667" s="21"/>
      <c r="O667" s="21"/>
      <c r="P667" s="21"/>
      <c r="Q667" s="21"/>
      <c r="R667" s="21"/>
      <c r="S667" s="22"/>
    </row>
    <row r="668" spans="1:21" ht="15" x14ac:dyDescent="0.2">
      <c r="A668" s="17"/>
      <c r="B668" s="17"/>
      <c r="C668" s="17"/>
      <c r="D668" s="139" t="s">
        <v>649</v>
      </c>
      <c r="E668" s="26"/>
      <c r="F668" s="20">
        <f>+F661</f>
        <v>11.92</v>
      </c>
      <c r="G668" s="20">
        <v>0.25</v>
      </c>
      <c r="H668" s="20">
        <v>0.4</v>
      </c>
      <c r="I668" s="20"/>
      <c r="J668" s="20"/>
      <c r="K668" s="21"/>
      <c r="L668" s="21">
        <f t="shared" si="89"/>
        <v>1.1919999999999999</v>
      </c>
      <c r="M668" s="21"/>
      <c r="N668" s="21"/>
      <c r="O668" s="21"/>
      <c r="P668" s="21"/>
      <c r="Q668" s="21"/>
      <c r="R668" s="21"/>
      <c r="S668" s="22"/>
    </row>
    <row r="669" spans="1:21" ht="15" x14ac:dyDescent="0.2">
      <c r="A669" s="17"/>
      <c r="B669" s="17"/>
      <c r="C669" s="17"/>
      <c r="D669" s="139" t="s">
        <v>650</v>
      </c>
      <c r="E669" s="26"/>
      <c r="F669" s="20">
        <f>+F662</f>
        <v>43.2</v>
      </c>
      <c r="G669" s="20">
        <v>0.25</v>
      </c>
      <c r="H669" s="20">
        <v>0.2</v>
      </c>
      <c r="I669" s="20"/>
      <c r="J669" s="20"/>
      <c r="K669" s="21"/>
      <c r="L669" s="21">
        <f t="shared" si="89"/>
        <v>2.16</v>
      </c>
      <c r="M669" s="21"/>
      <c r="N669" s="21"/>
      <c r="O669" s="21"/>
      <c r="P669" s="21"/>
      <c r="Q669" s="21"/>
      <c r="R669" s="21"/>
      <c r="S669" s="22"/>
    </row>
    <row r="670" spans="1:21" ht="15" x14ac:dyDescent="0.2">
      <c r="A670" s="17"/>
      <c r="B670" s="17"/>
      <c r="C670" s="17"/>
      <c r="D670" s="139" t="s">
        <v>651</v>
      </c>
      <c r="E670" s="26"/>
      <c r="F670" s="20">
        <v>0.25</v>
      </c>
      <c r="G670" s="20">
        <v>0.25</v>
      </c>
      <c r="H670" s="20">
        <v>3.5</v>
      </c>
      <c r="I670" s="20">
        <v>6</v>
      </c>
      <c r="J670" s="20"/>
      <c r="K670" s="21"/>
      <c r="L670" s="21">
        <f>+F670*G670*H670*I670</f>
        <v>1.3125</v>
      </c>
      <c r="M670" s="21"/>
      <c r="N670" s="21"/>
      <c r="O670" s="21"/>
      <c r="P670" s="21"/>
      <c r="Q670" s="21"/>
      <c r="R670" s="21"/>
      <c r="S670" s="22"/>
    </row>
    <row r="671" spans="1:21" ht="15" x14ac:dyDescent="0.2">
      <c r="A671" s="17"/>
      <c r="B671" s="17"/>
      <c r="C671" s="17"/>
      <c r="D671" s="139" t="s">
        <v>652</v>
      </c>
      <c r="E671" s="26"/>
      <c r="F671" s="20">
        <v>35.9</v>
      </c>
      <c r="G671" s="20">
        <v>0.25</v>
      </c>
      <c r="H671" s="20">
        <v>0.4</v>
      </c>
      <c r="I671" s="20"/>
      <c r="J671" s="20"/>
      <c r="K671" s="21"/>
      <c r="L671" s="21">
        <f t="shared" si="89"/>
        <v>3.59</v>
      </c>
      <c r="M671" s="21"/>
      <c r="N671" s="21"/>
      <c r="O671" s="21"/>
      <c r="P671" s="21"/>
      <c r="Q671" s="21"/>
      <c r="R671" s="21"/>
      <c r="S671" s="22"/>
    </row>
    <row r="672" spans="1:21" ht="15" x14ac:dyDescent="0.2">
      <c r="A672" s="17"/>
      <c r="B672" s="17"/>
      <c r="C672" s="17"/>
      <c r="D672" s="23" t="e">
        <f>+'PRESUPUESTO DE OBRA'!#REF!</f>
        <v>#REF!</v>
      </c>
      <c r="E672" s="26" t="e">
        <f>+'PRESUPUESTO DE OBRA'!#REF!</f>
        <v>#REF!</v>
      </c>
      <c r="F672" s="20">
        <v>5.28</v>
      </c>
      <c r="G672" s="20">
        <v>7.7</v>
      </c>
      <c r="H672" s="20">
        <v>0.12</v>
      </c>
      <c r="I672" s="20"/>
      <c r="J672" s="20"/>
      <c r="K672" s="21"/>
      <c r="L672" s="21">
        <f t="shared" si="89"/>
        <v>4.8787200000000004</v>
      </c>
      <c r="M672" s="21"/>
      <c r="N672" s="21"/>
      <c r="O672" s="21"/>
      <c r="P672" s="21"/>
      <c r="Q672" s="21"/>
      <c r="R672" s="21"/>
      <c r="S672" s="22"/>
    </row>
    <row r="673" spans="1:19" ht="15" x14ac:dyDescent="0.2">
      <c r="A673" s="17"/>
      <c r="B673" s="17"/>
      <c r="C673" s="17"/>
      <c r="D673" s="23" t="e">
        <f>+'PRESUPUESTO DE OBRA'!#REF!</f>
        <v>#REF!</v>
      </c>
      <c r="E673" s="26" t="e">
        <f>+'PRESUPUESTO DE OBRA'!#REF!</f>
        <v>#REF!</v>
      </c>
      <c r="F673" s="20"/>
      <c r="G673" s="20"/>
      <c r="H673" s="20"/>
      <c r="I673" s="20"/>
      <c r="J673" s="20"/>
      <c r="K673" s="21"/>
      <c r="L673" s="21"/>
      <c r="M673" s="21"/>
      <c r="N673" s="21"/>
      <c r="O673" s="21"/>
      <c r="P673" s="21"/>
      <c r="Q673" s="21"/>
      <c r="R673" s="21"/>
      <c r="S673" s="22">
        <v>1580</v>
      </c>
    </row>
    <row r="674" spans="1:19" ht="15" x14ac:dyDescent="0.2">
      <c r="A674" s="17"/>
      <c r="B674" s="17"/>
      <c r="C674" s="17"/>
      <c r="D674" s="23" t="e">
        <f>+'PRESUPUESTO DE OBRA'!#REF!</f>
        <v>#REF!</v>
      </c>
      <c r="E674" s="26" t="e">
        <f>+'PRESUPUESTO DE OBRA'!#REF!</f>
        <v>#REF!</v>
      </c>
      <c r="F674" s="20">
        <f>5.28*3+7.7*2+5+0.45*2</f>
        <v>37.14</v>
      </c>
      <c r="G674" s="20"/>
      <c r="H674" s="20">
        <v>3</v>
      </c>
      <c r="I674" s="20"/>
      <c r="J674" s="20"/>
      <c r="K674" s="21">
        <f>+F674*H674</f>
        <v>111.42</v>
      </c>
      <c r="L674" s="21"/>
      <c r="M674" s="21"/>
      <c r="N674" s="21"/>
      <c r="O674" s="21"/>
      <c r="P674" s="21"/>
      <c r="Q674" s="21"/>
      <c r="R674" s="21"/>
      <c r="S674" s="22">
        <f>+K674</f>
        <v>111.42</v>
      </c>
    </row>
    <row r="675" spans="1:19" ht="15" x14ac:dyDescent="0.2">
      <c r="A675" s="17"/>
      <c r="B675" s="17"/>
      <c r="C675" s="17"/>
      <c r="D675" s="23" t="e">
        <f>+'PRESUPUESTO DE OBRA'!#REF!</f>
        <v>#REF!</v>
      </c>
      <c r="E675" s="26" t="e">
        <f>+'PRESUPUESTO DE OBRA'!#REF!</f>
        <v>#REF!</v>
      </c>
      <c r="F675" s="20">
        <f>+F674*2</f>
        <v>74.28</v>
      </c>
      <c r="G675" s="20"/>
      <c r="H675" s="20">
        <v>3</v>
      </c>
      <c r="I675" s="20"/>
      <c r="J675" s="20"/>
      <c r="K675" s="21">
        <f t="shared" ref="K675:K676" si="90">+F675*H675</f>
        <v>222.84</v>
      </c>
      <c r="L675" s="21"/>
      <c r="M675" s="21"/>
      <c r="N675" s="21"/>
      <c r="O675" s="21"/>
      <c r="P675" s="21"/>
      <c r="Q675" s="21"/>
      <c r="R675" s="21"/>
      <c r="S675" s="22">
        <f t="shared" ref="S675:S676" si="91">+K675</f>
        <v>222.84</v>
      </c>
    </row>
    <row r="676" spans="1:19" ht="15" x14ac:dyDescent="0.2">
      <c r="A676" s="17"/>
      <c r="B676" s="17"/>
      <c r="C676" s="17"/>
      <c r="D676" s="23" t="e">
        <f>+'PRESUPUESTO DE OBRA'!#REF!</f>
        <v>#REF!</v>
      </c>
      <c r="E676" s="26" t="e">
        <f>+'PRESUPUESTO DE OBRA'!#REF!</f>
        <v>#REF!</v>
      </c>
      <c r="F676" s="20">
        <f>+F675</f>
        <v>74.28</v>
      </c>
      <c r="G676" s="20"/>
      <c r="H676" s="20">
        <v>3</v>
      </c>
      <c r="I676" s="20"/>
      <c r="J676" s="20"/>
      <c r="K676" s="21">
        <f t="shared" si="90"/>
        <v>222.84</v>
      </c>
      <c r="L676" s="21"/>
      <c r="M676" s="21"/>
      <c r="N676" s="21"/>
      <c r="O676" s="21"/>
      <c r="P676" s="21"/>
      <c r="Q676" s="21"/>
      <c r="R676" s="21"/>
      <c r="S676" s="22">
        <f t="shared" si="91"/>
        <v>222.84</v>
      </c>
    </row>
    <row r="677" spans="1:19" ht="15" x14ac:dyDescent="0.2">
      <c r="A677" s="17"/>
      <c r="B677" s="17"/>
      <c r="C677" s="17"/>
      <c r="D677" s="23" t="e">
        <f>+'PRESUPUESTO DE OBRA'!#REF!</f>
        <v>#REF!</v>
      </c>
      <c r="E677" s="26" t="e">
        <f>+'PRESUPUESTO DE OBRA'!#REF!</f>
        <v>#REF!</v>
      </c>
      <c r="F677" s="20">
        <f>6*2</f>
        <v>12</v>
      </c>
      <c r="G677" s="20">
        <v>8</v>
      </c>
      <c r="H677" s="20"/>
      <c r="I677" s="20"/>
      <c r="J677" s="20"/>
      <c r="K677" s="21">
        <f>+F677*G677</f>
        <v>96</v>
      </c>
      <c r="L677" s="21"/>
      <c r="M677" s="21"/>
      <c r="N677" s="21"/>
      <c r="O677" s="21"/>
      <c r="P677" s="21"/>
      <c r="Q677" s="21"/>
      <c r="R677" s="21"/>
      <c r="S677" s="22">
        <f>+K677</f>
        <v>96</v>
      </c>
    </row>
    <row r="678" spans="1:19" ht="28.5" customHeight="1" x14ac:dyDescent="0.2">
      <c r="A678" s="17"/>
      <c r="B678" s="17"/>
      <c r="C678" s="17"/>
      <c r="D678" s="23" t="e">
        <f>+'PRESUPUESTO DE OBRA'!#REF!</f>
        <v>#REF!</v>
      </c>
      <c r="E678" s="26" t="e">
        <f>+'PRESUPUESTO DE OBRA'!#REF!</f>
        <v>#REF!</v>
      </c>
      <c r="F678" s="20">
        <v>6.28</v>
      </c>
      <c r="G678" s="20">
        <v>8.6999999999999993</v>
      </c>
      <c r="H678" s="20"/>
      <c r="I678" s="20"/>
      <c r="J678" s="20"/>
      <c r="K678" s="21">
        <f>+F678*G678</f>
        <v>54.635999999999996</v>
      </c>
      <c r="L678" s="21"/>
      <c r="M678" s="21"/>
      <c r="N678" s="21"/>
      <c r="O678" s="21"/>
      <c r="P678" s="21"/>
      <c r="Q678" s="21"/>
      <c r="R678" s="21"/>
      <c r="S678" s="22">
        <f>+K678</f>
        <v>54.635999999999996</v>
      </c>
    </row>
    <row r="679" spans="1:19" ht="28.5" customHeight="1" x14ac:dyDescent="0.2">
      <c r="A679" s="17"/>
      <c r="B679" s="17"/>
      <c r="C679" s="17"/>
      <c r="D679" s="23" t="e">
        <f>+'PRESUPUESTO DE OBRA'!#REF!</f>
        <v>#REF!</v>
      </c>
      <c r="E679" s="26" t="e">
        <f>+'PRESUPUESTO DE OBRA'!#REF!</f>
        <v>#REF!</v>
      </c>
      <c r="F679" s="20"/>
      <c r="G679" s="20"/>
      <c r="H679" s="20"/>
      <c r="I679" s="20">
        <v>2</v>
      </c>
      <c r="J679" s="20"/>
      <c r="K679" s="21"/>
      <c r="L679" s="21"/>
      <c r="M679" s="21"/>
      <c r="N679" s="21"/>
      <c r="O679" s="21"/>
      <c r="P679" s="21"/>
      <c r="Q679" s="21"/>
      <c r="R679" s="21"/>
      <c r="S679" s="22">
        <v>2</v>
      </c>
    </row>
    <row r="680" spans="1:19" ht="28.5" customHeight="1" x14ac:dyDescent="0.2">
      <c r="A680" s="17"/>
      <c r="B680" s="17"/>
      <c r="C680" s="17"/>
      <c r="D680" s="23" t="e">
        <f>+'PRESUPUESTO DE OBRA'!#REF!</f>
        <v>#REF!</v>
      </c>
      <c r="E680" s="26" t="e">
        <f>+'PRESUPUESTO DE OBRA'!#REF!</f>
        <v>#REF!</v>
      </c>
      <c r="F680" s="20">
        <v>5</v>
      </c>
      <c r="G680" s="20"/>
      <c r="H680" s="20">
        <v>0.6</v>
      </c>
      <c r="I680" s="20"/>
      <c r="J680" s="20"/>
      <c r="K680" s="21">
        <f>+F680*H680</f>
        <v>3</v>
      </c>
      <c r="L680" s="21"/>
      <c r="M680" s="21"/>
      <c r="N680" s="21"/>
      <c r="O680" s="21"/>
      <c r="P680" s="21"/>
      <c r="Q680" s="21"/>
      <c r="R680" s="21"/>
      <c r="S680" s="22">
        <f>+K680</f>
        <v>3</v>
      </c>
    </row>
    <row r="681" spans="1:19" ht="28.5" customHeight="1" x14ac:dyDescent="0.2">
      <c r="A681" s="17"/>
      <c r="B681" s="17"/>
      <c r="C681" s="17"/>
      <c r="D681" s="23" t="e">
        <f>+'PRESUPUESTO DE OBRA'!#REF!</f>
        <v>#REF!</v>
      </c>
      <c r="E681" s="26" t="e">
        <f>+'PRESUPUESTO DE OBRA'!#REF!</f>
        <v>#REF!</v>
      </c>
      <c r="F681" s="20"/>
      <c r="G681" s="20"/>
      <c r="H681" s="20"/>
      <c r="I681" s="20"/>
      <c r="J681" s="20"/>
      <c r="K681" s="21">
        <v>1</v>
      </c>
      <c r="L681" s="21"/>
      <c r="M681" s="21"/>
      <c r="N681" s="21"/>
      <c r="O681" s="21"/>
      <c r="P681" s="21"/>
      <c r="Q681" s="21"/>
      <c r="R681" s="21"/>
      <c r="S681" s="22">
        <f t="shared" ref="S681:S682" si="92">+K681</f>
        <v>1</v>
      </c>
    </row>
    <row r="682" spans="1:19" ht="28.5" customHeight="1" x14ac:dyDescent="0.2">
      <c r="A682" s="17"/>
      <c r="B682" s="17"/>
      <c r="C682" s="17"/>
      <c r="D682" s="141" t="e">
        <f>+'PRESUPUESTO DE OBRA'!#REF!</f>
        <v>#REF!</v>
      </c>
      <c r="E682" s="19"/>
      <c r="F682" s="20">
        <v>10.1</v>
      </c>
      <c r="G682" s="20"/>
      <c r="H682" s="20">
        <v>1.9</v>
      </c>
      <c r="I682" s="20"/>
      <c r="J682" s="20"/>
      <c r="K682" s="21">
        <f t="shared" ref="K682" si="93">+F682*H682</f>
        <v>19.189999999999998</v>
      </c>
      <c r="L682" s="21"/>
      <c r="M682" s="21"/>
      <c r="N682" s="21"/>
      <c r="O682" s="21"/>
      <c r="P682" s="21"/>
      <c r="Q682" s="21"/>
      <c r="R682" s="21"/>
      <c r="S682" s="22">
        <f t="shared" si="92"/>
        <v>19.189999999999998</v>
      </c>
    </row>
    <row r="683" spans="1:19" ht="28.5" customHeight="1" x14ac:dyDescent="0.2">
      <c r="A683" s="17"/>
      <c r="B683" s="17"/>
      <c r="C683" s="17"/>
      <c r="D683" s="23" t="e">
        <f>+'PRESUPUESTO DE OBRA'!#REF!</f>
        <v>#REF!</v>
      </c>
      <c r="E683" s="26" t="e">
        <f>+'PRESUPUESTO DE OBRA'!#REF!</f>
        <v>#REF!</v>
      </c>
      <c r="F683" s="20"/>
      <c r="G683" s="20"/>
      <c r="H683" s="20"/>
      <c r="I683" s="20"/>
      <c r="J683" s="20"/>
      <c r="K683" s="21"/>
      <c r="L683" s="21"/>
      <c r="M683" s="21"/>
      <c r="N683" s="21"/>
      <c r="O683" s="21"/>
      <c r="P683" s="21"/>
      <c r="Q683" s="21"/>
      <c r="R683" s="21"/>
      <c r="S683" s="22"/>
    </row>
    <row r="684" spans="1:19" ht="28.5" customHeight="1" x14ac:dyDescent="0.2">
      <c r="A684" s="17"/>
      <c r="B684" s="17"/>
      <c r="C684" s="17"/>
      <c r="D684" s="139" t="s">
        <v>641</v>
      </c>
      <c r="E684" s="26"/>
      <c r="F684" s="20"/>
      <c r="G684" s="20"/>
      <c r="H684" s="20"/>
      <c r="I684" s="20"/>
      <c r="J684" s="20"/>
      <c r="K684" s="21"/>
      <c r="L684" s="21">
        <f>+L685+L686+L687+L688</f>
        <v>38.554049999999997</v>
      </c>
      <c r="M684" s="21"/>
      <c r="N684" s="21"/>
      <c r="O684" s="21"/>
      <c r="P684" s="21"/>
      <c r="Q684" s="21"/>
      <c r="R684" s="21"/>
      <c r="S684" s="22">
        <f>+L684</f>
        <v>38.554049999999997</v>
      </c>
    </row>
    <row r="685" spans="1:19" ht="15" x14ac:dyDescent="0.2">
      <c r="A685" s="17"/>
      <c r="B685" s="17"/>
      <c r="C685" s="17"/>
      <c r="D685" s="139" t="s">
        <v>642</v>
      </c>
      <c r="E685" s="26"/>
      <c r="F685" s="20">
        <v>1.45</v>
      </c>
      <c r="G685" s="20">
        <v>1.45</v>
      </c>
      <c r="H685" s="20">
        <v>2.5</v>
      </c>
      <c r="I685" s="20">
        <v>6</v>
      </c>
      <c r="J685" s="20"/>
      <c r="K685" s="21"/>
      <c r="L685" s="21">
        <f>+F685*G685*H685*I685</f>
        <v>31.537499999999998</v>
      </c>
      <c r="M685" s="21"/>
      <c r="N685" s="21"/>
      <c r="O685" s="21"/>
      <c r="P685" s="21"/>
      <c r="Q685" s="21"/>
      <c r="R685" s="21"/>
      <c r="S685" s="22"/>
    </row>
    <row r="686" spans="1:19" ht="15" x14ac:dyDescent="0.2">
      <c r="A686" s="17"/>
      <c r="B686" s="17"/>
      <c r="C686" s="17"/>
      <c r="D686" s="139" t="s">
        <v>643</v>
      </c>
      <c r="E686" s="26"/>
      <c r="F686" s="20">
        <v>33.01</v>
      </c>
      <c r="G686" s="20">
        <v>0.3</v>
      </c>
      <c r="H686" s="20">
        <v>0.35</v>
      </c>
      <c r="I686" s="20">
        <v>1</v>
      </c>
      <c r="J686" s="20"/>
      <c r="K686" s="21"/>
      <c r="L686" s="21">
        <f t="shared" ref="L686:L689" si="94">+F686*G686*H686*I686</f>
        <v>3.4660499999999992</v>
      </c>
      <c r="M686" s="21"/>
      <c r="N686" s="21"/>
      <c r="O686" s="21"/>
      <c r="P686" s="21"/>
      <c r="Q686" s="21"/>
      <c r="R686" s="21"/>
      <c r="S686" s="22"/>
    </row>
    <row r="687" spans="1:19" ht="15" x14ac:dyDescent="0.2">
      <c r="A687" s="17"/>
      <c r="B687" s="17"/>
      <c r="C687" s="17"/>
      <c r="D687" s="139" t="s">
        <v>644</v>
      </c>
      <c r="E687" s="26"/>
      <c r="F687" s="20">
        <v>13.02</v>
      </c>
      <c r="G687" s="20">
        <v>0.3</v>
      </c>
      <c r="H687" s="20">
        <v>0.25</v>
      </c>
      <c r="I687" s="20">
        <v>1</v>
      </c>
      <c r="J687" s="20"/>
      <c r="K687" s="21"/>
      <c r="L687" s="21">
        <f t="shared" si="94"/>
        <v>0.97649999999999992</v>
      </c>
      <c r="M687" s="21"/>
      <c r="N687" s="21"/>
      <c r="O687" s="21"/>
      <c r="P687" s="21"/>
      <c r="Q687" s="21"/>
      <c r="R687" s="21"/>
      <c r="S687" s="22"/>
    </row>
    <row r="688" spans="1:19" ht="15" x14ac:dyDescent="0.2">
      <c r="A688" s="17"/>
      <c r="B688" s="17"/>
      <c r="C688" s="17"/>
      <c r="D688" s="23" t="e">
        <f>+'PRESUPUESTO DE OBRA'!#REF!</f>
        <v>#REF!</v>
      </c>
      <c r="E688" s="26" t="e">
        <f>+'PRESUPUESTO DE OBRA'!#REF!</f>
        <v>#REF!</v>
      </c>
      <c r="F688" s="20">
        <v>34.32</v>
      </c>
      <c r="G688" s="20">
        <v>0.3</v>
      </c>
      <c r="H688" s="20">
        <v>0.25</v>
      </c>
      <c r="I688" s="20">
        <v>1</v>
      </c>
      <c r="J688" s="20"/>
      <c r="K688" s="21"/>
      <c r="L688" s="21">
        <f t="shared" si="94"/>
        <v>2.5739999999999998</v>
      </c>
      <c r="M688" s="21"/>
      <c r="N688" s="21"/>
      <c r="O688" s="21"/>
      <c r="P688" s="21"/>
      <c r="Q688" s="21"/>
      <c r="R688" s="21"/>
      <c r="S688" s="22"/>
    </row>
    <row r="689" spans="1:19" ht="28.5" customHeight="1" x14ac:dyDescent="0.2">
      <c r="A689" s="17"/>
      <c r="B689" s="17"/>
      <c r="C689" s="17"/>
      <c r="D689" s="23" t="e">
        <f>+'PRESUPUESTO DE OBRA'!#REF!</f>
        <v>#REF!</v>
      </c>
      <c r="E689" s="26" t="e">
        <f>+'PRESUPUESTO DE OBRA'!#REF!</f>
        <v>#REF!</v>
      </c>
      <c r="F689" s="20"/>
      <c r="G689" s="20"/>
      <c r="H689" s="20"/>
      <c r="I689" s="20"/>
      <c r="J689" s="20"/>
      <c r="K689" s="21"/>
      <c r="L689" s="21">
        <f t="shared" si="94"/>
        <v>0</v>
      </c>
      <c r="M689" s="21"/>
      <c r="N689" s="21"/>
      <c r="O689" s="21"/>
      <c r="P689" s="21"/>
      <c r="Q689" s="21"/>
      <c r="R689" s="21"/>
      <c r="S689" s="22">
        <f>+L684*0.6</f>
        <v>23.132429999999996</v>
      </c>
    </row>
    <row r="690" spans="1:19" ht="15" x14ac:dyDescent="0.2">
      <c r="A690" s="17"/>
      <c r="B690" s="17"/>
      <c r="C690" s="17"/>
      <c r="D690" s="139" t="s">
        <v>654</v>
      </c>
      <c r="E690" s="26"/>
      <c r="F690" s="20"/>
      <c r="G690" s="20"/>
      <c r="H690" s="20"/>
      <c r="I690" s="20"/>
      <c r="J690" s="20"/>
      <c r="K690" s="21"/>
      <c r="L690" s="21">
        <f>+L691+L692+L693+L694+L695+L696+L697+L698+L699</f>
        <v>24.213750000000001</v>
      </c>
      <c r="M690" s="21"/>
      <c r="N690" s="21"/>
      <c r="O690" s="21"/>
      <c r="P690" s="21"/>
      <c r="Q690" s="21"/>
      <c r="R690" s="21"/>
      <c r="S690" s="22">
        <f>+L690</f>
        <v>24.213750000000001</v>
      </c>
    </row>
    <row r="691" spans="1:19" ht="15" x14ac:dyDescent="0.2">
      <c r="A691" s="17"/>
      <c r="B691" s="17"/>
      <c r="C691" s="17"/>
      <c r="D691" s="139" t="s">
        <v>645</v>
      </c>
      <c r="E691" s="26"/>
      <c r="F691" s="20">
        <v>1.45</v>
      </c>
      <c r="G691" s="20">
        <v>1.45</v>
      </c>
      <c r="H691" s="20">
        <v>0.4</v>
      </c>
      <c r="I691" s="20">
        <v>6</v>
      </c>
      <c r="J691" s="20"/>
      <c r="K691" s="21"/>
      <c r="L691" s="21">
        <f>+F691*G691*H691*I691</f>
        <v>5.0460000000000003</v>
      </c>
      <c r="M691" s="21"/>
      <c r="N691" s="21"/>
      <c r="O691" s="21"/>
      <c r="P691" s="21"/>
      <c r="Q691" s="21"/>
      <c r="R691" s="21"/>
      <c r="S691" s="22"/>
    </row>
    <row r="692" spans="1:19" ht="15" x14ac:dyDescent="0.2">
      <c r="A692" s="17"/>
      <c r="B692" s="17"/>
      <c r="C692" s="17"/>
      <c r="D692" s="139" t="s">
        <v>647</v>
      </c>
      <c r="E692" s="26"/>
      <c r="F692" s="20">
        <v>0.25</v>
      </c>
      <c r="G692" s="20">
        <v>0.25</v>
      </c>
      <c r="H692" s="20">
        <v>1.6</v>
      </c>
      <c r="I692" s="20">
        <v>6</v>
      </c>
      <c r="J692" s="20"/>
      <c r="K692" s="21"/>
      <c r="L692" s="21">
        <f t="shared" ref="L692:L699" si="95">+F692*G692*H692*I692</f>
        <v>0.60000000000000009</v>
      </c>
      <c r="M692" s="21"/>
      <c r="N692" s="21"/>
      <c r="O692" s="21"/>
      <c r="P692" s="21"/>
      <c r="Q692" s="21"/>
      <c r="R692" s="21"/>
      <c r="S692" s="22"/>
    </row>
    <row r="693" spans="1:19" ht="15" x14ac:dyDescent="0.2">
      <c r="A693" s="17"/>
      <c r="B693" s="17"/>
      <c r="C693" s="17"/>
      <c r="D693" s="139" t="s">
        <v>648</v>
      </c>
      <c r="E693" s="26"/>
      <c r="F693" s="20">
        <v>33.01</v>
      </c>
      <c r="G693" s="20">
        <v>0.25</v>
      </c>
      <c r="H693" s="20">
        <v>0.35</v>
      </c>
      <c r="I693" s="20">
        <v>1</v>
      </c>
      <c r="J693" s="20"/>
      <c r="K693" s="21"/>
      <c r="L693" s="21">
        <f t="shared" si="95"/>
        <v>2.8883749999999995</v>
      </c>
      <c r="M693" s="21"/>
      <c r="N693" s="21"/>
      <c r="O693" s="21"/>
      <c r="P693" s="21"/>
      <c r="Q693" s="21"/>
      <c r="R693" s="21"/>
      <c r="S693" s="22"/>
    </row>
    <row r="694" spans="1:19" ht="15" x14ac:dyDescent="0.2">
      <c r="A694" s="17"/>
      <c r="B694" s="17"/>
      <c r="C694" s="17"/>
      <c r="D694" s="139" t="s">
        <v>649</v>
      </c>
      <c r="E694" s="26"/>
      <c r="F694" s="20">
        <v>13.02</v>
      </c>
      <c r="G694" s="20">
        <v>0.25</v>
      </c>
      <c r="H694" s="20">
        <v>0.25</v>
      </c>
      <c r="I694" s="20">
        <v>1</v>
      </c>
      <c r="J694" s="20"/>
      <c r="K694" s="21"/>
      <c r="L694" s="21">
        <f t="shared" si="95"/>
        <v>0.81374999999999997</v>
      </c>
      <c r="M694" s="21"/>
      <c r="N694" s="21"/>
      <c r="O694" s="21"/>
      <c r="P694" s="21"/>
      <c r="Q694" s="21"/>
      <c r="R694" s="21"/>
      <c r="S694" s="22"/>
    </row>
    <row r="695" spans="1:19" ht="15" x14ac:dyDescent="0.2">
      <c r="A695" s="17"/>
      <c r="B695" s="17"/>
      <c r="C695" s="17"/>
      <c r="D695" s="139" t="s">
        <v>650</v>
      </c>
      <c r="E695" s="26"/>
      <c r="F695" s="20">
        <v>34.32</v>
      </c>
      <c r="G695" s="20">
        <v>0.25</v>
      </c>
      <c r="H695" s="20">
        <v>0.3</v>
      </c>
      <c r="I695" s="20">
        <v>1</v>
      </c>
      <c r="J695" s="20"/>
      <c r="K695" s="21"/>
      <c r="L695" s="21">
        <f t="shared" si="95"/>
        <v>2.5739999999999998</v>
      </c>
      <c r="M695" s="21"/>
      <c r="N695" s="21"/>
      <c r="O695" s="21"/>
      <c r="P695" s="21"/>
      <c r="Q695" s="21"/>
      <c r="R695" s="21"/>
      <c r="S695" s="22"/>
    </row>
    <row r="696" spans="1:19" ht="15" x14ac:dyDescent="0.2">
      <c r="A696" s="17"/>
      <c r="B696" s="17"/>
      <c r="C696" s="17"/>
      <c r="D696" s="139" t="s">
        <v>651</v>
      </c>
      <c r="E696" s="26"/>
      <c r="F696" s="20">
        <v>0.25</v>
      </c>
      <c r="G696" s="20">
        <v>0.25</v>
      </c>
      <c r="H696" s="20">
        <v>3.5</v>
      </c>
      <c r="I696" s="20">
        <v>6</v>
      </c>
      <c r="J696" s="20"/>
      <c r="K696" s="21"/>
      <c r="L696" s="21">
        <f t="shared" si="95"/>
        <v>1.3125</v>
      </c>
      <c r="M696" s="21"/>
      <c r="N696" s="21"/>
      <c r="O696" s="21"/>
      <c r="P696" s="21"/>
      <c r="Q696" s="21"/>
      <c r="R696" s="21"/>
      <c r="S696" s="22"/>
    </row>
    <row r="697" spans="1:19" ht="15" x14ac:dyDescent="0.2">
      <c r="A697" s="17"/>
      <c r="B697" s="17"/>
      <c r="C697" s="17"/>
      <c r="D697" s="139" t="s">
        <v>652</v>
      </c>
      <c r="E697" s="26"/>
      <c r="F697" s="20">
        <v>33.01</v>
      </c>
      <c r="G697" s="20">
        <v>0.25</v>
      </c>
      <c r="H697" s="20">
        <v>0.25</v>
      </c>
      <c r="I697" s="20">
        <v>1</v>
      </c>
      <c r="J697" s="20"/>
      <c r="K697" s="21"/>
      <c r="L697" s="21">
        <f t="shared" si="95"/>
        <v>2.0631249999999999</v>
      </c>
      <c r="M697" s="21"/>
      <c r="N697" s="21"/>
      <c r="O697" s="21"/>
      <c r="P697" s="21"/>
      <c r="Q697" s="21"/>
      <c r="R697" s="21"/>
      <c r="S697" s="22"/>
    </row>
    <row r="698" spans="1:19" ht="15" x14ac:dyDescent="0.2">
      <c r="A698" s="17"/>
      <c r="B698" s="17"/>
      <c r="C698" s="17"/>
      <c r="D698" s="139" t="s">
        <v>653</v>
      </c>
      <c r="E698" s="26"/>
      <c r="F698" s="20">
        <v>6.25</v>
      </c>
      <c r="G698" s="20">
        <v>6.02</v>
      </c>
      <c r="H698" s="20">
        <v>0.12</v>
      </c>
      <c r="I698" s="20">
        <v>1</v>
      </c>
      <c r="J698" s="20"/>
      <c r="K698" s="21"/>
      <c r="L698" s="21">
        <f t="shared" si="95"/>
        <v>4.5149999999999997</v>
      </c>
      <c r="M698" s="21"/>
      <c r="N698" s="21"/>
      <c r="O698" s="21"/>
      <c r="P698" s="21"/>
      <c r="Q698" s="21"/>
      <c r="R698" s="21"/>
      <c r="S698" s="22"/>
    </row>
    <row r="699" spans="1:19" ht="15" x14ac:dyDescent="0.2">
      <c r="A699" s="17"/>
      <c r="B699" s="17"/>
      <c r="C699" s="17"/>
      <c r="D699" s="23" t="e">
        <f>+'PRESUPUESTO DE OBRA'!#REF!</f>
        <v>#REF!</v>
      </c>
      <c r="E699" s="26" t="e">
        <f>+'PRESUPUESTO DE OBRA'!#REF!</f>
        <v>#REF!</v>
      </c>
      <c r="F699" s="20">
        <v>6.52</v>
      </c>
      <c r="G699" s="20">
        <v>6.75</v>
      </c>
      <c r="H699" s="20">
        <v>0.1</v>
      </c>
      <c r="I699" s="20">
        <v>1</v>
      </c>
      <c r="J699" s="20"/>
      <c r="K699" s="21"/>
      <c r="L699" s="21">
        <f t="shared" si="95"/>
        <v>4.4009999999999998</v>
      </c>
      <c r="M699" s="21"/>
      <c r="N699" s="21"/>
      <c r="O699" s="21"/>
      <c r="P699" s="21"/>
      <c r="Q699" s="21"/>
      <c r="R699" s="21"/>
      <c r="S699" s="22"/>
    </row>
    <row r="700" spans="1:19" ht="15" x14ac:dyDescent="0.2">
      <c r="A700" s="17"/>
      <c r="B700" s="17"/>
      <c r="C700" s="17"/>
      <c r="D700" s="23" t="e">
        <f>+'PRESUPUESTO DE OBRA'!#REF!</f>
        <v>#REF!</v>
      </c>
      <c r="E700" s="26" t="e">
        <f>+'PRESUPUESTO DE OBRA'!#REF!</f>
        <v>#REF!</v>
      </c>
      <c r="F700" s="20"/>
      <c r="G700" s="20"/>
      <c r="H700" s="20"/>
      <c r="I700" s="20"/>
      <c r="J700" s="20"/>
      <c r="K700" s="21"/>
      <c r="L700" s="21"/>
      <c r="M700" s="21"/>
      <c r="N700" s="21"/>
      <c r="O700" s="21"/>
      <c r="P700" s="21"/>
      <c r="Q700" s="21"/>
      <c r="R700" s="21"/>
      <c r="S700" s="22">
        <f>1102.538*3</f>
        <v>3307.614</v>
      </c>
    </row>
    <row r="701" spans="1:19" ht="15" x14ac:dyDescent="0.2">
      <c r="A701" s="17"/>
      <c r="B701" s="17"/>
      <c r="C701" s="17"/>
      <c r="D701" s="23" t="e">
        <f>+'PRESUPUESTO DE OBRA'!#REF!</f>
        <v>#REF!</v>
      </c>
      <c r="E701" s="26" t="e">
        <f>+'PRESUPUESTO DE OBRA'!#REF!</f>
        <v>#REF!</v>
      </c>
      <c r="F701" s="20">
        <f>3.79*4+7.7+0.5*2</f>
        <v>23.86</v>
      </c>
      <c r="G701" s="20"/>
      <c r="H701" s="20"/>
      <c r="I701" s="20">
        <v>3</v>
      </c>
      <c r="J701" s="20"/>
      <c r="K701" s="21">
        <f>+F701*I701</f>
        <v>71.58</v>
      </c>
      <c r="L701" s="21"/>
      <c r="M701" s="21"/>
      <c r="N701" s="21"/>
      <c r="O701" s="21"/>
      <c r="P701" s="21"/>
      <c r="Q701" s="21"/>
      <c r="R701" s="21"/>
      <c r="S701" s="22">
        <f>+K701</f>
        <v>71.58</v>
      </c>
    </row>
    <row r="702" spans="1:19" ht="15" x14ac:dyDescent="0.2">
      <c r="A702" s="17"/>
      <c r="B702" s="17"/>
      <c r="C702" s="17"/>
      <c r="D702" s="23" t="e">
        <f>+'PRESUPUESTO DE OBRA'!#REF!</f>
        <v>#REF!</v>
      </c>
      <c r="E702" s="26" t="e">
        <f>+'PRESUPUESTO DE OBRA'!#REF!</f>
        <v>#REF!</v>
      </c>
      <c r="F702" s="20">
        <f>+F701*2</f>
        <v>47.72</v>
      </c>
      <c r="G702" s="20"/>
      <c r="H702" s="20"/>
      <c r="I702" s="20">
        <v>3</v>
      </c>
      <c r="J702" s="20"/>
      <c r="K702" s="21">
        <f t="shared" ref="K702:K703" si="96">+F702*I702</f>
        <v>143.16</v>
      </c>
      <c r="L702" s="21"/>
      <c r="M702" s="21"/>
      <c r="N702" s="21"/>
      <c r="O702" s="21"/>
      <c r="P702" s="21"/>
      <c r="Q702" s="21"/>
      <c r="R702" s="21"/>
      <c r="S702" s="22">
        <f>+K702</f>
        <v>143.16</v>
      </c>
    </row>
    <row r="703" spans="1:19" ht="15" x14ac:dyDescent="0.2">
      <c r="A703" s="17"/>
      <c r="B703" s="17"/>
      <c r="C703" s="17"/>
      <c r="D703" s="23" t="e">
        <f>+'PRESUPUESTO DE OBRA'!#REF!</f>
        <v>#REF!</v>
      </c>
      <c r="E703" s="26" t="e">
        <f>+'PRESUPUESTO DE OBRA'!#REF!</f>
        <v>#REF!</v>
      </c>
      <c r="F703" s="20">
        <f>+F702</f>
        <v>47.72</v>
      </c>
      <c r="G703" s="20"/>
      <c r="H703" s="20"/>
      <c r="I703" s="20">
        <v>3</v>
      </c>
      <c r="J703" s="20"/>
      <c r="K703" s="21">
        <f t="shared" si="96"/>
        <v>143.16</v>
      </c>
      <c r="L703" s="21"/>
      <c r="M703" s="21"/>
      <c r="N703" s="21"/>
      <c r="O703" s="21"/>
      <c r="P703" s="21"/>
      <c r="Q703" s="21"/>
      <c r="R703" s="21"/>
      <c r="S703" s="22">
        <f>+K703</f>
        <v>143.16</v>
      </c>
    </row>
    <row r="704" spans="1:19" ht="15" x14ac:dyDescent="0.2">
      <c r="A704" s="17"/>
      <c r="B704" s="17"/>
      <c r="C704" s="17"/>
      <c r="D704" s="23" t="e">
        <f>+'PRESUPUESTO DE OBRA'!#REF!</f>
        <v>#REF!</v>
      </c>
      <c r="E704" s="26" t="e">
        <f>+'PRESUPUESTO DE OBRA'!#REF!</f>
        <v>#REF!</v>
      </c>
      <c r="F704" s="20">
        <v>4.5999999999999996</v>
      </c>
      <c r="G704" s="20">
        <v>8.6999999999999993</v>
      </c>
      <c r="H704" s="20"/>
      <c r="I704" s="20">
        <v>3</v>
      </c>
      <c r="J704" s="20"/>
      <c r="K704" s="21">
        <f>+F704*G704*I704</f>
        <v>120.05999999999999</v>
      </c>
      <c r="L704" s="21"/>
      <c r="M704" s="21"/>
      <c r="N704" s="21"/>
      <c r="O704" s="21"/>
      <c r="P704" s="21"/>
      <c r="Q704" s="21"/>
      <c r="R704" s="21"/>
      <c r="S704" s="22">
        <f>+K704</f>
        <v>120.05999999999999</v>
      </c>
    </row>
    <row r="705" spans="1:19" ht="28.5" customHeight="1" x14ac:dyDescent="0.2">
      <c r="A705" s="17"/>
      <c r="B705" s="17"/>
      <c r="C705" s="17"/>
      <c r="D705" s="23" t="e">
        <f>+'PRESUPUESTO DE OBRA'!#REF!</f>
        <v>#REF!</v>
      </c>
      <c r="E705" s="26" t="e">
        <f>+'PRESUPUESTO DE OBRA'!#REF!</f>
        <v>#REF!</v>
      </c>
      <c r="F705" s="20">
        <v>4.5999999999999996</v>
      </c>
      <c r="G705" s="20">
        <v>8.6999999999999993</v>
      </c>
      <c r="H705" s="20"/>
      <c r="I705" s="20">
        <v>3</v>
      </c>
      <c r="J705" s="20"/>
      <c r="K705" s="21">
        <f>+F705*G705*I705</f>
        <v>120.05999999999999</v>
      </c>
      <c r="L705" s="21"/>
      <c r="M705" s="21"/>
      <c r="N705" s="21"/>
      <c r="O705" s="21"/>
      <c r="P705" s="21"/>
      <c r="Q705" s="21"/>
      <c r="R705" s="21"/>
      <c r="S705" s="22">
        <f>+K705</f>
        <v>120.05999999999999</v>
      </c>
    </row>
    <row r="706" spans="1:19" ht="28.5" customHeight="1" x14ac:dyDescent="0.2">
      <c r="A706" s="17"/>
      <c r="B706" s="17"/>
      <c r="C706" s="17"/>
      <c r="D706" s="23" t="e">
        <f>+'PRESUPUESTO DE OBRA'!#REF!</f>
        <v>#REF!</v>
      </c>
      <c r="E706" s="26" t="e">
        <f>+'PRESUPUESTO DE OBRA'!#REF!</f>
        <v>#REF!</v>
      </c>
      <c r="F706" s="20"/>
      <c r="G706" s="20"/>
      <c r="H706" s="20"/>
      <c r="I706" s="20">
        <v>2</v>
      </c>
      <c r="J706" s="20"/>
      <c r="K706" s="21"/>
      <c r="L706" s="21"/>
      <c r="M706" s="21"/>
      <c r="N706" s="21"/>
      <c r="O706" s="21"/>
      <c r="P706" s="21"/>
      <c r="Q706" s="21"/>
      <c r="R706" s="21"/>
      <c r="S706" s="22">
        <f>+I706</f>
        <v>2</v>
      </c>
    </row>
    <row r="707" spans="1:19" ht="28.5" customHeight="1" x14ac:dyDescent="0.2">
      <c r="A707" s="17"/>
      <c r="B707" s="17"/>
      <c r="C707" s="17"/>
      <c r="D707" s="23" t="e">
        <f>+'PRESUPUESTO DE OBRA'!#REF!</f>
        <v>#REF!</v>
      </c>
      <c r="E707" s="26" t="e">
        <f>+'PRESUPUESTO DE OBRA'!#REF!</f>
        <v>#REF!</v>
      </c>
      <c r="F707" s="20"/>
      <c r="G707" s="20"/>
      <c r="H707" s="20"/>
      <c r="I707" s="20">
        <v>1</v>
      </c>
      <c r="J707" s="20"/>
      <c r="K707" s="21"/>
      <c r="L707" s="21"/>
      <c r="M707" s="21"/>
      <c r="N707" s="21"/>
      <c r="O707" s="21"/>
      <c r="P707" s="21"/>
      <c r="Q707" s="21"/>
      <c r="R707" s="21"/>
      <c r="S707" s="22">
        <f>+I707</f>
        <v>1</v>
      </c>
    </row>
    <row r="708" spans="1:19" ht="28.5" customHeight="1" x14ac:dyDescent="0.2">
      <c r="A708" s="17"/>
      <c r="B708" s="17"/>
      <c r="C708" s="17"/>
      <c r="D708" s="23" t="e">
        <f>+'PRESUPUESTO DE OBRA'!#REF!</f>
        <v>#REF!</v>
      </c>
      <c r="E708" s="26" t="e">
        <f>+'PRESUPUESTO DE OBRA'!#REF!</f>
        <v>#REF!</v>
      </c>
      <c r="F708" s="20">
        <f>3.79*2</f>
        <v>7.58</v>
      </c>
      <c r="G708" s="20"/>
      <c r="H708" s="20">
        <v>0.6</v>
      </c>
      <c r="I708" s="20">
        <v>1</v>
      </c>
      <c r="J708" s="20"/>
      <c r="K708" s="21">
        <f>+F708*H708*I708</f>
        <v>4.548</v>
      </c>
      <c r="L708" s="21"/>
      <c r="M708" s="21"/>
      <c r="N708" s="21"/>
      <c r="O708" s="21"/>
      <c r="P708" s="21"/>
      <c r="Q708" s="21"/>
      <c r="R708" s="21"/>
      <c r="S708" s="22">
        <f>+K708</f>
        <v>4.548</v>
      </c>
    </row>
    <row r="709" spans="1:19" ht="28.5" customHeight="1" x14ac:dyDescent="0.2">
      <c r="A709" s="17"/>
      <c r="B709" s="17"/>
      <c r="C709" s="17"/>
      <c r="D709" s="23" t="e">
        <f>+'PRESUPUESTO DE OBRA'!#REF!</f>
        <v>#REF!</v>
      </c>
      <c r="E709" s="26" t="e">
        <f>+'PRESUPUESTO DE OBRA'!#REF!</f>
        <v>#REF!</v>
      </c>
      <c r="F709" s="20"/>
      <c r="G709" s="20"/>
      <c r="H709" s="20"/>
      <c r="I709" s="20">
        <v>1</v>
      </c>
      <c r="J709" s="20"/>
      <c r="K709" s="21"/>
      <c r="L709" s="21"/>
      <c r="M709" s="21"/>
      <c r="N709" s="21"/>
      <c r="O709" s="21"/>
      <c r="P709" s="21"/>
      <c r="Q709" s="21"/>
      <c r="R709" s="21"/>
      <c r="S709" s="22">
        <f>+I709</f>
        <v>1</v>
      </c>
    </row>
    <row r="710" spans="1:19" ht="28.5" customHeight="1" x14ac:dyDescent="0.2">
      <c r="A710" s="17"/>
      <c r="B710" s="17"/>
      <c r="C710" s="17"/>
      <c r="D710" s="23" t="e">
        <f>+'PRESUPUESTO DE OBRA'!#REF!</f>
        <v>#REF!</v>
      </c>
      <c r="E710" s="26" t="e">
        <f>+'PRESUPUESTO DE OBRA'!#REF!</f>
        <v>#REF!</v>
      </c>
      <c r="F710" s="20"/>
      <c r="G710" s="20"/>
      <c r="H710" s="20"/>
      <c r="I710" s="20">
        <v>2</v>
      </c>
      <c r="J710" s="20"/>
      <c r="K710" s="21"/>
      <c r="L710" s="21"/>
      <c r="M710" s="21"/>
      <c r="N710" s="21"/>
      <c r="O710" s="21"/>
      <c r="P710" s="21"/>
      <c r="Q710" s="21"/>
      <c r="R710" s="21"/>
      <c r="S710" s="22">
        <f>+I710</f>
        <v>2</v>
      </c>
    </row>
    <row r="711" spans="1:19" ht="28.5" customHeight="1" x14ac:dyDescent="0.2">
      <c r="A711" s="17"/>
      <c r="B711" s="17"/>
      <c r="C711" s="17"/>
      <c r="D711" s="23"/>
      <c r="E711" s="26"/>
      <c r="F711" s="20">
        <v>11.4</v>
      </c>
      <c r="G711" s="20"/>
      <c r="H711" s="20">
        <v>1.9</v>
      </c>
      <c r="I711" s="20"/>
      <c r="J711" s="20"/>
      <c r="K711" s="21">
        <f>+F711*H711</f>
        <v>21.66</v>
      </c>
      <c r="L711" s="21"/>
      <c r="M711" s="21"/>
      <c r="N711" s="21"/>
      <c r="O711" s="21"/>
      <c r="P711" s="21"/>
      <c r="Q711" s="21"/>
      <c r="R711" s="21"/>
      <c r="S711" s="22">
        <f>+K711</f>
        <v>21.66</v>
      </c>
    </row>
    <row r="712" spans="1:19" ht="28.5" customHeight="1" x14ac:dyDescent="0.2">
      <c r="A712" s="17"/>
      <c r="B712" s="17"/>
      <c r="C712" s="17"/>
      <c r="D712" s="23"/>
      <c r="E712" s="26"/>
      <c r="F712" s="20"/>
      <c r="G712" s="20"/>
      <c r="H712" s="20"/>
      <c r="I712" s="20"/>
      <c r="J712" s="20"/>
      <c r="K712" s="21"/>
      <c r="L712" s="21"/>
      <c r="M712" s="21"/>
      <c r="N712" s="21"/>
      <c r="O712" s="21"/>
      <c r="P712" s="21"/>
      <c r="Q712" s="21"/>
      <c r="R712" s="21"/>
      <c r="S712" s="22"/>
    </row>
    <row r="713" spans="1:19" ht="28.5" customHeight="1" x14ac:dyDescent="0.2">
      <c r="A713" s="17"/>
      <c r="B713" s="17"/>
      <c r="C713" s="17"/>
      <c r="D713" s="23"/>
      <c r="E713" s="26"/>
      <c r="F713" s="20"/>
      <c r="G713" s="20"/>
      <c r="H713" s="20"/>
      <c r="I713" s="20"/>
      <c r="J713" s="20"/>
      <c r="K713" s="21"/>
      <c r="L713" s="21"/>
      <c r="M713" s="21"/>
      <c r="N713" s="21"/>
      <c r="O713" s="21"/>
      <c r="P713" s="21"/>
      <c r="Q713" s="21"/>
      <c r="R713" s="21"/>
      <c r="S713" s="22"/>
    </row>
    <row r="714" spans="1:19" ht="28.5" customHeight="1" x14ac:dyDescent="0.2">
      <c r="A714" s="17"/>
      <c r="B714" s="17"/>
      <c r="C714" s="17"/>
      <c r="D714" s="23"/>
      <c r="E714" s="26"/>
      <c r="F714" s="20"/>
      <c r="G714" s="20"/>
      <c r="H714" s="20"/>
      <c r="I714" s="20"/>
      <c r="J714" s="20"/>
      <c r="K714" s="21"/>
      <c r="L714" s="21"/>
      <c r="M714" s="21"/>
      <c r="N714" s="21"/>
      <c r="O714" s="21"/>
      <c r="P714" s="21"/>
      <c r="Q714" s="21"/>
      <c r="R714" s="21"/>
      <c r="S714" s="22"/>
    </row>
    <row r="715" spans="1:19" ht="28.5" customHeight="1" x14ac:dyDescent="0.2">
      <c r="A715" s="17"/>
      <c r="B715" s="17"/>
      <c r="C715" s="17"/>
      <c r="D715" s="23"/>
      <c r="E715" s="26"/>
      <c r="F715" s="20"/>
      <c r="G715" s="20"/>
      <c r="H715" s="20"/>
      <c r="I715" s="20"/>
      <c r="J715" s="20"/>
      <c r="K715" s="21"/>
      <c r="L715" s="21"/>
      <c r="M715" s="21"/>
      <c r="N715" s="21"/>
      <c r="O715" s="21"/>
      <c r="P715" s="21"/>
      <c r="Q715" s="21"/>
      <c r="R715" s="21"/>
      <c r="S715" s="22"/>
    </row>
    <row r="716" spans="1:19" ht="28.5" customHeight="1" x14ac:dyDescent="0.2">
      <c r="A716" s="17"/>
      <c r="B716" s="17"/>
      <c r="C716" s="17"/>
      <c r="D716" s="23"/>
      <c r="E716" s="26"/>
      <c r="F716" s="20"/>
      <c r="G716" s="20"/>
      <c r="H716" s="20"/>
      <c r="I716" s="20"/>
      <c r="J716" s="20"/>
      <c r="K716" s="21"/>
      <c r="L716" s="21"/>
      <c r="M716" s="21"/>
      <c r="N716" s="21"/>
      <c r="O716" s="21"/>
      <c r="P716" s="21"/>
      <c r="Q716" s="21"/>
      <c r="R716" s="21"/>
      <c r="S716" s="22"/>
    </row>
    <row r="717" spans="1:19" ht="28.5" customHeight="1" x14ac:dyDescent="0.2">
      <c r="A717" s="17"/>
      <c r="B717" s="17"/>
      <c r="C717" s="17"/>
      <c r="D717" s="23"/>
      <c r="E717" s="26"/>
      <c r="F717" s="20"/>
      <c r="G717" s="20"/>
      <c r="H717" s="20"/>
      <c r="I717" s="20"/>
      <c r="J717" s="20"/>
      <c r="K717" s="21"/>
      <c r="L717" s="21"/>
      <c r="M717" s="21"/>
      <c r="N717" s="21"/>
      <c r="O717" s="21"/>
      <c r="P717" s="21"/>
      <c r="Q717" s="21"/>
      <c r="R717" s="21"/>
      <c r="S717" s="22"/>
    </row>
    <row r="718" spans="1:19" ht="28.5" customHeight="1" x14ac:dyDescent="0.2">
      <c r="A718" s="17"/>
      <c r="B718" s="17"/>
      <c r="C718" s="17"/>
      <c r="D718" s="23"/>
      <c r="E718" s="26"/>
      <c r="F718" s="20"/>
      <c r="G718" s="20"/>
      <c r="H718" s="20"/>
      <c r="I718" s="20"/>
      <c r="J718" s="20"/>
      <c r="K718" s="21"/>
      <c r="L718" s="21"/>
      <c r="M718" s="21"/>
      <c r="N718" s="21"/>
      <c r="O718" s="21"/>
      <c r="P718" s="21"/>
      <c r="Q718" s="21"/>
      <c r="R718" s="21"/>
      <c r="S718" s="22"/>
    </row>
    <row r="719" spans="1:19" ht="28.5" customHeight="1" x14ac:dyDescent="0.2">
      <c r="A719" s="17"/>
      <c r="B719" s="17"/>
      <c r="C719" s="17"/>
      <c r="D719" s="23"/>
      <c r="E719" s="26"/>
      <c r="F719" s="20"/>
      <c r="G719" s="20"/>
      <c r="H719" s="20"/>
      <c r="I719" s="20"/>
      <c r="J719" s="20"/>
      <c r="K719" s="21"/>
      <c r="L719" s="21"/>
      <c r="M719" s="21"/>
      <c r="N719" s="21"/>
      <c r="O719" s="21"/>
      <c r="P719" s="21"/>
      <c r="Q719" s="21"/>
      <c r="R719" s="21"/>
      <c r="S719" s="22"/>
    </row>
    <row r="720" spans="1:19" ht="28.5" customHeight="1" x14ac:dyDescent="0.2">
      <c r="A720" s="17"/>
      <c r="B720" s="17"/>
      <c r="C720" s="17"/>
      <c r="D720" s="23"/>
      <c r="E720" s="26"/>
      <c r="F720" s="20"/>
      <c r="G720" s="20"/>
      <c r="H720" s="20"/>
      <c r="I720" s="20"/>
      <c r="J720" s="20"/>
      <c r="K720" s="21"/>
      <c r="L720" s="21"/>
      <c r="M720" s="21"/>
      <c r="N720" s="21"/>
      <c r="O720" s="21"/>
      <c r="P720" s="21"/>
      <c r="Q720" s="21"/>
      <c r="R720" s="21"/>
      <c r="S720" s="22"/>
    </row>
    <row r="721" spans="1:19" ht="28.5" customHeight="1" x14ac:dyDescent="0.2">
      <c r="A721" s="17"/>
      <c r="B721" s="17"/>
      <c r="C721" s="17"/>
      <c r="D721" s="23"/>
      <c r="E721" s="26"/>
      <c r="F721" s="20"/>
      <c r="G721" s="20"/>
      <c r="H721" s="20"/>
      <c r="I721" s="20"/>
      <c r="J721" s="20"/>
      <c r="K721" s="21"/>
      <c r="L721" s="21"/>
      <c r="M721" s="21"/>
      <c r="N721" s="21"/>
      <c r="O721" s="21"/>
      <c r="P721" s="21"/>
      <c r="Q721" s="21"/>
      <c r="R721" s="21"/>
      <c r="S721" s="22"/>
    </row>
    <row r="722" spans="1:19" ht="28.5" customHeight="1" x14ac:dyDescent="0.2">
      <c r="A722" s="17"/>
      <c r="B722" s="17"/>
      <c r="C722" s="17"/>
      <c r="D722" s="23"/>
      <c r="E722" s="26"/>
      <c r="F722" s="20"/>
      <c r="G722" s="20"/>
      <c r="H722" s="20"/>
      <c r="I722" s="20"/>
      <c r="J722" s="20"/>
      <c r="K722" s="21"/>
      <c r="L722" s="21"/>
      <c r="M722" s="21"/>
      <c r="N722" s="21"/>
      <c r="O722" s="21"/>
      <c r="P722" s="21"/>
      <c r="Q722" s="21"/>
      <c r="R722" s="21"/>
      <c r="S722" s="22"/>
    </row>
    <row r="723" spans="1:19" ht="28.5" customHeight="1" x14ac:dyDescent="0.2">
      <c r="A723" s="17"/>
      <c r="B723" s="17"/>
      <c r="C723" s="17"/>
      <c r="D723" s="23"/>
      <c r="E723" s="26"/>
      <c r="F723" s="20"/>
      <c r="G723" s="20"/>
      <c r="H723" s="20"/>
      <c r="I723" s="20"/>
      <c r="J723" s="20"/>
      <c r="K723" s="21"/>
      <c r="L723" s="21"/>
      <c r="M723" s="21"/>
      <c r="N723" s="21"/>
      <c r="O723" s="21"/>
      <c r="P723" s="21"/>
      <c r="Q723" s="21"/>
      <c r="R723" s="21"/>
      <c r="S723" s="22"/>
    </row>
    <row r="724" spans="1:19" ht="28.5" customHeight="1" x14ac:dyDescent="0.2">
      <c r="A724" s="17"/>
      <c r="B724" s="17"/>
      <c r="C724" s="17"/>
      <c r="D724" s="23"/>
      <c r="E724" s="26"/>
      <c r="F724" s="20"/>
      <c r="G724" s="20"/>
      <c r="H724" s="20"/>
      <c r="I724" s="20"/>
      <c r="J724" s="20"/>
      <c r="K724" s="21"/>
      <c r="L724" s="21"/>
      <c r="M724" s="21"/>
      <c r="N724" s="21"/>
      <c r="O724" s="21"/>
      <c r="P724" s="21"/>
      <c r="Q724" s="21"/>
      <c r="R724" s="21"/>
      <c r="S724" s="22"/>
    </row>
    <row r="725" spans="1:19" ht="28.5" customHeight="1" x14ac:dyDescent="0.2">
      <c r="A725" s="17"/>
      <c r="B725" s="17"/>
      <c r="C725" s="17"/>
      <c r="D725" s="23"/>
      <c r="E725" s="26"/>
      <c r="F725" s="20"/>
      <c r="G725" s="20"/>
      <c r="H725" s="20"/>
      <c r="I725" s="20"/>
      <c r="J725" s="20"/>
      <c r="K725" s="21"/>
      <c r="L725" s="21"/>
      <c r="M725" s="21"/>
      <c r="N725" s="21"/>
      <c r="O725" s="21"/>
      <c r="P725" s="21"/>
      <c r="Q725" s="21"/>
      <c r="R725" s="21"/>
      <c r="S725" s="22"/>
    </row>
    <row r="726" spans="1:19" ht="28.5" customHeight="1" x14ac:dyDescent="0.2">
      <c r="A726" s="17"/>
      <c r="B726" s="17"/>
      <c r="C726" s="17"/>
      <c r="D726" s="23"/>
      <c r="E726" s="26"/>
      <c r="F726" s="20"/>
      <c r="G726" s="20"/>
      <c r="H726" s="20"/>
      <c r="I726" s="20"/>
      <c r="J726" s="20"/>
      <c r="K726" s="21"/>
      <c r="L726" s="21"/>
      <c r="M726" s="21"/>
      <c r="N726" s="21"/>
      <c r="O726" s="21"/>
      <c r="P726" s="21"/>
      <c r="Q726" s="21"/>
      <c r="R726" s="21"/>
      <c r="S726" s="22"/>
    </row>
    <row r="727" spans="1:19" ht="28.5" customHeight="1" x14ac:dyDescent="0.2">
      <c r="A727" s="17"/>
      <c r="B727" s="17"/>
      <c r="C727" s="17"/>
      <c r="D727" s="23"/>
      <c r="E727" s="26"/>
      <c r="F727" s="20"/>
      <c r="G727" s="20"/>
      <c r="H727" s="20"/>
      <c r="I727" s="20"/>
      <c r="J727" s="20"/>
      <c r="K727" s="21"/>
      <c r="L727" s="21"/>
      <c r="M727" s="21"/>
      <c r="N727" s="21"/>
      <c r="O727" s="21"/>
      <c r="P727" s="21"/>
      <c r="Q727" s="21"/>
      <c r="R727" s="21"/>
      <c r="S727" s="22"/>
    </row>
    <row r="728" spans="1:19" ht="28.5" customHeight="1" x14ac:dyDescent="0.2">
      <c r="A728" s="17"/>
      <c r="B728" s="17"/>
      <c r="C728" s="17"/>
      <c r="D728" s="23"/>
      <c r="E728" s="26"/>
      <c r="F728" s="20"/>
      <c r="G728" s="20"/>
      <c r="H728" s="20"/>
      <c r="I728" s="20"/>
      <c r="J728" s="20"/>
      <c r="K728" s="21"/>
      <c r="L728" s="21"/>
      <c r="M728" s="21"/>
      <c r="N728" s="21"/>
      <c r="O728" s="21"/>
      <c r="P728" s="21"/>
      <c r="Q728" s="21"/>
      <c r="R728" s="21"/>
      <c r="S728" s="22"/>
    </row>
    <row r="729" spans="1:19" ht="28.5" customHeight="1" x14ac:dyDescent="0.2">
      <c r="A729" s="17"/>
      <c r="B729" s="17"/>
      <c r="C729" s="17"/>
      <c r="D729" s="442" t="e">
        <f>+'PRESUPUESTO DE OBRA'!#REF!</f>
        <v>#REF!</v>
      </c>
      <c r="E729" s="19"/>
      <c r="F729" s="20"/>
      <c r="G729" s="20"/>
      <c r="H729" s="20"/>
      <c r="I729" s="20"/>
      <c r="J729" s="20"/>
      <c r="K729" s="21"/>
      <c r="L729" s="21"/>
      <c r="M729" s="21"/>
      <c r="N729" s="21"/>
      <c r="O729" s="21"/>
      <c r="P729" s="21"/>
      <c r="Q729" s="21"/>
      <c r="R729" s="21"/>
      <c r="S729" s="22"/>
    </row>
    <row r="730" spans="1:19" ht="15" x14ac:dyDescent="0.2">
      <c r="B730" s="126"/>
      <c r="C730" s="126"/>
      <c r="D730" s="23" t="e">
        <f>+'PRESUPUESTO DE OBRA'!#REF!</f>
        <v>#REF!</v>
      </c>
      <c r="E730" s="127" t="e">
        <f>+'PRESUPUESTO DE OBRA'!#REF!</f>
        <v>#REF!</v>
      </c>
      <c r="F730" s="22"/>
      <c r="G730" s="20"/>
      <c r="H730" s="22"/>
      <c r="I730" s="22"/>
      <c r="J730" s="22"/>
      <c r="K730" s="21"/>
      <c r="L730" s="21"/>
      <c r="M730" s="21"/>
      <c r="N730" s="21"/>
      <c r="O730" s="21"/>
      <c r="P730" s="21"/>
      <c r="Q730" s="21"/>
      <c r="R730" s="21"/>
      <c r="S730" s="22"/>
    </row>
    <row r="731" spans="1:19" ht="15" x14ac:dyDescent="0.2">
      <c r="D731" s="23" t="e">
        <f>+'PRESUPUESTO DE OBRA'!#REF!</f>
        <v>#REF!</v>
      </c>
      <c r="E731" s="127" t="e">
        <f>+'PRESUPUESTO DE OBRA'!#REF!</f>
        <v>#REF!</v>
      </c>
      <c r="F731" s="21"/>
      <c r="G731" s="21"/>
      <c r="H731" s="21">
        <v>0.3</v>
      </c>
      <c r="I731" s="21"/>
      <c r="J731" s="21"/>
      <c r="K731" s="21">
        <v>788.63</v>
      </c>
      <c r="L731" s="21">
        <f>+H731*K731</f>
        <v>236.589</v>
      </c>
      <c r="M731" s="21"/>
      <c r="N731" s="21"/>
      <c r="O731" s="21"/>
      <c r="P731" s="21"/>
      <c r="Q731" s="21"/>
      <c r="R731" s="21"/>
      <c r="S731" s="22">
        <f>+L731</f>
        <v>236.589</v>
      </c>
    </row>
    <row r="732" spans="1:19" ht="15" x14ac:dyDescent="0.2">
      <c r="D732" s="23" t="e">
        <f>+'PRESUPUESTO DE OBRA'!#REF!</f>
        <v>#REF!</v>
      </c>
      <c r="E732" s="127" t="e">
        <f>+'PRESUPUESTO DE OBRA'!#REF!</f>
        <v>#REF!</v>
      </c>
      <c r="F732" s="21"/>
      <c r="G732" s="21"/>
      <c r="H732" s="21">
        <v>0.15</v>
      </c>
      <c r="I732" s="21"/>
      <c r="J732" s="21"/>
      <c r="K732" s="21">
        <v>788.63</v>
      </c>
      <c r="L732" s="21">
        <f>+H732*K732</f>
        <v>118.2945</v>
      </c>
      <c r="M732" s="21"/>
      <c r="N732" s="21"/>
      <c r="O732" s="21"/>
      <c r="P732" s="21"/>
      <c r="Q732" s="21"/>
      <c r="R732" s="21"/>
      <c r="S732" s="22">
        <f>+L732</f>
        <v>118.2945</v>
      </c>
    </row>
    <row r="733" spans="1:19" ht="15" x14ac:dyDescent="0.2">
      <c r="D733" s="23" t="e">
        <f>+'PRESUPUESTO DE OBRA'!#REF!</f>
        <v>#REF!</v>
      </c>
      <c r="E733" s="127" t="e">
        <f>+'PRESUPUESTO DE OBRA'!#REF!</f>
        <v>#REF!</v>
      </c>
      <c r="F733" s="21"/>
      <c r="G733" s="21"/>
      <c r="H733" s="21"/>
      <c r="I733" s="21"/>
      <c r="J733" s="21"/>
      <c r="K733" s="21">
        <f>+K731</f>
        <v>788.63</v>
      </c>
      <c r="L733" s="21"/>
      <c r="M733" s="21"/>
      <c r="N733" s="21"/>
      <c r="O733" s="21"/>
      <c r="P733" s="21"/>
      <c r="Q733" s="21"/>
      <c r="R733" s="21"/>
      <c r="S733" s="22">
        <f>+K733</f>
        <v>788.63</v>
      </c>
    </row>
    <row r="734" spans="1:19" ht="31.5" customHeight="1" x14ac:dyDescent="0.2">
      <c r="D734" s="23" t="e">
        <f>+'PRESUPUESTO DE OBRA'!#REF!</f>
        <v>#REF!</v>
      </c>
      <c r="E734" s="127" t="e">
        <f>+'PRESUPUESTO DE OBRA'!#REF!</f>
        <v>#REF!</v>
      </c>
      <c r="F734" s="21"/>
      <c r="G734" s="21"/>
      <c r="H734" s="21"/>
      <c r="I734" s="21">
        <v>30</v>
      </c>
      <c r="J734" s="21"/>
      <c r="K734" s="21"/>
      <c r="L734" s="21"/>
      <c r="M734" s="21"/>
      <c r="N734" s="21"/>
      <c r="O734" s="21"/>
      <c r="P734" s="21"/>
      <c r="Q734" s="21"/>
      <c r="R734" s="21"/>
      <c r="S734" s="22">
        <f>+I734</f>
        <v>30</v>
      </c>
    </row>
    <row r="735" spans="1:19" ht="15" x14ac:dyDescent="0.2">
      <c r="D735" s="442" t="e">
        <f>+'PRESUPUESTO DE OBRA'!#REF!</f>
        <v>#REF!</v>
      </c>
      <c r="E735" s="19"/>
      <c r="F735" s="21">
        <v>140.80000000000001</v>
      </c>
      <c r="G735" s="21"/>
      <c r="H735" s="21"/>
      <c r="I735" s="21"/>
      <c r="J735" s="21">
        <v>140.80000000000001</v>
      </c>
      <c r="K735" s="21"/>
      <c r="L735" s="21"/>
      <c r="M735" s="21"/>
      <c r="N735" s="21"/>
      <c r="O735" s="21"/>
      <c r="P735" s="21"/>
      <c r="Q735" s="21"/>
      <c r="R735" s="21"/>
      <c r="S735" s="22">
        <f>+J735</f>
        <v>140.80000000000001</v>
      </c>
    </row>
    <row r="736" spans="1:19" ht="15" x14ac:dyDescent="0.2">
      <c r="A736" s="1"/>
      <c r="B736" s="126"/>
      <c r="C736" s="126"/>
      <c r="D736" s="23" t="e">
        <f>+'PRESUPUESTO DE OBRA'!#REF!</f>
        <v>#REF!</v>
      </c>
      <c r="E736" s="128" t="e">
        <f>+'PRESUPUESTO DE OBRA'!#REF!</f>
        <v>#REF!</v>
      </c>
      <c r="F736" s="22"/>
      <c r="G736" s="20"/>
      <c r="H736" s="22"/>
      <c r="I736" s="22"/>
      <c r="J736" s="22"/>
      <c r="K736" s="21"/>
      <c r="L736" s="21"/>
      <c r="M736" s="21"/>
      <c r="N736" s="21"/>
      <c r="O736" s="21"/>
      <c r="P736" s="21"/>
      <c r="Q736" s="21"/>
      <c r="R736" s="21"/>
      <c r="S736" s="22"/>
    </row>
    <row r="737" spans="1:19" ht="35.25" customHeight="1" x14ac:dyDescent="0.2">
      <c r="A737" s="1"/>
      <c r="D737" s="23" t="e">
        <f>+'PRESUPUESTO DE OBRA'!#REF!</f>
        <v>#REF!</v>
      </c>
      <c r="E737" s="128" t="e">
        <f>+'PRESUPUESTO DE OBRA'!#REF!</f>
        <v>#REF!</v>
      </c>
      <c r="F737" s="129"/>
      <c r="G737" s="130"/>
      <c r="H737" s="129">
        <v>0.3</v>
      </c>
      <c r="I737" s="129"/>
      <c r="J737" s="129"/>
      <c r="K737" s="129">
        <v>176.51</v>
      </c>
      <c r="L737" s="21">
        <f>+H737*K737</f>
        <v>52.952999999999996</v>
      </c>
      <c r="M737" s="21"/>
      <c r="N737" s="21"/>
      <c r="O737" s="21"/>
      <c r="P737" s="21"/>
      <c r="Q737" s="21"/>
      <c r="R737" s="21"/>
      <c r="S737" s="22">
        <f>+L737</f>
        <v>52.952999999999996</v>
      </c>
    </row>
    <row r="738" spans="1:19" ht="15" x14ac:dyDescent="0.2">
      <c r="A738" s="1"/>
      <c r="D738" s="23" t="e">
        <f>+'PRESUPUESTO DE OBRA'!#REF!</f>
        <v>#REF!</v>
      </c>
      <c r="E738" s="128" t="e">
        <f>+'PRESUPUESTO DE OBRA'!#REF!</f>
        <v>#REF!</v>
      </c>
      <c r="F738" s="129"/>
      <c r="G738" s="130"/>
      <c r="H738" s="129">
        <v>0.15</v>
      </c>
      <c r="I738" s="129"/>
      <c r="J738" s="129"/>
      <c r="K738" s="129">
        <v>176.51</v>
      </c>
      <c r="L738" s="21">
        <f>+H738*K738</f>
        <v>26.476499999999998</v>
      </c>
      <c r="M738" s="21"/>
      <c r="N738" s="21"/>
      <c r="O738" s="21"/>
      <c r="P738" s="21"/>
      <c r="Q738" s="21"/>
      <c r="R738" s="21"/>
      <c r="S738" s="22">
        <f>+L738</f>
        <v>26.476499999999998</v>
      </c>
    </row>
    <row r="739" spans="1:19" ht="15" x14ac:dyDescent="0.2">
      <c r="A739" s="1"/>
      <c r="D739" s="23" t="e">
        <f>+'PRESUPUESTO DE OBRA'!#REF!</f>
        <v>#REF!</v>
      </c>
      <c r="E739" s="128" t="e">
        <f>+'PRESUPUESTO DE OBRA'!#REF!</f>
        <v>#REF!</v>
      </c>
      <c r="F739" s="129"/>
      <c r="G739" s="130"/>
      <c r="H739" s="129"/>
      <c r="I739" s="129"/>
      <c r="J739" s="129"/>
      <c r="K739" s="129">
        <v>176.51</v>
      </c>
      <c r="L739" s="129"/>
      <c r="M739" s="129"/>
      <c r="N739" s="129"/>
      <c r="O739" s="129"/>
      <c r="P739" s="129"/>
      <c r="Q739" s="129"/>
      <c r="R739" s="129"/>
      <c r="S739" s="22">
        <f>+K739</f>
        <v>176.51</v>
      </c>
    </row>
    <row r="740" spans="1:19" ht="15" x14ac:dyDescent="0.2">
      <c r="A740" s="1"/>
      <c r="D740" s="23" t="e">
        <f>+'PRESUPUESTO DE OBRA'!#REF!</f>
        <v>#REF!</v>
      </c>
      <c r="E740" s="128" t="e">
        <f>+'PRESUPUESTO DE OBRA'!#REF!</f>
        <v>#REF!</v>
      </c>
      <c r="F740" s="129"/>
      <c r="G740" s="130"/>
      <c r="H740" s="129"/>
      <c r="I740" s="129">
        <v>18</v>
      </c>
      <c r="J740" s="129"/>
      <c r="K740" s="129"/>
      <c r="L740" s="129"/>
      <c r="M740" s="129"/>
      <c r="N740" s="129"/>
      <c r="O740" s="129"/>
      <c r="P740" s="129"/>
      <c r="Q740" s="129"/>
      <c r="R740" s="129"/>
      <c r="S740" s="22">
        <f>+I740</f>
        <v>18</v>
      </c>
    </row>
    <row r="741" spans="1:19" ht="15" x14ac:dyDescent="0.2">
      <c r="A741" s="1"/>
      <c r="F741" s="129">
        <v>92.67</v>
      </c>
      <c r="G741" s="130"/>
      <c r="H741" s="129"/>
      <c r="I741" s="129"/>
      <c r="J741" s="129">
        <v>92.67</v>
      </c>
      <c r="K741" s="129"/>
      <c r="L741" s="129"/>
      <c r="M741" s="129"/>
      <c r="N741" s="129"/>
      <c r="O741" s="129"/>
      <c r="P741" s="129"/>
      <c r="Q741" s="129"/>
      <c r="R741" s="129"/>
      <c r="S741" s="22">
        <f>+J741</f>
        <v>92.67</v>
      </c>
    </row>
    <row r="742" spans="1:19" x14ac:dyDescent="0.2">
      <c r="A742" s="1"/>
      <c r="F742" s="129"/>
      <c r="G742" s="130"/>
      <c r="H742" s="129"/>
      <c r="I742" s="129"/>
      <c r="J742" s="129"/>
      <c r="K742" s="129"/>
      <c r="L742" s="129"/>
      <c r="M742" s="129"/>
      <c r="N742" s="129"/>
      <c r="O742" s="129"/>
      <c r="P742" s="129"/>
      <c r="Q742" s="129"/>
      <c r="R742" s="129"/>
      <c r="S742" s="129"/>
    </row>
    <row r="743" spans="1:19" x14ac:dyDescent="0.2">
      <c r="A743" s="1"/>
      <c r="F743" s="129"/>
      <c r="G743" s="130"/>
      <c r="H743" s="129"/>
      <c r="I743" s="129"/>
      <c r="J743" s="129"/>
      <c r="K743" s="129"/>
      <c r="L743" s="129"/>
      <c r="M743" s="129"/>
      <c r="N743" s="129"/>
      <c r="O743" s="129"/>
      <c r="P743" s="129"/>
      <c r="Q743" s="129"/>
      <c r="R743" s="129"/>
      <c r="S743" s="129"/>
    </row>
    <row r="744" spans="1:19" x14ac:dyDescent="0.2">
      <c r="A744" s="1"/>
      <c r="F744" s="129"/>
      <c r="G744" s="130"/>
      <c r="H744" s="129"/>
      <c r="I744" s="129"/>
      <c r="J744" s="129"/>
      <c r="K744" s="129"/>
      <c r="L744" s="129"/>
      <c r="M744" s="129"/>
      <c r="N744" s="129"/>
      <c r="O744" s="129"/>
      <c r="P744" s="129"/>
      <c r="Q744" s="129"/>
      <c r="R744" s="129"/>
      <c r="S744" s="129"/>
    </row>
    <row r="745" spans="1:19" x14ac:dyDescent="0.2">
      <c r="A745" s="1"/>
      <c r="F745" s="129"/>
      <c r="G745" s="130"/>
      <c r="H745" s="129"/>
      <c r="I745" s="129"/>
      <c r="J745" s="129"/>
      <c r="K745" s="129"/>
      <c r="L745" s="129"/>
      <c r="M745" s="129"/>
      <c r="N745" s="129"/>
      <c r="O745" s="129"/>
      <c r="P745" s="129"/>
      <c r="Q745" s="129"/>
      <c r="R745" s="129"/>
      <c r="S745" s="129"/>
    </row>
  </sheetData>
  <mergeCells count="5">
    <mergeCell ref="M5:R5"/>
    <mergeCell ref="A1:S1"/>
    <mergeCell ref="A2:S2"/>
    <mergeCell ref="A3:S3"/>
    <mergeCell ref="A4:S4"/>
  </mergeCells>
  <printOptions horizontalCentered="1"/>
  <pageMargins left="0.25" right="0.25" top="0.75" bottom="0.75" header="0.3" footer="0.3"/>
  <pageSetup paperSize="9" scale="36" fitToHeight="0" orientation="portrait" horizontalDpi="4294967294"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3" tint="0.59999389629810485"/>
    <pageSetUpPr fitToPage="1"/>
  </sheetPr>
  <dimension ref="A1:AB83"/>
  <sheetViews>
    <sheetView zoomScaleNormal="100" zoomScaleSheetLayoutView="100" workbookViewId="0">
      <selection activeCell="C13" sqref="C13:C15"/>
    </sheetView>
  </sheetViews>
  <sheetFormatPr baseColWidth="10" defaultColWidth="11.42578125" defaultRowHeight="11.25" x14ac:dyDescent="0.2"/>
  <cols>
    <col min="1" max="1" width="4.140625" style="693" customWidth="1"/>
    <col min="2" max="2" width="30.140625" style="693" customWidth="1"/>
    <col min="3" max="4" width="14.85546875" style="693" customWidth="1"/>
    <col min="5" max="28" width="5.42578125" style="693" customWidth="1"/>
    <col min="29" max="255" width="11.42578125" style="693"/>
    <col min="256" max="256" width="4.42578125" style="693" customWidth="1"/>
    <col min="257" max="257" width="24.7109375" style="693" customWidth="1"/>
    <col min="258" max="258" width="14.42578125" style="693" customWidth="1"/>
    <col min="259" max="259" width="14.28515625" style="693" customWidth="1"/>
    <col min="260" max="277" width="8.85546875" style="693" customWidth="1"/>
    <col min="278" max="511" width="11.42578125" style="693"/>
    <col min="512" max="512" width="4.42578125" style="693" customWidth="1"/>
    <col min="513" max="513" width="24.7109375" style="693" customWidth="1"/>
    <col min="514" max="514" width="14.42578125" style="693" customWidth="1"/>
    <col min="515" max="515" width="14.28515625" style="693" customWidth="1"/>
    <col min="516" max="533" width="8.85546875" style="693" customWidth="1"/>
    <col min="534" max="767" width="11.42578125" style="693"/>
    <col min="768" max="768" width="4.42578125" style="693" customWidth="1"/>
    <col min="769" max="769" width="24.7109375" style="693" customWidth="1"/>
    <col min="770" max="770" width="14.42578125" style="693" customWidth="1"/>
    <col min="771" max="771" width="14.28515625" style="693" customWidth="1"/>
    <col min="772" max="789" width="8.85546875" style="693" customWidth="1"/>
    <col min="790" max="1023" width="11.42578125" style="693"/>
    <col min="1024" max="1024" width="4.42578125" style="693" customWidth="1"/>
    <col min="1025" max="1025" width="24.7109375" style="693" customWidth="1"/>
    <col min="1026" max="1026" width="14.42578125" style="693" customWidth="1"/>
    <col min="1027" max="1027" width="14.28515625" style="693" customWidth="1"/>
    <col min="1028" max="1045" width="8.85546875" style="693" customWidth="1"/>
    <col min="1046" max="1279" width="11.42578125" style="693"/>
    <col min="1280" max="1280" width="4.42578125" style="693" customWidth="1"/>
    <col min="1281" max="1281" width="24.7109375" style="693" customWidth="1"/>
    <col min="1282" max="1282" width="14.42578125" style="693" customWidth="1"/>
    <col min="1283" max="1283" width="14.28515625" style="693" customWidth="1"/>
    <col min="1284" max="1301" width="8.85546875" style="693" customWidth="1"/>
    <col min="1302" max="1535" width="11.42578125" style="693"/>
    <col min="1536" max="1536" width="4.42578125" style="693" customWidth="1"/>
    <col min="1537" max="1537" width="24.7109375" style="693" customWidth="1"/>
    <col min="1538" max="1538" width="14.42578125" style="693" customWidth="1"/>
    <col min="1539" max="1539" width="14.28515625" style="693" customWidth="1"/>
    <col min="1540" max="1557" width="8.85546875" style="693" customWidth="1"/>
    <col min="1558" max="1791" width="11.42578125" style="693"/>
    <col min="1792" max="1792" width="4.42578125" style="693" customWidth="1"/>
    <col min="1793" max="1793" width="24.7109375" style="693" customWidth="1"/>
    <col min="1794" max="1794" width="14.42578125" style="693" customWidth="1"/>
    <col min="1795" max="1795" width="14.28515625" style="693" customWidth="1"/>
    <col min="1796" max="1813" width="8.85546875" style="693" customWidth="1"/>
    <col min="1814" max="2047" width="11.42578125" style="693"/>
    <col min="2048" max="2048" width="4.42578125" style="693" customWidth="1"/>
    <col min="2049" max="2049" width="24.7109375" style="693" customWidth="1"/>
    <col min="2050" max="2050" width="14.42578125" style="693" customWidth="1"/>
    <col min="2051" max="2051" width="14.28515625" style="693" customWidth="1"/>
    <col min="2052" max="2069" width="8.85546875" style="693" customWidth="1"/>
    <col min="2070" max="2303" width="11.42578125" style="693"/>
    <col min="2304" max="2304" width="4.42578125" style="693" customWidth="1"/>
    <col min="2305" max="2305" width="24.7109375" style="693" customWidth="1"/>
    <col min="2306" max="2306" width="14.42578125" style="693" customWidth="1"/>
    <col min="2307" max="2307" width="14.28515625" style="693" customWidth="1"/>
    <col min="2308" max="2325" width="8.85546875" style="693" customWidth="1"/>
    <col min="2326" max="2559" width="11.42578125" style="693"/>
    <col min="2560" max="2560" width="4.42578125" style="693" customWidth="1"/>
    <col min="2561" max="2561" width="24.7109375" style="693" customWidth="1"/>
    <col min="2562" max="2562" width="14.42578125" style="693" customWidth="1"/>
    <col min="2563" max="2563" width="14.28515625" style="693" customWidth="1"/>
    <col min="2564" max="2581" width="8.85546875" style="693" customWidth="1"/>
    <col min="2582" max="2815" width="11.42578125" style="693"/>
    <col min="2816" max="2816" width="4.42578125" style="693" customWidth="1"/>
    <col min="2817" max="2817" width="24.7109375" style="693" customWidth="1"/>
    <col min="2818" max="2818" width="14.42578125" style="693" customWidth="1"/>
    <col min="2819" max="2819" width="14.28515625" style="693" customWidth="1"/>
    <col min="2820" max="2837" width="8.85546875" style="693" customWidth="1"/>
    <col min="2838" max="3071" width="11.42578125" style="693"/>
    <col min="3072" max="3072" width="4.42578125" style="693" customWidth="1"/>
    <col min="3073" max="3073" width="24.7109375" style="693" customWidth="1"/>
    <col min="3074" max="3074" width="14.42578125" style="693" customWidth="1"/>
    <col min="3075" max="3075" width="14.28515625" style="693" customWidth="1"/>
    <col min="3076" max="3093" width="8.85546875" style="693" customWidth="1"/>
    <col min="3094" max="3327" width="11.42578125" style="693"/>
    <col min="3328" max="3328" width="4.42578125" style="693" customWidth="1"/>
    <col min="3329" max="3329" width="24.7109375" style="693" customWidth="1"/>
    <col min="3330" max="3330" width="14.42578125" style="693" customWidth="1"/>
    <col min="3331" max="3331" width="14.28515625" style="693" customWidth="1"/>
    <col min="3332" max="3349" width="8.85546875" style="693" customWidth="1"/>
    <col min="3350" max="3583" width="11.42578125" style="693"/>
    <col min="3584" max="3584" width="4.42578125" style="693" customWidth="1"/>
    <col min="3585" max="3585" width="24.7109375" style="693" customWidth="1"/>
    <col min="3586" max="3586" width="14.42578125" style="693" customWidth="1"/>
    <col min="3587" max="3587" width="14.28515625" style="693" customWidth="1"/>
    <col min="3588" max="3605" width="8.85546875" style="693" customWidth="1"/>
    <col min="3606" max="3839" width="11.42578125" style="693"/>
    <col min="3840" max="3840" width="4.42578125" style="693" customWidth="1"/>
    <col min="3841" max="3841" width="24.7109375" style="693" customWidth="1"/>
    <col min="3842" max="3842" width="14.42578125" style="693" customWidth="1"/>
    <col min="3843" max="3843" width="14.28515625" style="693" customWidth="1"/>
    <col min="3844" max="3861" width="8.85546875" style="693" customWidth="1"/>
    <col min="3862" max="4095" width="11.42578125" style="693"/>
    <col min="4096" max="4096" width="4.42578125" style="693" customWidth="1"/>
    <col min="4097" max="4097" width="24.7109375" style="693" customWidth="1"/>
    <col min="4098" max="4098" width="14.42578125" style="693" customWidth="1"/>
    <col min="4099" max="4099" width="14.28515625" style="693" customWidth="1"/>
    <col min="4100" max="4117" width="8.85546875" style="693" customWidth="1"/>
    <col min="4118" max="4351" width="11.42578125" style="693"/>
    <col min="4352" max="4352" width="4.42578125" style="693" customWidth="1"/>
    <col min="4353" max="4353" width="24.7109375" style="693" customWidth="1"/>
    <col min="4354" max="4354" width="14.42578125" style="693" customWidth="1"/>
    <col min="4355" max="4355" width="14.28515625" style="693" customWidth="1"/>
    <col min="4356" max="4373" width="8.85546875" style="693" customWidth="1"/>
    <col min="4374" max="4607" width="11.42578125" style="693"/>
    <col min="4608" max="4608" width="4.42578125" style="693" customWidth="1"/>
    <col min="4609" max="4609" width="24.7109375" style="693" customWidth="1"/>
    <col min="4610" max="4610" width="14.42578125" style="693" customWidth="1"/>
    <col min="4611" max="4611" width="14.28515625" style="693" customWidth="1"/>
    <col min="4612" max="4629" width="8.85546875" style="693" customWidth="1"/>
    <col min="4630" max="4863" width="11.42578125" style="693"/>
    <col min="4864" max="4864" width="4.42578125" style="693" customWidth="1"/>
    <col min="4865" max="4865" width="24.7109375" style="693" customWidth="1"/>
    <col min="4866" max="4866" width="14.42578125" style="693" customWidth="1"/>
    <col min="4867" max="4867" width="14.28515625" style="693" customWidth="1"/>
    <col min="4868" max="4885" width="8.85546875" style="693" customWidth="1"/>
    <col min="4886" max="5119" width="11.42578125" style="693"/>
    <col min="5120" max="5120" width="4.42578125" style="693" customWidth="1"/>
    <col min="5121" max="5121" width="24.7109375" style="693" customWidth="1"/>
    <col min="5122" max="5122" width="14.42578125" style="693" customWidth="1"/>
    <col min="5123" max="5123" width="14.28515625" style="693" customWidth="1"/>
    <col min="5124" max="5141" width="8.85546875" style="693" customWidth="1"/>
    <col min="5142" max="5375" width="11.42578125" style="693"/>
    <col min="5376" max="5376" width="4.42578125" style="693" customWidth="1"/>
    <col min="5377" max="5377" width="24.7109375" style="693" customWidth="1"/>
    <col min="5378" max="5378" width="14.42578125" style="693" customWidth="1"/>
    <col min="5379" max="5379" width="14.28515625" style="693" customWidth="1"/>
    <col min="5380" max="5397" width="8.85546875" style="693" customWidth="1"/>
    <col min="5398" max="5631" width="11.42578125" style="693"/>
    <col min="5632" max="5632" width="4.42578125" style="693" customWidth="1"/>
    <col min="5633" max="5633" width="24.7109375" style="693" customWidth="1"/>
    <col min="5634" max="5634" width="14.42578125" style="693" customWidth="1"/>
    <col min="5635" max="5635" width="14.28515625" style="693" customWidth="1"/>
    <col min="5636" max="5653" width="8.85546875" style="693" customWidth="1"/>
    <col min="5654" max="5887" width="11.42578125" style="693"/>
    <col min="5888" max="5888" width="4.42578125" style="693" customWidth="1"/>
    <col min="5889" max="5889" width="24.7109375" style="693" customWidth="1"/>
    <col min="5890" max="5890" width="14.42578125" style="693" customWidth="1"/>
    <col min="5891" max="5891" width="14.28515625" style="693" customWidth="1"/>
    <col min="5892" max="5909" width="8.85546875" style="693" customWidth="1"/>
    <col min="5910" max="6143" width="11.42578125" style="693"/>
    <col min="6144" max="6144" width="4.42578125" style="693" customWidth="1"/>
    <col min="6145" max="6145" width="24.7109375" style="693" customWidth="1"/>
    <col min="6146" max="6146" width="14.42578125" style="693" customWidth="1"/>
    <col min="6147" max="6147" width="14.28515625" style="693" customWidth="1"/>
    <col min="6148" max="6165" width="8.85546875" style="693" customWidth="1"/>
    <col min="6166" max="6399" width="11.42578125" style="693"/>
    <col min="6400" max="6400" width="4.42578125" style="693" customWidth="1"/>
    <col min="6401" max="6401" width="24.7109375" style="693" customWidth="1"/>
    <col min="6402" max="6402" width="14.42578125" style="693" customWidth="1"/>
    <col min="6403" max="6403" width="14.28515625" style="693" customWidth="1"/>
    <col min="6404" max="6421" width="8.85546875" style="693" customWidth="1"/>
    <col min="6422" max="6655" width="11.42578125" style="693"/>
    <col min="6656" max="6656" width="4.42578125" style="693" customWidth="1"/>
    <col min="6657" max="6657" width="24.7109375" style="693" customWidth="1"/>
    <col min="6658" max="6658" width="14.42578125" style="693" customWidth="1"/>
    <col min="6659" max="6659" width="14.28515625" style="693" customWidth="1"/>
    <col min="6660" max="6677" width="8.85546875" style="693" customWidth="1"/>
    <col min="6678" max="6911" width="11.42578125" style="693"/>
    <col min="6912" max="6912" width="4.42578125" style="693" customWidth="1"/>
    <col min="6913" max="6913" width="24.7109375" style="693" customWidth="1"/>
    <col min="6914" max="6914" width="14.42578125" style="693" customWidth="1"/>
    <col min="6915" max="6915" width="14.28515625" style="693" customWidth="1"/>
    <col min="6916" max="6933" width="8.85546875" style="693" customWidth="1"/>
    <col min="6934" max="7167" width="11.42578125" style="693"/>
    <col min="7168" max="7168" width="4.42578125" style="693" customWidth="1"/>
    <col min="7169" max="7169" width="24.7109375" style="693" customWidth="1"/>
    <col min="7170" max="7170" width="14.42578125" style="693" customWidth="1"/>
    <col min="7171" max="7171" width="14.28515625" style="693" customWidth="1"/>
    <col min="7172" max="7189" width="8.85546875" style="693" customWidth="1"/>
    <col min="7190" max="7423" width="11.42578125" style="693"/>
    <col min="7424" max="7424" width="4.42578125" style="693" customWidth="1"/>
    <col min="7425" max="7425" width="24.7109375" style="693" customWidth="1"/>
    <col min="7426" max="7426" width="14.42578125" style="693" customWidth="1"/>
    <col min="7427" max="7427" width="14.28515625" style="693" customWidth="1"/>
    <col min="7428" max="7445" width="8.85546875" style="693" customWidth="1"/>
    <col min="7446" max="7679" width="11.42578125" style="693"/>
    <col min="7680" max="7680" width="4.42578125" style="693" customWidth="1"/>
    <col min="7681" max="7681" width="24.7109375" style="693" customWidth="1"/>
    <col min="7682" max="7682" width="14.42578125" style="693" customWidth="1"/>
    <col min="7683" max="7683" width="14.28515625" style="693" customWidth="1"/>
    <col min="7684" max="7701" width="8.85546875" style="693" customWidth="1"/>
    <col min="7702" max="7935" width="11.42578125" style="693"/>
    <col min="7936" max="7936" width="4.42578125" style="693" customWidth="1"/>
    <col min="7937" max="7937" width="24.7109375" style="693" customWidth="1"/>
    <col min="7938" max="7938" width="14.42578125" style="693" customWidth="1"/>
    <col min="7939" max="7939" width="14.28515625" style="693" customWidth="1"/>
    <col min="7940" max="7957" width="8.85546875" style="693" customWidth="1"/>
    <col min="7958" max="8191" width="11.42578125" style="693"/>
    <col min="8192" max="8192" width="4.42578125" style="693" customWidth="1"/>
    <col min="8193" max="8193" width="24.7109375" style="693" customWidth="1"/>
    <col min="8194" max="8194" width="14.42578125" style="693" customWidth="1"/>
    <col min="8195" max="8195" width="14.28515625" style="693" customWidth="1"/>
    <col min="8196" max="8213" width="8.85546875" style="693" customWidth="1"/>
    <col min="8214" max="8447" width="11.42578125" style="693"/>
    <col min="8448" max="8448" width="4.42578125" style="693" customWidth="1"/>
    <col min="8449" max="8449" width="24.7109375" style="693" customWidth="1"/>
    <col min="8450" max="8450" width="14.42578125" style="693" customWidth="1"/>
    <col min="8451" max="8451" width="14.28515625" style="693" customWidth="1"/>
    <col min="8452" max="8469" width="8.85546875" style="693" customWidth="1"/>
    <col min="8470" max="8703" width="11.42578125" style="693"/>
    <col min="8704" max="8704" width="4.42578125" style="693" customWidth="1"/>
    <col min="8705" max="8705" width="24.7109375" style="693" customWidth="1"/>
    <col min="8706" max="8706" width="14.42578125" style="693" customWidth="1"/>
    <col min="8707" max="8707" width="14.28515625" style="693" customWidth="1"/>
    <col min="8708" max="8725" width="8.85546875" style="693" customWidth="1"/>
    <col min="8726" max="8959" width="11.42578125" style="693"/>
    <col min="8960" max="8960" width="4.42578125" style="693" customWidth="1"/>
    <col min="8961" max="8961" width="24.7109375" style="693" customWidth="1"/>
    <col min="8962" max="8962" width="14.42578125" style="693" customWidth="1"/>
    <col min="8963" max="8963" width="14.28515625" style="693" customWidth="1"/>
    <col min="8964" max="8981" width="8.85546875" style="693" customWidth="1"/>
    <col min="8982" max="9215" width="11.42578125" style="693"/>
    <col min="9216" max="9216" width="4.42578125" style="693" customWidth="1"/>
    <col min="9217" max="9217" width="24.7109375" style="693" customWidth="1"/>
    <col min="9218" max="9218" width="14.42578125" style="693" customWidth="1"/>
    <col min="9219" max="9219" width="14.28515625" style="693" customWidth="1"/>
    <col min="9220" max="9237" width="8.85546875" style="693" customWidth="1"/>
    <col min="9238" max="9471" width="11.42578125" style="693"/>
    <col min="9472" max="9472" width="4.42578125" style="693" customWidth="1"/>
    <col min="9473" max="9473" width="24.7109375" style="693" customWidth="1"/>
    <col min="9474" max="9474" width="14.42578125" style="693" customWidth="1"/>
    <col min="9475" max="9475" width="14.28515625" style="693" customWidth="1"/>
    <col min="9476" max="9493" width="8.85546875" style="693" customWidth="1"/>
    <col min="9494" max="9727" width="11.42578125" style="693"/>
    <col min="9728" max="9728" width="4.42578125" style="693" customWidth="1"/>
    <col min="9729" max="9729" width="24.7109375" style="693" customWidth="1"/>
    <col min="9730" max="9730" width="14.42578125" style="693" customWidth="1"/>
    <col min="9731" max="9731" width="14.28515625" style="693" customWidth="1"/>
    <col min="9732" max="9749" width="8.85546875" style="693" customWidth="1"/>
    <col min="9750" max="9983" width="11.42578125" style="693"/>
    <col min="9984" max="9984" width="4.42578125" style="693" customWidth="1"/>
    <col min="9985" max="9985" width="24.7109375" style="693" customWidth="1"/>
    <col min="9986" max="9986" width="14.42578125" style="693" customWidth="1"/>
    <col min="9987" max="9987" width="14.28515625" style="693" customWidth="1"/>
    <col min="9988" max="10005" width="8.85546875" style="693" customWidth="1"/>
    <col min="10006" max="10239" width="11.42578125" style="693"/>
    <col min="10240" max="10240" width="4.42578125" style="693" customWidth="1"/>
    <col min="10241" max="10241" width="24.7109375" style="693" customWidth="1"/>
    <col min="10242" max="10242" width="14.42578125" style="693" customWidth="1"/>
    <col min="10243" max="10243" width="14.28515625" style="693" customWidth="1"/>
    <col min="10244" max="10261" width="8.85546875" style="693" customWidth="1"/>
    <col min="10262" max="10495" width="11.42578125" style="693"/>
    <col min="10496" max="10496" width="4.42578125" style="693" customWidth="1"/>
    <col min="10497" max="10497" width="24.7109375" style="693" customWidth="1"/>
    <col min="10498" max="10498" width="14.42578125" style="693" customWidth="1"/>
    <col min="10499" max="10499" width="14.28515625" style="693" customWidth="1"/>
    <col min="10500" max="10517" width="8.85546875" style="693" customWidth="1"/>
    <col min="10518" max="10751" width="11.42578125" style="693"/>
    <col min="10752" max="10752" width="4.42578125" style="693" customWidth="1"/>
    <col min="10753" max="10753" width="24.7109375" style="693" customWidth="1"/>
    <col min="10754" max="10754" width="14.42578125" style="693" customWidth="1"/>
    <col min="10755" max="10755" width="14.28515625" style="693" customWidth="1"/>
    <col min="10756" max="10773" width="8.85546875" style="693" customWidth="1"/>
    <col min="10774" max="11007" width="11.42578125" style="693"/>
    <col min="11008" max="11008" width="4.42578125" style="693" customWidth="1"/>
    <col min="11009" max="11009" width="24.7109375" style="693" customWidth="1"/>
    <col min="11010" max="11010" width="14.42578125" style="693" customWidth="1"/>
    <col min="11011" max="11011" width="14.28515625" style="693" customWidth="1"/>
    <col min="11012" max="11029" width="8.85546875" style="693" customWidth="1"/>
    <col min="11030" max="11263" width="11.42578125" style="693"/>
    <col min="11264" max="11264" width="4.42578125" style="693" customWidth="1"/>
    <col min="11265" max="11265" width="24.7109375" style="693" customWidth="1"/>
    <col min="11266" max="11266" width="14.42578125" style="693" customWidth="1"/>
    <col min="11267" max="11267" width="14.28515625" style="693" customWidth="1"/>
    <col min="11268" max="11285" width="8.85546875" style="693" customWidth="1"/>
    <col min="11286" max="11519" width="11.42578125" style="693"/>
    <col min="11520" max="11520" width="4.42578125" style="693" customWidth="1"/>
    <col min="11521" max="11521" width="24.7109375" style="693" customWidth="1"/>
    <col min="11522" max="11522" width="14.42578125" style="693" customWidth="1"/>
    <col min="11523" max="11523" width="14.28515625" style="693" customWidth="1"/>
    <col min="11524" max="11541" width="8.85546875" style="693" customWidth="1"/>
    <col min="11542" max="11775" width="11.42578125" style="693"/>
    <col min="11776" max="11776" width="4.42578125" style="693" customWidth="1"/>
    <col min="11777" max="11777" width="24.7109375" style="693" customWidth="1"/>
    <col min="11778" max="11778" width="14.42578125" style="693" customWidth="1"/>
    <col min="11779" max="11779" width="14.28515625" style="693" customWidth="1"/>
    <col min="11780" max="11797" width="8.85546875" style="693" customWidth="1"/>
    <col min="11798" max="12031" width="11.42578125" style="693"/>
    <col min="12032" max="12032" width="4.42578125" style="693" customWidth="1"/>
    <col min="12033" max="12033" width="24.7109375" style="693" customWidth="1"/>
    <col min="12034" max="12034" width="14.42578125" style="693" customWidth="1"/>
    <col min="12035" max="12035" width="14.28515625" style="693" customWidth="1"/>
    <col min="12036" max="12053" width="8.85546875" style="693" customWidth="1"/>
    <col min="12054" max="12287" width="11.42578125" style="693"/>
    <col min="12288" max="12288" width="4.42578125" style="693" customWidth="1"/>
    <col min="12289" max="12289" width="24.7109375" style="693" customWidth="1"/>
    <col min="12290" max="12290" width="14.42578125" style="693" customWidth="1"/>
    <col min="12291" max="12291" width="14.28515625" style="693" customWidth="1"/>
    <col min="12292" max="12309" width="8.85546875" style="693" customWidth="1"/>
    <col min="12310" max="12543" width="11.42578125" style="693"/>
    <col min="12544" max="12544" width="4.42578125" style="693" customWidth="1"/>
    <col min="12545" max="12545" width="24.7109375" style="693" customWidth="1"/>
    <col min="12546" max="12546" width="14.42578125" style="693" customWidth="1"/>
    <col min="12547" max="12547" width="14.28515625" style="693" customWidth="1"/>
    <col min="12548" max="12565" width="8.85546875" style="693" customWidth="1"/>
    <col min="12566" max="12799" width="11.42578125" style="693"/>
    <col min="12800" max="12800" width="4.42578125" style="693" customWidth="1"/>
    <col min="12801" max="12801" width="24.7109375" style="693" customWidth="1"/>
    <col min="12802" max="12802" width="14.42578125" style="693" customWidth="1"/>
    <col min="12803" max="12803" width="14.28515625" style="693" customWidth="1"/>
    <col min="12804" max="12821" width="8.85546875" style="693" customWidth="1"/>
    <col min="12822" max="13055" width="11.42578125" style="693"/>
    <col min="13056" max="13056" width="4.42578125" style="693" customWidth="1"/>
    <col min="13057" max="13057" width="24.7109375" style="693" customWidth="1"/>
    <col min="13058" max="13058" width="14.42578125" style="693" customWidth="1"/>
    <col min="13059" max="13059" width="14.28515625" style="693" customWidth="1"/>
    <col min="13060" max="13077" width="8.85546875" style="693" customWidth="1"/>
    <col min="13078" max="13311" width="11.42578125" style="693"/>
    <col min="13312" max="13312" width="4.42578125" style="693" customWidth="1"/>
    <col min="13313" max="13313" width="24.7109375" style="693" customWidth="1"/>
    <col min="13314" max="13314" width="14.42578125" style="693" customWidth="1"/>
    <col min="13315" max="13315" width="14.28515625" style="693" customWidth="1"/>
    <col min="13316" max="13333" width="8.85546875" style="693" customWidth="1"/>
    <col min="13334" max="13567" width="11.42578125" style="693"/>
    <col min="13568" max="13568" width="4.42578125" style="693" customWidth="1"/>
    <col min="13569" max="13569" width="24.7109375" style="693" customWidth="1"/>
    <col min="13570" max="13570" width="14.42578125" style="693" customWidth="1"/>
    <col min="13571" max="13571" width="14.28515625" style="693" customWidth="1"/>
    <col min="13572" max="13589" width="8.85546875" style="693" customWidth="1"/>
    <col min="13590" max="13823" width="11.42578125" style="693"/>
    <col min="13824" max="13824" width="4.42578125" style="693" customWidth="1"/>
    <col min="13825" max="13825" width="24.7109375" style="693" customWidth="1"/>
    <col min="13826" max="13826" width="14.42578125" style="693" customWidth="1"/>
    <col min="13827" max="13827" width="14.28515625" style="693" customWidth="1"/>
    <col min="13828" max="13845" width="8.85546875" style="693" customWidth="1"/>
    <col min="13846" max="14079" width="11.42578125" style="693"/>
    <col min="14080" max="14080" width="4.42578125" style="693" customWidth="1"/>
    <col min="14081" max="14081" width="24.7109375" style="693" customWidth="1"/>
    <col min="14082" max="14082" width="14.42578125" style="693" customWidth="1"/>
    <col min="14083" max="14083" width="14.28515625" style="693" customWidth="1"/>
    <col min="14084" max="14101" width="8.85546875" style="693" customWidth="1"/>
    <col min="14102" max="14335" width="11.42578125" style="693"/>
    <col min="14336" max="14336" width="4.42578125" style="693" customWidth="1"/>
    <col min="14337" max="14337" width="24.7109375" style="693" customWidth="1"/>
    <col min="14338" max="14338" width="14.42578125" style="693" customWidth="1"/>
    <col min="14339" max="14339" width="14.28515625" style="693" customWidth="1"/>
    <col min="14340" max="14357" width="8.85546875" style="693" customWidth="1"/>
    <col min="14358" max="14591" width="11.42578125" style="693"/>
    <col min="14592" max="14592" width="4.42578125" style="693" customWidth="1"/>
    <col min="14593" max="14593" width="24.7109375" style="693" customWidth="1"/>
    <col min="14594" max="14594" width="14.42578125" style="693" customWidth="1"/>
    <col min="14595" max="14595" width="14.28515625" style="693" customWidth="1"/>
    <col min="14596" max="14613" width="8.85546875" style="693" customWidth="1"/>
    <col min="14614" max="14847" width="11.42578125" style="693"/>
    <col min="14848" max="14848" width="4.42578125" style="693" customWidth="1"/>
    <col min="14849" max="14849" width="24.7109375" style="693" customWidth="1"/>
    <col min="14850" max="14850" width="14.42578125" style="693" customWidth="1"/>
    <col min="14851" max="14851" width="14.28515625" style="693" customWidth="1"/>
    <col min="14852" max="14869" width="8.85546875" style="693" customWidth="1"/>
    <col min="14870" max="15103" width="11.42578125" style="693"/>
    <col min="15104" max="15104" width="4.42578125" style="693" customWidth="1"/>
    <col min="15105" max="15105" width="24.7109375" style="693" customWidth="1"/>
    <col min="15106" max="15106" width="14.42578125" style="693" customWidth="1"/>
    <col min="15107" max="15107" width="14.28515625" style="693" customWidth="1"/>
    <col min="15108" max="15125" width="8.85546875" style="693" customWidth="1"/>
    <col min="15126" max="15359" width="11.42578125" style="693"/>
    <col min="15360" max="15360" width="4.42578125" style="693" customWidth="1"/>
    <col min="15361" max="15361" width="24.7109375" style="693" customWidth="1"/>
    <col min="15362" max="15362" width="14.42578125" style="693" customWidth="1"/>
    <col min="15363" max="15363" width="14.28515625" style="693" customWidth="1"/>
    <col min="15364" max="15381" width="8.85546875" style="693" customWidth="1"/>
    <col min="15382" max="15615" width="11.42578125" style="693"/>
    <col min="15616" max="15616" width="4.42578125" style="693" customWidth="1"/>
    <col min="15617" max="15617" width="24.7109375" style="693" customWidth="1"/>
    <col min="15618" max="15618" width="14.42578125" style="693" customWidth="1"/>
    <col min="15619" max="15619" width="14.28515625" style="693" customWidth="1"/>
    <col min="15620" max="15637" width="8.85546875" style="693" customWidth="1"/>
    <col min="15638" max="15871" width="11.42578125" style="693"/>
    <col min="15872" max="15872" width="4.42578125" style="693" customWidth="1"/>
    <col min="15873" max="15873" width="24.7109375" style="693" customWidth="1"/>
    <col min="15874" max="15874" width="14.42578125" style="693" customWidth="1"/>
    <col min="15875" max="15875" width="14.28515625" style="693" customWidth="1"/>
    <col min="15876" max="15893" width="8.85546875" style="693" customWidth="1"/>
    <col min="15894" max="16127" width="11.42578125" style="693"/>
    <col min="16128" max="16128" width="4.42578125" style="693" customWidth="1"/>
    <col min="16129" max="16129" width="24.7109375" style="693" customWidth="1"/>
    <col min="16130" max="16130" width="14.42578125" style="693" customWidth="1"/>
    <col min="16131" max="16131" width="14.28515625" style="693" customWidth="1"/>
    <col min="16132" max="16149" width="8.85546875" style="693" customWidth="1"/>
    <col min="16150" max="16384" width="11.42578125" style="693"/>
  </cols>
  <sheetData>
    <row r="1" spans="1:28" ht="24.75" customHeight="1" x14ac:dyDescent="0.2">
      <c r="A1" s="991" t="s">
        <v>661</v>
      </c>
      <c r="B1" s="991"/>
      <c r="C1" s="991"/>
      <c r="D1" s="991"/>
      <c r="E1" s="991"/>
      <c r="F1" s="991"/>
      <c r="G1" s="991"/>
      <c r="H1" s="991"/>
      <c r="I1" s="991"/>
      <c r="J1" s="991"/>
      <c r="K1" s="991"/>
      <c r="L1" s="991"/>
      <c r="M1" s="991"/>
      <c r="N1" s="991"/>
      <c r="O1" s="991"/>
      <c r="P1" s="991"/>
      <c r="Q1" s="991"/>
      <c r="R1" s="991"/>
      <c r="S1" s="991"/>
      <c r="T1" s="991"/>
      <c r="U1" s="991"/>
      <c r="V1" s="991"/>
      <c r="W1" s="991"/>
      <c r="X1" s="991"/>
      <c r="Y1" s="991"/>
      <c r="Z1" s="991"/>
      <c r="AA1" s="991"/>
      <c r="AB1" s="991"/>
    </row>
    <row r="2" spans="1:28" ht="15" customHeight="1" x14ac:dyDescent="0.2">
      <c r="A2" s="992" t="s">
        <v>662</v>
      </c>
      <c r="B2" s="991" t="s">
        <v>663</v>
      </c>
      <c r="C2" s="995" t="s">
        <v>664</v>
      </c>
      <c r="D2" s="995"/>
      <c r="E2" s="996" t="s">
        <v>2226</v>
      </c>
      <c r="F2" s="997"/>
      <c r="G2" s="997"/>
      <c r="H2" s="997"/>
      <c r="I2" s="997"/>
      <c r="J2" s="997"/>
      <c r="K2" s="997"/>
      <c r="L2" s="997"/>
      <c r="M2" s="997"/>
      <c r="N2" s="997"/>
      <c r="O2" s="997"/>
      <c r="P2" s="997"/>
      <c r="Q2" s="997"/>
      <c r="R2" s="997"/>
      <c r="S2" s="997"/>
      <c r="T2" s="997"/>
      <c r="U2" s="997"/>
      <c r="V2" s="997"/>
      <c r="W2" s="997"/>
      <c r="X2" s="997"/>
      <c r="Y2" s="997"/>
      <c r="Z2" s="997"/>
      <c r="AA2" s="997"/>
      <c r="AB2" s="998"/>
    </row>
    <row r="3" spans="1:28" ht="12.75" customHeight="1" x14ac:dyDescent="0.2">
      <c r="A3" s="993"/>
      <c r="B3" s="991"/>
      <c r="C3" s="1005" t="s">
        <v>665</v>
      </c>
      <c r="D3" s="1005"/>
      <c r="E3" s="999"/>
      <c r="F3" s="1000"/>
      <c r="G3" s="1000"/>
      <c r="H3" s="1000"/>
      <c r="I3" s="1000"/>
      <c r="J3" s="1000"/>
      <c r="K3" s="1000"/>
      <c r="L3" s="1000"/>
      <c r="M3" s="1000"/>
      <c r="N3" s="1000"/>
      <c r="O3" s="1000"/>
      <c r="P3" s="1000"/>
      <c r="Q3" s="1000"/>
      <c r="R3" s="1000"/>
      <c r="S3" s="1000"/>
      <c r="T3" s="1000"/>
      <c r="U3" s="1000"/>
      <c r="V3" s="1000"/>
      <c r="W3" s="1000"/>
      <c r="X3" s="1000"/>
      <c r="Y3" s="1000"/>
      <c r="Z3" s="1000"/>
      <c r="AA3" s="1000"/>
      <c r="AB3" s="1001"/>
    </row>
    <row r="4" spans="1:28" x14ac:dyDescent="0.2">
      <c r="A4" s="993"/>
      <c r="B4" s="991"/>
      <c r="C4" s="1005"/>
      <c r="D4" s="1005"/>
      <c r="E4" s="1002"/>
      <c r="F4" s="1003"/>
      <c r="G4" s="1003"/>
      <c r="H4" s="1003"/>
      <c r="I4" s="1003"/>
      <c r="J4" s="1003"/>
      <c r="K4" s="1003"/>
      <c r="L4" s="1003"/>
      <c r="M4" s="1003"/>
      <c r="N4" s="1003"/>
      <c r="O4" s="1003"/>
      <c r="P4" s="1003"/>
      <c r="Q4" s="1003"/>
      <c r="R4" s="1003"/>
      <c r="S4" s="1003"/>
      <c r="T4" s="1003"/>
      <c r="U4" s="1003"/>
      <c r="V4" s="1003"/>
      <c r="W4" s="1003"/>
      <c r="X4" s="1003"/>
      <c r="Y4" s="1003"/>
      <c r="Z4" s="1003"/>
      <c r="AA4" s="1003"/>
      <c r="AB4" s="1004"/>
    </row>
    <row r="5" spans="1:28" s="138" customFormat="1" ht="21.75" customHeight="1" x14ac:dyDescent="0.25">
      <c r="A5" s="994"/>
      <c r="B5" s="454" t="s">
        <v>666</v>
      </c>
      <c r="C5" s="454" t="s">
        <v>667</v>
      </c>
      <c r="D5" s="454" t="s">
        <v>2227</v>
      </c>
      <c r="E5" s="991" t="s">
        <v>668</v>
      </c>
      <c r="F5" s="991"/>
      <c r="G5" s="991"/>
      <c r="H5" s="991"/>
      <c r="I5" s="991" t="s">
        <v>2228</v>
      </c>
      <c r="J5" s="991"/>
      <c r="K5" s="991"/>
      <c r="L5" s="991"/>
      <c r="M5" s="991" t="s">
        <v>2229</v>
      </c>
      <c r="N5" s="991"/>
      <c r="O5" s="991"/>
      <c r="P5" s="991"/>
      <c r="Q5" s="991" t="s">
        <v>2230</v>
      </c>
      <c r="R5" s="991"/>
      <c r="S5" s="991"/>
      <c r="T5" s="991"/>
      <c r="U5" s="991" t="s">
        <v>2231</v>
      </c>
      <c r="V5" s="991"/>
      <c r="W5" s="991"/>
      <c r="X5" s="991"/>
      <c r="Y5" s="991" t="s">
        <v>2232</v>
      </c>
      <c r="Z5" s="991"/>
      <c r="AA5" s="991"/>
      <c r="AB5" s="991"/>
    </row>
    <row r="6" spans="1:28" x14ac:dyDescent="0.2">
      <c r="A6" s="694"/>
      <c r="B6" s="694"/>
      <c r="C6" s="694"/>
      <c r="D6" s="695" t="s">
        <v>669</v>
      </c>
      <c r="E6" s="695">
        <v>1</v>
      </c>
      <c r="F6" s="695">
        <v>2</v>
      </c>
      <c r="G6" s="695">
        <v>3</v>
      </c>
      <c r="H6" s="695">
        <v>4</v>
      </c>
      <c r="I6" s="695">
        <v>5</v>
      </c>
      <c r="J6" s="695">
        <v>6</v>
      </c>
      <c r="K6" s="695">
        <v>7</v>
      </c>
      <c r="L6" s="695">
        <v>8</v>
      </c>
      <c r="M6" s="695">
        <v>9</v>
      </c>
      <c r="N6" s="695">
        <v>10</v>
      </c>
      <c r="O6" s="695">
        <v>11</v>
      </c>
      <c r="P6" s="695">
        <v>12</v>
      </c>
      <c r="Q6" s="695">
        <v>13</v>
      </c>
      <c r="R6" s="695">
        <v>14</v>
      </c>
      <c r="S6" s="695">
        <v>15</v>
      </c>
      <c r="T6" s="695">
        <v>16</v>
      </c>
      <c r="U6" s="695">
        <v>17</v>
      </c>
      <c r="V6" s="695">
        <v>18</v>
      </c>
      <c r="W6" s="695">
        <v>19</v>
      </c>
      <c r="X6" s="695">
        <v>20</v>
      </c>
      <c r="Y6" s="695">
        <v>21</v>
      </c>
      <c r="Z6" s="695">
        <v>22</v>
      </c>
      <c r="AA6" s="695">
        <v>23</v>
      </c>
      <c r="AB6" s="695">
        <v>24</v>
      </c>
    </row>
    <row r="7" spans="1:28" ht="12.75" customHeight="1" x14ac:dyDescent="0.2">
      <c r="A7" s="991">
        <v>1</v>
      </c>
      <c r="B7" s="991" t="str">
        <f>+'PRESUPUESTO DE OBRA'!D5</f>
        <v>PRELIMINARES</v>
      </c>
      <c r="C7" s="1006">
        <f>+'PRESUPUESTO DE OBRA'!H5</f>
        <v>22843174</v>
      </c>
      <c r="D7" s="694" t="s">
        <v>670</v>
      </c>
      <c r="E7" s="1008">
        <v>0.5</v>
      </c>
      <c r="F7" s="1009"/>
      <c r="G7" s="1009"/>
      <c r="H7" s="1009"/>
      <c r="I7" s="1008">
        <v>0.5</v>
      </c>
      <c r="J7" s="1009"/>
      <c r="K7" s="1009"/>
      <c r="L7" s="1009"/>
      <c r="M7" s="1008"/>
      <c r="N7" s="1009"/>
      <c r="O7" s="1009"/>
      <c r="P7" s="1009"/>
      <c r="Q7" s="1008"/>
      <c r="R7" s="1009"/>
      <c r="S7" s="1009"/>
      <c r="T7" s="1009"/>
      <c r="U7" s="1008"/>
      <c r="V7" s="1009"/>
      <c r="W7" s="1009"/>
      <c r="X7" s="1009"/>
      <c r="Y7" s="1008"/>
      <c r="Z7" s="1009"/>
      <c r="AA7" s="1009"/>
      <c r="AB7" s="1009"/>
    </row>
    <row r="8" spans="1:28" x14ac:dyDescent="0.2">
      <c r="A8" s="991"/>
      <c r="B8" s="991"/>
      <c r="C8" s="1007"/>
      <c r="D8" s="694" t="s">
        <v>671</v>
      </c>
      <c r="E8" s="1010">
        <f>+C7*E7</f>
        <v>11421587</v>
      </c>
      <c r="F8" s="1010"/>
      <c r="G8" s="1010"/>
      <c r="H8" s="1010"/>
      <c r="I8" s="1010">
        <f>+I7*C7</f>
        <v>11421587</v>
      </c>
      <c r="J8" s="1010"/>
      <c r="K8" s="1010"/>
      <c r="L8" s="1010"/>
      <c r="M8" s="1010"/>
      <c r="N8" s="1010"/>
      <c r="O8" s="1010"/>
      <c r="P8" s="1010"/>
      <c r="Q8" s="1010"/>
      <c r="R8" s="1010"/>
      <c r="S8" s="1010"/>
      <c r="T8" s="1010"/>
      <c r="U8" s="1010"/>
      <c r="V8" s="1010"/>
      <c r="W8" s="1010"/>
      <c r="X8" s="1010"/>
      <c r="Y8" s="1010"/>
      <c r="Z8" s="1010"/>
      <c r="AA8" s="1010"/>
      <c r="AB8" s="1010"/>
    </row>
    <row r="9" spans="1:28" x14ac:dyDescent="0.2">
      <c r="A9" s="991"/>
      <c r="B9" s="991"/>
      <c r="C9" s="1007"/>
      <c r="D9" s="694" t="s">
        <v>672</v>
      </c>
      <c r="E9" s="696"/>
      <c r="F9" s="696"/>
      <c r="G9" s="697"/>
      <c r="H9" s="697"/>
      <c r="I9" s="696"/>
      <c r="J9" s="696"/>
      <c r="K9" s="697"/>
      <c r="L9" s="697"/>
      <c r="M9" s="698"/>
      <c r="N9" s="698"/>
      <c r="O9" s="699"/>
      <c r="P9" s="699"/>
      <c r="Q9" s="698"/>
      <c r="R9" s="698"/>
      <c r="S9" s="699"/>
      <c r="T9" s="699"/>
      <c r="U9" s="698"/>
      <c r="V9" s="698"/>
      <c r="W9" s="699"/>
      <c r="X9" s="699"/>
      <c r="Y9" s="698"/>
      <c r="Z9" s="698"/>
      <c r="AA9" s="699"/>
      <c r="AB9" s="699"/>
    </row>
    <row r="10" spans="1:28" x14ac:dyDescent="0.2">
      <c r="A10" s="991">
        <v>2</v>
      </c>
      <c r="B10" s="991" t="str">
        <f>+'PRESUPUESTO DE OBRA'!D9</f>
        <v>MOVIMIENTOS DE TIERRA</v>
      </c>
      <c r="C10" s="1006">
        <f>+'PRESUPUESTO DE OBRA'!H9</f>
        <v>128850929</v>
      </c>
      <c r="D10" s="694" t="s">
        <v>670</v>
      </c>
      <c r="E10" s="1008">
        <v>0.5</v>
      </c>
      <c r="F10" s="1009"/>
      <c r="G10" s="1009"/>
      <c r="H10" s="1009"/>
      <c r="I10" s="1008">
        <v>0.5</v>
      </c>
      <c r="J10" s="1009"/>
      <c r="K10" s="1009"/>
      <c r="L10" s="1009"/>
      <c r="M10" s="1008"/>
      <c r="N10" s="1009"/>
      <c r="O10" s="1009"/>
      <c r="P10" s="1009"/>
      <c r="Q10" s="1008"/>
      <c r="R10" s="1009"/>
      <c r="S10" s="1009"/>
      <c r="T10" s="1009"/>
      <c r="U10" s="1008"/>
      <c r="V10" s="1009"/>
      <c r="W10" s="1009"/>
      <c r="X10" s="1009"/>
      <c r="Y10" s="1008"/>
      <c r="Z10" s="1009"/>
      <c r="AA10" s="1009"/>
      <c r="AB10" s="1009"/>
    </row>
    <row r="11" spans="1:28" x14ac:dyDescent="0.2">
      <c r="A11" s="991"/>
      <c r="B11" s="991"/>
      <c r="C11" s="1007"/>
      <c r="D11" s="694" t="s">
        <v>671</v>
      </c>
      <c r="E11" s="1010">
        <f>+C10*E10</f>
        <v>64425464.5</v>
      </c>
      <c r="F11" s="1010"/>
      <c r="G11" s="1010"/>
      <c r="H11" s="1010"/>
      <c r="I11" s="1010">
        <f>+I10*C10</f>
        <v>64425464.5</v>
      </c>
      <c r="J11" s="1010"/>
      <c r="K11" s="1010"/>
      <c r="L11" s="1010"/>
      <c r="M11" s="1025"/>
      <c r="N11" s="1026"/>
      <c r="O11" s="1026"/>
      <c r="P11" s="1027"/>
      <c r="Q11" s="1008"/>
      <c r="R11" s="1009"/>
      <c r="S11" s="1009"/>
      <c r="T11" s="1009"/>
      <c r="U11" s="1008"/>
      <c r="V11" s="1009"/>
      <c r="W11" s="1009"/>
      <c r="X11" s="1009"/>
      <c r="Y11" s="1008"/>
      <c r="Z11" s="1009"/>
      <c r="AA11" s="1009"/>
      <c r="AB11" s="1009"/>
    </row>
    <row r="12" spans="1:28" x14ac:dyDescent="0.2">
      <c r="A12" s="991"/>
      <c r="B12" s="991"/>
      <c r="C12" s="1007"/>
      <c r="D12" s="694" t="s">
        <v>672</v>
      </c>
      <c r="E12" s="696"/>
      <c r="F12" s="696"/>
      <c r="G12" s="697"/>
      <c r="H12" s="697"/>
      <c r="I12" s="696"/>
      <c r="J12" s="696"/>
      <c r="K12" s="697"/>
      <c r="L12" s="697"/>
      <c r="M12" s="699"/>
      <c r="N12" s="699"/>
      <c r="O12" s="699"/>
      <c r="P12" s="699"/>
      <c r="Q12" s="699"/>
      <c r="R12" s="699"/>
      <c r="S12" s="699"/>
      <c r="T12" s="699"/>
      <c r="U12" s="699"/>
      <c r="V12" s="699"/>
      <c r="W12" s="699"/>
      <c r="X12" s="699"/>
      <c r="Y12" s="699"/>
      <c r="Z12" s="699"/>
      <c r="AA12" s="699"/>
      <c r="AB12" s="699"/>
    </row>
    <row r="13" spans="1:28" ht="12.75" customHeight="1" x14ac:dyDescent="0.2">
      <c r="A13" s="991">
        <v>3</v>
      </c>
      <c r="B13" s="991" t="str">
        <f>+'PRESUPUESTO DE OBRA'!D20</f>
        <v xml:space="preserve">ELEMENTOS EN CONCRETO </v>
      </c>
      <c r="C13" s="1006">
        <f>+'PRESUPUESTO DE OBRA'!H20</f>
        <v>414603299</v>
      </c>
      <c r="D13" s="694" t="s">
        <v>670</v>
      </c>
      <c r="E13" s="1008"/>
      <c r="F13" s="1009"/>
      <c r="G13" s="1009"/>
      <c r="H13" s="1009"/>
      <c r="I13" s="1008">
        <v>0.5</v>
      </c>
      <c r="J13" s="1009"/>
      <c r="K13" s="1009"/>
      <c r="L13" s="1009"/>
      <c r="M13" s="1008">
        <v>0.5</v>
      </c>
      <c r="N13" s="1009"/>
      <c r="O13" s="1009"/>
      <c r="P13" s="1009"/>
      <c r="Q13" s="1008"/>
      <c r="R13" s="1009"/>
      <c r="S13" s="1009"/>
      <c r="T13" s="1009"/>
      <c r="U13" s="1008"/>
      <c r="V13" s="1009"/>
      <c r="W13" s="1009"/>
      <c r="X13" s="1009"/>
      <c r="Y13" s="1008"/>
      <c r="Z13" s="1009"/>
      <c r="AA13" s="1009"/>
      <c r="AB13" s="1009"/>
    </row>
    <row r="14" spans="1:28" x14ac:dyDescent="0.2">
      <c r="A14" s="991"/>
      <c r="B14" s="991"/>
      <c r="C14" s="1007"/>
      <c r="D14" s="694" t="s">
        <v>671</v>
      </c>
      <c r="E14" s="1010"/>
      <c r="F14" s="1010"/>
      <c r="G14" s="1010"/>
      <c r="H14" s="1010"/>
      <c r="I14" s="1010">
        <f>+I13*C13</f>
        <v>207301649.5</v>
      </c>
      <c r="J14" s="1010"/>
      <c r="K14" s="1010"/>
      <c r="L14" s="1010"/>
      <c r="M14" s="1010">
        <f>+M13*C13</f>
        <v>207301649.5</v>
      </c>
      <c r="N14" s="1010"/>
      <c r="O14" s="1010"/>
      <c r="P14" s="1010"/>
      <c r="Q14" s="1010"/>
      <c r="R14" s="1010"/>
      <c r="S14" s="1010"/>
      <c r="T14" s="1010"/>
      <c r="U14" s="1010"/>
      <c r="V14" s="1010"/>
      <c r="W14" s="1010"/>
      <c r="X14" s="1010"/>
      <c r="Y14" s="1010"/>
      <c r="Z14" s="1010"/>
      <c r="AA14" s="1010"/>
      <c r="AB14" s="1010"/>
    </row>
    <row r="15" spans="1:28" x14ac:dyDescent="0.2">
      <c r="A15" s="991"/>
      <c r="B15" s="991"/>
      <c r="C15" s="1007"/>
      <c r="D15" s="694" t="s">
        <v>672</v>
      </c>
      <c r="E15" s="699"/>
      <c r="F15" s="699"/>
      <c r="G15" s="699"/>
      <c r="H15" s="699"/>
      <c r="I15" s="697"/>
      <c r="J15" s="697"/>
      <c r="K15" s="697"/>
      <c r="L15" s="697"/>
      <c r="M15" s="697"/>
      <c r="N15" s="697"/>
      <c r="O15" s="697"/>
      <c r="P15" s="697"/>
      <c r="Q15" s="699"/>
      <c r="R15" s="699"/>
      <c r="S15" s="699"/>
      <c r="T15" s="699"/>
      <c r="U15" s="699"/>
      <c r="V15" s="699"/>
      <c r="W15" s="699"/>
      <c r="X15" s="699"/>
      <c r="Y15" s="699"/>
      <c r="Z15" s="699"/>
      <c r="AA15" s="699"/>
      <c r="AB15" s="699"/>
    </row>
    <row r="16" spans="1:28" x14ac:dyDescent="0.2">
      <c r="A16" s="991">
        <v>4</v>
      </c>
      <c r="B16" s="991" t="str">
        <f>+'PRESUPUESTO DE OBRA'!D36</f>
        <v>ACEROS</v>
      </c>
      <c r="C16" s="1006">
        <f>+'PRESUPUESTO DE OBRA'!H36</f>
        <v>316733520</v>
      </c>
      <c r="D16" s="694" t="s">
        <v>670</v>
      </c>
      <c r="E16" s="1012"/>
      <c r="F16" s="1013"/>
      <c r="G16" s="1013"/>
      <c r="H16" s="1013"/>
      <c r="I16" s="1012"/>
      <c r="J16" s="1013"/>
      <c r="K16" s="1013"/>
      <c r="L16" s="1013"/>
      <c r="M16" s="1008">
        <v>0.25</v>
      </c>
      <c r="N16" s="1009"/>
      <c r="O16" s="1009"/>
      <c r="P16" s="1009"/>
      <c r="Q16" s="1008">
        <v>0.25</v>
      </c>
      <c r="R16" s="1009"/>
      <c r="S16" s="1009"/>
      <c r="T16" s="1009"/>
      <c r="U16" s="1008">
        <v>0.25</v>
      </c>
      <c r="V16" s="1009"/>
      <c r="W16" s="1009"/>
      <c r="X16" s="1009"/>
      <c r="Y16" s="1008">
        <v>0.25</v>
      </c>
      <c r="Z16" s="1009"/>
      <c r="AA16" s="1009"/>
      <c r="AB16" s="1009"/>
    </row>
    <row r="17" spans="1:28" x14ac:dyDescent="0.2">
      <c r="A17" s="991"/>
      <c r="B17" s="991"/>
      <c r="C17" s="1007"/>
      <c r="D17" s="694" t="s">
        <v>671</v>
      </c>
      <c r="E17" s="1014"/>
      <c r="F17" s="1014"/>
      <c r="G17" s="1014"/>
      <c r="H17" s="1014"/>
      <c r="I17" s="1014"/>
      <c r="J17" s="1014"/>
      <c r="K17" s="1014"/>
      <c r="L17" s="1014"/>
      <c r="M17" s="1010">
        <f>+$C$16*M16</f>
        <v>79183380</v>
      </c>
      <c r="N17" s="1010"/>
      <c r="O17" s="1010"/>
      <c r="P17" s="1010"/>
      <c r="Q17" s="1010">
        <f t="shared" ref="Q17" si="0">+$C$16*Q16</f>
        <v>79183380</v>
      </c>
      <c r="R17" s="1010"/>
      <c r="S17" s="1010"/>
      <c r="T17" s="1010"/>
      <c r="U17" s="1010">
        <f t="shared" ref="U17" si="1">+$C$16*U16</f>
        <v>79183380</v>
      </c>
      <c r="V17" s="1010"/>
      <c r="W17" s="1010"/>
      <c r="X17" s="1010"/>
      <c r="Y17" s="1010">
        <f t="shared" ref="Y17" si="2">+$C$16*Y16</f>
        <v>79183380</v>
      </c>
      <c r="Z17" s="1010"/>
      <c r="AA17" s="1010"/>
      <c r="AB17" s="1010"/>
    </row>
    <row r="18" spans="1:28" x14ac:dyDescent="0.2">
      <c r="A18" s="991"/>
      <c r="B18" s="991"/>
      <c r="C18" s="1007"/>
      <c r="D18" s="694" t="s">
        <v>672</v>
      </c>
      <c r="E18" s="699"/>
      <c r="F18" s="699"/>
      <c r="G18" s="699"/>
      <c r="H18" s="699"/>
      <c r="I18" s="699"/>
      <c r="J18" s="699"/>
      <c r="K18" s="699"/>
      <c r="L18" s="699"/>
      <c r="M18" s="697"/>
      <c r="N18" s="697"/>
      <c r="O18" s="697"/>
      <c r="P18" s="697"/>
      <c r="Q18" s="697"/>
      <c r="R18" s="697"/>
      <c r="S18" s="697"/>
      <c r="T18" s="697"/>
      <c r="U18" s="697"/>
      <c r="V18" s="697"/>
      <c r="W18" s="697"/>
      <c r="X18" s="697"/>
      <c r="Y18" s="697"/>
      <c r="Z18" s="697"/>
      <c r="AA18" s="697"/>
      <c r="AB18" s="697"/>
    </row>
    <row r="19" spans="1:28" ht="12.75" customHeight="1" x14ac:dyDescent="0.2">
      <c r="A19" s="991">
        <v>5</v>
      </c>
      <c r="B19" s="991" t="str">
        <f>+'PRESUPUESTO DE OBRA'!D38</f>
        <v>MAMPOSTERIA, PAÑETE Y PLOMADO</v>
      </c>
      <c r="C19" s="1006">
        <f>+'PRESUPUESTO DE OBRA'!H38</f>
        <v>238298665</v>
      </c>
      <c r="D19" s="694" t="s">
        <v>670</v>
      </c>
      <c r="E19" s="1012"/>
      <c r="F19" s="1013"/>
      <c r="G19" s="1013"/>
      <c r="H19" s="1013"/>
      <c r="I19" s="1012"/>
      <c r="J19" s="1013"/>
      <c r="K19" s="1013"/>
      <c r="L19" s="1013"/>
      <c r="M19" s="1008">
        <v>0.5</v>
      </c>
      <c r="N19" s="1009"/>
      <c r="O19" s="1009"/>
      <c r="P19" s="1009"/>
      <c r="Q19" s="1008">
        <v>0.5</v>
      </c>
      <c r="R19" s="1009"/>
      <c r="S19" s="1009"/>
      <c r="T19" s="1009"/>
      <c r="U19" s="1012"/>
      <c r="V19" s="1013"/>
      <c r="W19" s="1013"/>
      <c r="X19" s="1013"/>
      <c r="Y19" s="1012"/>
      <c r="Z19" s="1013"/>
      <c r="AA19" s="1013"/>
      <c r="AB19" s="1013"/>
    </row>
    <row r="20" spans="1:28" x14ac:dyDescent="0.2">
      <c r="A20" s="991"/>
      <c r="B20" s="991"/>
      <c r="C20" s="1007"/>
      <c r="D20" s="694" t="s">
        <v>671</v>
      </c>
      <c r="E20" s="1014"/>
      <c r="F20" s="1014"/>
      <c r="G20" s="1014"/>
      <c r="H20" s="1014"/>
      <c r="I20" s="1014"/>
      <c r="J20" s="1014"/>
      <c r="K20" s="1014"/>
      <c r="L20" s="1014"/>
      <c r="M20" s="1010">
        <f>+M19*C19</f>
        <v>119149332.5</v>
      </c>
      <c r="N20" s="1010"/>
      <c r="O20" s="1010"/>
      <c r="P20" s="1010"/>
      <c r="Q20" s="1010">
        <f>+Q19*C19</f>
        <v>119149332.5</v>
      </c>
      <c r="R20" s="1010"/>
      <c r="S20" s="1010"/>
      <c r="T20" s="1010"/>
      <c r="U20" s="1014"/>
      <c r="V20" s="1014"/>
      <c r="W20" s="1014"/>
      <c r="X20" s="1014"/>
      <c r="Y20" s="1014"/>
      <c r="Z20" s="1014"/>
      <c r="AA20" s="1014"/>
      <c r="AB20" s="1014"/>
    </row>
    <row r="21" spans="1:28" x14ac:dyDescent="0.2">
      <c r="A21" s="991"/>
      <c r="B21" s="991"/>
      <c r="C21" s="1007"/>
      <c r="D21" s="694" t="s">
        <v>672</v>
      </c>
      <c r="E21" s="699"/>
      <c r="F21" s="699"/>
      <c r="G21" s="699"/>
      <c r="H21" s="699"/>
      <c r="I21" s="699"/>
      <c r="J21" s="699"/>
      <c r="K21" s="699"/>
      <c r="L21" s="699"/>
      <c r="M21" s="697"/>
      <c r="N21" s="697"/>
      <c r="O21" s="697"/>
      <c r="P21" s="697"/>
      <c r="Q21" s="697"/>
      <c r="R21" s="697"/>
      <c r="S21" s="697"/>
      <c r="T21" s="697"/>
      <c r="U21" s="699"/>
      <c r="V21" s="699"/>
      <c r="W21" s="699"/>
      <c r="X21" s="699"/>
      <c r="Y21" s="699"/>
      <c r="Z21" s="699"/>
      <c r="AA21" s="699"/>
      <c r="AB21" s="699"/>
    </row>
    <row r="22" spans="1:28" ht="12.75" customHeight="1" x14ac:dyDescent="0.2">
      <c r="A22" s="991">
        <v>6</v>
      </c>
      <c r="B22" s="1011" t="str">
        <f>+'PRESUPUESTO DE OBRA'!D43</f>
        <v>ESTUCO Y PINTURA</v>
      </c>
      <c r="C22" s="1006">
        <f>+'PRESUPUESTO DE OBRA'!H43</f>
        <v>193001886</v>
      </c>
      <c r="D22" s="694" t="s">
        <v>670</v>
      </c>
      <c r="E22" s="1012"/>
      <c r="F22" s="1013"/>
      <c r="G22" s="1013"/>
      <c r="H22" s="1013"/>
      <c r="I22" s="1012"/>
      <c r="J22" s="1013"/>
      <c r="K22" s="1013"/>
      <c r="L22" s="1013"/>
      <c r="M22" s="1012"/>
      <c r="N22" s="1013"/>
      <c r="O22" s="1013"/>
      <c r="P22" s="1013"/>
      <c r="Q22" s="1012"/>
      <c r="R22" s="1013"/>
      <c r="S22" s="1013"/>
      <c r="T22" s="1013"/>
      <c r="U22" s="1015">
        <v>0.5</v>
      </c>
      <c r="V22" s="1007"/>
      <c r="W22" s="1007"/>
      <c r="X22" s="1007"/>
      <c r="Y22" s="1015">
        <v>0.5</v>
      </c>
      <c r="Z22" s="1007"/>
      <c r="AA22" s="1007"/>
      <c r="AB22" s="1007"/>
    </row>
    <row r="23" spans="1:28" x14ac:dyDescent="0.2">
      <c r="A23" s="991"/>
      <c r="B23" s="991"/>
      <c r="C23" s="1007"/>
      <c r="D23" s="694" t="s">
        <v>671</v>
      </c>
      <c r="E23" s="1014"/>
      <c r="F23" s="1014"/>
      <c r="G23" s="1014"/>
      <c r="H23" s="1014"/>
      <c r="I23" s="1014"/>
      <c r="J23" s="1014"/>
      <c r="K23" s="1014"/>
      <c r="L23" s="1014"/>
      <c r="M23" s="1014"/>
      <c r="N23" s="1014"/>
      <c r="O23" s="1014"/>
      <c r="P23" s="1014"/>
      <c r="Q23" s="1014"/>
      <c r="R23" s="1014"/>
      <c r="S23" s="1014"/>
      <c r="T23" s="1014"/>
      <c r="U23" s="1006">
        <f>+U22*C22</f>
        <v>96500943</v>
      </c>
      <c r="V23" s="1006"/>
      <c r="W23" s="1006"/>
      <c r="X23" s="1006"/>
      <c r="Y23" s="1006">
        <f>+Y22*C22</f>
        <v>96500943</v>
      </c>
      <c r="Z23" s="1006"/>
      <c r="AA23" s="1006"/>
      <c r="AB23" s="1006"/>
    </row>
    <row r="24" spans="1:28" x14ac:dyDescent="0.2">
      <c r="A24" s="991"/>
      <c r="B24" s="991"/>
      <c r="C24" s="1007"/>
      <c r="D24" s="694" t="s">
        <v>672</v>
      </c>
      <c r="E24" s="699"/>
      <c r="F24" s="699"/>
      <c r="G24" s="699"/>
      <c r="H24" s="699"/>
      <c r="I24" s="699"/>
      <c r="J24" s="699"/>
      <c r="K24" s="699"/>
      <c r="L24" s="699"/>
      <c r="M24" s="699"/>
      <c r="N24" s="699"/>
      <c r="O24" s="699"/>
      <c r="P24" s="699"/>
      <c r="Q24" s="699"/>
      <c r="R24" s="699"/>
      <c r="S24" s="699"/>
      <c r="T24" s="699"/>
      <c r="U24" s="697"/>
      <c r="V24" s="697"/>
      <c r="W24" s="697"/>
      <c r="X24" s="697"/>
      <c r="Y24" s="697"/>
      <c r="Z24" s="697"/>
      <c r="AA24" s="697"/>
      <c r="AB24" s="697"/>
    </row>
    <row r="25" spans="1:28" ht="12.75" customHeight="1" x14ac:dyDescent="0.2">
      <c r="A25" s="991">
        <v>7</v>
      </c>
      <c r="B25" s="991" t="str">
        <f>+'PRESUPUESTO DE OBRA'!D47</f>
        <v>PISO</v>
      </c>
      <c r="C25" s="1006">
        <f>+'PRESUPUESTO DE OBRA'!H47</f>
        <v>282857807</v>
      </c>
      <c r="D25" s="694" t="s">
        <v>670</v>
      </c>
      <c r="E25" s="1010"/>
      <c r="F25" s="1010"/>
      <c r="G25" s="1010"/>
      <c r="H25" s="1010"/>
      <c r="I25" s="1010"/>
      <c r="J25" s="1010"/>
      <c r="K25" s="1010"/>
      <c r="L25" s="1010"/>
      <c r="M25" s="1010"/>
      <c r="N25" s="1010"/>
      <c r="O25" s="1010"/>
      <c r="P25" s="1010"/>
      <c r="Q25" s="1008">
        <v>0.5</v>
      </c>
      <c r="R25" s="1009"/>
      <c r="S25" s="1009"/>
      <c r="T25" s="1009"/>
      <c r="U25" s="1008">
        <v>0.5</v>
      </c>
      <c r="V25" s="1009"/>
      <c r="W25" s="1009"/>
      <c r="X25" s="1009"/>
      <c r="Y25" s="1010"/>
      <c r="Z25" s="1010"/>
      <c r="AA25" s="1010"/>
      <c r="AB25" s="1010"/>
    </row>
    <row r="26" spans="1:28" x14ac:dyDescent="0.2">
      <c r="A26" s="991"/>
      <c r="B26" s="991"/>
      <c r="C26" s="1007"/>
      <c r="D26" s="694" t="s">
        <v>671</v>
      </c>
      <c r="E26" s="1010"/>
      <c r="F26" s="1010"/>
      <c r="G26" s="1010"/>
      <c r="H26" s="1010"/>
      <c r="I26" s="1010"/>
      <c r="J26" s="1010"/>
      <c r="K26" s="1010"/>
      <c r="L26" s="1010"/>
      <c r="M26" s="1010"/>
      <c r="N26" s="1010"/>
      <c r="O26" s="1010"/>
      <c r="P26" s="1010"/>
      <c r="Q26" s="1010">
        <f>+Q25*C25</f>
        <v>141428903.5</v>
      </c>
      <c r="R26" s="1010"/>
      <c r="S26" s="1010"/>
      <c r="T26" s="1010"/>
      <c r="U26" s="1010">
        <f>+U25*C25</f>
        <v>141428903.5</v>
      </c>
      <c r="V26" s="1010"/>
      <c r="W26" s="1010"/>
      <c r="X26" s="1010"/>
      <c r="Y26" s="1010"/>
      <c r="Z26" s="1010"/>
      <c r="AA26" s="1010"/>
      <c r="AB26" s="1010"/>
    </row>
    <row r="27" spans="1:28" x14ac:dyDescent="0.2">
      <c r="A27" s="991"/>
      <c r="B27" s="991"/>
      <c r="C27" s="1007"/>
      <c r="D27" s="694" t="s">
        <v>672</v>
      </c>
      <c r="E27" s="699"/>
      <c r="F27" s="699"/>
      <c r="G27" s="699"/>
      <c r="H27" s="699"/>
      <c r="I27" s="699"/>
      <c r="J27" s="699"/>
      <c r="K27" s="699"/>
      <c r="L27" s="699"/>
      <c r="M27" s="699"/>
      <c r="N27" s="699"/>
      <c r="O27" s="699"/>
      <c r="P27" s="699"/>
      <c r="Q27" s="697"/>
      <c r="R27" s="697"/>
      <c r="S27" s="697"/>
      <c r="T27" s="697"/>
      <c r="U27" s="697"/>
      <c r="V27" s="697"/>
      <c r="W27" s="697"/>
      <c r="X27" s="697"/>
      <c r="Y27" s="699"/>
      <c r="Z27" s="699"/>
      <c r="AA27" s="699"/>
      <c r="AB27" s="699"/>
    </row>
    <row r="28" spans="1:28" x14ac:dyDescent="0.2">
      <c r="A28" s="991">
        <v>8</v>
      </c>
      <c r="B28" s="991" t="str">
        <f>+'PRESUPUESTO DE OBRA'!D53</f>
        <v>CUBIERTA Y CIELO RASO</v>
      </c>
      <c r="C28" s="1006">
        <f>+'PRESUPUESTO DE OBRA'!H53</f>
        <v>264289178</v>
      </c>
      <c r="D28" s="694" t="s">
        <v>670</v>
      </c>
      <c r="E28" s="1010"/>
      <c r="F28" s="1010"/>
      <c r="G28" s="1010"/>
      <c r="H28" s="1010"/>
      <c r="I28" s="1010"/>
      <c r="J28" s="1010"/>
      <c r="K28" s="1010"/>
      <c r="L28" s="1010"/>
      <c r="M28" s="1010"/>
      <c r="N28" s="1010"/>
      <c r="O28" s="1010"/>
      <c r="P28" s="1010"/>
      <c r="Q28" s="1010"/>
      <c r="R28" s="1010"/>
      <c r="S28" s="1010"/>
      <c r="T28" s="1010"/>
      <c r="U28" s="1008">
        <v>0.5</v>
      </c>
      <c r="V28" s="1009"/>
      <c r="W28" s="1009"/>
      <c r="X28" s="1009"/>
      <c r="Y28" s="1008">
        <v>0.5</v>
      </c>
      <c r="Z28" s="1009"/>
      <c r="AA28" s="1009"/>
      <c r="AB28" s="1009"/>
    </row>
    <row r="29" spans="1:28" x14ac:dyDescent="0.2">
      <c r="A29" s="991"/>
      <c r="B29" s="991"/>
      <c r="C29" s="1007"/>
      <c r="D29" s="694" t="s">
        <v>671</v>
      </c>
      <c r="E29" s="1010"/>
      <c r="F29" s="1010"/>
      <c r="G29" s="1010"/>
      <c r="H29" s="1010"/>
      <c r="I29" s="1010"/>
      <c r="J29" s="1010"/>
      <c r="K29" s="1010"/>
      <c r="L29" s="1010"/>
      <c r="M29" s="1010"/>
      <c r="N29" s="1010"/>
      <c r="O29" s="1010"/>
      <c r="P29" s="1010"/>
      <c r="Q29" s="1010"/>
      <c r="R29" s="1010"/>
      <c r="S29" s="1010"/>
      <c r="T29" s="1010"/>
      <c r="U29" s="1010">
        <f>+U28*C28</f>
        <v>132144589</v>
      </c>
      <c r="V29" s="1010"/>
      <c r="W29" s="1010"/>
      <c r="X29" s="1010"/>
      <c r="Y29" s="1010">
        <f>+Y28*C28</f>
        <v>132144589</v>
      </c>
      <c r="Z29" s="1010"/>
      <c r="AA29" s="1010"/>
      <c r="AB29" s="1010"/>
    </row>
    <row r="30" spans="1:28" x14ac:dyDescent="0.2">
      <c r="A30" s="991"/>
      <c r="B30" s="991"/>
      <c r="C30" s="1007"/>
      <c r="D30" s="694" t="s">
        <v>672</v>
      </c>
      <c r="E30" s="699"/>
      <c r="F30" s="699"/>
      <c r="G30" s="699"/>
      <c r="H30" s="699"/>
      <c r="I30" s="699"/>
      <c r="J30" s="699"/>
      <c r="K30" s="699"/>
      <c r="L30" s="699"/>
      <c r="M30" s="699"/>
      <c r="N30" s="699"/>
      <c r="O30" s="699"/>
      <c r="P30" s="699"/>
      <c r="Q30" s="699"/>
      <c r="R30" s="699"/>
      <c r="S30" s="699"/>
      <c r="T30" s="699"/>
      <c r="U30" s="697"/>
      <c r="V30" s="697"/>
      <c r="W30" s="697"/>
      <c r="X30" s="697"/>
      <c r="Y30" s="697"/>
      <c r="Z30" s="697"/>
      <c r="AA30" s="697"/>
      <c r="AB30" s="697"/>
    </row>
    <row r="31" spans="1:28" x14ac:dyDescent="0.2">
      <c r="A31" s="991">
        <v>9</v>
      </c>
      <c r="B31" s="991" t="str">
        <f>+'PRESUPUESTO DE OBRA'!D59</f>
        <v>CARPINTERIA METALICA</v>
      </c>
      <c r="C31" s="1006">
        <f>+'PRESUPUESTO DE OBRA'!H59</f>
        <v>552550676</v>
      </c>
      <c r="D31" s="694" t="s">
        <v>670</v>
      </c>
      <c r="E31" s="1010"/>
      <c r="F31" s="1010"/>
      <c r="G31" s="1010"/>
      <c r="H31" s="1010"/>
      <c r="I31" s="1010"/>
      <c r="J31" s="1010"/>
      <c r="K31" s="1010"/>
      <c r="L31" s="1010"/>
      <c r="M31" s="1010"/>
      <c r="N31" s="1010"/>
      <c r="O31" s="1010"/>
      <c r="P31" s="1010"/>
      <c r="Q31" s="1016">
        <v>0.33329999999999999</v>
      </c>
      <c r="R31" s="1016"/>
      <c r="S31" s="1016"/>
      <c r="T31" s="1016"/>
      <c r="U31" s="1016">
        <v>0.33329999999999999</v>
      </c>
      <c r="V31" s="1016"/>
      <c r="W31" s="1016"/>
      <c r="X31" s="1016"/>
      <c r="Y31" s="1016">
        <v>0.33329999999999999</v>
      </c>
      <c r="Z31" s="1016"/>
      <c r="AA31" s="1016"/>
      <c r="AB31" s="1016"/>
    </row>
    <row r="32" spans="1:28" x14ac:dyDescent="0.2">
      <c r="A32" s="991"/>
      <c r="B32" s="991"/>
      <c r="C32" s="1007"/>
      <c r="D32" s="694" t="s">
        <v>671</v>
      </c>
      <c r="E32" s="1010"/>
      <c r="F32" s="1010"/>
      <c r="G32" s="1010"/>
      <c r="H32" s="1010"/>
      <c r="I32" s="1010"/>
      <c r="J32" s="1010"/>
      <c r="K32" s="1010"/>
      <c r="L32" s="1010"/>
      <c r="M32" s="1010"/>
      <c r="N32" s="1010"/>
      <c r="O32" s="1010"/>
      <c r="P32" s="1010"/>
      <c r="Q32" s="1010">
        <f>+C31*Q31</f>
        <v>184165140.31079999</v>
      </c>
      <c r="R32" s="1010"/>
      <c r="S32" s="1010"/>
      <c r="T32" s="1010"/>
      <c r="U32" s="1010">
        <f>+U31*C31</f>
        <v>184165140.31079999</v>
      </c>
      <c r="V32" s="1010"/>
      <c r="W32" s="1010"/>
      <c r="X32" s="1010"/>
      <c r="Y32" s="1010">
        <f>+Y31*C31</f>
        <v>184165140.31079999</v>
      </c>
      <c r="Z32" s="1010"/>
      <c r="AA32" s="1010"/>
      <c r="AB32" s="1010"/>
    </row>
    <row r="33" spans="1:28" x14ac:dyDescent="0.2">
      <c r="A33" s="991"/>
      <c r="B33" s="991"/>
      <c r="C33" s="1007"/>
      <c r="D33" s="694" t="s">
        <v>672</v>
      </c>
      <c r="E33" s="699"/>
      <c r="F33" s="699"/>
      <c r="G33" s="699"/>
      <c r="H33" s="699"/>
      <c r="I33" s="699"/>
      <c r="J33" s="699"/>
      <c r="K33" s="699"/>
      <c r="L33" s="699"/>
      <c r="M33" s="699"/>
      <c r="N33" s="699"/>
      <c r="O33" s="699"/>
      <c r="P33" s="699"/>
      <c r="Q33" s="697"/>
      <c r="R33" s="697"/>
      <c r="S33" s="697"/>
      <c r="T33" s="697"/>
      <c r="U33" s="697"/>
      <c r="V33" s="697"/>
      <c r="W33" s="697"/>
      <c r="X33" s="697"/>
      <c r="Y33" s="697"/>
      <c r="Z33" s="697"/>
      <c r="AA33" s="697"/>
      <c r="AB33" s="697"/>
    </row>
    <row r="34" spans="1:28" ht="15.75" customHeight="1" x14ac:dyDescent="0.2">
      <c r="A34" s="991">
        <v>10</v>
      </c>
      <c r="B34" s="991" t="str">
        <f>+'PRESUPUESTO DE OBRA'!D99</f>
        <v>INSTALACIONES HIDROSANITARIAS, PATOGENAS, AGUAS LLUVIAS, CONTRAINCENDIO, ENCHAPES Y APARATOS SANITARIOS</v>
      </c>
      <c r="C34" s="1006">
        <f>+'PRESUPUESTO DE OBRA'!H99</f>
        <v>296374756</v>
      </c>
      <c r="D34" s="694" t="s">
        <v>670</v>
      </c>
      <c r="E34" s="1010"/>
      <c r="F34" s="1010"/>
      <c r="G34" s="1010"/>
      <c r="H34" s="1010"/>
      <c r="I34" s="1010"/>
      <c r="J34" s="1010"/>
      <c r="K34" s="1010"/>
      <c r="L34" s="1010"/>
      <c r="M34" s="1010"/>
      <c r="N34" s="1010"/>
      <c r="O34" s="1010"/>
      <c r="P34" s="1010"/>
      <c r="Q34" s="1016">
        <v>0.33329999999999999</v>
      </c>
      <c r="R34" s="1016"/>
      <c r="S34" s="1016"/>
      <c r="T34" s="1016"/>
      <c r="U34" s="1016">
        <v>0.33329999999999999</v>
      </c>
      <c r="V34" s="1016"/>
      <c r="W34" s="1016"/>
      <c r="X34" s="1016"/>
      <c r="Y34" s="1016">
        <v>0.33329999999999999</v>
      </c>
      <c r="Z34" s="1016"/>
      <c r="AA34" s="1016"/>
      <c r="AB34" s="1016"/>
    </row>
    <row r="35" spans="1:28" ht="19.5" customHeight="1" x14ac:dyDescent="0.2">
      <c r="A35" s="991"/>
      <c r="B35" s="991"/>
      <c r="C35" s="1007"/>
      <c r="D35" s="694" t="s">
        <v>671</v>
      </c>
      <c r="E35" s="1012"/>
      <c r="F35" s="1013"/>
      <c r="G35" s="1013"/>
      <c r="H35" s="1013"/>
      <c r="I35" s="1012"/>
      <c r="J35" s="1013"/>
      <c r="K35" s="1013"/>
      <c r="L35" s="1013"/>
      <c r="M35" s="1012"/>
      <c r="N35" s="1013"/>
      <c r="O35" s="1013"/>
      <c r="P35" s="1013"/>
      <c r="Q35" s="1010">
        <f>+Q34*C34</f>
        <v>98781706.174799994</v>
      </c>
      <c r="R35" s="1010"/>
      <c r="S35" s="1010"/>
      <c r="T35" s="1010"/>
      <c r="U35" s="1010">
        <f>+U34*C34</f>
        <v>98781706.174799994</v>
      </c>
      <c r="V35" s="1010"/>
      <c r="W35" s="1010"/>
      <c r="X35" s="1010"/>
      <c r="Y35" s="1010">
        <f>+Y34*C34</f>
        <v>98781706.174799994</v>
      </c>
      <c r="Z35" s="1010"/>
      <c r="AA35" s="1010"/>
      <c r="AB35" s="1010"/>
    </row>
    <row r="36" spans="1:28" x14ac:dyDescent="0.2">
      <c r="A36" s="991"/>
      <c r="B36" s="991"/>
      <c r="C36" s="1007"/>
      <c r="D36" s="694" t="s">
        <v>672</v>
      </c>
      <c r="E36" s="699"/>
      <c r="F36" s="699"/>
      <c r="G36" s="699"/>
      <c r="H36" s="699"/>
      <c r="I36" s="699"/>
      <c r="J36" s="699"/>
      <c r="K36" s="699"/>
      <c r="L36" s="699"/>
      <c r="M36" s="699"/>
      <c r="N36" s="699"/>
      <c r="O36" s="699"/>
      <c r="P36" s="699"/>
      <c r="Q36" s="697"/>
      <c r="R36" s="697"/>
      <c r="S36" s="697"/>
      <c r="T36" s="697"/>
      <c r="U36" s="697"/>
      <c r="V36" s="697"/>
      <c r="W36" s="697"/>
      <c r="X36" s="697"/>
      <c r="Y36" s="697"/>
      <c r="Z36" s="697"/>
      <c r="AA36" s="697"/>
      <c r="AB36" s="697"/>
    </row>
    <row r="37" spans="1:28" x14ac:dyDescent="0.2">
      <c r="A37" s="991">
        <v>11</v>
      </c>
      <c r="B37" s="991" t="str">
        <f>+'PRESUPUESTO DE OBRA'!D146</f>
        <v>ZONAS VERDES</v>
      </c>
      <c r="C37" s="1006">
        <f>+'PRESUPUESTO DE OBRA'!H146</f>
        <v>3243147</v>
      </c>
      <c r="D37" s="694" t="s">
        <v>670</v>
      </c>
      <c r="E37" s="1010"/>
      <c r="F37" s="1010"/>
      <c r="G37" s="1010"/>
      <c r="H37" s="1010"/>
      <c r="I37" s="1010"/>
      <c r="J37" s="1010"/>
      <c r="K37" s="1010"/>
      <c r="L37" s="1010"/>
      <c r="M37" s="1010"/>
      <c r="N37" s="1010"/>
      <c r="O37" s="1010"/>
      <c r="P37" s="1010"/>
      <c r="Q37" s="1016"/>
      <c r="R37" s="1016"/>
      <c r="S37" s="1016"/>
      <c r="T37" s="1016"/>
      <c r="U37" s="1016"/>
      <c r="V37" s="1016"/>
      <c r="W37" s="1016"/>
      <c r="X37" s="1016"/>
      <c r="Y37" s="1016">
        <v>1</v>
      </c>
      <c r="Z37" s="1016"/>
      <c r="AA37" s="1016"/>
      <c r="AB37" s="1016"/>
    </row>
    <row r="38" spans="1:28" x14ac:dyDescent="0.2">
      <c r="A38" s="991"/>
      <c r="B38" s="991"/>
      <c r="C38" s="1007"/>
      <c r="D38" s="694" t="s">
        <v>671</v>
      </c>
      <c r="E38" s="1012"/>
      <c r="F38" s="1013"/>
      <c r="G38" s="1013"/>
      <c r="H38" s="1013"/>
      <c r="I38" s="1012"/>
      <c r="J38" s="1013"/>
      <c r="K38" s="1013"/>
      <c r="L38" s="1013"/>
      <c r="M38" s="1012"/>
      <c r="N38" s="1013"/>
      <c r="O38" s="1013"/>
      <c r="P38" s="1013"/>
      <c r="Q38" s="1010"/>
      <c r="R38" s="1010"/>
      <c r="S38" s="1010"/>
      <c r="T38" s="1010"/>
      <c r="U38" s="1010"/>
      <c r="V38" s="1010"/>
      <c r="W38" s="1010"/>
      <c r="X38" s="1010"/>
      <c r="Y38" s="1010">
        <f>+Y37*C37</f>
        <v>3243147</v>
      </c>
      <c r="Z38" s="1010"/>
      <c r="AA38" s="1010"/>
      <c r="AB38" s="1010"/>
    </row>
    <row r="39" spans="1:28" x14ac:dyDescent="0.2">
      <c r="A39" s="991"/>
      <c r="B39" s="991"/>
      <c r="C39" s="1007"/>
      <c r="D39" s="694" t="s">
        <v>672</v>
      </c>
      <c r="E39" s="699"/>
      <c r="F39" s="699"/>
      <c r="G39" s="699"/>
      <c r="H39" s="699"/>
      <c r="I39" s="699"/>
      <c r="J39" s="699"/>
      <c r="K39" s="699"/>
      <c r="L39" s="699"/>
      <c r="M39" s="699"/>
      <c r="N39" s="699"/>
      <c r="O39" s="699"/>
      <c r="P39" s="699"/>
      <c r="Q39" s="702"/>
      <c r="R39" s="702"/>
      <c r="S39" s="702"/>
      <c r="T39" s="702"/>
      <c r="U39" s="702"/>
      <c r="V39" s="702"/>
      <c r="W39" s="702"/>
      <c r="X39" s="702"/>
      <c r="Y39" s="697"/>
      <c r="Z39" s="697"/>
      <c r="AA39" s="697"/>
      <c r="AB39" s="697"/>
    </row>
    <row r="40" spans="1:28" x14ac:dyDescent="0.2">
      <c r="A40" s="991">
        <v>12</v>
      </c>
      <c r="B40" s="991" t="str">
        <f>+'PRESUPUESTO DE OBRA'!D149</f>
        <v>INSTALACIONES ELECTRICAS</v>
      </c>
      <c r="C40" s="1006">
        <f>+'PRESUPUESTO DE OBRA'!H149</f>
        <v>277609628</v>
      </c>
      <c r="D40" s="694" t="s">
        <v>670</v>
      </c>
      <c r="E40" s="1010"/>
      <c r="F40" s="1010"/>
      <c r="G40" s="1010"/>
      <c r="H40" s="1010"/>
      <c r="I40" s="1017">
        <v>0.2</v>
      </c>
      <c r="J40" s="1017"/>
      <c r="K40" s="1017"/>
      <c r="L40" s="1017"/>
      <c r="M40" s="1017">
        <v>0.2</v>
      </c>
      <c r="N40" s="1017"/>
      <c r="O40" s="1017"/>
      <c r="P40" s="1017"/>
      <c r="Q40" s="1017">
        <v>0.2</v>
      </c>
      <c r="R40" s="1017"/>
      <c r="S40" s="1017"/>
      <c r="T40" s="1017"/>
      <c r="U40" s="1017">
        <v>0.2</v>
      </c>
      <c r="V40" s="1017"/>
      <c r="W40" s="1017"/>
      <c r="X40" s="1017"/>
      <c r="Y40" s="1017">
        <v>0.2</v>
      </c>
      <c r="Z40" s="1017"/>
      <c r="AA40" s="1017"/>
      <c r="AB40" s="1017"/>
    </row>
    <row r="41" spans="1:28" x14ac:dyDescent="0.2">
      <c r="A41" s="991"/>
      <c r="B41" s="991"/>
      <c r="C41" s="1007"/>
      <c r="D41" s="694" t="s">
        <v>671</v>
      </c>
      <c r="E41" s="1012"/>
      <c r="F41" s="1013"/>
      <c r="G41" s="1013"/>
      <c r="H41" s="1013"/>
      <c r="I41" s="1010">
        <f>+I40*C40</f>
        <v>55521925.600000001</v>
      </c>
      <c r="J41" s="1010"/>
      <c r="K41" s="1010"/>
      <c r="L41" s="1010"/>
      <c r="M41" s="1010">
        <f>+M40*C40</f>
        <v>55521925.600000001</v>
      </c>
      <c r="N41" s="1010"/>
      <c r="O41" s="1010"/>
      <c r="P41" s="1010"/>
      <c r="Q41" s="1010">
        <f>+Q40*C40</f>
        <v>55521925.600000001</v>
      </c>
      <c r="R41" s="1010"/>
      <c r="S41" s="1010"/>
      <c r="T41" s="1010"/>
      <c r="U41" s="1010">
        <f>+U40*C40</f>
        <v>55521925.600000001</v>
      </c>
      <c r="V41" s="1010"/>
      <c r="W41" s="1010"/>
      <c r="X41" s="1010"/>
      <c r="Y41" s="1010">
        <f>+Y40*C40</f>
        <v>55521925.600000001</v>
      </c>
      <c r="Z41" s="1010"/>
      <c r="AA41" s="1010"/>
      <c r="AB41" s="1010"/>
    </row>
    <row r="42" spans="1:28" x14ac:dyDescent="0.2">
      <c r="A42" s="991"/>
      <c r="B42" s="991"/>
      <c r="C42" s="1007"/>
      <c r="D42" s="694" t="s">
        <v>672</v>
      </c>
      <c r="E42" s="699"/>
      <c r="F42" s="699"/>
      <c r="G42" s="699"/>
      <c r="H42" s="699"/>
      <c r="I42" s="697"/>
      <c r="J42" s="697"/>
      <c r="K42" s="697"/>
      <c r="L42" s="697"/>
      <c r="M42" s="697"/>
      <c r="N42" s="697"/>
      <c r="O42" s="697"/>
      <c r="P42" s="697"/>
      <c r="Q42" s="697"/>
      <c r="R42" s="697"/>
      <c r="S42" s="697"/>
      <c r="T42" s="697"/>
      <c r="U42" s="697"/>
      <c r="V42" s="697"/>
      <c r="W42" s="697"/>
      <c r="X42" s="697"/>
      <c r="Y42" s="697"/>
      <c r="Z42" s="697"/>
      <c r="AA42" s="697"/>
      <c r="AB42" s="697"/>
    </row>
    <row r="43" spans="1:28" x14ac:dyDescent="0.2">
      <c r="A43" s="991">
        <v>13</v>
      </c>
      <c r="B43" s="991" t="str">
        <f>+'[14]Evaluacion Economica DEFINITIVO'!B169</f>
        <v>SUMINISTRO EQUIPOS INDUSTRIALES</v>
      </c>
      <c r="C43" s="1006">
        <f>+'PRESUPUESTO DE OBRA'!H199</f>
        <v>242284668.39999998</v>
      </c>
      <c r="D43" s="694" t="s">
        <v>670</v>
      </c>
      <c r="E43" s="1010"/>
      <c r="F43" s="1010"/>
      <c r="G43" s="1010"/>
      <c r="H43" s="1010"/>
      <c r="I43" s="1010"/>
      <c r="J43" s="1010"/>
      <c r="K43" s="1010"/>
      <c r="L43" s="1010"/>
      <c r="M43" s="1010"/>
      <c r="N43" s="1010"/>
      <c r="O43" s="1010"/>
      <c r="P43" s="1010"/>
      <c r="Q43" s="1010"/>
      <c r="R43" s="1010"/>
      <c r="S43" s="1010"/>
      <c r="T43" s="1010"/>
      <c r="U43" s="1008">
        <v>0.5</v>
      </c>
      <c r="V43" s="1009"/>
      <c r="W43" s="1009"/>
      <c r="X43" s="1009"/>
      <c r="Y43" s="1008">
        <v>0.5</v>
      </c>
      <c r="Z43" s="1009"/>
      <c r="AA43" s="1009"/>
      <c r="AB43" s="1009"/>
    </row>
    <row r="44" spans="1:28" x14ac:dyDescent="0.2">
      <c r="A44" s="991"/>
      <c r="B44" s="991"/>
      <c r="C44" s="1007"/>
      <c r="D44" s="694" t="s">
        <v>671</v>
      </c>
      <c r="E44" s="1012"/>
      <c r="F44" s="1013"/>
      <c r="G44" s="1013"/>
      <c r="H44" s="1013"/>
      <c r="I44" s="1012"/>
      <c r="J44" s="1013"/>
      <c r="K44" s="1013"/>
      <c r="L44" s="1013"/>
      <c r="M44" s="1012"/>
      <c r="N44" s="1013"/>
      <c r="O44" s="1013"/>
      <c r="P44" s="1013"/>
      <c r="Q44" s="1012"/>
      <c r="R44" s="1013"/>
      <c r="S44" s="1013"/>
      <c r="T44" s="1013"/>
      <c r="U44" s="1010">
        <f>+U43*C43</f>
        <v>121142334.19999999</v>
      </c>
      <c r="V44" s="1010"/>
      <c r="W44" s="1010"/>
      <c r="X44" s="1010"/>
      <c r="Y44" s="1010">
        <f>+Y43*C43</f>
        <v>121142334.19999999</v>
      </c>
      <c r="Z44" s="1010"/>
      <c r="AA44" s="1010"/>
      <c r="AB44" s="1010"/>
    </row>
    <row r="45" spans="1:28" x14ac:dyDescent="0.2">
      <c r="A45" s="991"/>
      <c r="B45" s="991"/>
      <c r="C45" s="1007"/>
      <c r="D45" s="694" t="s">
        <v>672</v>
      </c>
      <c r="E45" s="699"/>
      <c r="F45" s="699"/>
      <c r="G45" s="699"/>
      <c r="H45" s="699"/>
      <c r="I45" s="699"/>
      <c r="J45" s="699"/>
      <c r="K45" s="699"/>
      <c r="L45" s="699"/>
      <c r="M45" s="699"/>
      <c r="N45" s="699"/>
      <c r="O45" s="699"/>
      <c r="P45" s="699"/>
      <c r="Q45" s="699"/>
      <c r="R45" s="699"/>
      <c r="S45" s="699"/>
      <c r="T45" s="699"/>
      <c r="U45" s="697"/>
      <c r="V45" s="697"/>
      <c r="W45" s="697"/>
      <c r="X45" s="697"/>
      <c r="Y45" s="697"/>
      <c r="Z45" s="697"/>
      <c r="AA45" s="697"/>
      <c r="AB45" s="697"/>
    </row>
    <row r="46" spans="1:28" x14ac:dyDescent="0.2">
      <c r="A46" s="695"/>
      <c r="B46" s="695"/>
      <c r="C46" s="1020" t="s">
        <v>673</v>
      </c>
      <c r="D46" s="1020"/>
      <c r="E46" s="1010">
        <f>+E8+E11+E14+E17+E20+E23+E26+E29+E32+E35+E38+E41+E44</f>
        <v>75847051.5</v>
      </c>
      <c r="F46" s="1010"/>
      <c r="G46" s="1010"/>
      <c r="H46" s="1010"/>
      <c r="I46" s="1010">
        <f>+I8+I11+I14+I17+I20+I23+I26+I29+I32+I35+I38+I41+I44</f>
        <v>338670626.60000002</v>
      </c>
      <c r="J46" s="1010"/>
      <c r="K46" s="1010"/>
      <c r="L46" s="1010"/>
      <c r="M46" s="1010">
        <f>+M8+M11+M14+M17+M20+M23+M26+M29+M32+M35+M38+M41+M44</f>
        <v>461156287.60000002</v>
      </c>
      <c r="N46" s="1010"/>
      <c r="O46" s="1010"/>
      <c r="P46" s="1010"/>
      <c r="Q46" s="1010">
        <f>+Q8+Q11+Q14+Q17+Q20+Q23+Q26+Q29+Q32+Q35+Q38+Q41+Q44</f>
        <v>678230388.08560002</v>
      </c>
      <c r="R46" s="1010"/>
      <c r="S46" s="1010"/>
      <c r="T46" s="1010"/>
      <c r="U46" s="1010">
        <f>+U8+U11+U14+U17+U20+U23+U26+U29+U32+U35+U38+U41+U44</f>
        <v>908868921.78559995</v>
      </c>
      <c r="V46" s="1010"/>
      <c r="W46" s="1010"/>
      <c r="X46" s="1010"/>
      <c r="Y46" s="1010">
        <f>+Y8+Y11+Y14+Y17+Y20+Y23+Y26+Y29+Y32+Y35+Y38+Y41+Y44</f>
        <v>770683165.28559995</v>
      </c>
      <c r="Z46" s="1010"/>
      <c r="AA46" s="1010"/>
      <c r="AB46" s="1010"/>
    </row>
    <row r="47" spans="1:28" x14ac:dyDescent="0.2">
      <c r="A47" s="694"/>
      <c r="B47" s="694"/>
      <c r="C47" s="1020" t="s">
        <v>674</v>
      </c>
      <c r="D47" s="1020"/>
      <c r="E47" s="1021">
        <f>E46</f>
        <v>75847051.5</v>
      </c>
      <c r="F47" s="1021"/>
      <c r="G47" s="1021"/>
      <c r="H47" s="1021"/>
      <c r="I47" s="1021">
        <f>+I46+E47</f>
        <v>414517678.10000002</v>
      </c>
      <c r="J47" s="1021"/>
      <c r="K47" s="1021"/>
      <c r="L47" s="1021"/>
      <c r="M47" s="1021">
        <f>+M46+I47</f>
        <v>875673965.70000005</v>
      </c>
      <c r="N47" s="1021"/>
      <c r="O47" s="1021"/>
      <c r="P47" s="1021"/>
      <c r="Q47" s="1021">
        <f>+Q46+M47</f>
        <v>1553904353.7856002</v>
      </c>
      <c r="R47" s="1021"/>
      <c r="S47" s="1021"/>
      <c r="T47" s="1021"/>
      <c r="U47" s="1022">
        <f>+U46+Q47</f>
        <v>2462773275.5712004</v>
      </c>
      <c r="V47" s="1023"/>
      <c r="W47" s="1023"/>
      <c r="X47" s="1024"/>
      <c r="Y47" s="1022">
        <f>+Y46+U47</f>
        <v>3233456440.8568001</v>
      </c>
      <c r="Z47" s="1023"/>
      <c r="AA47" s="1023"/>
      <c r="AB47" s="1024"/>
    </row>
    <row r="48" spans="1:28" x14ac:dyDescent="0.2">
      <c r="E48" s="700"/>
      <c r="F48" s="700"/>
      <c r="K48" s="700"/>
      <c r="M48" s="700"/>
    </row>
    <row r="49" spans="3:28" ht="14.25" x14ac:dyDescent="0.2">
      <c r="C49" s="700"/>
      <c r="E49" s="700"/>
      <c r="F49" s="700"/>
      <c r="I49" s="700"/>
      <c r="K49" s="700"/>
      <c r="M49" s="700"/>
      <c r="Z49" s="1018"/>
      <c r="AA49" s="1018"/>
      <c r="AB49" s="1018"/>
    </row>
    <row r="50" spans="3:28" x14ac:dyDescent="0.2">
      <c r="E50" s="700"/>
      <c r="F50" s="700"/>
      <c r="K50" s="700"/>
      <c r="M50" s="700"/>
    </row>
    <row r="51" spans="3:28" x14ac:dyDescent="0.2">
      <c r="E51" s="700"/>
      <c r="F51" s="700"/>
      <c r="K51" s="700"/>
      <c r="M51" s="700"/>
    </row>
    <row r="52" spans="3:28" x14ac:dyDescent="0.2">
      <c r="E52" s="700"/>
      <c r="F52" s="700"/>
      <c r="I52" s="700"/>
      <c r="K52" s="700"/>
      <c r="M52" s="700"/>
      <c r="Z52" s="1019"/>
      <c r="AA52" s="1019"/>
      <c r="AB52" s="1019"/>
    </row>
    <row r="53" spans="3:28" x14ac:dyDescent="0.2">
      <c r="E53" s="700"/>
      <c r="F53" s="700"/>
      <c r="I53" s="700"/>
      <c r="K53" s="700"/>
      <c r="M53" s="700"/>
    </row>
    <row r="54" spans="3:28" x14ac:dyDescent="0.2">
      <c r="E54" s="700"/>
      <c r="F54" s="700"/>
      <c r="K54" s="700"/>
      <c r="M54" s="700"/>
    </row>
    <row r="55" spans="3:28" x14ac:dyDescent="0.2">
      <c r="E55" s="700"/>
      <c r="F55" s="700"/>
      <c r="K55" s="700"/>
      <c r="M55" s="700"/>
    </row>
    <row r="56" spans="3:28" x14ac:dyDescent="0.2">
      <c r="E56" s="700"/>
      <c r="F56" s="700"/>
      <c r="K56" s="700"/>
      <c r="M56" s="700"/>
    </row>
    <row r="57" spans="3:28" x14ac:dyDescent="0.2">
      <c r="E57" s="700"/>
      <c r="F57" s="700"/>
      <c r="K57" s="700"/>
      <c r="M57" s="700"/>
    </row>
    <row r="58" spans="3:28" x14ac:dyDescent="0.2">
      <c r="E58" s="700"/>
      <c r="F58" s="700"/>
      <c r="I58" s="700"/>
      <c r="K58" s="700"/>
      <c r="M58" s="700"/>
    </row>
    <row r="59" spans="3:28" x14ac:dyDescent="0.2">
      <c r="F59" s="700"/>
    </row>
    <row r="60" spans="3:28" x14ac:dyDescent="0.2">
      <c r="E60" s="700"/>
      <c r="F60" s="700"/>
      <c r="K60" s="700"/>
      <c r="M60" s="700"/>
    </row>
    <row r="61" spans="3:28" x14ac:dyDescent="0.2">
      <c r="E61" s="700"/>
      <c r="F61" s="700"/>
      <c r="K61" s="700"/>
      <c r="M61" s="700"/>
    </row>
    <row r="62" spans="3:28" x14ac:dyDescent="0.2">
      <c r="E62" s="700"/>
      <c r="F62" s="700"/>
      <c r="I62" s="700"/>
      <c r="K62" s="700"/>
      <c r="M62" s="700"/>
    </row>
    <row r="63" spans="3:28" x14ac:dyDescent="0.2">
      <c r="E63" s="700"/>
      <c r="F63" s="700"/>
      <c r="I63" s="700"/>
      <c r="K63" s="700"/>
      <c r="M63" s="700"/>
    </row>
    <row r="64" spans="3:28" x14ac:dyDescent="0.2">
      <c r="F64" s="700"/>
    </row>
    <row r="65" spans="5:13" x14ac:dyDescent="0.2">
      <c r="E65" s="700"/>
      <c r="F65" s="700"/>
    </row>
    <row r="66" spans="5:13" x14ac:dyDescent="0.2">
      <c r="E66" s="700"/>
      <c r="F66" s="700"/>
      <c r="K66" s="700"/>
      <c r="M66" s="700"/>
    </row>
    <row r="67" spans="5:13" x14ac:dyDescent="0.2">
      <c r="F67" s="700"/>
    </row>
    <row r="68" spans="5:13" x14ac:dyDescent="0.2">
      <c r="E68" s="700"/>
      <c r="F68" s="700"/>
      <c r="I68" s="700"/>
      <c r="K68" s="700"/>
      <c r="M68" s="700"/>
    </row>
    <row r="69" spans="5:13" x14ac:dyDescent="0.2">
      <c r="E69" s="700"/>
      <c r="F69" s="700"/>
      <c r="I69" s="700"/>
      <c r="K69" s="700"/>
      <c r="M69" s="700"/>
    </row>
    <row r="70" spans="5:13" x14ac:dyDescent="0.2">
      <c r="E70" s="700"/>
      <c r="F70" s="700"/>
      <c r="K70" s="700"/>
      <c r="M70" s="700"/>
    </row>
    <row r="71" spans="5:13" x14ac:dyDescent="0.2">
      <c r="E71" s="700"/>
      <c r="F71" s="700"/>
      <c r="I71" s="700"/>
      <c r="K71" s="700"/>
      <c r="M71" s="700"/>
    </row>
    <row r="72" spans="5:13" x14ac:dyDescent="0.2">
      <c r="F72" s="700"/>
    </row>
    <row r="73" spans="5:13" x14ac:dyDescent="0.2">
      <c r="E73" s="700"/>
      <c r="F73" s="700"/>
      <c r="K73" s="700"/>
      <c r="M73" s="700"/>
    </row>
    <row r="74" spans="5:13" x14ac:dyDescent="0.2">
      <c r="E74" s="700"/>
      <c r="F74" s="700"/>
      <c r="K74" s="700"/>
      <c r="M74" s="700"/>
    </row>
    <row r="75" spans="5:13" x14ac:dyDescent="0.2">
      <c r="E75" s="700"/>
      <c r="F75" s="700"/>
      <c r="I75" s="700"/>
      <c r="K75" s="700"/>
      <c r="M75" s="700"/>
    </row>
    <row r="76" spans="5:13" x14ac:dyDescent="0.2">
      <c r="E76" s="700"/>
      <c r="F76" s="700"/>
      <c r="K76" s="700"/>
      <c r="M76" s="700"/>
    </row>
    <row r="77" spans="5:13" x14ac:dyDescent="0.2">
      <c r="E77" s="701"/>
      <c r="I77" s="700"/>
      <c r="K77" s="700"/>
      <c r="M77" s="700"/>
    </row>
    <row r="78" spans="5:13" x14ac:dyDescent="0.2">
      <c r="E78" s="701"/>
      <c r="I78" s="700"/>
      <c r="K78" s="700"/>
      <c r="M78" s="700"/>
    </row>
    <row r="79" spans="5:13" x14ac:dyDescent="0.2">
      <c r="F79" s="700"/>
    </row>
    <row r="80" spans="5:13" x14ac:dyDescent="0.2">
      <c r="E80" s="700"/>
      <c r="F80" s="700"/>
      <c r="K80" s="700"/>
      <c r="M80" s="700"/>
    </row>
    <row r="81" spans="5:13" x14ac:dyDescent="0.2">
      <c r="E81" s="700"/>
      <c r="F81" s="700"/>
      <c r="K81" s="700"/>
      <c r="M81" s="700"/>
    </row>
    <row r="82" spans="5:13" x14ac:dyDescent="0.2">
      <c r="E82" s="701"/>
      <c r="I82" s="700"/>
      <c r="K82" s="700"/>
      <c r="M82" s="700"/>
    </row>
    <row r="83" spans="5:13" x14ac:dyDescent="0.2">
      <c r="K83" s="701"/>
      <c r="M83" s="701"/>
    </row>
  </sheetData>
  <mergeCells count="223">
    <mergeCell ref="Y14:AB14"/>
    <mergeCell ref="A13:A15"/>
    <mergeCell ref="Q11:T11"/>
    <mergeCell ref="U11:X11"/>
    <mergeCell ref="Y11:AB11"/>
    <mergeCell ref="Q16:T16"/>
    <mergeCell ref="U16:X16"/>
    <mergeCell ref="Y16:AB16"/>
    <mergeCell ref="E17:H17"/>
    <mergeCell ref="I17:L17"/>
    <mergeCell ref="M17:P17"/>
    <mergeCell ref="Q17:T17"/>
    <mergeCell ref="U17:X17"/>
    <mergeCell ref="Y17:AB17"/>
    <mergeCell ref="Y10:AB10"/>
    <mergeCell ref="A10:A12"/>
    <mergeCell ref="B10:B12"/>
    <mergeCell ref="C10:C12"/>
    <mergeCell ref="E11:H11"/>
    <mergeCell ref="I11:L11"/>
    <mergeCell ref="M11:P11"/>
    <mergeCell ref="Q13:T13"/>
    <mergeCell ref="U13:X13"/>
    <mergeCell ref="Y13:AB13"/>
    <mergeCell ref="Q46:T46"/>
    <mergeCell ref="U46:X46"/>
    <mergeCell ref="Q43:T43"/>
    <mergeCell ref="U43:X43"/>
    <mergeCell ref="Y43:AB43"/>
    <mergeCell ref="E44:H44"/>
    <mergeCell ref="A16:A18"/>
    <mergeCell ref="B16:B18"/>
    <mergeCell ref="C16:C18"/>
    <mergeCell ref="E16:H16"/>
    <mergeCell ref="I16:L16"/>
    <mergeCell ref="M16:P16"/>
    <mergeCell ref="A43:A45"/>
    <mergeCell ref="B43:B45"/>
    <mergeCell ref="C43:C45"/>
    <mergeCell ref="E43:H43"/>
    <mergeCell ref="I43:L43"/>
    <mergeCell ref="M43:P43"/>
    <mergeCell ref="I44:L44"/>
    <mergeCell ref="M44:P44"/>
    <mergeCell ref="Q44:T44"/>
    <mergeCell ref="U44:X44"/>
    <mergeCell ref="Y44:AB44"/>
    <mergeCell ref="A40:A42"/>
    <mergeCell ref="Z49:AB49"/>
    <mergeCell ref="Z52:AB52"/>
    <mergeCell ref="E10:H10"/>
    <mergeCell ref="I10:L10"/>
    <mergeCell ref="M10:P10"/>
    <mergeCell ref="Q10:T10"/>
    <mergeCell ref="Y46:AB46"/>
    <mergeCell ref="C47:D47"/>
    <mergeCell ref="E47:H47"/>
    <mergeCell ref="I47:L47"/>
    <mergeCell ref="M47:P47"/>
    <mergeCell ref="Q47:T47"/>
    <mergeCell ref="U47:X47"/>
    <mergeCell ref="Y47:AB47"/>
    <mergeCell ref="C46:D46"/>
    <mergeCell ref="E46:H46"/>
    <mergeCell ref="I46:L46"/>
    <mergeCell ref="M46:P46"/>
    <mergeCell ref="E41:H41"/>
    <mergeCell ref="I41:L41"/>
    <mergeCell ref="M41:P41"/>
    <mergeCell ref="Q41:T41"/>
    <mergeCell ref="U41:X41"/>
    <mergeCell ref="Y41:AB41"/>
    <mergeCell ref="A37:A39"/>
    <mergeCell ref="B37:B39"/>
    <mergeCell ref="C37:C39"/>
    <mergeCell ref="E37:H37"/>
    <mergeCell ref="I37:L37"/>
    <mergeCell ref="M37:P37"/>
    <mergeCell ref="Q40:T40"/>
    <mergeCell ref="U40:X40"/>
    <mergeCell ref="Y40:AB40"/>
    <mergeCell ref="B40:B42"/>
    <mergeCell ref="C40:C42"/>
    <mergeCell ref="E40:H40"/>
    <mergeCell ref="I40:L40"/>
    <mergeCell ref="M40:P40"/>
    <mergeCell ref="Q37:T37"/>
    <mergeCell ref="U37:X37"/>
    <mergeCell ref="Y37:AB37"/>
    <mergeCell ref="E38:H38"/>
    <mergeCell ref="I38:L38"/>
    <mergeCell ref="M38:P38"/>
    <mergeCell ref="Q38:T38"/>
    <mergeCell ref="U38:X38"/>
    <mergeCell ref="Y38:AB38"/>
    <mergeCell ref="E31:H31"/>
    <mergeCell ref="I31:L31"/>
    <mergeCell ref="M31:P31"/>
    <mergeCell ref="Q34:T34"/>
    <mergeCell ref="U34:X34"/>
    <mergeCell ref="Y34:AB34"/>
    <mergeCell ref="E35:H35"/>
    <mergeCell ref="I35:L35"/>
    <mergeCell ref="M35:P35"/>
    <mergeCell ref="Q35:T35"/>
    <mergeCell ref="U35:X35"/>
    <mergeCell ref="Y35:AB35"/>
    <mergeCell ref="E29:H29"/>
    <mergeCell ref="I29:L29"/>
    <mergeCell ref="M29:P29"/>
    <mergeCell ref="Q29:T29"/>
    <mergeCell ref="U29:X29"/>
    <mergeCell ref="Y29:AB29"/>
    <mergeCell ref="A34:A36"/>
    <mergeCell ref="B34:B36"/>
    <mergeCell ref="C34:C36"/>
    <mergeCell ref="E34:H34"/>
    <mergeCell ref="I34:L34"/>
    <mergeCell ref="M34:P34"/>
    <mergeCell ref="Q31:T31"/>
    <mergeCell ref="U31:X31"/>
    <mergeCell ref="Y31:AB31"/>
    <mergeCell ref="E32:H32"/>
    <mergeCell ref="I32:L32"/>
    <mergeCell ref="M32:P32"/>
    <mergeCell ref="Q32:T32"/>
    <mergeCell ref="U32:X32"/>
    <mergeCell ref="Y32:AB32"/>
    <mergeCell ref="A31:A33"/>
    <mergeCell ref="B31:B33"/>
    <mergeCell ref="C31:C33"/>
    <mergeCell ref="A28:A30"/>
    <mergeCell ref="B28:B30"/>
    <mergeCell ref="C28:C30"/>
    <mergeCell ref="E28:H28"/>
    <mergeCell ref="I28:L28"/>
    <mergeCell ref="M28:P28"/>
    <mergeCell ref="Q25:T25"/>
    <mergeCell ref="U25:X25"/>
    <mergeCell ref="Y25:AB25"/>
    <mergeCell ref="E26:H26"/>
    <mergeCell ref="I26:L26"/>
    <mergeCell ref="M26:P26"/>
    <mergeCell ref="Q26:T26"/>
    <mergeCell ref="U26:X26"/>
    <mergeCell ref="Y26:AB26"/>
    <mergeCell ref="A25:A27"/>
    <mergeCell ref="B25:B27"/>
    <mergeCell ref="C25:C27"/>
    <mergeCell ref="E25:H25"/>
    <mergeCell ref="I25:L25"/>
    <mergeCell ref="M25:P25"/>
    <mergeCell ref="Q28:T28"/>
    <mergeCell ref="U28:X28"/>
    <mergeCell ref="Y28:AB28"/>
    <mergeCell ref="C19:C21"/>
    <mergeCell ref="E19:H19"/>
    <mergeCell ref="I19:L19"/>
    <mergeCell ref="M19:P19"/>
    <mergeCell ref="Q22:T22"/>
    <mergeCell ref="U22:X22"/>
    <mergeCell ref="Y22:AB22"/>
    <mergeCell ref="E23:H23"/>
    <mergeCell ref="I23:L23"/>
    <mergeCell ref="M23:P23"/>
    <mergeCell ref="Q23:T23"/>
    <mergeCell ref="U23:X23"/>
    <mergeCell ref="Y23:AB23"/>
    <mergeCell ref="Y7:AB7"/>
    <mergeCell ref="E8:H8"/>
    <mergeCell ref="I8:L8"/>
    <mergeCell ref="M8:P8"/>
    <mergeCell ref="Q8:T8"/>
    <mergeCell ref="U8:X8"/>
    <mergeCell ref="Y8:AB8"/>
    <mergeCell ref="A22:A24"/>
    <mergeCell ref="B22:B24"/>
    <mergeCell ref="C22:C24"/>
    <mergeCell ref="E22:H22"/>
    <mergeCell ref="I22:L22"/>
    <mergeCell ref="M22:P22"/>
    <mergeCell ref="Q19:T19"/>
    <mergeCell ref="U19:X19"/>
    <mergeCell ref="Y19:AB19"/>
    <mergeCell ref="E20:H20"/>
    <mergeCell ref="I20:L20"/>
    <mergeCell ref="M20:P20"/>
    <mergeCell ref="Q20:T20"/>
    <mergeCell ref="U20:X20"/>
    <mergeCell ref="Y20:AB20"/>
    <mergeCell ref="A19:A21"/>
    <mergeCell ref="B19:B21"/>
    <mergeCell ref="A7:A9"/>
    <mergeCell ref="B7:B9"/>
    <mergeCell ref="C7:C9"/>
    <mergeCell ref="E7:H7"/>
    <mergeCell ref="I7:L7"/>
    <mergeCell ref="M7:P7"/>
    <mergeCell ref="Q7:T7"/>
    <mergeCell ref="U7:X7"/>
    <mergeCell ref="B13:B15"/>
    <mergeCell ref="C13:C15"/>
    <mergeCell ref="E13:H13"/>
    <mergeCell ref="I13:L13"/>
    <mergeCell ref="M13:P13"/>
    <mergeCell ref="U10:X10"/>
    <mergeCell ref="E14:H14"/>
    <mergeCell ref="I14:L14"/>
    <mergeCell ref="M14:P14"/>
    <mergeCell ref="Q14:T14"/>
    <mergeCell ref="U14:X14"/>
    <mergeCell ref="A1:AB1"/>
    <mergeCell ref="A2:A5"/>
    <mergeCell ref="B2:B4"/>
    <mergeCell ref="C2:D2"/>
    <mergeCell ref="E2:AB4"/>
    <mergeCell ref="C3:D4"/>
    <mergeCell ref="E5:H5"/>
    <mergeCell ref="I5:L5"/>
    <mergeCell ref="M5:P5"/>
    <mergeCell ref="Q5:T5"/>
    <mergeCell ref="U5:X5"/>
    <mergeCell ref="Y5:AB5"/>
  </mergeCells>
  <printOptions horizontalCentered="1"/>
  <pageMargins left="0.59055118110236227" right="0.19685039370078741" top="1.7716535433070868" bottom="0.78740157480314965" header="0" footer="0"/>
  <pageSetup paperSize="9" scale="71"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Q186"/>
  <sheetViews>
    <sheetView zoomScale="125" zoomScaleNormal="100" zoomScalePageLayoutView="110" workbookViewId="0">
      <selection sqref="A1:J1"/>
    </sheetView>
  </sheetViews>
  <sheetFormatPr baseColWidth="10" defaultRowHeight="15" x14ac:dyDescent="0.25"/>
  <cols>
    <col min="1" max="1" width="9.28515625" customWidth="1"/>
    <col min="2" max="2" width="8.28515625" customWidth="1"/>
    <col min="3" max="3" width="11.85546875" customWidth="1"/>
    <col min="4" max="4" width="7.85546875" customWidth="1"/>
    <col min="5" max="5" width="13" customWidth="1"/>
    <col min="6" max="6" width="7" customWidth="1"/>
    <col min="7" max="7" width="9.42578125" customWidth="1"/>
    <col min="8" max="8" width="8.7109375" customWidth="1"/>
    <col min="9" max="9" width="6.42578125" customWidth="1"/>
    <col min="10" max="10" width="7.140625" customWidth="1"/>
    <col min="11" max="11" width="9.42578125" style="580" customWidth="1"/>
    <col min="12" max="12" width="9" style="643" customWidth="1"/>
    <col min="13" max="13" width="9" customWidth="1"/>
    <col min="14" max="14" width="14.7109375" bestFit="1" customWidth="1"/>
    <col min="15" max="15" width="0" hidden="1" customWidth="1"/>
    <col min="16" max="16" width="15.7109375" hidden="1" customWidth="1"/>
    <col min="17" max="22" width="0" hidden="1" customWidth="1"/>
    <col min="257" max="257" width="9.28515625" customWidth="1"/>
    <col min="258" max="258" width="8.28515625" customWidth="1"/>
    <col min="259" max="259" width="11.85546875" customWidth="1"/>
    <col min="260" max="260" width="7.85546875" customWidth="1"/>
    <col min="261" max="261" width="13" customWidth="1"/>
    <col min="262" max="262" width="7" customWidth="1"/>
    <col min="263" max="263" width="9.42578125" customWidth="1"/>
    <col min="264" max="264" width="8.7109375" customWidth="1"/>
    <col min="265" max="265" width="6.42578125" customWidth="1"/>
    <col min="266" max="266" width="7.140625" customWidth="1"/>
    <col min="267" max="267" width="9.42578125" customWidth="1"/>
    <col min="268" max="269" width="9" customWidth="1"/>
    <col min="270" max="270" width="14.7109375" bestFit="1" customWidth="1"/>
    <col min="272" max="272" width="15.7109375" bestFit="1" customWidth="1"/>
    <col min="513" max="513" width="9.28515625" customWidth="1"/>
    <col min="514" max="514" width="8.28515625" customWidth="1"/>
    <col min="515" max="515" width="11.85546875" customWidth="1"/>
    <col min="516" max="516" width="7.85546875" customWidth="1"/>
    <col min="517" max="517" width="13" customWidth="1"/>
    <col min="518" max="518" width="7" customWidth="1"/>
    <col min="519" max="519" width="9.42578125" customWidth="1"/>
    <col min="520" max="520" width="8.7109375" customWidth="1"/>
    <col min="521" max="521" width="6.42578125" customWidth="1"/>
    <col min="522" max="522" width="7.140625" customWidth="1"/>
    <col min="523" max="523" width="9.42578125" customWidth="1"/>
    <col min="524" max="525" width="9" customWidth="1"/>
    <col min="526" max="526" width="14.7109375" bestFit="1" customWidth="1"/>
    <col min="528" max="528" width="15.7109375" bestFit="1" customWidth="1"/>
    <col min="769" max="769" width="9.28515625" customWidth="1"/>
    <col min="770" max="770" width="8.28515625" customWidth="1"/>
    <col min="771" max="771" width="11.85546875" customWidth="1"/>
    <col min="772" max="772" width="7.85546875" customWidth="1"/>
    <col min="773" max="773" width="13" customWidth="1"/>
    <col min="774" max="774" width="7" customWidth="1"/>
    <col min="775" max="775" width="9.42578125" customWidth="1"/>
    <col min="776" max="776" width="8.7109375" customWidth="1"/>
    <col min="777" max="777" width="6.42578125" customWidth="1"/>
    <col min="778" max="778" width="7.140625" customWidth="1"/>
    <col min="779" max="779" width="9.42578125" customWidth="1"/>
    <col min="780" max="781" width="9" customWidth="1"/>
    <col min="782" max="782" width="14.7109375" bestFit="1" customWidth="1"/>
    <col min="784" max="784" width="15.7109375" bestFit="1" customWidth="1"/>
    <col min="1025" max="1025" width="9.28515625" customWidth="1"/>
    <col min="1026" max="1026" width="8.28515625" customWidth="1"/>
    <col min="1027" max="1027" width="11.85546875" customWidth="1"/>
    <col min="1028" max="1028" width="7.85546875" customWidth="1"/>
    <col min="1029" max="1029" width="13" customWidth="1"/>
    <col min="1030" max="1030" width="7" customWidth="1"/>
    <col min="1031" max="1031" width="9.42578125" customWidth="1"/>
    <col min="1032" max="1032" width="8.7109375" customWidth="1"/>
    <col min="1033" max="1033" width="6.42578125" customWidth="1"/>
    <col min="1034" max="1034" width="7.140625" customWidth="1"/>
    <col min="1035" max="1035" width="9.42578125" customWidth="1"/>
    <col min="1036" max="1037" width="9" customWidth="1"/>
    <col min="1038" max="1038" width="14.7109375" bestFit="1" customWidth="1"/>
    <col min="1040" max="1040" width="15.7109375" bestFit="1" customWidth="1"/>
    <col min="1281" max="1281" width="9.28515625" customWidth="1"/>
    <col min="1282" max="1282" width="8.28515625" customWidth="1"/>
    <col min="1283" max="1283" width="11.85546875" customWidth="1"/>
    <col min="1284" max="1284" width="7.85546875" customWidth="1"/>
    <col min="1285" max="1285" width="13" customWidth="1"/>
    <col min="1286" max="1286" width="7" customWidth="1"/>
    <col min="1287" max="1287" width="9.42578125" customWidth="1"/>
    <col min="1288" max="1288" width="8.7109375" customWidth="1"/>
    <col min="1289" max="1289" width="6.42578125" customWidth="1"/>
    <col min="1290" max="1290" width="7.140625" customWidth="1"/>
    <col min="1291" max="1291" width="9.42578125" customWidth="1"/>
    <col min="1292" max="1293" width="9" customWidth="1"/>
    <col min="1294" max="1294" width="14.7109375" bestFit="1" customWidth="1"/>
    <col min="1296" max="1296" width="15.7109375" bestFit="1" customWidth="1"/>
    <col min="1537" max="1537" width="9.28515625" customWidth="1"/>
    <col min="1538" max="1538" width="8.28515625" customWidth="1"/>
    <col min="1539" max="1539" width="11.85546875" customWidth="1"/>
    <col min="1540" max="1540" width="7.85546875" customWidth="1"/>
    <col min="1541" max="1541" width="13" customWidth="1"/>
    <col min="1542" max="1542" width="7" customWidth="1"/>
    <col min="1543" max="1543" width="9.42578125" customWidth="1"/>
    <col min="1544" max="1544" width="8.7109375" customWidth="1"/>
    <col min="1545" max="1545" width="6.42578125" customWidth="1"/>
    <col min="1546" max="1546" width="7.140625" customWidth="1"/>
    <col min="1547" max="1547" width="9.42578125" customWidth="1"/>
    <col min="1548" max="1549" width="9" customWidth="1"/>
    <col min="1550" max="1550" width="14.7109375" bestFit="1" customWidth="1"/>
    <col min="1552" max="1552" width="15.7109375" bestFit="1" customWidth="1"/>
    <col min="1793" max="1793" width="9.28515625" customWidth="1"/>
    <col min="1794" max="1794" width="8.28515625" customWidth="1"/>
    <col min="1795" max="1795" width="11.85546875" customWidth="1"/>
    <col min="1796" max="1796" width="7.85546875" customWidth="1"/>
    <col min="1797" max="1797" width="13" customWidth="1"/>
    <col min="1798" max="1798" width="7" customWidth="1"/>
    <col min="1799" max="1799" width="9.42578125" customWidth="1"/>
    <col min="1800" max="1800" width="8.7109375" customWidth="1"/>
    <col min="1801" max="1801" width="6.42578125" customWidth="1"/>
    <col min="1802" max="1802" width="7.140625" customWidth="1"/>
    <col min="1803" max="1803" width="9.42578125" customWidth="1"/>
    <col min="1804" max="1805" width="9" customWidth="1"/>
    <col min="1806" max="1806" width="14.7109375" bestFit="1" customWidth="1"/>
    <col min="1808" max="1808" width="15.7109375" bestFit="1" customWidth="1"/>
    <col min="2049" max="2049" width="9.28515625" customWidth="1"/>
    <col min="2050" max="2050" width="8.28515625" customWidth="1"/>
    <col min="2051" max="2051" width="11.85546875" customWidth="1"/>
    <col min="2052" max="2052" width="7.85546875" customWidth="1"/>
    <col min="2053" max="2053" width="13" customWidth="1"/>
    <col min="2054" max="2054" width="7" customWidth="1"/>
    <col min="2055" max="2055" width="9.42578125" customWidth="1"/>
    <col min="2056" max="2056" width="8.7109375" customWidth="1"/>
    <col min="2057" max="2057" width="6.42578125" customWidth="1"/>
    <col min="2058" max="2058" width="7.140625" customWidth="1"/>
    <col min="2059" max="2059" width="9.42578125" customWidth="1"/>
    <col min="2060" max="2061" width="9" customWidth="1"/>
    <col min="2062" max="2062" width="14.7109375" bestFit="1" customWidth="1"/>
    <col min="2064" max="2064" width="15.7109375" bestFit="1" customWidth="1"/>
    <col min="2305" max="2305" width="9.28515625" customWidth="1"/>
    <col min="2306" max="2306" width="8.28515625" customWidth="1"/>
    <col min="2307" max="2307" width="11.85546875" customWidth="1"/>
    <col min="2308" max="2308" width="7.85546875" customWidth="1"/>
    <col min="2309" max="2309" width="13" customWidth="1"/>
    <col min="2310" max="2310" width="7" customWidth="1"/>
    <col min="2311" max="2311" width="9.42578125" customWidth="1"/>
    <col min="2312" max="2312" width="8.7109375" customWidth="1"/>
    <col min="2313" max="2313" width="6.42578125" customWidth="1"/>
    <col min="2314" max="2314" width="7.140625" customWidth="1"/>
    <col min="2315" max="2315" width="9.42578125" customWidth="1"/>
    <col min="2316" max="2317" width="9" customWidth="1"/>
    <col min="2318" max="2318" width="14.7109375" bestFit="1" customWidth="1"/>
    <col min="2320" max="2320" width="15.7109375" bestFit="1" customWidth="1"/>
    <col min="2561" max="2561" width="9.28515625" customWidth="1"/>
    <col min="2562" max="2562" width="8.28515625" customWidth="1"/>
    <col min="2563" max="2563" width="11.85546875" customWidth="1"/>
    <col min="2564" max="2564" width="7.85546875" customWidth="1"/>
    <col min="2565" max="2565" width="13" customWidth="1"/>
    <col min="2566" max="2566" width="7" customWidth="1"/>
    <col min="2567" max="2567" width="9.42578125" customWidth="1"/>
    <col min="2568" max="2568" width="8.7109375" customWidth="1"/>
    <col min="2569" max="2569" width="6.42578125" customWidth="1"/>
    <col min="2570" max="2570" width="7.140625" customWidth="1"/>
    <col min="2571" max="2571" width="9.42578125" customWidth="1"/>
    <col min="2572" max="2573" width="9" customWidth="1"/>
    <col min="2574" max="2574" width="14.7109375" bestFit="1" customWidth="1"/>
    <col min="2576" max="2576" width="15.7109375" bestFit="1" customWidth="1"/>
    <col min="2817" max="2817" width="9.28515625" customWidth="1"/>
    <col min="2818" max="2818" width="8.28515625" customWidth="1"/>
    <col min="2819" max="2819" width="11.85546875" customWidth="1"/>
    <col min="2820" max="2820" width="7.85546875" customWidth="1"/>
    <col min="2821" max="2821" width="13" customWidth="1"/>
    <col min="2822" max="2822" width="7" customWidth="1"/>
    <col min="2823" max="2823" width="9.42578125" customWidth="1"/>
    <col min="2824" max="2824" width="8.7109375" customWidth="1"/>
    <col min="2825" max="2825" width="6.42578125" customWidth="1"/>
    <col min="2826" max="2826" width="7.140625" customWidth="1"/>
    <col min="2827" max="2827" width="9.42578125" customWidth="1"/>
    <col min="2828" max="2829" width="9" customWidth="1"/>
    <col min="2830" max="2830" width="14.7109375" bestFit="1" customWidth="1"/>
    <col min="2832" max="2832" width="15.7109375" bestFit="1" customWidth="1"/>
    <col min="3073" max="3073" width="9.28515625" customWidth="1"/>
    <col min="3074" max="3074" width="8.28515625" customWidth="1"/>
    <col min="3075" max="3075" width="11.85546875" customWidth="1"/>
    <col min="3076" max="3076" width="7.85546875" customWidth="1"/>
    <col min="3077" max="3077" width="13" customWidth="1"/>
    <col min="3078" max="3078" width="7" customWidth="1"/>
    <col min="3079" max="3079" width="9.42578125" customWidth="1"/>
    <col min="3080" max="3080" width="8.7109375" customWidth="1"/>
    <col min="3081" max="3081" width="6.42578125" customWidth="1"/>
    <col min="3082" max="3082" width="7.140625" customWidth="1"/>
    <col min="3083" max="3083" width="9.42578125" customWidth="1"/>
    <col min="3084" max="3085" width="9" customWidth="1"/>
    <col min="3086" max="3086" width="14.7109375" bestFit="1" customWidth="1"/>
    <col min="3088" max="3088" width="15.7109375" bestFit="1" customWidth="1"/>
    <col min="3329" max="3329" width="9.28515625" customWidth="1"/>
    <col min="3330" max="3330" width="8.28515625" customWidth="1"/>
    <col min="3331" max="3331" width="11.85546875" customWidth="1"/>
    <col min="3332" max="3332" width="7.85546875" customWidth="1"/>
    <col min="3333" max="3333" width="13" customWidth="1"/>
    <col min="3334" max="3334" width="7" customWidth="1"/>
    <col min="3335" max="3335" width="9.42578125" customWidth="1"/>
    <col min="3336" max="3336" width="8.7109375" customWidth="1"/>
    <col min="3337" max="3337" width="6.42578125" customWidth="1"/>
    <col min="3338" max="3338" width="7.140625" customWidth="1"/>
    <col min="3339" max="3339" width="9.42578125" customWidth="1"/>
    <col min="3340" max="3341" width="9" customWidth="1"/>
    <col min="3342" max="3342" width="14.7109375" bestFit="1" customWidth="1"/>
    <col min="3344" max="3344" width="15.7109375" bestFit="1" customWidth="1"/>
    <col min="3585" max="3585" width="9.28515625" customWidth="1"/>
    <col min="3586" max="3586" width="8.28515625" customWidth="1"/>
    <col min="3587" max="3587" width="11.85546875" customWidth="1"/>
    <col min="3588" max="3588" width="7.85546875" customWidth="1"/>
    <col min="3589" max="3589" width="13" customWidth="1"/>
    <col min="3590" max="3590" width="7" customWidth="1"/>
    <col min="3591" max="3591" width="9.42578125" customWidth="1"/>
    <col min="3592" max="3592" width="8.7109375" customWidth="1"/>
    <col min="3593" max="3593" width="6.42578125" customWidth="1"/>
    <col min="3594" max="3594" width="7.140625" customWidth="1"/>
    <col min="3595" max="3595" width="9.42578125" customWidth="1"/>
    <col min="3596" max="3597" width="9" customWidth="1"/>
    <col min="3598" max="3598" width="14.7109375" bestFit="1" customWidth="1"/>
    <col min="3600" max="3600" width="15.7109375" bestFit="1" customWidth="1"/>
    <col min="3841" max="3841" width="9.28515625" customWidth="1"/>
    <col min="3842" max="3842" width="8.28515625" customWidth="1"/>
    <col min="3843" max="3843" width="11.85546875" customWidth="1"/>
    <col min="3844" max="3844" width="7.85546875" customWidth="1"/>
    <col min="3845" max="3845" width="13" customWidth="1"/>
    <col min="3846" max="3846" width="7" customWidth="1"/>
    <col min="3847" max="3847" width="9.42578125" customWidth="1"/>
    <col min="3848" max="3848" width="8.7109375" customWidth="1"/>
    <col min="3849" max="3849" width="6.42578125" customWidth="1"/>
    <col min="3850" max="3850" width="7.140625" customWidth="1"/>
    <col min="3851" max="3851" width="9.42578125" customWidth="1"/>
    <col min="3852" max="3853" width="9" customWidth="1"/>
    <col min="3854" max="3854" width="14.7109375" bestFit="1" customWidth="1"/>
    <col min="3856" max="3856" width="15.7109375" bestFit="1" customWidth="1"/>
    <col min="4097" max="4097" width="9.28515625" customWidth="1"/>
    <col min="4098" max="4098" width="8.28515625" customWidth="1"/>
    <col min="4099" max="4099" width="11.85546875" customWidth="1"/>
    <col min="4100" max="4100" width="7.85546875" customWidth="1"/>
    <col min="4101" max="4101" width="13" customWidth="1"/>
    <col min="4102" max="4102" width="7" customWidth="1"/>
    <col min="4103" max="4103" width="9.42578125" customWidth="1"/>
    <col min="4104" max="4104" width="8.7109375" customWidth="1"/>
    <col min="4105" max="4105" width="6.42578125" customWidth="1"/>
    <col min="4106" max="4106" width="7.140625" customWidth="1"/>
    <col min="4107" max="4107" width="9.42578125" customWidth="1"/>
    <col min="4108" max="4109" width="9" customWidth="1"/>
    <col min="4110" max="4110" width="14.7109375" bestFit="1" customWidth="1"/>
    <col min="4112" max="4112" width="15.7109375" bestFit="1" customWidth="1"/>
    <col min="4353" max="4353" width="9.28515625" customWidth="1"/>
    <col min="4354" max="4354" width="8.28515625" customWidth="1"/>
    <col min="4355" max="4355" width="11.85546875" customWidth="1"/>
    <col min="4356" max="4356" width="7.85546875" customWidth="1"/>
    <col min="4357" max="4357" width="13" customWidth="1"/>
    <col min="4358" max="4358" width="7" customWidth="1"/>
    <col min="4359" max="4359" width="9.42578125" customWidth="1"/>
    <col min="4360" max="4360" width="8.7109375" customWidth="1"/>
    <col min="4361" max="4361" width="6.42578125" customWidth="1"/>
    <col min="4362" max="4362" width="7.140625" customWidth="1"/>
    <col min="4363" max="4363" width="9.42578125" customWidth="1"/>
    <col min="4364" max="4365" width="9" customWidth="1"/>
    <col min="4366" max="4366" width="14.7109375" bestFit="1" customWidth="1"/>
    <col min="4368" max="4368" width="15.7109375" bestFit="1" customWidth="1"/>
    <col min="4609" max="4609" width="9.28515625" customWidth="1"/>
    <col min="4610" max="4610" width="8.28515625" customWidth="1"/>
    <col min="4611" max="4611" width="11.85546875" customWidth="1"/>
    <col min="4612" max="4612" width="7.85546875" customWidth="1"/>
    <col min="4613" max="4613" width="13" customWidth="1"/>
    <col min="4614" max="4614" width="7" customWidth="1"/>
    <col min="4615" max="4615" width="9.42578125" customWidth="1"/>
    <col min="4616" max="4616" width="8.7109375" customWidth="1"/>
    <col min="4617" max="4617" width="6.42578125" customWidth="1"/>
    <col min="4618" max="4618" width="7.140625" customWidth="1"/>
    <col min="4619" max="4619" width="9.42578125" customWidth="1"/>
    <col min="4620" max="4621" width="9" customWidth="1"/>
    <col min="4622" max="4622" width="14.7109375" bestFit="1" customWidth="1"/>
    <col min="4624" max="4624" width="15.7109375" bestFit="1" customWidth="1"/>
    <col min="4865" max="4865" width="9.28515625" customWidth="1"/>
    <col min="4866" max="4866" width="8.28515625" customWidth="1"/>
    <col min="4867" max="4867" width="11.85546875" customWidth="1"/>
    <col min="4868" max="4868" width="7.85546875" customWidth="1"/>
    <col min="4869" max="4869" width="13" customWidth="1"/>
    <col min="4870" max="4870" width="7" customWidth="1"/>
    <col min="4871" max="4871" width="9.42578125" customWidth="1"/>
    <col min="4872" max="4872" width="8.7109375" customWidth="1"/>
    <col min="4873" max="4873" width="6.42578125" customWidth="1"/>
    <col min="4874" max="4874" width="7.140625" customWidth="1"/>
    <col min="4875" max="4875" width="9.42578125" customWidth="1"/>
    <col min="4876" max="4877" width="9" customWidth="1"/>
    <col min="4878" max="4878" width="14.7109375" bestFit="1" customWidth="1"/>
    <col min="4880" max="4880" width="15.7109375" bestFit="1" customWidth="1"/>
    <col min="5121" max="5121" width="9.28515625" customWidth="1"/>
    <col min="5122" max="5122" width="8.28515625" customWidth="1"/>
    <col min="5123" max="5123" width="11.85546875" customWidth="1"/>
    <col min="5124" max="5124" width="7.85546875" customWidth="1"/>
    <col min="5125" max="5125" width="13" customWidth="1"/>
    <col min="5126" max="5126" width="7" customWidth="1"/>
    <col min="5127" max="5127" width="9.42578125" customWidth="1"/>
    <col min="5128" max="5128" width="8.7109375" customWidth="1"/>
    <col min="5129" max="5129" width="6.42578125" customWidth="1"/>
    <col min="5130" max="5130" width="7.140625" customWidth="1"/>
    <col min="5131" max="5131" width="9.42578125" customWidth="1"/>
    <col min="5132" max="5133" width="9" customWidth="1"/>
    <col min="5134" max="5134" width="14.7109375" bestFit="1" customWidth="1"/>
    <col min="5136" max="5136" width="15.7109375" bestFit="1" customWidth="1"/>
    <col min="5377" max="5377" width="9.28515625" customWidth="1"/>
    <col min="5378" max="5378" width="8.28515625" customWidth="1"/>
    <col min="5379" max="5379" width="11.85546875" customWidth="1"/>
    <col min="5380" max="5380" width="7.85546875" customWidth="1"/>
    <col min="5381" max="5381" width="13" customWidth="1"/>
    <col min="5382" max="5382" width="7" customWidth="1"/>
    <col min="5383" max="5383" width="9.42578125" customWidth="1"/>
    <col min="5384" max="5384" width="8.7109375" customWidth="1"/>
    <col min="5385" max="5385" width="6.42578125" customWidth="1"/>
    <col min="5386" max="5386" width="7.140625" customWidth="1"/>
    <col min="5387" max="5387" width="9.42578125" customWidth="1"/>
    <col min="5388" max="5389" width="9" customWidth="1"/>
    <col min="5390" max="5390" width="14.7109375" bestFit="1" customWidth="1"/>
    <col min="5392" max="5392" width="15.7109375" bestFit="1" customWidth="1"/>
    <col min="5633" max="5633" width="9.28515625" customWidth="1"/>
    <col min="5634" max="5634" width="8.28515625" customWidth="1"/>
    <col min="5635" max="5635" width="11.85546875" customWidth="1"/>
    <col min="5636" max="5636" width="7.85546875" customWidth="1"/>
    <col min="5637" max="5637" width="13" customWidth="1"/>
    <col min="5638" max="5638" width="7" customWidth="1"/>
    <col min="5639" max="5639" width="9.42578125" customWidth="1"/>
    <col min="5640" max="5640" width="8.7109375" customWidth="1"/>
    <col min="5641" max="5641" width="6.42578125" customWidth="1"/>
    <col min="5642" max="5642" width="7.140625" customWidth="1"/>
    <col min="5643" max="5643" width="9.42578125" customWidth="1"/>
    <col min="5644" max="5645" width="9" customWidth="1"/>
    <col min="5646" max="5646" width="14.7109375" bestFit="1" customWidth="1"/>
    <col min="5648" max="5648" width="15.7109375" bestFit="1" customWidth="1"/>
    <col min="5889" max="5889" width="9.28515625" customWidth="1"/>
    <col min="5890" max="5890" width="8.28515625" customWidth="1"/>
    <col min="5891" max="5891" width="11.85546875" customWidth="1"/>
    <col min="5892" max="5892" width="7.85546875" customWidth="1"/>
    <col min="5893" max="5893" width="13" customWidth="1"/>
    <col min="5894" max="5894" width="7" customWidth="1"/>
    <col min="5895" max="5895" width="9.42578125" customWidth="1"/>
    <col min="5896" max="5896" width="8.7109375" customWidth="1"/>
    <col min="5897" max="5897" width="6.42578125" customWidth="1"/>
    <col min="5898" max="5898" width="7.140625" customWidth="1"/>
    <col min="5899" max="5899" width="9.42578125" customWidth="1"/>
    <col min="5900" max="5901" width="9" customWidth="1"/>
    <col min="5902" max="5902" width="14.7109375" bestFit="1" customWidth="1"/>
    <col min="5904" max="5904" width="15.7109375" bestFit="1" customWidth="1"/>
    <col min="6145" max="6145" width="9.28515625" customWidth="1"/>
    <col min="6146" max="6146" width="8.28515625" customWidth="1"/>
    <col min="6147" max="6147" width="11.85546875" customWidth="1"/>
    <col min="6148" max="6148" width="7.85546875" customWidth="1"/>
    <col min="6149" max="6149" width="13" customWidth="1"/>
    <col min="6150" max="6150" width="7" customWidth="1"/>
    <col min="6151" max="6151" width="9.42578125" customWidth="1"/>
    <col min="6152" max="6152" width="8.7109375" customWidth="1"/>
    <col min="6153" max="6153" width="6.42578125" customWidth="1"/>
    <col min="6154" max="6154" width="7.140625" customWidth="1"/>
    <col min="6155" max="6155" width="9.42578125" customWidth="1"/>
    <col min="6156" max="6157" width="9" customWidth="1"/>
    <col min="6158" max="6158" width="14.7109375" bestFit="1" customWidth="1"/>
    <col min="6160" max="6160" width="15.7109375" bestFit="1" customWidth="1"/>
    <col min="6401" max="6401" width="9.28515625" customWidth="1"/>
    <col min="6402" max="6402" width="8.28515625" customWidth="1"/>
    <col min="6403" max="6403" width="11.85546875" customWidth="1"/>
    <col min="6404" max="6404" width="7.85546875" customWidth="1"/>
    <col min="6405" max="6405" width="13" customWidth="1"/>
    <col min="6406" max="6406" width="7" customWidth="1"/>
    <col min="6407" max="6407" width="9.42578125" customWidth="1"/>
    <col min="6408" max="6408" width="8.7109375" customWidth="1"/>
    <col min="6409" max="6409" width="6.42578125" customWidth="1"/>
    <col min="6410" max="6410" width="7.140625" customWidth="1"/>
    <col min="6411" max="6411" width="9.42578125" customWidth="1"/>
    <col min="6412" max="6413" width="9" customWidth="1"/>
    <col min="6414" max="6414" width="14.7109375" bestFit="1" customWidth="1"/>
    <col min="6416" max="6416" width="15.7109375" bestFit="1" customWidth="1"/>
    <col min="6657" max="6657" width="9.28515625" customWidth="1"/>
    <col min="6658" max="6658" width="8.28515625" customWidth="1"/>
    <col min="6659" max="6659" width="11.85546875" customWidth="1"/>
    <col min="6660" max="6660" width="7.85546875" customWidth="1"/>
    <col min="6661" max="6661" width="13" customWidth="1"/>
    <col min="6662" max="6662" width="7" customWidth="1"/>
    <col min="6663" max="6663" width="9.42578125" customWidth="1"/>
    <col min="6664" max="6664" width="8.7109375" customWidth="1"/>
    <col min="6665" max="6665" width="6.42578125" customWidth="1"/>
    <col min="6666" max="6666" width="7.140625" customWidth="1"/>
    <col min="6667" max="6667" width="9.42578125" customWidth="1"/>
    <col min="6668" max="6669" width="9" customWidth="1"/>
    <col min="6670" max="6670" width="14.7109375" bestFit="1" customWidth="1"/>
    <col min="6672" max="6672" width="15.7109375" bestFit="1" customWidth="1"/>
    <col min="6913" max="6913" width="9.28515625" customWidth="1"/>
    <col min="6914" max="6914" width="8.28515625" customWidth="1"/>
    <col min="6915" max="6915" width="11.85546875" customWidth="1"/>
    <col min="6916" max="6916" width="7.85546875" customWidth="1"/>
    <col min="6917" max="6917" width="13" customWidth="1"/>
    <col min="6918" max="6918" width="7" customWidth="1"/>
    <col min="6919" max="6919" width="9.42578125" customWidth="1"/>
    <col min="6920" max="6920" width="8.7109375" customWidth="1"/>
    <col min="6921" max="6921" width="6.42578125" customWidth="1"/>
    <col min="6922" max="6922" width="7.140625" customWidth="1"/>
    <col min="6923" max="6923" width="9.42578125" customWidth="1"/>
    <col min="6924" max="6925" width="9" customWidth="1"/>
    <col min="6926" max="6926" width="14.7109375" bestFit="1" customWidth="1"/>
    <col min="6928" max="6928" width="15.7109375" bestFit="1" customWidth="1"/>
    <col min="7169" max="7169" width="9.28515625" customWidth="1"/>
    <col min="7170" max="7170" width="8.28515625" customWidth="1"/>
    <col min="7171" max="7171" width="11.85546875" customWidth="1"/>
    <col min="7172" max="7172" width="7.85546875" customWidth="1"/>
    <col min="7173" max="7173" width="13" customWidth="1"/>
    <col min="7174" max="7174" width="7" customWidth="1"/>
    <col min="7175" max="7175" width="9.42578125" customWidth="1"/>
    <col min="7176" max="7176" width="8.7109375" customWidth="1"/>
    <col min="7177" max="7177" width="6.42578125" customWidth="1"/>
    <col min="7178" max="7178" width="7.140625" customWidth="1"/>
    <col min="7179" max="7179" width="9.42578125" customWidth="1"/>
    <col min="7180" max="7181" width="9" customWidth="1"/>
    <col min="7182" max="7182" width="14.7109375" bestFit="1" customWidth="1"/>
    <col min="7184" max="7184" width="15.7109375" bestFit="1" customWidth="1"/>
    <col min="7425" max="7425" width="9.28515625" customWidth="1"/>
    <col min="7426" max="7426" width="8.28515625" customWidth="1"/>
    <col min="7427" max="7427" width="11.85546875" customWidth="1"/>
    <col min="7428" max="7428" width="7.85546875" customWidth="1"/>
    <col min="7429" max="7429" width="13" customWidth="1"/>
    <col min="7430" max="7430" width="7" customWidth="1"/>
    <col min="7431" max="7431" width="9.42578125" customWidth="1"/>
    <col min="7432" max="7432" width="8.7109375" customWidth="1"/>
    <col min="7433" max="7433" width="6.42578125" customWidth="1"/>
    <col min="7434" max="7434" width="7.140625" customWidth="1"/>
    <col min="7435" max="7435" width="9.42578125" customWidth="1"/>
    <col min="7436" max="7437" width="9" customWidth="1"/>
    <col min="7438" max="7438" width="14.7109375" bestFit="1" customWidth="1"/>
    <col min="7440" max="7440" width="15.7109375" bestFit="1" customWidth="1"/>
    <col min="7681" max="7681" width="9.28515625" customWidth="1"/>
    <col min="7682" max="7682" width="8.28515625" customWidth="1"/>
    <col min="7683" max="7683" width="11.85546875" customWidth="1"/>
    <col min="7684" max="7684" width="7.85546875" customWidth="1"/>
    <col min="7685" max="7685" width="13" customWidth="1"/>
    <col min="7686" max="7686" width="7" customWidth="1"/>
    <col min="7687" max="7687" width="9.42578125" customWidth="1"/>
    <col min="7688" max="7688" width="8.7109375" customWidth="1"/>
    <col min="7689" max="7689" width="6.42578125" customWidth="1"/>
    <col min="7690" max="7690" width="7.140625" customWidth="1"/>
    <col min="7691" max="7691" width="9.42578125" customWidth="1"/>
    <col min="7692" max="7693" width="9" customWidth="1"/>
    <col min="7694" max="7694" width="14.7109375" bestFit="1" customWidth="1"/>
    <col min="7696" max="7696" width="15.7109375" bestFit="1" customWidth="1"/>
    <col min="7937" max="7937" width="9.28515625" customWidth="1"/>
    <col min="7938" max="7938" width="8.28515625" customWidth="1"/>
    <col min="7939" max="7939" width="11.85546875" customWidth="1"/>
    <col min="7940" max="7940" width="7.85546875" customWidth="1"/>
    <col min="7941" max="7941" width="13" customWidth="1"/>
    <col min="7942" max="7942" width="7" customWidth="1"/>
    <col min="7943" max="7943" width="9.42578125" customWidth="1"/>
    <col min="7944" max="7944" width="8.7109375" customWidth="1"/>
    <col min="7945" max="7945" width="6.42578125" customWidth="1"/>
    <col min="7946" max="7946" width="7.140625" customWidth="1"/>
    <col min="7947" max="7947" width="9.42578125" customWidth="1"/>
    <col min="7948" max="7949" width="9" customWidth="1"/>
    <col min="7950" max="7950" width="14.7109375" bestFit="1" customWidth="1"/>
    <col min="7952" max="7952" width="15.7109375" bestFit="1" customWidth="1"/>
    <col min="8193" max="8193" width="9.28515625" customWidth="1"/>
    <col min="8194" max="8194" width="8.28515625" customWidth="1"/>
    <col min="8195" max="8195" width="11.85546875" customWidth="1"/>
    <col min="8196" max="8196" width="7.85546875" customWidth="1"/>
    <col min="8197" max="8197" width="13" customWidth="1"/>
    <col min="8198" max="8198" width="7" customWidth="1"/>
    <col min="8199" max="8199" width="9.42578125" customWidth="1"/>
    <col min="8200" max="8200" width="8.7109375" customWidth="1"/>
    <col min="8201" max="8201" width="6.42578125" customWidth="1"/>
    <col min="8202" max="8202" width="7.140625" customWidth="1"/>
    <col min="8203" max="8203" width="9.42578125" customWidth="1"/>
    <col min="8204" max="8205" width="9" customWidth="1"/>
    <col min="8206" max="8206" width="14.7109375" bestFit="1" customWidth="1"/>
    <col min="8208" max="8208" width="15.7109375" bestFit="1" customWidth="1"/>
    <col min="8449" max="8449" width="9.28515625" customWidth="1"/>
    <col min="8450" max="8450" width="8.28515625" customWidth="1"/>
    <col min="8451" max="8451" width="11.85546875" customWidth="1"/>
    <col min="8452" max="8452" width="7.85546875" customWidth="1"/>
    <col min="8453" max="8453" width="13" customWidth="1"/>
    <col min="8454" max="8454" width="7" customWidth="1"/>
    <col min="8455" max="8455" width="9.42578125" customWidth="1"/>
    <col min="8456" max="8456" width="8.7109375" customWidth="1"/>
    <col min="8457" max="8457" width="6.42578125" customWidth="1"/>
    <col min="8458" max="8458" width="7.140625" customWidth="1"/>
    <col min="8459" max="8459" width="9.42578125" customWidth="1"/>
    <col min="8460" max="8461" width="9" customWidth="1"/>
    <col min="8462" max="8462" width="14.7109375" bestFit="1" customWidth="1"/>
    <col min="8464" max="8464" width="15.7109375" bestFit="1" customWidth="1"/>
    <col min="8705" max="8705" width="9.28515625" customWidth="1"/>
    <col min="8706" max="8706" width="8.28515625" customWidth="1"/>
    <col min="8707" max="8707" width="11.85546875" customWidth="1"/>
    <col min="8708" max="8708" width="7.85546875" customWidth="1"/>
    <col min="8709" max="8709" width="13" customWidth="1"/>
    <col min="8710" max="8710" width="7" customWidth="1"/>
    <col min="8711" max="8711" width="9.42578125" customWidth="1"/>
    <col min="8712" max="8712" width="8.7109375" customWidth="1"/>
    <col min="8713" max="8713" width="6.42578125" customWidth="1"/>
    <col min="8714" max="8714" width="7.140625" customWidth="1"/>
    <col min="8715" max="8715" width="9.42578125" customWidth="1"/>
    <col min="8716" max="8717" width="9" customWidth="1"/>
    <col min="8718" max="8718" width="14.7109375" bestFit="1" customWidth="1"/>
    <col min="8720" max="8720" width="15.7109375" bestFit="1" customWidth="1"/>
    <col min="8961" max="8961" width="9.28515625" customWidth="1"/>
    <col min="8962" max="8962" width="8.28515625" customWidth="1"/>
    <col min="8963" max="8963" width="11.85546875" customWidth="1"/>
    <col min="8964" max="8964" width="7.85546875" customWidth="1"/>
    <col min="8965" max="8965" width="13" customWidth="1"/>
    <col min="8966" max="8966" width="7" customWidth="1"/>
    <col min="8967" max="8967" width="9.42578125" customWidth="1"/>
    <col min="8968" max="8968" width="8.7109375" customWidth="1"/>
    <col min="8969" max="8969" width="6.42578125" customWidth="1"/>
    <col min="8970" max="8970" width="7.140625" customWidth="1"/>
    <col min="8971" max="8971" width="9.42578125" customWidth="1"/>
    <col min="8972" max="8973" width="9" customWidth="1"/>
    <col min="8974" max="8974" width="14.7109375" bestFit="1" customWidth="1"/>
    <col min="8976" max="8976" width="15.7109375" bestFit="1" customWidth="1"/>
    <col min="9217" max="9217" width="9.28515625" customWidth="1"/>
    <col min="9218" max="9218" width="8.28515625" customWidth="1"/>
    <col min="9219" max="9219" width="11.85546875" customWidth="1"/>
    <col min="9220" max="9220" width="7.85546875" customWidth="1"/>
    <col min="9221" max="9221" width="13" customWidth="1"/>
    <col min="9222" max="9222" width="7" customWidth="1"/>
    <col min="9223" max="9223" width="9.42578125" customWidth="1"/>
    <col min="9224" max="9224" width="8.7109375" customWidth="1"/>
    <col min="9225" max="9225" width="6.42578125" customWidth="1"/>
    <col min="9226" max="9226" width="7.140625" customWidth="1"/>
    <col min="9227" max="9227" width="9.42578125" customWidth="1"/>
    <col min="9228" max="9229" width="9" customWidth="1"/>
    <col min="9230" max="9230" width="14.7109375" bestFit="1" customWidth="1"/>
    <col min="9232" max="9232" width="15.7109375" bestFit="1" customWidth="1"/>
    <col min="9473" max="9473" width="9.28515625" customWidth="1"/>
    <col min="9474" max="9474" width="8.28515625" customWidth="1"/>
    <col min="9475" max="9475" width="11.85546875" customWidth="1"/>
    <col min="9476" max="9476" width="7.85546875" customWidth="1"/>
    <col min="9477" max="9477" width="13" customWidth="1"/>
    <col min="9478" max="9478" width="7" customWidth="1"/>
    <col min="9479" max="9479" width="9.42578125" customWidth="1"/>
    <col min="9480" max="9480" width="8.7109375" customWidth="1"/>
    <col min="9481" max="9481" width="6.42578125" customWidth="1"/>
    <col min="9482" max="9482" width="7.140625" customWidth="1"/>
    <col min="9483" max="9483" width="9.42578125" customWidth="1"/>
    <col min="9484" max="9485" width="9" customWidth="1"/>
    <col min="9486" max="9486" width="14.7109375" bestFit="1" customWidth="1"/>
    <col min="9488" max="9488" width="15.7109375" bestFit="1" customWidth="1"/>
    <col min="9729" max="9729" width="9.28515625" customWidth="1"/>
    <col min="9730" max="9730" width="8.28515625" customWidth="1"/>
    <col min="9731" max="9731" width="11.85546875" customWidth="1"/>
    <col min="9732" max="9732" width="7.85546875" customWidth="1"/>
    <col min="9733" max="9733" width="13" customWidth="1"/>
    <col min="9734" max="9734" width="7" customWidth="1"/>
    <col min="9735" max="9735" width="9.42578125" customWidth="1"/>
    <col min="9736" max="9736" width="8.7109375" customWidth="1"/>
    <col min="9737" max="9737" width="6.42578125" customWidth="1"/>
    <col min="9738" max="9738" width="7.140625" customWidth="1"/>
    <col min="9739" max="9739" width="9.42578125" customWidth="1"/>
    <col min="9740" max="9741" width="9" customWidth="1"/>
    <col min="9742" max="9742" width="14.7109375" bestFit="1" customWidth="1"/>
    <col min="9744" max="9744" width="15.7109375" bestFit="1" customWidth="1"/>
    <col min="9985" max="9985" width="9.28515625" customWidth="1"/>
    <col min="9986" max="9986" width="8.28515625" customWidth="1"/>
    <col min="9987" max="9987" width="11.85546875" customWidth="1"/>
    <col min="9988" max="9988" width="7.85546875" customWidth="1"/>
    <col min="9989" max="9989" width="13" customWidth="1"/>
    <col min="9990" max="9990" width="7" customWidth="1"/>
    <col min="9991" max="9991" width="9.42578125" customWidth="1"/>
    <col min="9992" max="9992" width="8.7109375" customWidth="1"/>
    <col min="9993" max="9993" width="6.42578125" customWidth="1"/>
    <col min="9994" max="9994" width="7.140625" customWidth="1"/>
    <col min="9995" max="9995" width="9.42578125" customWidth="1"/>
    <col min="9996" max="9997" width="9" customWidth="1"/>
    <col min="9998" max="9998" width="14.7109375" bestFit="1" customWidth="1"/>
    <col min="10000" max="10000" width="15.7109375" bestFit="1" customWidth="1"/>
    <col min="10241" max="10241" width="9.28515625" customWidth="1"/>
    <col min="10242" max="10242" width="8.28515625" customWidth="1"/>
    <col min="10243" max="10243" width="11.85546875" customWidth="1"/>
    <col min="10244" max="10244" width="7.85546875" customWidth="1"/>
    <col min="10245" max="10245" width="13" customWidth="1"/>
    <col min="10246" max="10246" width="7" customWidth="1"/>
    <col min="10247" max="10247" width="9.42578125" customWidth="1"/>
    <col min="10248" max="10248" width="8.7109375" customWidth="1"/>
    <col min="10249" max="10249" width="6.42578125" customWidth="1"/>
    <col min="10250" max="10250" width="7.140625" customWidth="1"/>
    <col min="10251" max="10251" width="9.42578125" customWidth="1"/>
    <col min="10252" max="10253" width="9" customWidth="1"/>
    <col min="10254" max="10254" width="14.7109375" bestFit="1" customWidth="1"/>
    <col min="10256" max="10256" width="15.7109375" bestFit="1" customWidth="1"/>
    <col min="10497" max="10497" width="9.28515625" customWidth="1"/>
    <col min="10498" max="10498" width="8.28515625" customWidth="1"/>
    <col min="10499" max="10499" width="11.85546875" customWidth="1"/>
    <col min="10500" max="10500" width="7.85546875" customWidth="1"/>
    <col min="10501" max="10501" width="13" customWidth="1"/>
    <col min="10502" max="10502" width="7" customWidth="1"/>
    <col min="10503" max="10503" width="9.42578125" customWidth="1"/>
    <col min="10504" max="10504" width="8.7109375" customWidth="1"/>
    <col min="10505" max="10505" width="6.42578125" customWidth="1"/>
    <col min="10506" max="10506" width="7.140625" customWidth="1"/>
    <col min="10507" max="10507" width="9.42578125" customWidth="1"/>
    <col min="10508" max="10509" width="9" customWidth="1"/>
    <col min="10510" max="10510" width="14.7109375" bestFit="1" customWidth="1"/>
    <col min="10512" max="10512" width="15.7109375" bestFit="1" customWidth="1"/>
    <col min="10753" max="10753" width="9.28515625" customWidth="1"/>
    <col min="10754" max="10754" width="8.28515625" customWidth="1"/>
    <col min="10755" max="10755" width="11.85546875" customWidth="1"/>
    <col min="10756" max="10756" width="7.85546875" customWidth="1"/>
    <col min="10757" max="10757" width="13" customWidth="1"/>
    <col min="10758" max="10758" width="7" customWidth="1"/>
    <col min="10759" max="10759" width="9.42578125" customWidth="1"/>
    <col min="10760" max="10760" width="8.7109375" customWidth="1"/>
    <col min="10761" max="10761" width="6.42578125" customWidth="1"/>
    <col min="10762" max="10762" width="7.140625" customWidth="1"/>
    <col min="10763" max="10763" width="9.42578125" customWidth="1"/>
    <col min="10764" max="10765" width="9" customWidth="1"/>
    <col min="10766" max="10766" width="14.7109375" bestFit="1" customWidth="1"/>
    <col min="10768" max="10768" width="15.7109375" bestFit="1" customWidth="1"/>
    <col min="11009" max="11009" width="9.28515625" customWidth="1"/>
    <col min="11010" max="11010" width="8.28515625" customWidth="1"/>
    <col min="11011" max="11011" width="11.85546875" customWidth="1"/>
    <col min="11012" max="11012" width="7.85546875" customWidth="1"/>
    <col min="11013" max="11013" width="13" customWidth="1"/>
    <col min="11014" max="11014" width="7" customWidth="1"/>
    <col min="11015" max="11015" width="9.42578125" customWidth="1"/>
    <col min="11016" max="11016" width="8.7109375" customWidth="1"/>
    <col min="11017" max="11017" width="6.42578125" customWidth="1"/>
    <col min="11018" max="11018" width="7.140625" customWidth="1"/>
    <col min="11019" max="11019" width="9.42578125" customWidth="1"/>
    <col min="11020" max="11021" width="9" customWidth="1"/>
    <col min="11022" max="11022" width="14.7109375" bestFit="1" customWidth="1"/>
    <col min="11024" max="11024" width="15.7109375" bestFit="1" customWidth="1"/>
    <col min="11265" max="11265" width="9.28515625" customWidth="1"/>
    <col min="11266" max="11266" width="8.28515625" customWidth="1"/>
    <col min="11267" max="11267" width="11.85546875" customWidth="1"/>
    <col min="11268" max="11268" width="7.85546875" customWidth="1"/>
    <col min="11269" max="11269" width="13" customWidth="1"/>
    <col min="11270" max="11270" width="7" customWidth="1"/>
    <col min="11271" max="11271" width="9.42578125" customWidth="1"/>
    <col min="11272" max="11272" width="8.7109375" customWidth="1"/>
    <col min="11273" max="11273" width="6.42578125" customWidth="1"/>
    <col min="11274" max="11274" width="7.140625" customWidth="1"/>
    <col min="11275" max="11275" width="9.42578125" customWidth="1"/>
    <col min="11276" max="11277" width="9" customWidth="1"/>
    <col min="11278" max="11278" width="14.7109375" bestFit="1" customWidth="1"/>
    <col min="11280" max="11280" width="15.7109375" bestFit="1" customWidth="1"/>
    <col min="11521" max="11521" width="9.28515625" customWidth="1"/>
    <col min="11522" max="11522" width="8.28515625" customWidth="1"/>
    <col min="11523" max="11523" width="11.85546875" customWidth="1"/>
    <col min="11524" max="11524" width="7.85546875" customWidth="1"/>
    <col min="11525" max="11525" width="13" customWidth="1"/>
    <col min="11526" max="11526" width="7" customWidth="1"/>
    <col min="11527" max="11527" width="9.42578125" customWidth="1"/>
    <col min="11528" max="11528" width="8.7109375" customWidth="1"/>
    <col min="11529" max="11529" width="6.42578125" customWidth="1"/>
    <col min="11530" max="11530" width="7.140625" customWidth="1"/>
    <col min="11531" max="11531" width="9.42578125" customWidth="1"/>
    <col min="11532" max="11533" width="9" customWidth="1"/>
    <col min="11534" max="11534" width="14.7109375" bestFit="1" customWidth="1"/>
    <col min="11536" max="11536" width="15.7109375" bestFit="1" customWidth="1"/>
    <col min="11777" max="11777" width="9.28515625" customWidth="1"/>
    <col min="11778" max="11778" width="8.28515625" customWidth="1"/>
    <col min="11779" max="11779" width="11.85546875" customWidth="1"/>
    <col min="11780" max="11780" width="7.85546875" customWidth="1"/>
    <col min="11781" max="11781" width="13" customWidth="1"/>
    <col min="11782" max="11782" width="7" customWidth="1"/>
    <col min="11783" max="11783" width="9.42578125" customWidth="1"/>
    <col min="11784" max="11784" width="8.7109375" customWidth="1"/>
    <col min="11785" max="11785" width="6.42578125" customWidth="1"/>
    <col min="11786" max="11786" width="7.140625" customWidth="1"/>
    <col min="11787" max="11787" width="9.42578125" customWidth="1"/>
    <col min="11788" max="11789" width="9" customWidth="1"/>
    <col min="11790" max="11790" width="14.7109375" bestFit="1" customWidth="1"/>
    <col min="11792" max="11792" width="15.7109375" bestFit="1" customWidth="1"/>
    <col min="12033" max="12033" width="9.28515625" customWidth="1"/>
    <col min="12034" max="12034" width="8.28515625" customWidth="1"/>
    <col min="12035" max="12035" width="11.85546875" customWidth="1"/>
    <col min="12036" max="12036" width="7.85546875" customWidth="1"/>
    <col min="12037" max="12037" width="13" customWidth="1"/>
    <col min="12038" max="12038" width="7" customWidth="1"/>
    <col min="12039" max="12039" width="9.42578125" customWidth="1"/>
    <col min="12040" max="12040" width="8.7109375" customWidth="1"/>
    <col min="12041" max="12041" width="6.42578125" customWidth="1"/>
    <col min="12042" max="12042" width="7.140625" customWidth="1"/>
    <col min="12043" max="12043" width="9.42578125" customWidth="1"/>
    <col min="12044" max="12045" width="9" customWidth="1"/>
    <col min="12046" max="12046" width="14.7109375" bestFit="1" customWidth="1"/>
    <col min="12048" max="12048" width="15.7109375" bestFit="1" customWidth="1"/>
    <col min="12289" max="12289" width="9.28515625" customWidth="1"/>
    <col min="12290" max="12290" width="8.28515625" customWidth="1"/>
    <col min="12291" max="12291" width="11.85546875" customWidth="1"/>
    <col min="12292" max="12292" width="7.85546875" customWidth="1"/>
    <col min="12293" max="12293" width="13" customWidth="1"/>
    <col min="12294" max="12294" width="7" customWidth="1"/>
    <col min="12295" max="12295" width="9.42578125" customWidth="1"/>
    <col min="12296" max="12296" width="8.7109375" customWidth="1"/>
    <col min="12297" max="12297" width="6.42578125" customWidth="1"/>
    <col min="12298" max="12298" width="7.140625" customWidth="1"/>
    <col min="12299" max="12299" width="9.42578125" customWidth="1"/>
    <col min="12300" max="12301" width="9" customWidth="1"/>
    <col min="12302" max="12302" width="14.7109375" bestFit="1" customWidth="1"/>
    <col min="12304" max="12304" width="15.7109375" bestFit="1" customWidth="1"/>
    <col min="12545" max="12545" width="9.28515625" customWidth="1"/>
    <col min="12546" max="12546" width="8.28515625" customWidth="1"/>
    <col min="12547" max="12547" width="11.85546875" customWidth="1"/>
    <col min="12548" max="12548" width="7.85546875" customWidth="1"/>
    <col min="12549" max="12549" width="13" customWidth="1"/>
    <col min="12550" max="12550" width="7" customWidth="1"/>
    <col min="12551" max="12551" width="9.42578125" customWidth="1"/>
    <col min="12552" max="12552" width="8.7109375" customWidth="1"/>
    <col min="12553" max="12553" width="6.42578125" customWidth="1"/>
    <col min="12554" max="12554" width="7.140625" customWidth="1"/>
    <col min="12555" max="12555" width="9.42578125" customWidth="1"/>
    <col min="12556" max="12557" width="9" customWidth="1"/>
    <col min="12558" max="12558" width="14.7109375" bestFit="1" customWidth="1"/>
    <col min="12560" max="12560" width="15.7109375" bestFit="1" customWidth="1"/>
    <col min="12801" max="12801" width="9.28515625" customWidth="1"/>
    <col min="12802" max="12802" width="8.28515625" customWidth="1"/>
    <col min="12803" max="12803" width="11.85546875" customWidth="1"/>
    <col min="12804" max="12804" width="7.85546875" customWidth="1"/>
    <col min="12805" max="12805" width="13" customWidth="1"/>
    <col min="12806" max="12806" width="7" customWidth="1"/>
    <col min="12807" max="12807" width="9.42578125" customWidth="1"/>
    <col min="12808" max="12808" width="8.7109375" customWidth="1"/>
    <col min="12809" max="12809" width="6.42578125" customWidth="1"/>
    <col min="12810" max="12810" width="7.140625" customWidth="1"/>
    <col min="12811" max="12811" width="9.42578125" customWidth="1"/>
    <col min="12812" max="12813" width="9" customWidth="1"/>
    <col min="12814" max="12814" width="14.7109375" bestFit="1" customWidth="1"/>
    <col min="12816" max="12816" width="15.7109375" bestFit="1" customWidth="1"/>
    <col min="13057" max="13057" width="9.28515625" customWidth="1"/>
    <col min="13058" max="13058" width="8.28515625" customWidth="1"/>
    <col min="13059" max="13059" width="11.85546875" customWidth="1"/>
    <col min="13060" max="13060" width="7.85546875" customWidth="1"/>
    <col min="13061" max="13061" width="13" customWidth="1"/>
    <col min="13062" max="13062" width="7" customWidth="1"/>
    <col min="13063" max="13063" width="9.42578125" customWidth="1"/>
    <col min="13064" max="13064" width="8.7109375" customWidth="1"/>
    <col min="13065" max="13065" width="6.42578125" customWidth="1"/>
    <col min="13066" max="13066" width="7.140625" customWidth="1"/>
    <col min="13067" max="13067" width="9.42578125" customWidth="1"/>
    <col min="13068" max="13069" width="9" customWidth="1"/>
    <col min="13070" max="13070" width="14.7109375" bestFit="1" customWidth="1"/>
    <col min="13072" max="13072" width="15.7109375" bestFit="1" customWidth="1"/>
    <col min="13313" max="13313" width="9.28515625" customWidth="1"/>
    <col min="13314" max="13314" width="8.28515625" customWidth="1"/>
    <col min="13315" max="13315" width="11.85546875" customWidth="1"/>
    <col min="13316" max="13316" width="7.85546875" customWidth="1"/>
    <col min="13317" max="13317" width="13" customWidth="1"/>
    <col min="13318" max="13318" width="7" customWidth="1"/>
    <col min="13319" max="13319" width="9.42578125" customWidth="1"/>
    <col min="13320" max="13320" width="8.7109375" customWidth="1"/>
    <col min="13321" max="13321" width="6.42578125" customWidth="1"/>
    <col min="13322" max="13322" width="7.140625" customWidth="1"/>
    <col min="13323" max="13323" width="9.42578125" customWidth="1"/>
    <col min="13324" max="13325" width="9" customWidth="1"/>
    <col min="13326" max="13326" width="14.7109375" bestFit="1" customWidth="1"/>
    <col min="13328" max="13328" width="15.7109375" bestFit="1" customWidth="1"/>
    <col min="13569" max="13569" width="9.28515625" customWidth="1"/>
    <col min="13570" max="13570" width="8.28515625" customWidth="1"/>
    <col min="13571" max="13571" width="11.85546875" customWidth="1"/>
    <col min="13572" max="13572" width="7.85546875" customWidth="1"/>
    <col min="13573" max="13573" width="13" customWidth="1"/>
    <col min="13574" max="13574" width="7" customWidth="1"/>
    <col min="13575" max="13575" width="9.42578125" customWidth="1"/>
    <col min="13576" max="13576" width="8.7109375" customWidth="1"/>
    <col min="13577" max="13577" width="6.42578125" customWidth="1"/>
    <col min="13578" max="13578" width="7.140625" customWidth="1"/>
    <col min="13579" max="13579" width="9.42578125" customWidth="1"/>
    <col min="13580" max="13581" width="9" customWidth="1"/>
    <col min="13582" max="13582" width="14.7109375" bestFit="1" customWidth="1"/>
    <col min="13584" max="13584" width="15.7109375" bestFit="1" customWidth="1"/>
    <col min="13825" max="13825" width="9.28515625" customWidth="1"/>
    <col min="13826" max="13826" width="8.28515625" customWidth="1"/>
    <col min="13827" max="13827" width="11.85546875" customWidth="1"/>
    <col min="13828" max="13828" width="7.85546875" customWidth="1"/>
    <col min="13829" max="13829" width="13" customWidth="1"/>
    <col min="13830" max="13830" width="7" customWidth="1"/>
    <col min="13831" max="13831" width="9.42578125" customWidth="1"/>
    <col min="13832" max="13832" width="8.7109375" customWidth="1"/>
    <col min="13833" max="13833" width="6.42578125" customWidth="1"/>
    <col min="13834" max="13834" width="7.140625" customWidth="1"/>
    <col min="13835" max="13835" width="9.42578125" customWidth="1"/>
    <col min="13836" max="13837" width="9" customWidth="1"/>
    <col min="13838" max="13838" width="14.7109375" bestFit="1" customWidth="1"/>
    <col min="13840" max="13840" width="15.7109375" bestFit="1" customWidth="1"/>
    <col min="14081" max="14081" width="9.28515625" customWidth="1"/>
    <col min="14082" max="14082" width="8.28515625" customWidth="1"/>
    <col min="14083" max="14083" width="11.85546875" customWidth="1"/>
    <col min="14084" max="14084" width="7.85546875" customWidth="1"/>
    <col min="14085" max="14085" width="13" customWidth="1"/>
    <col min="14086" max="14086" width="7" customWidth="1"/>
    <col min="14087" max="14087" width="9.42578125" customWidth="1"/>
    <col min="14088" max="14088" width="8.7109375" customWidth="1"/>
    <col min="14089" max="14089" width="6.42578125" customWidth="1"/>
    <col min="14090" max="14090" width="7.140625" customWidth="1"/>
    <col min="14091" max="14091" width="9.42578125" customWidth="1"/>
    <col min="14092" max="14093" width="9" customWidth="1"/>
    <col min="14094" max="14094" width="14.7109375" bestFit="1" customWidth="1"/>
    <col min="14096" max="14096" width="15.7109375" bestFit="1" customWidth="1"/>
    <col min="14337" max="14337" width="9.28515625" customWidth="1"/>
    <col min="14338" max="14338" width="8.28515625" customWidth="1"/>
    <col min="14339" max="14339" width="11.85546875" customWidth="1"/>
    <col min="14340" max="14340" width="7.85546875" customWidth="1"/>
    <col min="14341" max="14341" width="13" customWidth="1"/>
    <col min="14342" max="14342" width="7" customWidth="1"/>
    <col min="14343" max="14343" width="9.42578125" customWidth="1"/>
    <col min="14344" max="14344" width="8.7109375" customWidth="1"/>
    <col min="14345" max="14345" width="6.42578125" customWidth="1"/>
    <col min="14346" max="14346" width="7.140625" customWidth="1"/>
    <col min="14347" max="14347" width="9.42578125" customWidth="1"/>
    <col min="14348" max="14349" width="9" customWidth="1"/>
    <col min="14350" max="14350" width="14.7109375" bestFit="1" customWidth="1"/>
    <col min="14352" max="14352" width="15.7109375" bestFit="1" customWidth="1"/>
    <col min="14593" max="14593" width="9.28515625" customWidth="1"/>
    <col min="14594" max="14594" width="8.28515625" customWidth="1"/>
    <col min="14595" max="14595" width="11.85546875" customWidth="1"/>
    <col min="14596" max="14596" width="7.85546875" customWidth="1"/>
    <col min="14597" max="14597" width="13" customWidth="1"/>
    <col min="14598" max="14598" width="7" customWidth="1"/>
    <col min="14599" max="14599" width="9.42578125" customWidth="1"/>
    <col min="14600" max="14600" width="8.7109375" customWidth="1"/>
    <col min="14601" max="14601" width="6.42578125" customWidth="1"/>
    <col min="14602" max="14602" width="7.140625" customWidth="1"/>
    <col min="14603" max="14603" width="9.42578125" customWidth="1"/>
    <col min="14604" max="14605" width="9" customWidth="1"/>
    <col min="14606" max="14606" width="14.7109375" bestFit="1" customWidth="1"/>
    <col min="14608" max="14608" width="15.7109375" bestFit="1" customWidth="1"/>
    <col min="14849" max="14849" width="9.28515625" customWidth="1"/>
    <col min="14850" max="14850" width="8.28515625" customWidth="1"/>
    <col min="14851" max="14851" width="11.85546875" customWidth="1"/>
    <col min="14852" max="14852" width="7.85546875" customWidth="1"/>
    <col min="14853" max="14853" width="13" customWidth="1"/>
    <col min="14854" max="14854" width="7" customWidth="1"/>
    <col min="14855" max="14855" width="9.42578125" customWidth="1"/>
    <col min="14856" max="14856" width="8.7109375" customWidth="1"/>
    <col min="14857" max="14857" width="6.42578125" customWidth="1"/>
    <col min="14858" max="14858" width="7.140625" customWidth="1"/>
    <col min="14859" max="14859" width="9.42578125" customWidth="1"/>
    <col min="14860" max="14861" width="9" customWidth="1"/>
    <col min="14862" max="14862" width="14.7109375" bestFit="1" customWidth="1"/>
    <col min="14864" max="14864" width="15.7109375" bestFit="1" customWidth="1"/>
    <col min="15105" max="15105" width="9.28515625" customWidth="1"/>
    <col min="15106" max="15106" width="8.28515625" customWidth="1"/>
    <col min="15107" max="15107" width="11.85546875" customWidth="1"/>
    <col min="15108" max="15108" width="7.85546875" customWidth="1"/>
    <col min="15109" max="15109" width="13" customWidth="1"/>
    <col min="15110" max="15110" width="7" customWidth="1"/>
    <col min="15111" max="15111" width="9.42578125" customWidth="1"/>
    <col min="15112" max="15112" width="8.7109375" customWidth="1"/>
    <col min="15113" max="15113" width="6.42578125" customWidth="1"/>
    <col min="15114" max="15114" width="7.140625" customWidth="1"/>
    <col min="15115" max="15115" width="9.42578125" customWidth="1"/>
    <col min="15116" max="15117" width="9" customWidth="1"/>
    <col min="15118" max="15118" width="14.7109375" bestFit="1" customWidth="1"/>
    <col min="15120" max="15120" width="15.7109375" bestFit="1" customWidth="1"/>
    <col min="15361" max="15361" width="9.28515625" customWidth="1"/>
    <col min="15362" max="15362" width="8.28515625" customWidth="1"/>
    <col min="15363" max="15363" width="11.85546875" customWidth="1"/>
    <col min="15364" max="15364" width="7.85546875" customWidth="1"/>
    <col min="15365" max="15365" width="13" customWidth="1"/>
    <col min="15366" max="15366" width="7" customWidth="1"/>
    <col min="15367" max="15367" width="9.42578125" customWidth="1"/>
    <col min="15368" max="15368" width="8.7109375" customWidth="1"/>
    <col min="15369" max="15369" width="6.42578125" customWidth="1"/>
    <col min="15370" max="15370" width="7.140625" customWidth="1"/>
    <col min="15371" max="15371" width="9.42578125" customWidth="1"/>
    <col min="15372" max="15373" width="9" customWidth="1"/>
    <col min="15374" max="15374" width="14.7109375" bestFit="1" customWidth="1"/>
    <col min="15376" max="15376" width="15.7109375" bestFit="1" customWidth="1"/>
    <col min="15617" max="15617" width="9.28515625" customWidth="1"/>
    <col min="15618" max="15618" width="8.28515625" customWidth="1"/>
    <col min="15619" max="15619" width="11.85546875" customWidth="1"/>
    <col min="15620" max="15620" width="7.85546875" customWidth="1"/>
    <col min="15621" max="15621" width="13" customWidth="1"/>
    <col min="15622" max="15622" width="7" customWidth="1"/>
    <col min="15623" max="15623" width="9.42578125" customWidth="1"/>
    <col min="15624" max="15624" width="8.7109375" customWidth="1"/>
    <col min="15625" max="15625" width="6.42578125" customWidth="1"/>
    <col min="15626" max="15626" width="7.140625" customWidth="1"/>
    <col min="15627" max="15627" width="9.42578125" customWidth="1"/>
    <col min="15628" max="15629" width="9" customWidth="1"/>
    <col min="15630" max="15630" width="14.7109375" bestFit="1" customWidth="1"/>
    <col min="15632" max="15632" width="15.7109375" bestFit="1" customWidth="1"/>
    <col min="15873" max="15873" width="9.28515625" customWidth="1"/>
    <col min="15874" max="15874" width="8.28515625" customWidth="1"/>
    <col min="15875" max="15875" width="11.85546875" customWidth="1"/>
    <col min="15876" max="15876" width="7.85546875" customWidth="1"/>
    <col min="15877" max="15877" width="13" customWidth="1"/>
    <col min="15878" max="15878" width="7" customWidth="1"/>
    <col min="15879" max="15879" width="9.42578125" customWidth="1"/>
    <col min="15880" max="15880" width="8.7109375" customWidth="1"/>
    <col min="15881" max="15881" width="6.42578125" customWidth="1"/>
    <col min="15882" max="15882" width="7.140625" customWidth="1"/>
    <col min="15883" max="15883" width="9.42578125" customWidth="1"/>
    <col min="15884" max="15885" width="9" customWidth="1"/>
    <col min="15886" max="15886" width="14.7109375" bestFit="1" customWidth="1"/>
    <col min="15888" max="15888" width="15.7109375" bestFit="1" customWidth="1"/>
    <col min="16129" max="16129" width="9.28515625" customWidth="1"/>
    <col min="16130" max="16130" width="8.28515625" customWidth="1"/>
    <col min="16131" max="16131" width="11.85546875" customWidth="1"/>
    <col min="16132" max="16132" width="7.85546875" customWidth="1"/>
    <col min="16133" max="16133" width="13" customWidth="1"/>
    <col min="16134" max="16134" width="7" customWidth="1"/>
    <col min="16135" max="16135" width="9.42578125" customWidth="1"/>
    <col min="16136" max="16136" width="8.7109375" customWidth="1"/>
    <col min="16137" max="16137" width="6.42578125" customWidth="1"/>
    <col min="16138" max="16138" width="7.140625" customWidth="1"/>
    <col min="16139" max="16139" width="9.42578125" customWidth="1"/>
    <col min="16140" max="16141" width="9" customWidth="1"/>
    <col min="16142" max="16142" width="14.7109375" bestFit="1" customWidth="1"/>
    <col min="16144" max="16144" width="15.7109375" bestFit="1" customWidth="1"/>
  </cols>
  <sheetData>
    <row r="1" spans="1:17" ht="16.5" thickBot="1" x14ac:dyDescent="0.3">
      <c r="A1" s="1111" t="s">
        <v>474</v>
      </c>
      <c r="B1" s="1112"/>
      <c r="C1" s="1112"/>
      <c r="D1" s="1112"/>
      <c r="E1" s="1112"/>
      <c r="F1" s="1112"/>
      <c r="G1" s="1112"/>
      <c r="H1" s="1112"/>
      <c r="I1" s="1112"/>
      <c r="J1" s="1112"/>
      <c r="K1" s="549" t="s">
        <v>2109</v>
      </c>
      <c r="L1" s="550">
        <v>1</v>
      </c>
      <c r="M1" s="551" t="s">
        <v>2110</v>
      </c>
      <c r="N1" s="552">
        <v>2</v>
      </c>
    </row>
    <row r="2" spans="1:17" ht="15.75" x14ac:dyDescent="0.25">
      <c r="A2" s="1113" t="s">
        <v>2111</v>
      </c>
      <c r="B2" s="1114"/>
      <c r="C2" s="1114"/>
      <c r="D2" s="1114"/>
      <c r="E2" s="1114"/>
      <c r="F2" s="1114"/>
      <c r="G2" s="1114"/>
      <c r="H2" s="1114"/>
      <c r="I2" s="1114"/>
      <c r="J2" s="1114"/>
      <c r="K2" s="1115" t="s">
        <v>88</v>
      </c>
      <c r="L2" s="1116"/>
      <c r="M2" s="1116"/>
      <c r="N2" s="1117"/>
      <c r="P2" s="553">
        <v>0.375</v>
      </c>
      <c r="Q2" s="554">
        <v>0.56000000000000005</v>
      </c>
    </row>
    <row r="3" spans="1:17" ht="16.5" thickBot="1" x14ac:dyDescent="0.3">
      <c r="A3" s="1121" t="s">
        <v>472</v>
      </c>
      <c r="B3" s="1122"/>
      <c r="C3" s="1122"/>
      <c r="D3" s="1122"/>
      <c r="E3" s="1122"/>
      <c r="F3" s="1122"/>
      <c r="G3" s="1122"/>
      <c r="H3" s="1122"/>
      <c r="I3" s="1122"/>
      <c r="J3" s="1123"/>
      <c r="K3" s="1118"/>
      <c r="L3" s="1119"/>
      <c r="M3" s="1119"/>
      <c r="N3" s="1120"/>
      <c r="P3" s="553">
        <v>0.5</v>
      </c>
      <c r="Q3" s="554">
        <v>0.99399999999999999</v>
      </c>
    </row>
    <row r="4" spans="1:17" x14ac:dyDescent="0.25">
      <c r="A4" s="1124" t="s">
        <v>2112</v>
      </c>
      <c r="B4" s="1125"/>
      <c r="C4" s="1128" t="s">
        <v>2113</v>
      </c>
      <c r="D4" s="1129"/>
      <c r="E4" s="1129"/>
      <c r="F4" s="1129"/>
      <c r="G4" s="1129"/>
      <c r="H4" s="1129"/>
      <c r="I4" s="1129"/>
      <c r="J4" s="1132" t="s">
        <v>2114</v>
      </c>
      <c r="K4" s="1125"/>
      <c r="L4" s="1129" t="str">
        <f>A3</f>
        <v>MUNICIPIO DE QUIBDÓ</v>
      </c>
      <c r="M4" s="1129"/>
      <c r="N4" s="1134"/>
      <c r="P4" s="553">
        <v>0.625</v>
      </c>
      <c r="Q4" s="554">
        <v>1.552</v>
      </c>
    </row>
    <row r="5" spans="1:17" x14ac:dyDescent="0.25">
      <c r="A5" s="1126"/>
      <c r="B5" s="1127"/>
      <c r="C5" s="1130"/>
      <c r="D5" s="1131"/>
      <c r="E5" s="1131"/>
      <c r="F5" s="1131"/>
      <c r="G5" s="1131"/>
      <c r="H5" s="1131"/>
      <c r="I5" s="1131"/>
      <c r="J5" s="1133"/>
      <c r="K5" s="1127"/>
      <c r="L5" s="1131"/>
      <c r="M5" s="1131"/>
      <c r="N5" s="1135"/>
      <c r="P5" s="553">
        <v>0.75</v>
      </c>
      <c r="Q5" s="554">
        <v>2.2349999999999999</v>
      </c>
    </row>
    <row r="6" spans="1:17" ht="16.5" thickBot="1" x14ac:dyDescent="0.3">
      <c r="A6" s="1089" t="s">
        <v>2115</v>
      </c>
      <c r="B6" s="1090"/>
      <c r="C6" s="1091"/>
      <c r="D6" s="1092"/>
      <c r="E6" s="1092"/>
      <c r="F6" s="1092"/>
      <c r="G6" s="1093"/>
      <c r="H6" s="1090" t="s">
        <v>2116</v>
      </c>
      <c r="I6" s="1090"/>
      <c r="J6" s="1091"/>
      <c r="K6" s="1092"/>
      <c r="L6" s="1092"/>
      <c r="M6" s="1092"/>
      <c r="N6" s="1094"/>
      <c r="P6" s="555"/>
    </row>
    <row r="7" spans="1:17" ht="24.75" customHeight="1" thickBot="1" x14ac:dyDescent="0.3">
      <c r="A7" s="556" t="s">
        <v>2117</v>
      </c>
      <c r="B7" s="1095" t="str">
        <f>'[15]MURO CONCRETO'!$B$15</f>
        <v>ESTRUCTURAS EN CONCRETO</v>
      </c>
      <c r="C7" s="1096"/>
      <c r="D7" s="1096"/>
      <c r="E7" s="557" t="s">
        <v>2118</v>
      </c>
      <c r="F7" s="1097" t="s">
        <v>2119</v>
      </c>
      <c r="G7" s="1098"/>
      <c r="H7" s="1098"/>
      <c r="I7" s="1098"/>
      <c r="J7" s="1099"/>
      <c r="K7" s="556" t="s">
        <v>3</v>
      </c>
      <c r="L7" s="558" t="s">
        <v>374</v>
      </c>
      <c r="M7" s="556" t="s">
        <v>6</v>
      </c>
      <c r="N7" s="559">
        <f>N174</f>
        <v>42349.71516</v>
      </c>
    </row>
    <row r="8" spans="1:17" ht="16.5" thickBot="1" x14ac:dyDescent="0.3">
      <c r="A8" s="1100" t="s">
        <v>2120</v>
      </c>
      <c r="B8" s="1101"/>
      <c r="C8" s="1101"/>
      <c r="D8" s="1102"/>
      <c r="E8" s="1103" t="s">
        <v>2121</v>
      </c>
      <c r="F8" s="1104"/>
      <c r="G8" s="1107" t="s">
        <v>2122</v>
      </c>
      <c r="H8" s="1107"/>
      <c r="I8" s="1109" t="s">
        <v>2123</v>
      </c>
      <c r="J8" s="1107" t="s">
        <v>2124</v>
      </c>
      <c r="K8" s="1107"/>
      <c r="L8" s="1107"/>
      <c r="M8" s="1107"/>
      <c r="N8" s="1087" t="s">
        <v>2125</v>
      </c>
    </row>
    <row r="9" spans="1:17" ht="23.25" thickBot="1" x14ac:dyDescent="0.3">
      <c r="A9" s="560"/>
      <c r="B9" s="561"/>
      <c r="C9" s="561"/>
      <c r="D9" s="562"/>
      <c r="E9" s="1105"/>
      <c r="F9" s="1106"/>
      <c r="G9" s="1108"/>
      <c r="H9" s="1108"/>
      <c r="I9" s="1110"/>
      <c r="J9" s="563" t="s">
        <v>2126</v>
      </c>
      <c r="K9" s="563" t="s">
        <v>2127</v>
      </c>
      <c r="L9" s="564" t="s">
        <v>2128</v>
      </c>
      <c r="M9" s="565" t="s">
        <v>2129</v>
      </c>
      <c r="N9" s="1088"/>
    </row>
    <row r="10" spans="1:17" ht="15" customHeight="1" x14ac:dyDescent="0.25">
      <c r="A10" s="566"/>
      <c r="B10" s="567"/>
      <c r="C10" s="567"/>
      <c r="D10" s="568"/>
      <c r="E10" s="1083" t="s">
        <v>2130</v>
      </c>
      <c r="F10" s="1083"/>
      <c r="G10" s="1085" t="s">
        <v>2131</v>
      </c>
      <c r="H10" s="1085"/>
      <c r="I10" s="569" t="s">
        <v>374</v>
      </c>
      <c r="J10" s="570">
        <v>0.5</v>
      </c>
      <c r="K10" s="571">
        <v>0.99399999999999999</v>
      </c>
      <c r="L10" s="571">
        <f>5*8.16</f>
        <v>40.799999999999997</v>
      </c>
      <c r="M10" s="572">
        <v>10</v>
      </c>
      <c r="N10" s="573">
        <f>K10*L10*M10</f>
        <v>405.55200000000002</v>
      </c>
    </row>
    <row r="11" spans="1:17" ht="15" customHeight="1" x14ac:dyDescent="0.25">
      <c r="A11" s="566"/>
      <c r="B11" s="567"/>
      <c r="C11" s="567"/>
      <c r="D11" s="568"/>
      <c r="E11" s="1083"/>
      <c r="F11" s="1083"/>
      <c r="G11" s="1086" t="s">
        <v>2132</v>
      </c>
      <c r="H11" s="1086"/>
      <c r="I11" s="574" t="s">
        <v>374</v>
      </c>
      <c r="J11" s="575">
        <v>0.625</v>
      </c>
      <c r="K11" s="576">
        <v>1.552</v>
      </c>
      <c r="L11" s="576">
        <v>2.9</v>
      </c>
      <c r="M11" s="577">
        <f>2*3</f>
        <v>6</v>
      </c>
      <c r="N11" s="578">
        <f t="shared" ref="N11:N74" si="0">K11*L11*M11</f>
        <v>27.004799999999999</v>
      </c>
    </row>
    <row r="12" spans="1:17" ht="15" customHeight="1" x14ac:dyDescent="0.25">
      <c r="A12" s="566"/>
      <c r="B12" s="567"/>
      <c r="C12" s="567"/>
      <c r="D12" s="568"/>
      <c r="E12" s="1083"/>
      <c r="F12" s="1083"/>
      <c r="G12" s="1086"/>
      <c r="H12" s="1086"/>
      <c r="I12" s="574" t="s">
        <v>374</v>
      </c>
      <c r="J12" s="575">
        <v>0.75</v>
      </c>
      <c r="K12" s="576">
        <v>2.2349999999999999</v>
      </c>
      <c r="L12" s="576">
        <v>2.9</v>
      </c>
      <c r="M12" s="577">
        <f>3*3</f>
        <v>9</v>
      </c>
      <c r="N12" s="578">
        <f t="shared" si="0"/>
        <v>58.333499999999994</v>
      </c>
      <c r="Q12" s="555">
        <v>0.75</v>
      </c>
    </row>
    <row r="13" spans="1:17" ht="15" customHeight="1" x14ac:dyDescent="0.25">
      <c r="A13" s="566"/>
      <c r="B13" s="567"/>
      <c r="C13" s="567"/>
      <c r="D13" s="568"/>
      <c r="E13" s="1083"/>
      <c r="F13" s="1083"/>
      <c r="G13" s="1086"/>
      <c r="H13" s="1086"/>
      <c r="I13" s="574" t="s">
        <v>374</v>
      </c>
      <c r="J13" s="575">
        <v>0.375</v>
      </c>
      <c r="K13" s="576">
        <v>0.56000000000000005</v>
      </c>
      <c r="L13" s="576">
        <v>1.48</v>
      </c>
      <c r="M13" s="577">
        <f>22*2</f>
        <v>44</v>
      </c>
      <c r="N13" s="578">
        <f t="shared" si="0"/>
        <v>36.467200000000005</v>
      </c>
    </row>
    <row r="14" spans="1:17" ht="15" customHeight="1" x14ac:dyDescent="0.25">
      <c r="A14" s="566"/>
      <c r="B14" s="567"/>
      <c r="C14" s="567"/>
      <c r="D14" s="568"/>
      <c r="E14" s="1083"/>
      <c r="F14" s="1083"/>
      <c r="G14" s="1086"/>
      <c r="H14" s="1086"/>
      <c r="I14" s="574" t="s">
        <v>374</v>
      </c>
      <c r="J14" s="575">
        <v>0.625</v>
      </c>
      <c r="K14" s="576">
        <v>1.552</v>
      </c>
      <c r="L14" s="576">
        <v>2.1</v>
      </c>
      <c r="M14" s="577">
        <v>3</v>
      </c>
      <c r="N14" s="578">
        <f t="shared" si="0"/>
        <v>9.7776000000000014</v>
      </c>
    </row>
    <row r="15" spans="1:17" ht="15" customHeight="1" x14ac:dyDescent="0.25">
      <c r="A15" s="566"/>
      <c r="B15" s="567"/>
      <c r="C15" s="567"/>
      <c r="D15" s="568"/>
      <c r="E15" s="1083"/>
      <c r="F15" s="1083"/>
      <c r="G15" s="1086"/>
      <c r="H15" s="1086"/>
      <c r="I15" s="574" t="s">
        <v>374</v>
      </c>
      <c r="J15" s="575">
        <v>0.625</v>
      </c>
      <c r="K15" s="576">
        <v>1.552</v>
      </c>
      <c r="L15" s="576">
        <v>4.5</v>
      </c>
      <c r="M15" s="577">
        <v>3</v>
      </c>
      <c r="N15" s="578">
        <f t="shared" si="0"/>
        <v>20.951999999999998</v>
      </c>
    </row>
    <row r="16" spans="1:17" ht="15" customHeight="1" x14ac:dyDescent="0.25">
      <c r="A16" s="566"/>
      <c r="B16" s="567"/>
      <c r="C16" s="567"/>
      <c r="D16" s="568"/>
      <c r="E16" s="1083"/>
      <c r="F16" s="1083"/>
      <c r="G16" s="1086"/>
      <c r="H16" s="1086"/>
      <c r="I16" s="574" t="s">
        <v>374</v>
      </c>
      <c r="J16" s="575">
        <v>0.75</v>
      </c>
      <c r="K16" s="576">
        <v>2.2349999999999999</v>
      </c>
      <c r="L16" s="576">
        <v>4</v>
      </c>
      <c r="M16" s="577">
        <v>3</v>
      </c>
      <c r="N16" s="578">
        <f t="shared" si="0"/>
        <v>26.82</v>
      </c>
    </row>
    <row r="17" spans="1:14" ht="15" customHeight="1" x14ac:dyDescent="0.25">
      <c r="A17" s="566"/>
      <c r="B17" s="567"/>
      <c r="C17" s="567"/>
      <c r="D17" s="568"/>
      <c r="E17" s="1083"/>
      <c r="F17" s="1083"/>
      <c r="G17" s="1086"/>
      <c r="H17" s="1086"/>
      <c r="I17" s="574" t="s">
        <v>374</v>
      </c>
      <c r="J17" s="575">
        <v>0.75</v>
      </c>
      <c r="K17" s="576">
        <v>2.2349999999999999</v>
      </c>
      <c r="L17" s="576">
        <v>3.8</v>
      </c>
      <c r="M17" s="577">
        <v>3</v>
      </c>
      <c r="N17" s="578">
        <f t="shared" si="0"/>
        <v>25.478999999999996</v>
      </c>
    </row>
    <row r="18" spans="1:14" ht="15" customHeight="1" x14ac:dyDescent="0.25">
      <c r="A18" s="566"/>
      <c r="B18" s="567"/>
      <c r="C18" s="567"/>
      <c r="D18" s="568"/>
      <c r="E18" s="1083"/>
      <c r="F18" s="1083"/>
      <c r="G18" s="1086"/>
      <c r="H18" s="1086"/>
      <c r="I18" s="574" t="s">
        <v>374</v>
      </c>
      <c r="J18" s="575">
        <v>0.75</v>
      </c>
      <c r="K18" s="576">
        <v>2.2349999999999999</v>
      </c>
      <c r="L18" s="576">
        <v>4.9000000000000004</v>
      </c>
      <c r="M18" s="577">
        <v>3</v>
      </c>
      <c r="N18" s="578">
        <f t="shared" si="0"/>
        <v>32.854500000000002</v>
      </c>
    </row>
    <row r="19" spans="1:14" ht="15" customHeight="1" x14ac:dyDescent="0.25">
      <c r="A19" s="566"/>
      <c r="B19" s="567"/>
      <c r="C19" s="567"/>
      <c r="D19" s="568"/>
      <c r="E19" s="1083"/>
      <c r="F19" s="1083"/>
      <c r="G19" s="1086"/>
      <c r="H19" s="1086"/>
      <c r="I19" s="574" t="s">
        <v>374</v>
      </c>
      <c r="J19" s="575">
        <v>0.375</v>
      </c>
      <c r="K19" s="576">
        <v>0.56000000000000005</v>
      </c>
      <c r="L19" s="576">
        <v>1.48</v>
      </c>
      <c r="M19" s="577">
        <v>50</v>
      </c>
      <c r="N19" s="578">
        <f t="shared" si="0"/>
        <v>41.440000000000005</v>
      </c>
    </row>
    <row r="20" spans="1:14" ht="15" customHeight="1" x14ac:dyDescent="0.25">
      <c r="A20" s="566"/>
      <c r="B20" s="567"/>
      <c r="C20" s="567"/>
      <c r="D20" s="568"/>
      <c r="E20" s="1083"/>
      <c r="F20" s="1083"/>
      <c r="G20" s="1085" t="s">
        <v>2133</v>
      </c>
      <c r="H20" s="1085"/>
      <c r="I20" s="569" t="s">
        <v>374</v>
      </c>
      <c r="J20" s="570">
        <v>0.75</v>
      </c>
      <c r="K20" s="571">
        <v>2.2349999999999999</v>
      </c>
      <c r="L20" s="571">
        <v>5.6</v>
      </c>
      <c r="M20" s="572">
        <f>18*8</f>
        <v>144</v>
      </c>
      <c r="N20" s="573">
        <f t="shared" si="0"/>
        <v>1802.3039999999996</v>
      </c>
    </row>
    <row r="21" spans="1:14" ht="15" customHeight="1" x14ac:dyDescent="0.25">
      <c r="A21" s="566"/>
      <c r="B21" s="567"/>
      <c r="C21" s="567"/>
      <c r="D21" s="568"/>
      <c r="E21" s="1083"/>
      <c r="F21" s="1083"/>
      <c r="G21" s="1085"/>
      <c r="H21" s="1085"/>
      <c r="I21" s="569" t="s">
        <v>374</v>
      </c>
      <c r="J21" s="570">
        <v>0.375</v>
      </c>
      <c r="K21" s="571">
        <v>0.56000000000000005</v>
      </c>
      <c r="L21" s="571">
        <v>1.44</v>
      </c>
      <c r="M21" s="571">
        <f>61*18</f>
        <v>1098</v>
      </c>
      <c r="N21" s="573">
        <f t="shared" si="0"/>
        <v>885.42719999999997</v>
      </c>
    </row>
    <row r="22" spans="1:14" ht="13.5" customHeight="1" x14ac:dyDescent="0.25">
      <c r="A22" s="566"/>
      <c r="B22" s="567"/>
      <c r="C22" s="567"/>
      <c r="D22" s="568"/>
      <c r="E22" s="1083"/>
      <c r="F22" s="1083"/>
      <c r="G22" s="1085"/>
      <c r="H22" s="1085"/>
      <c r="I22" s="569" t="s">
        <v>374</v>
      </c>
      <c r="J22" s="570">
        <v>0.375</v>
      </c>
      <c r="K22" s="571">
        <v>0.56000000000000005</v>
      </c>
      <c r="L22" s="571">
        <v>0.48</v>
      </c>
      <c r="M22" s="571">
        <f>122*18</f>
        <v>2196</v>
      </c>
      <c r="N22" s="573">
        <f t="shared" si="0"/>
        <v>590.28480000000013</v>
      </c>
    </row>
    <row r="23" spans="1:14" ht="13.5" customHeight="1" x14ac:dyDescent="0.25">
      <c r="A23" s="566"/>
      <c r="B23" s="567"/>
      <c r="C23" s="567"/>
      <c r="D23" s="568"/>
      <c r="E23" s="1083"/>
      <c r="F23" s="1083"/>
      <c r="G23" s="1086" t="s">
        <v>2134</v>
      </c>
      <c r="H23" s="1086"/>
      <c r="I23" s="574" t="s">
        <v>374</v>
      </c>
      <c r="J23" s="575" t="s">
        <v>2135</v>
      </c>
      <c r="K23" s="576">
        <v>29.6</v>
      </c>
      <c r="L23" s="576">
        <v>1</v>
      </c>
      <c r="M23" s="576">
        <v>19.78</v>
      </c>
      <c r="N23" s="578">
        <f t="shared" si="0"/>
        <v>585.48800000000006</v>
      </c>
    </row>
    <row r="24" spans="1:14" ht="13.5" customHeight="1" x14ac:dyDescent="0.25">
      <c r="A24" s="566"/>
      <c r="B24" s="567"/>
      <c r="C24" s="567"/>
      <c r="D24" s="568"/>
      <c r="E24" s="1083"/>
      <c r="F24" s="1083"/>
      <c r="G24" s="1085" t="s">
        <v>2136</v>
      </c>
      <c r="H24" s="1085"/>
      <c r="I24" s="569" t="s">
        <v>374</v>
      </c>
      <c r="J24" s="570">
        <v>0.625</v>
      </c>
      <c r="K24" s="579">
        <v>1.552</v>
      </c>
      <c r="L24" s="571">
        <v>5.0999999999999996</v>
      </c>
      <c r="M24" s="571">
        <v>3</v>
      </c>
      <c r="N24" s="573">
        <f t="shared" si="0"/>
        <v>23.7456</v>
      </c>
    </row>
    <row r="25" spans="1:14" ht="13.5" customHeight="1" x14ac:dyDescent="0.25">
      <c r="A25" s="566"/>
      <c r="B25" s="567"/>
      <c r="C25" s="567"/>
      <c r="D25" s="568"/>
      <c r="E25" s="1083"/>
      <c r="F25" s="1083"/>
      <c r="G25" s="1085"/>
      <c r="H25" s="1085"/>
      <c r="I25" s="569" t="s">
        <v>374</v>
      </c>
      <c r="J25" s="570">
        <v>0.625</v>
      </c>
      <c r="K25" s="580">
        <v>1.552</v>
      </c>
      <c r="L25" s="571">
        <v>5.0999999999999996</v>
      </c>
      <c r="M25" s="571">
        <v>3</v>
      </c>
      <c r="N25" s="573">
        <f t="shared" si="0"/>
        <v>23.7456</v>
      </c>
    </row>
    <row r="26" spans="1:14" ht="13.5" customHeight="1" x14ac:dyDescent="0.25">
      <c r="A26" s="566"/>
      <c r="B26" s="567"/>
      <c r="C26" s="567"/>
      <c r="D26" s="568"/>
      <c r="E26" s="1083"/>
      <c r="F26" s="1083"/>
      <c r="G26" s="1085"/>
      <c r="H26" s="1085"/>
      <c r="I26" s="569" t="s">
        <v>374</v>
      </c>
      <c r="J26" s="570">
        <v>0.375</v>
      </c>
      <c r="K26" s="571">
        <v>0.56000000000000005</v>
      </c>
      <c r="L26" s="571">
        <v>1.28</v>
      </c>
      <c r="M26" s="571">
        <v>42</v>
      </c>
      <c r="N26" s="573">
        <f t="shared" si="0"/>
        <v>30.105600000000003</v>
      </c>
    </row>
    <row r="27" spans="1:14" ht="13.5" customHeight="1" x14ac:dyDescent="0.25">
      <c r="A27" s="566"/>
      <c r="B27" s="567"/>
      <c r="C27" s="567"/>
      <c r="D27" s="568"/>
      <c r="E27" s="1083"/>
      <c r="F27" s="1083"/>
      <c r="G27" s="1085"/>
      <c r="H27" s="1085"/>
      <c r="I27" s="569" t="s">
        <v>374</v>
      </c>
      <c r="J27" s="570">
        <v>0.75</v>
      </c>
      <c r="K27" s="571">
        <v>2.2349999999999999</v>
      </c>
      <c r="L27" s="571">
        <v>6</v>
      </c>
      <c r="M27" s="571">
        <v>2</v>
      </c>
      <c r="N27" s="573">
        <f t="shared" si="0"/>
        <v>26.82</v>
      </c>
    </row>
    <row r="28" spans="1:14" ht="13.5" customHeight="1" x14ac:dyDescent="0.25">
      <c r="A28" s="566"/>
      <c r="B28" s="567"/>
      <c r="C28" s="567"/>
      <c r="D28" s="568"/>
      <c r="E28" s="1083"/>
      <c r="F28" s="1083"/>
      <c r="G28" s="1085"/>
      <c r="H28" s="1085"/>
      <c r="I28" s="569" t="s">
        <v>374</v>
      </c>
      <c r="J28" s="570">
        <v>0.375</v>
      </c>
      <c r="K28" s="571">
        <v>0.56000000000000005</v>
      </c>
      <c r="L28" s="571">
        <v>1.08</v>
      </c>
      <c r="M28" s="571">
        <v>40</v>
      </c>
      <c r="N28" s="573">
        <f t="shared" si="0"/>
        <v>24.192000000000004</v>
      </c>
    </row>
    <row r="29" spans="1:14" ht="13.5" customHeight="1" x14ac:dyDescent="0.25">
      <c r="A29" s="566"/>
      <c r="B29" s="567"/>
      <c r="C29" s="567"/>
      <c r="D29" s="568"/>
      <c r="E29" s="1083"/>
      <c r="F29" s="1083"/>
      <c r="G29" s="1085"/>
      <c r="H29" s="1085"/>
      <c r="I29" s="569" t="s">
        <v>374</v>
      </c>
      <c r="J29" s="570">
        <v>0.75</v>
      </c>
      <c r="K29" s="571">
        <v>2.2349999999999999</v>
      </c>
      <c r="L29" s="571">
        <v>6</v>
      </c>
      <c r="M29" s="571">
        <v>2</v>
      </c>
      <c r="N29" s="573">
        <f t="shared" si="0"/>
        <v>26.82</v>
      </c>
    </row>
    <row r="30" spans="1:14" ht="13.5" customHeight="1" x14ac:dyDescent="0.25">
      <c r="A30" s="566"/>
      <c r="B30" s="567"/>
      <c r="C30" s="567"/>
      <c r="D30" s="568"/>
      <c r="E30" s="1083"/>
      <c r="F30" s="1083"/>
      <c r="G30" s="1085"/>
      <c r="H30" s="1085"/>
      <c r="I30" s="569" t="s">
        <v>374</v>
      </c>
      <c r="J30" s="570">
        <v>0.625</v>
      </c>
      <c r="K30" s="579">
        <v>1.552</v>
      </c>
      <c r="L30" s="571">
        <v>6</v>
      </c>
      <c r="M30" s="571">
        <v>2</v>
      </c>
      <c r="N30" s="573">
        <f t="shared" si="0"/>
        <v>18.624000000000002</v>
      </c>
    </row>
    <row r="31" spans="1:14" ht="13.5" customHeight="1" x14ac:dyDescent="0.25">
      <c r="A31" s="566"/>
      <c r="B31" s="567"/>
      <c r="C31" s="567"/>
      <c r="D31" s="568"/>
      <c r="E31" s="1083"/>
      <c r="F31" s="1083"/>
      <c r="G31" s="1085"/>
      <c r="H31" s="1085"/>
      <c r="I31" s="569" t="s">
        <v>374</v>
      </c>
      <c r="J31" s="570">
        <v>0.625</v>
      </c>
      <c r="K31" s="580">
        <v>1.552</v>
      </c>
      <c r="L31" s="571">
        <v>6</v>
      </c>
      <c r="M31" s="571">
        <v>2</v>
      </c>
      <c r="N31" s="573">
        <f t="shared" si="0"/>
        <v>18.624000000000002</v>
      </c>
    </row>
    <row r="32" spans="1:14" ht="13.5" customHeight="1" x14ac:dyDescent="0.25">
      <c r="A32" s="566"/>
      <c r="B32" s="567"/>
      <c r="C32" s="567"/>
      <c r="D32" s="568"/>
      <c r="E32" s="1083"/>
      <c r="F32" s="1083"/>
      <c r="G32" s="1085"/>
      <c r="H32" s="1085"/>
      <c r="I32" s="569" t="s">
        <v>374</v>
      </c>
      <c r="J32" s="570">
        <v>0.375</v>
      </c>
      <c r="K32" s="571">
        <v>0.56000000000000005</v>
      </c>
      <c r="L32" s="571">
        <v>0.68</v>
      </c>
      <c r="M32" s="571">
        <v>40</v>
      </c>
      <c r="N32" s="573">
        <f t="shared" si="0"/>
        <v>15.232000000000003</v>
      </c>
    </row>
    <row r="33" spans="1:14" ht="13.5" customHeight="1" x14ac:dyDescent="0.25">
      <c r="A33" s="566"/>
      <c r="B33" s="567"/>
      <c r="C33" s="567"/>
      <c r="D33" s="568"/>
      <c r="E33" s="1083"/>
      <c r="F33" s="1083"/>
      <c r="G33" s="1085"/>
      <c r="H33" s="1085"/>
      <c r="I33" s="569" t="s">
        <v>374</v>
      </c>
      <c r="J33" s="570">
        <v>0.625</v>
      </c>
      <c r="K33" s="580">
        <v>1.552</v>
      </c>
      <c r="L33" s="571">
        <v>3.7</v>
      </c>
      <c r="M33" s="571">
        <f>2*3</f>
        <v>6</v>
      </c>
      <c r="N33" s="573">
        <f t="shared" si="0"/>
        <v>34.454400000000007</v>
      </c>
    </row>
    <row r="34" spans="1:14" ht="13.5" customHeight="1" x14ac:dyDescent="0.25">
      <c r="A34" s="566"/>
      <c r="B34" s="567"/>
      <c r="C34" s="567"/>
      <c r="D34" s="568"/>
      <c r="E34" s="1083"/>
      <c r="F34" s="1083"/>
      <c r="G34" s="1085"/>
      <c r="H34" s="1085"/>
      <c r="I34" s="569" t="s">
        <v>374</v>
      </c>
      <c r="J34" s="570">
        <v>0.75</v>
      </c>
      <c r="K34" s="571">
        <v>2.2349999999999999</v>
      </c>
      <c r="L34" s="571">
        <v>3.7</v>
      </c>
      <c r="M34" s="571">
        <f>2*3</f>
        <v>6</v>
      </c>
      <c r="N34" s="573">
        <f t="shared" si="0"/>
        <v>49.617000000000004</v>
      </c>
    </row>
    <row r="35" spans="1:14" ht="13.5" customHeight="1" x14ac:dyDescent="0.25">
      <c r="A35" s="566"/>
      <c r="B35" s="567"/>
      <c r="C35" s="567"/>
      <c r="D35" s="568"/>
      <c r="E35" s="1083"/>
      <c r="F35" s="1083"/>
      <c r="G35" s="1085"/>
      <c r="H35" s="1085"/>
      <c r="I35" s="569" t="s">
        <v>374</v>
      </c>
      <c r="J35" s="570">
        <v>0.375</v>
      </c>
      <c r="K35" s="571">
        <v>0.56000000000000005</v>
      </c>
      <c r="L35" s="571">
        <v>1.28</v>
      </c>
      <c r="M35" s="571">
        <f>2*29</f>
        <v>58</v>
      </c>
      <c r="N35" s="573">
        <f t="shared" si="0"/>
        <v>41.574400000000004</v>
      </c>
    </row>
    <row r="36" spans="1:14" ht="13.5" customHeight="1" x14ac:dyDescent="0.25">
      <c r="A36" s="566"/>
      <c r="B36" s="567"/>
      <c r="C36" s="567"/>
      <c r="D36" s="568"/>
      <c r="E36" s="1083"/>
      <c r="F36" s="1083"/>
      <c r="G36" s="1085"/>
      <c r="H36" s="1085"/>
      <c r="I36" s="569" t="s">
        <v>374</v>
      </c>
      <c r="J36" s="570">
        <v>0.625</v>
      </c>
      <c r="K36" s="580">
        <v>1.552</v>
      </c>
      <c r="L36" s="571">
        <v>3.7</v>
      </c>
      <c r="M36" s="571">
        <f t="shared" ref="M36:M41" si="1">2*3</f>
        <v>6</v>
      </c>
      <c r="N36" s="573">
        <f t="shared" si="0"/>
        <v>34.454400000000007</v>
      </c>
    </row>
    <row r="37" spans="1:14" ht="13.5" customHeight="1" x14ac:dyDescent="0.25">
      <c r="A37" s="566"/>
      <c r="B37" s="567"/>
      <c r="C37" s="567"/>
      <c r="D37" s="568"/>
      <c r="E37" s="1083"/>
      <c r="F37" s="1083"/>
      <c r="G37" s="1085"/>
      <c r="H37" s="1085"/>
      <c r="I37" s="569" t="s">
        <v>374</v>
      </c>
      <c r="J37" s="570">
        <v>0.75</v>
      </c>
      <c r="K37" s="571">
        <v>2.2349999999999999</v>
      </c>
      <c r="L37" s="571">
        <v>6</v>
      </c>
      <c r="M37" s="571">
        <f t="shared" si="1"/>
        <v>6</v>
      </c>
      <c r="N37" s="573">
        <f t="shared" si="0"/>
        <v>80.460000000000008</v>
      </c>
    </row>
    <row r="38" spans="1:14" ht="13.5" customHeight="1" x14ac:dyDescent="0.25">
      <c r="A38" s="566"/>
      <c r="B38" s="567"/>
      <c r="C38" s="567"/>
      <c r="D38" s="568"/>
      <c r="E38" s="1083"/>
      <c r="F38" s="1083"/>
      <c r="G38" s="1085"/>
      <c r="H38" s="1085"/>
      <c r="I38" s="569" t="s">
        <v>374</v>
      </c>
      <c r="J38" s="570">
        <v>0.625</v>
      </c>
      <c r="K38" s="580">
        <v>1.552</v>
      </c>
      <c r="L38" s="571">
        <v>5.2</v>
      </c>
      <c r="M38" s="571">
        <f t="shared" si="1"/>
        <v>6</v>
      </c>
      <c r="N38" s="573">
        <f t="shared" si="0"/>
        <v>48.42240000000001</v>
      </c>
    </row>
    <row r="39" spans="1:14" ht="13.5" customHeight="1" x14ac:dyDescent="0.25">
      <c r="A39" s="566"/>
      <c r="B39" s="567"/>
      <c r="C39" s="567"/>
      <c r="D39" s="568"/>
      <c r="E39" s="1083"/>
      <c r="F39" s="1083"/>
      <c r="G39" s="1085"/>
      <c r="H39" s="1085"/>
      <c r="I39" s="569" t="s">
        <v>374</v>
      </c>
      <c r="J39" s="570">
        <v>0.75</v>
      </c>
      <c r="K39" s="571">
        <v>2.2349999999999999</v>
      </c>
      <c r="L39" s="571">
        <v>6</v>
      </c>
      <c r="M39" s="571">
        <f t="shared" si="1"/>
        <v>6</v>
      </c>
      <c r="N39" s="573">
        <f t="shared" si="0"/>
        <v>80.460000000000008</v>
      </c>
    </row>
    <row r="40" spans="1:14" ht="13.5" customHeight="1" x14ac:dyDescent="0.25">
      <c r="A40" s="566"/>
      <c r="B40" s="567"/>
      <c r="C40" s="567"/>
      <c r="D40" s="568"/>
      <c r="E40" s="1083"/>
      <c r="F40" s="1083"/>
      <c r="G40" s="1085"/>
      <c r="H40" s="1085"/>
      <c r="I40" s="569" t="s">
        <v>374</v>
      </c>
      <c r="J40" s="570">
        <v>0.75</v>
      </c>
      <c r="K40" s="571">
        <v>2.2349999999999999</v>
      </c>
      <c r="L40" s="571">
        <v>6</v>
      </c>
      <c r="M40" s="571">
        <f t="shared" si="1"/>
        <v>6</v>
      </c>
      <c r="N40" s="573">
        <f t="shared" si="0"/>
        <v>80.460000000000008</v>
      </c>
    </row>
    <row r="41" spans="1:14" ht="13.5" customHeight="1" x14ac:dyDescent="0.25">
      <c r="A41" s="566"/>
      <c r="B41" s="567"/>
      <c r="C41" s="567"/>
      <c r="D41" s="568"/>
      <c r="E41" s="1083"/>
      <c r="F41" s="1083"/>
      <c r="G41" s="1085"/>
      <c r="H41" s="1085"/>
      <c r="I41" s="569" t="s">
        <v>374</v>
      </c>
      <c r="J41" s="570">
        <v>0.75</v>
      </c>
      <c r="K41" s="571">
        <v>2.2349999999999999</v>
      </c>
      <c r="L41" s="571">
        <v>2.8</v>
      </c>
      <c r="M41" s="571">
        <f t="shared" si="1"/>
        <v>6</v>
      </c>
      <c r="N41" s="573">
        <f t="shared" si="0"/>
        <v>37.547999999999995</v>
      </c>
    </row>
    <row r="42" spans="1:14" ht="13.5" customHeight="1" x14ac:dyDescent="0.25">
      <c r="A42" s="566"/>
      <c r="B42" s="567"/>
      <c r="C42" s="567"/>
      <c r="D42" s="568"/>
      <c r="E42" s="1083"/>
      <c r="F42" s="1083"/>
      <c r="G42" s="1085"/>
      <c r="H42" s="1085"/>
      <c r="I42" s="569" t="s">
        <v>374</v>
      </c>
      <c r="J42" s="570">
        <v>0.375</v>
      </c>
      <c r="K42" s="571">
        <v>0.56000000000000005</v>
      </c>
      <c r="L42" s="571">
        <v>1.28</v>
      </c>
      <c r="M42" s="571">
        <f>2*91</f>
        <v>182</v>
      </c>
      <c r="N42" s="573">
        <f t="shared" si="0"/>
        <v>130.45760000000001</v>
      </c>
    </row>
    <row r="43" spans="1:14" ht="13.5" customHeight="1" x14ac:dyDescent="0.25">
      <c r="A43" s="566"/>
      <c r="B43" s="567"/>
      <c r="C43" s="567"/>
      <c r="D43" s="568"/>
      <c r="E43" s="1083"/>
      <c r="F43" s="1083"/>
      <c r="G43" s="1085"/>
      <c r="H43" s="1085"/>
      <c r="I43" s="569" t="s">
        <v>374</v>
      </c>
      <c r="J43" s="570">
        <v>0.75</v>
      </c>
      <c r="K43" s="571">
        <v>2.2349999999999999</v>
      </c>
      <c r="L43" s="571">
        <v>4.7</v>
      </c>
      <c r="M43" s="571">
        <f>2*2</f>
        <v>4</v>
      </c>
      <c r="N43" s="573">
        <f t="shared" si="0"/>
        <v>42.018000000000001</v>
      </c>
    </row>
    <row r="44" spans="1:14" ht="13.5" customHeight="1" x14ac:dyDescent="0.25">
      <c r="A44" s="566"/>
      <c r="B44" s="567"/>
      <c r="C44" s="567"/>
      <c r="D44" s="568"/>
      <c r="E44" s="1083"/>
      <c r="F44" s="1083"/>
      <c r="G44" s="1085"/>
      <c r="H44" s="1085"/>
      <c r="I44" s="569" t="s">
        <v>374</v>
      </c>
      <c r="J44" s="570">
        <v>0.75</v>
      </c>
      <c r="K44" s="571">
        <v>2.2349999999999999</v>
      </c>
      <c r="L44" s="571">
        <v>4.7</v>
      </c>
      <c r="M44" s="571">
        <f>2*2</f>
        <v>4</v>
      </c>
      <c r="N44" s="573">
        <f t="shared" si="0"/>
        <v>42.018000000000001</v>
      </c>
    </row>
    <row r="45" spans="1:14" ht="13.5" customHeight="1" x14ac:dyDescent="0.25">
      <c r="A45" s="566"/>
      <c r="B45" s="567"/>
      <c r="C45" s="567"/>
      <c r="D45" s="568"/>
      <c r="E45" s="1083"/>
      <c r="F45" s="1083"/>
      <c r="G45" s="1085"/>
      <c r="H45" s="1085"/>
      <c r="I45" s="569" t="s">
        <v>374</v>
      </c>
      <c r="J45" s="570">
        <v>0.375</v>
      </c>
      <c r="K45" s="571">
        <v>0.56000000000000005</v>
      </c>
      <c r="L45" s="571">
        <v>1.28</v>
      </c>
      <c r="M45" s="571">
        <f>2*50</f>
        <v>100</v>
      </c>
      <c r="N45" s="573">
        <f t="shared" si="0"/>
        <v>71.680000000000007</v>
      </c>
    </row>
    <row r="46" spans="1:14" ht="13.5" customHeight="1" x14ac:dyDescent="0.25">
      <c r="A46" s="566"/>
      <c r="B46" s="567"/>
      <c r="C46" s="567"/>
      <c r="D46" s="568"/>
      <c r="E46" s="1083"/>
      <c r="F46" s="1083"/>
      <c r="G46" s="1086" t="s">
        <v>2137</v>
      </c>
      <c r="H46" s="1086"/>
      <c r="I46" s="574" t="s">
        <v>374</v>
      </c>
      <c r="J46" s="575">
        <v>0.625</v>
      </c>
      <c r="K46" s="576">
        <v>1.552</v>
      </c>
      <c r="L46" s="576">
        <v>2.5</v>
      </c>
      <c r="M46" s="576">
        <v>3</v>
      </c>
      <c r="N46" s="578">
        <f t="shared" si="0"/>
        <v>11.64</v>
      </c>
    </row>
    <row r="47" spans="1:14" ht="13.5" customHeight="1" x14ac:dyDescent="0.25">
      <c r="A47" s="566"/>
      <c r="B47" s="567"/>
      <c r="C47" s="567"/>
      <c r="D47" s="568"/>
      <c r="E47" s="1083"/>
      <c r="F47" s="1083"/>
      <c r="G47" s="1086"/>
      <c r="H47" s="1086"/>
      <c r="I47" s="574" t="s">
        <v>374</v>
      </c>
      <c r="J47" s="575">
        <v>0.625</v>
      </c>
      <c r="K47" s="576">
        <v>1.552</v>
      </c>
      <c r="L47" s="576">
        <v>4.5</v>
      </c>
      <c r="M47" s="576">
        <v>3</v>
      </c>
      <c r="N47" s="578">
        <f t="shared" si="0"/>
        <v>20.951999999999998</v>
      </c>
    </row>
    <row r="48" spans="1:14" ht="13.5" customHeight="1" x14ac:dyDescent="0.25">
      <c r="A48" s="566"/>
      <c r="B48" s="567"/>
      <c r="C48" s="567"/>
      <c r="D48" s="568"/>
      <c r="E48" s="1083"/>
      <c r="F48" s="1083"/>
      <c r="G48" s="1086"/>
      <c r="H48" s="1086"/>
      <c r="I48" s="574" t="s">
        <v>374</v>
      </c>
      <c r="J48" s="575">
        <v>0.625</v>
      </c>
      <c r="K48" s="576">
        <v>1.552</v>
      </c>
      <c r="L48" s="576">
        <v>6</v>
      </c>
      <c r="M48" s="576">
        <v>3</v>
      </c>
      <c r="N48" s="578">
        <f t="shared" si="0"/>
        <v>27.936000000000003</v>
      </c>
    </row>
    <row r="49" spans="1:14" ht="13.5" customHeight="1" x14ac:dyDescent="0.25">
      <c r="A49" s="566"/>
      <c r="B49" s="567"/>
      <c r="C49" s="567"/>
      <c r="D49" s="568"/>
      <c r="E49" s="1083"/>
      <c r="F49" s="1083"/>
      <c r="G49" s="1086"/>
      <c r="H49" s="1086"/>
      <c r="I49" s="574" t="s">
        <v>374</v>
      </c>
      <c r="J49" s="575">
        <v>0.625</v>
      </c>
      <c r="K49" s="576">
        <v>1.552</v>
      </c>
      <c r="L49" s="576">
        <v>4</v>
      </c>
      <c r="M49" s="576">
        <v>3</v>
      </c>
      <c r="N49" s="578">
        <f t="shared" si="0"/>
        <v>18.624000000000002</v>
      </c>
    </row>
    <row r="50" spans="1:14" ht="13.5" customHeight="1" x14ac:dyDescent="0.25">
      <c r="A50" s="566"/>
      <c r="B50" s="567"/>
      <c r="C50" s="567"/>
      <c r="D50" s="568"/>
      <c r="E50" s="1083"/>
      <c r="F50" s="1083"/>
      <c r="G50" s="1086"/>
      <c r="H50" s="1086"/>
      <c r="I50" s="574" t="s">
        <v>374</v>
      </c>
      <c r="J50" s="575">
        <v>0.625</v>
      </c>
      <c r="K50" s="576">
        <v>1.552</v>
      </c>
      <c r="L50" s="576">
        <v>5</v>
      </c>
      <c r="M50" s="576">
        <v>3</v>
      </c>
      <c r="N50" s="578">
        <f t="shared" si="0"/>
        <v>23.28</v>
      </c>
    </row>
    <row r="51" spans="1:14" ht="13.5" customHeight="1" x14ac:dyDescent="0.25">
      <c r="A51" s="566"/>
      <c r="B51" s="567"/>
      <c r="C51" s="567"/>
      <c r="D51" s="568"/>
      <c r="E51" s="1083"/>
      <c r="F51" s="1083"/>
      <c r="G51" s="1086"/>
      <c r="H51" s="1086"/>
      <c r="I51" s="574" t="s">
        <v>374</v>
      </c>
      <c r="J51" s="575">
        <v>0.625</v>
      </c>
      <c r="K51" s="576">
        <v>1.552</v>
      </c>
      <c r="L51" s="576">
        <v>3</v>
      </c>
      <c r="M51" s="576">
        <v>3</v>
      </c>
      <c r="N51" s="578">
        <f t="shared" si="0"/>
        <v>13.968000000000002</v>
      </c>
    </row>
    <row r="52" spans="1:14" ht="13.5" customHeight="1" x14ac:dyDescent="0.25">
      <c r="A52" s="566"/>
      <c r="B52" s="567"/>
      <c r="C52" s="567"/>
      <c r="D52" s="568"/>
      <c r="E52" s="1083"/>
      <c r="F52" s="1083"/>
      <c r="G52" s="1086"/>
      <c r="H52" s="1086"/>
      <c r="I52" s="574" t="s">
        <v>374</v>
      </c>
      <c r="J52" s="575">
        <v>0.625</v>
      </c>
      <c r="K52" s="576">
        <v>1.552</v>
      </c>
      <c r="L52" s="576">
        <v>5</v>
      </c>
      <c r="M52" s="576">
        <v>2</v>
      </c>
      <c r="N52" s="578">
        <f t="shared" si="0"/>
        <v>15.52</v>
      </c>
    </row>
    <row r="53" spans="1:14" ht="13.5" customHeight="1" x14ac:dyDescent="0.25">
      <c r="A53" s="566"/>
      <c r="B53" s="567"/>
      <c r="C53" s="567"/>
      <c r="D53" s="568"/>
      <c r="E53" s="1083"/>
      <c r="F53" s="1083"/>
      <c r="G53" s="1086"/>
      <c r="H53" s="1086"/>
      <c r="I53" s="574" t="s">
        <v>374</v>
      </c>
      <c r="J53" s="575">
        <v>0.75</v>
      </c>
      <c r="K53" s="576">
        <v>2.2349999999999999</v>
      </c>
      <c r="L53" s="576">
        <v>6</v>
      </c>
      <c r="M53" s="576">
        <v>2</v>
      </c>
      <c r="N53" s="578">
        <f t="shared" si="0"/>
        <v>26.82</v>
      </c>
    </row>
    <row r="54" spans="1:14" ht="13.5" customHeight="1" x14ac:dyDescent="0.25">
      <c r="A54" s="566"/>
      <c r="B54" s="567"/>
      <c r="C54" s="567"/>
      <c r="D54" s="568"/>
      <c r="E54" s="1083"/>
      <c r="F54" s="1083"/>
      <c r="G54" s="1086"/>
      <c r="H54" s="1086"/>
      <c r="I54" s="574" t="s">
        <v>374</v>
      </c>
      <c r="J54" s="575">
        <v>0.625</v>
      </c>
      <c r="K54" s="576">
        <v>1.552</v>
      </c>
      <c r="L54" s="576">
        <v>4</v>
      </c>
      <c r="M54" s="576">
        <v>3</v>
      </c>
      <c r="N54" s="578">
        <f t="shared" si="0"/>
        <v>18.624000000000002</v>
      </c>
    </row>
    <row r="55" spans="1:14" ht="13.5" customHeight="1" x14ac:dyDescent="0.25">
      <c r="A55" s="566"/>
      <c r="B55" s="567"/>
      <c r="C55" s="567"/>
      <c r="D55" s="568"/>
      <c r="E55" s="1083"/>
      <c r="F55" s="1083"/>
      <c r="G55" s="1086"/>
      <c r="H55" s="1086"/>
      <c r="I55" s="574" t="s">
        <v>374</v>
      </c>
      <c r="J55" s="575">
        <v>0.625</v>
      </c>
      <c r="K55" s="576">
        <v>1.552</v>
      </c>
      <c r="L55" s="576">
        <v>6</v>
      </c>
      <c r="M55" s="576">
        <v>3</v>
      </c>
      <c r="N55" s="578">
        <f t="shared" si="0"/>
        <v>27.936000000000003</v>
      </c>
    </row>
    <row r="56" spans="1:14" ht="13.5" customHeight="1" x14ac:dyDescent="0.25">
      <c r="A56" s="566"/>
      <c r="B56" s="567"/>
      <c r="C56" s="567"/>
      <c r="D56" s="568"/>
      <c r="E56" s="1083"/>
      <c r="F56" s="1083"/>
      <c r="G56" s="1086"/>
      <c r="H56" s="1086"/>
      <c r="I56" s="574" t="s">
        <v>374</v>
      </c>
      <c r="J56" s="575">
        <v>0.625</v>
      </c>
      <c r="K56" s="576">
        <v>1.552</v>
      </c>
      <c r="L56" s="576">
        <v>6</v>
      </c>
      <c r="M56" s="576">
        <v>3</v>
      </c>
      <c r="N56" s="578">
        <f t="shared" si="0"/>
        <v>27.936000000000003</v>
      </c>
    </row>
    <row r="57" spans="1:14" ht="13.5" customHeight="1" x14ac:dyDescent="0.25">
      <c r="A57" s="566"/>
      <c r="B57" s="567"/>
      <c r="C57" s="567"/>
      <c r="D57" s="568"/>
      <c r="E57" s="1083"/>
      <c r="F57" s="1083"/>
      <c r="G57" s="1086"/>
      <c r="H57" s="1086"/>
      <c r="I57" s="574" t="s">
        <v>374</v>
      </c>
      <c r="J57" s="575">
        <v>0.625</v>
      </c>
      <c r="K57" s="576">
        <v>1.552</v>
      </c>
      <c r="L57" s="576">
        <v>4.5</v>
      </c>
      <c r="M57" s="576">
        <v>3</v>
      </c>
      <c r="N57" s="578">
        <f t="shared" si="0"/>
        <v>20.951999999999998</v>
      </c>
    </row>
    <row r="58" spans="1:14" ht="13.5" customHeight="1" x14ac:dyDescent="0.25">
      <c r="A58" s="566"/>
      <c r="B58" s="567"/>
      <c r="C58" s="567"/>
      <c r="D58" s="568"/>
      <c r="E58" s="1083"/>
      <c r="F58" s="1083"/>
      <c r="G58" s="1086"/>
      <c r="H58" s="1086"/>
      <c r="I58" s="574" t="s">
        <v>374</v>
      </c>
      <c r="J58" s="575">
        <v>0.75</v>
      </c>
      <c r="K58" s="576">
        <v>2.2349999999999999</v>
      </c>
      <c r="L58" s="576">
        <v>4</v>
      </c>
      <c r="M58" s="576">
        <v>3</v>
      </c>
      <c r="N58" s="578">
        <f t="shared" si="0"/>
        <v>26.82</v>
      </c>
    </row>
    <row r="59" spans="1:14" ht="13.5" customHeight="1" x14ac:dyDescent="0.25">
      <c r="A59" s="566"/>
      <c r="B59" s="567"/>
      <c r="C59" s="567"/>
      <c r="D59" s="568"/>
      <c r="E59" s="1083"/>
      <c r="F59" s="1083"/>
      <c r="G59" s="1086"/>
      <c r="H59" s="1086"/>
      <c r="I59" s="574" t="s">
        <v>374</v>
      </c>
      <c r="J59" s="575">
        <v>0.625</v>
      </c>
      <c r="K59" s="576">
        <v>1.552</v>
      </c>
      <c r="L59" s="576">
        <v>3</v>
      </c>
      <c r="M59" s="576">
        <v>3</v>
      </c>
      <c r="N59" s="578">
        <f t="shared" si="0"/>
        <v>13.968000000000002</v>
      </c>
    </row>
    <row r="60" spans="1:14" ht="13.5" customHeight="1" x14ac:dyDescent="0.25">
      <c r="A60" s="566"/>
      <c r="B60" s="567"/>
      <c r="C60" s="567"/>
      <c r="D60" s="568"/>
      <c r="E60" s="1083"/>
      <c r="F60" s="1083"/>
      <c r="G60" s="1086"/>
      <c r="H60" s="1086"/>
      <c r="I60" s="574" t="s">
        <v>374</v>
      </c>
      <c r="J60" s="575">
        <v>0.625</v>
      </c>
      <c r="K60" s="576">
        <v>1.552</v>
      </c>
      <c r="L60" s="576">
        <v>6</v>
      </c>
      <c r="M60" s="576">
        <v>3</v>
      </c>
      <c r="N60" s="578">
        <f t="shared" si="0"/>
        <v>27.936000000000003</v>
      </c>
    </row>
    <row r="61" spans="1:14" ht="13.5" customHeight="1" x14ac:dyDescent="0.25">
      <c r="A61" s="566"/>
      <c r="B61" s="567"/>
      <c r="C61" s="567"/>
      <c r="D61" s="568"/>
      <c r="E61" s="1083"/>
      <c r="F61" s="1083"/>
      <c r="G61" s="1086"/>
      <c r="H61" s="1086"/>
      <c r="I61" s="574" t="s">
        <v>374</v>
      </c>
      <c r="J61" s="575">
        <v>0.75</v>
      </c>
      <c r="K61" s="576">
        <v>2.2349999999999999</v>
      </c>
      <c r="L61" s="576">
        <v>6</v>
      </c>
      <c r="M61" s="576">
        <v>3</v>
      </c>
      <c r="N61" s="578">
        <f t="shared" si="0"/>
        <v>40.230000000000004</v>
      </c>
    </row>
    <row r="62" spans="1:14" ht="13.5" customHeight="1" x14ac:dyDescent="0.25">
      <c r="A62" s="566"/>
      <c r="B62" s="567"/>
      <c r="C62" s="567"/>
      <c r="D62" s="568"/>
      <c r="E62" s="1083"/>
      <c r="F62" s="1083"/>
      <c r="G62" s="1086"/>
      <c r="H62" s="1086"/>
      <c r="I62" s="574" t="s">
        <v>374</v>
      </c>
      <c r="J62" s="575">
        <v>0.75</v>
      </c>
      <c r="K62" s="576">
        <v>2.2349999999999999</v>
      </c>
      <c r="L62" s="576">
        <v>6</v>
      </c>
      <c r="M62" s="576">
        <v>3</v>
      </c>
      <c r="N62" s="578">
        <f t="shared" si="0"/>
        <v>40.230000000000004</v>
      </c>
    </row>
    <row r="63" spans="1:14" ht="13.5" customHeight="1" x14ac:dyDescent="0.25">
      <c r="A63" s="566"/>
      <c r="B63" s="567"/>
      <c r="C63" s="567"/>
      <c r="D63" s="568"/>
      <c r="E63" s="1083"/>
      <c r="F63" s="1083"/>
      <c r="G63" s="1086"/>
      <c r="H63" s="1086"/>
      <c r="I63" s="574" t="s">
        <v>374</v>
      </c>
      <c r="J63" s="575">
        <v>0.375</v>
      </c>
      <c r="K63" s="576">
        <v>0.56000000000000005</v>
      </c>
      <c r="L63" s="576">
        <v>1.28</v>
      </c>
      <c r="M63" s="576">
        <v>187</v>
      </c>
      <c r="N63" s="578">
        <f t="shared" si="0"/>
        <v>134.04160000000002</v>
      </c>
    </row>
    <row r="64" spans="1:14" ht="13.5" customHeight="1" x14ac:dyDescent="0.25">
      <c r="A64" s="566"/>
      <c r="B64" s="567"/>
      <c r="C64" s="567"/>
      <c r="D64" s="568"/>
      <c r="E64" s="1083"/>
      <c r="F64" s="1083"/>
      <c r="G64" s="1086"/>
      <c r="H64" s="1086"/>
      <c r="I64" s="574" t="s">
        <v>374</v>
      </c>
      <c r="J64" s="575">
        <v>0.625</v>
      </c>
      <c r="K64" s="576">
        <v>1.552</v>
      </c>
      <c r="L64" s="576">
        <v>2.5</v>
      </c>
      <c r="M64" s="576">
        <v>3</v>
      </c>
      <c r="N64" s="578">
        <f t="shared" si="0"/>
        <v>11.64</v>
      </c>
    </row>
    <row r="65" spans="1:14" ht="13.5" customHeight="1" x14ac:dyDescent="0.25">
      <c r="A65" s="566"/>
      <c r="B65" s="567"/>
      <c r="C65" s="567"/>
      <c r="D65" s="568"/>
      <c r="E65" s="1083"/>
      <c r="F65" s="1083"/>
      <c r="G65" s="1086"/>
      <c r="H65" s="1086"/>
      <c r="I65" s="574" t="s">
        <v>374</v>
      </c>
      <c r="J65" s="575">
        <v>0.625</v>
      </c>
      <c r="K65" s="576">
        <v>1.552</v>
      </c>
      <c r="L65" s="576">
        <v>4.5</v>
      </c>
      <c r="M65" s="576">
        <v>3</v>
      </c>
      <c r="N65" s="578">
        <f t="shared" si="0"/>
        <v>20.951999999999998</v>
      </c>
    </row>
    <row r="66" spans="1:14" ht="13.5" customHeight="1" x14ac:dyDescent="0.25">
      <c r="A66" s="566"/>
      <c r="B66" s="567"/>
      <c r="C66" s="567"/>
      <c r="D66" s="568"/>
      <c r="E66" s="1083"/>
      <c r="F66" s="1083"/>
      <c r="G66" s="1086"/>
      <c r="H66" s="1086"/>
      <c r="I66" s="574" t="s">
        <v>374</v>
      </c>
      <c r="J66" s="575">
        <v>0.625</v>
      </c>
      <c r="K66" s="576">
        <v>1.552</v>
      </c>
      <c r="L66" s="576">
        <v>6</v>
      </c>
      <c r="M66" s="576">
        <v>3</v>
      </c>
      <c r="N66" s="578">
        <f t="shared" si="0"/>
        <v>27.936000000000003</v>
      </c>
    </row>
    <row r="67" spans="1:14" ht="13.5" customHeight="1" x14ac:dyDescent="0.25">
      <c r="A67" s="566"/>
      <c r="B67" s="567"/>
      <c r="C67" s="567"/>
      <c r="D67" s="568"/>
      <c r="E67" s="1083"/>
      <c r="F67" s="1083"/>
      <c r="G67" s="1086"/>
      <c r="H67" s="1086"/>
      <c r="I67" s="574" t="s">
        <v>374</v>
      </c>
      <c r="J67" s="575">
        <v>0.625</v>
      </c>
      <c r="K67" s="576">
        <v>1.552</v>
      </c>
      <c r="L67" s="576">
        <v>6</v>
      </c>
      <c r="M67" s="576">
        <v>3</v>
      </c>
      <c r="N67" s="578">
        <f t="shared" si="0"/>
        <v>27.936000000000003</v>
      </c>
    </row>
    <row r="68" spans="1:14" ht="13.5" customHeight="1" x14ac:dyDescent="0.25">
      <c r="A68" s="566"/>
      <c r="B68" s="567"/>
      <c r="C68" s="567"/>
      <c r="D68" s="568"/>
      <c r="E68" s="1083"/>
      <c r="F68" s="1083"/>
      <c r="G68" s="1086"/>
      <c r="H68" s="1086"/>
      <c r="I68" s="574" t="s">
        <v>374</v>
      </c>
      <c r="J68" s="575">
        <v>0.625</v>
      </c>
      <c r="K68" s="576">
        <v>1.552</v>
      </c>
      <c r="L68" s="576">
        <v>5</v>
      </c>
      <c r="M68" s="576">
        <v>2</v>
      </c>
      <c r="N68" s="578">
        <f t="shared" si="0"/>
        <v>15.52</v>
      </c>
    </row>
    <row r="69" spans="1:14" ht="13.5" customHeight="1" x14ac:dyDescent="0.25">
      <c r="A69" s="566"/>
      <c r="B69" s="567"/>
      <c r="C69" s="567"/>
      <c r="D69" s="568"/>
      <c r="E69" s="1083"/>
      <c r="F69" s="1083"/>
      <c r="G69" s="1086"/>
      <c r="H69" s="1086"/>
      <c r="I69" s="574" t="s">
        <v>374</v>
      </c>
      <c r="J69" s="575">
        <v>0.625</v>
      </c>
      <c r="K69" s="576">
        <v>1.552</v>
      </c>
      <c r="L69" s="576">
        <v>6</v>
      </c>
      <c r="M69" s="576">
        <v>3</v>
      </c>
      <c r="N69" s="578">
        <f t="shared" si="0"/>
        <v>27.936000000000003</v>
      </c>
    </row>
    <row r="70" spans="1:14" ht="13.5" customHeight="1" x14ac:dyDescent="0.25">
      <c r="A70" s="566"/>
      <c r="B70" s="567"/>
      <c r="C70" s="567"/>
      <c r="D70" s="568"/>
      <c r="E70" s="1083"/>
      <c r="F70" s="1083"/>
      <c r="G70" s="1086"/>
      <c r="H70" s="1086"/>
      <c r="I70" s="574" t="s">
        <v>374</v>
      </c>
      <c r="J70" s="575">
        <v>0.625</v>
      </c>
      <c r="K70" s="576">
        <v>1.552</v>
      </c>
      <c r="L70" s="576">
        <v>6</v>
      </c>
      <c r="M70" s="576">
        <v>2</v>
      </c>
      <c r="N70" s="578">
        <f t="shared" si="0"/>
        <v>18.624000000000002</v>
      </c>
    </row>
    <row r="71" spans="1:14" ht="13.5" customHeight="1" x14ac:dyDescent="0.25">
      <c r="A71" s="566"/>
      <c r="B71" s="567"/>
      <c r="C71" s="567"/>
      <c r="D71" s="568"/>
      <c r="E71" s="1083"/>
      <c r="F71" s="1083"/>
      <c r="G71" s="1086"/>
      <c r="H71" s="1086"/>
      <c r="I71" s="574" t="s">
        <v>374</v>
      </c>
      <c r="J71" s="575">
        <v>0.625</v>
      </c>
      <c r="K71" s="576">
        <v>1.552</v>
      </c>
      <c r="L71" s="576">
        <v>4.5</v>
      </c>
      <c r="M71" s="576">
        <v>3</v>
      </c>
      <c r="N71" s="578">
        <f t="shared" si="0"/>
        <v>20.951999999999998</v>
      </c>
    </row>
    <row r="72" spans="1:14" ht="13.5" customHeight="1" x14ac:dyDescent="0.25">
      <c r="A72" s="566"/>
      <c r="B72" s="567"/>
      <c r="C72" s="567"/>
      <c r="D72" s="568"/>
      <c r="E72" s="1083"/>
      <c r="F72" s="1083"/>
      <c r="G72" s="1086"/>
      <c r="H72" s="1086"/>
      <c r="I72" s="574" t="s">
        <v>374</v>
      </c>
      <c r="J72" s="575">
        <v>0.625</v>
      </c>
      <c r="K72" s="576">
        <v>1.552</v>
      </c>
      <c r="L72" s="576">
        <v>2.9</v>
      </c>
      <c r="M72" s="576">
        <v>3</v>
      </c>
      <c r="N72" s="578">
        <f t="shared" si="0"/>
        <v>13.5024</v>
      </c>
    </row>
    <row r="73" spans="1:14" ht="13.5" customHeight="1" x14ac:dyDescent="0.25">
      <c r="A73" s="566"/>
      <c r="B73" s="567"/>
      <c r="C73" s="567"/>
      <c r="D73" s="568"/>
      <c r="E73" s="1083"/>
      <c r="F73" s="1083"/>
      <c r="G73" s="1086"/>
      <c r="H73" s="1086"/>
      <c r="I73" s="574" t="s">
        <v>374</v>
      </c>
      <c r="J73" s="575">
        <v>0.625</v>
      </c>
      <c r="K73" s="576">
        <v>1.552</v>
      </c>
      <c r="L73" s="576">
        <v>2.9</v>
      </c>
      <c r="M73" s="576">
        <v>2</v>
      </c>
      <c r="N73" s="578">
        <f t="shared" si="0"/>
        <v>9.0015999999999998</v>
      </c>
    </row>
    <row r="74" spans="1:14" ht="13.5" customHeight="1" x14ac:dyDescent="0.25">
      <c r="A74" s="566"/>
      <c r="B74" s="567"/>
      <c r="C74" s="567"/>
      <c r="D74" s="568"/>
      <c r="E74" s="1083"/>
      <c r="F74" s="1083"/>
      <c r="G74" s="1086"/>
      <c r="H74" s="1086"/>
      <c r="I74" s="574" t="s">
        <v>374</v>
      </c>
      <c r="J74" s="575">
        <v>0.625</v>
      </c>
      <c r="K74" s="576">
        <v>1.552</v>
      </c>
      <c r="L74" s="576">
        <v>4</v>
      </c>
      <c r="M74" s="576">
        <v>3</v>
      </c>
      <c r="N74" s="578">
        <f t="shared" si="0"/>
        <v>18.624000000000002</v>
      </c>
    </row>
    <row r="75" spans="1:14" ht="13.5" customHeight="1" x14ac:dyDescent="0.25">
      <c r="A75" s="566"/>
      <c r="B75" s="567"/>
      <c r="C75" s="567"/>
      <c r="D75" s="568"/>
      <c r="E75" s="1083"/>
      <c r="F75" s="1083"/>
      <c r="G75" s="1086"/>
      <c r="H75" s="1086"/>
      <c r="I75" s="574" t="s">
        <v>374</v>
      </c>
      <c r="J75" s="575">
        <v>0.625</v>
      </c>
      <c r="K75" s="576">
        <v>1.552</v>
      </c>
      <c r="L75" s="576">
        <v>5</v>
      </c>
      <c r="M75" s="576">
        <v>3</v>
      </c>
      <c r="N75" s="578">
        <f t="shared" ref="N75:N138" si="2">K75*L75*M75</f>
        <v>23.28</v>
      </c>
    </row>
    <row r="76" spans="1:14" ht="13.5" customHeight="1" x14ac:dyDescent="0.25">
      <c r="A76" s="566"/>
      <c r="B76" s="567"/>
      <c r="C76" s="567"/>
      <c r="D76" s="568"/>
      <c r="E76" s="1083"/>
      <c r="F76" s="1083"/>
      <c r="G76" s="1086"/>
      <c r="H76" s="1086"/>
      <c r="I76" s="574" t="s">
        <v>374</v>
      </c>
      <c r="J76" s="575">
        <v>0.625</v>
      </c>
      <c r="K76" s="576">
        <v>1.552</v>
      </c>
      <c r="L76" s="576">
        <v>6</v>
      </c>
      <c r="M76" s="576">
        <v>3</v>
      </c>
      <c r="N76" s="578">
        <f t="shared" si="2"/>
        <v>27.936000000000003</v>
      </c>
    </row>
    <row r="77" spans="1:14" ht="13.5" customHeight="1" x14ac:dyDescent="0.25">
      <c r="A77" s="566"/>
      <c r="B77" s="567"/>
      <c r="C77" s="567"/>
      <c r="D77" s="568"/>
      <c r="E77" s="1083"/>
      <c r="F77" s="1083"/>
      <c r="G77" s="1086"/>
      <c r="H77" s="1086"/>
      <c r="I77" s="574" t="s">
        <v>374</v>
      </c>
      <c r="J77" s="575">
        <v>0.625</v>
      </c>
      <c r="K77" s="576">
        <v>1.552</v>
      </c>
      <c r="L77" s="576">
        <v>6</v>
      </c>
      <c r="M77" s="576">
        <v>3</v>
      </c>
      <c r="N77" s="578">
        <f t="shared" si="2"/>
        <v>27.936000000000003</v>
      </c>
    </row>
    <row r="78" spans="1:14" ht="13.5" customHeight="1" x14ac:dyDescent="0.25">
      <c r="A78" s="566"/>
      <c r="B78" s="567"/>
      <c r="C78" s="567"/>
      <c r="D78" s="568"/>
      <c r="E78" s="1083"/>
      <c r="F78" s="1083"/>
      <c r="G78" s="1086"/>
      <c r="H78" s="1086"/>
      <c r="I78" s="574" t="s">
        <v>374</v>
      </c>
      <c r="J78" s="575">
        <v>0.625</v>
      </c>
      <c r="K78" s="576">
        <v>1.552</v>
      </c>
      <c r="L78" s="576">
        <v>6</v>
      </c>
      <c r="M78" s="576">
        <v>3</v>
      </c>
      <c r="N78" s="578">
        <f t="shared" si="2"/>
        <v>27.936000000000003</v>
      </c>
    </row>
    <row r="79" spans="1:14" ht="13.5" customHeight="1" x14ac:dyDescent="0.25">
      <c r="A79" s="566"/>
      <c r="B79" s="567"/>
      <c r="C79" s="567"/>
      <c r="D79" s="568"/>
      <c r="E79" s="1083"/>
      <c r="F79" s="1083"/>
      <c r="G79" s="1086"/>
      <c r="H79" s="1086"/>
      <c r="I79" s="574" t="s">
        <v>374</v>
      </c>
      <c r="J79" s="575">
        <v>0.625</v>
      </c>
      <c r="K79" s="576">
        <v>1.552</v>
      </c>
      <c r="L79" s="576">
        <v>4.9000000000000004</v>
      </c>
      <c r="M79" s="576">
        <v>3</v>
      </c>
      <c r="N79" s="578">
        <f t="shared" si="2"/>
        <v>22.814400000000003</v>
      </c>
    </row>
    <row r="80" spans="1:14" ht="13.5" customHeight="1" x14ac:dyDescent="0.25">
      <c r="A80" s="566"/>
      <c r="B80" s="567"/>
      <c r="C80" s="567"/>
      <c r="D80" s="568"/>
      <c r="E80" s="1083"/>
      <c r="F80" s="1083"/>
      <c r="G80" s="1086"/>
      <c r="H80" s="1086"/>
      <c r="I80" s="574" t="s">
        <v>374</v>
      </c>
      <c r="J80" s="575">
        <v>0.375</v>
      </c>
      <c r="K80" s="576">
        <v>0.56000000000000005</v>
      </c>
      <c r="L80" s="576">
        <v>1.28</v>
      </c>
      <c r="M80" s="576">
        <v>198</v>
      </c>
      <c r="N80" s="578">
        <f t="shared" si="2"/>
        <v>141.92640000000003</v>
      </c>
    </row>
    <row r="81" spans="1:14" ht="13.5" customHeight="1" x14ac:dyDescent="0.25">
      <c r="A81" s="566"/>
      <c r="B81" s="567"/>
      <c r="C81" s="567"/>
      <c r="D81" s="568"/>
      <c r="E81" s="1083"/>
      <c r="F81" s="1083"/>
      <c r="G81" s="1086"/>
      <c r="H81" s="1086"/>
      <c r="I81" s="574" t="s">
        <v>374</v>
      </c>
      <c r="J81" s="575">
        <v>0.75</v>
      </c>
      <c r="K81" s="576">
        <v>2.2349999999999999</v>
      </c>
      <c r="L81" s="576">
        <v>3</v>
      </c>
      <c r="M81" s="576">
        <v>3</v>
      </c>
      <c r="N81" s="578">
        <f t="shared" si="2"/>
        <v>20.115000000000002</v>
      </c>
    </row>
    <row r="82" spans="1:14" ht="13.5" customHeight="1" x14ac:dyDescent="0.25">
      <c r="A82" s="566"/>
      <c r="B82" s="567"/>
      <c r="C82" s="567"/>
      <c r="D82" s="568"/>
      <c r="E82" s="1083"/>
      <c r="F82" s="1083"/>
      <c r="G82" s="1086"/>
      <c r="H82" s="1086"/>
      <c r="I82" s="574" t="s">
        <v>374</v>
      </c>
      <c r="J82" s="575">
        <v>0.75</v>
      </c>
      <c r="K82" s="576">
        <v>2.2349999999999999</v>
      </c>
      <c r="L82" s="576">
        <v>5</v>
      </c>
      <c r="M82" s="576">
        <v>3</v>
      </c>
      <c r="N82" s="578">
        <f t="shared" si="2"/>
        <v>33.524999999999999</v>
      </c>
    </row>
    <row r="83" spans="1:14" ht="13.5" customHeight="1" x14ac:dyDescent="0.25">
      <c r="A83" s="566"/>
      <c r="B83" s="567"/>
      <c r="C83" s="567"/>
      <c r="D83" s="568"/>
      <c r="E83" s="1083"/>
      <c r="F83" s="1083"/>
      <c r="G83" s="1086"/>
      <c r="H83" s="1086"/>
      <c r="I83" s="574" t="s">
        <v>374</v>
      </c>
      <c r="J83" s="575">
        <v>0.75</v>
      </c>
      <c r="K83" s="576">
        <v>2.2349999999999999</v>
      </c>
      <c r="L83" s="576">
        <v>6</v>
      </c>
      <c r="M83" s="576">
        <v>3</v>
      </c>
      <c r="N83" s="578">
        <f t="shared" si="2"/>
        <v>40.230000000000004</v>
      </c>
    </row>
    <row r="84" spans="1:14" ht="13.5" customHeight="1" x14ac:dyDescent="0.25">
      <c r="A84" s="566"/>
      <c r="B84" s="567"/>
      <c r="C84" s="567"/>
      <c r="D84" s="568"/>
      <c r="E84" s="1083"/>
      <c r="F84" s="1083"/>
      <c r="G84" s="1086"/>
      <c r="H84" s="1086"/>
      <c r="I84" s="574" t="s">
        <v>374</v>
      </c>
      <c r="J84" s="575">
        <v>0.75</v>
      </c>
      <c r="K84" s="576">
        <v>2.2349999999999999</v>
      </c>
      <c r="L84" s="576">
        <v>6</v>
      </c>
      <c r="M84" s="576">
        <v>3</v>
      </c>
      <c r="N84" s="578">
        <f t="shared" si="2"/>
        <v>40.230000000000004</v>
      </c>
    </row>
    <row r="85" spans="1:14" ht="13.5" customHeight="1" x14ac:dyDescent="0.25">
      <c r="A85" s="566"/>
      <c r="B85" s="567"/>
      <c r="C85" s="567"/>
      <c r="D85" s="568"/>
      <c r="E85" s="1083"/>
      <c r="F85" s="1083"/>
      <c r="G85" s="1086"/>
      <c r="H85" s="1086"/>
      <c r="I85" s="574" t="s">
        <v>374</v>
      </c>
      <c r="J85" s="575">
        <v>0.625</v>
      </c>
      <c r="K85" s="576">
        <v>1.552</v>
      </c>
      <c r="L85" s="576">
        <v>6</v>
      </c>
      <c r="M85" s="576">
        <v>1</v>
      </c>
      <c r="N85" s="578">
        <f t="shared" si="2"/>
        <v>9.3120000000000012</v>
      </c>
    </row>
    <row r="86" spans="1:14" ht="13.5" customHeight="1" x14ac:dyDescent="0.25">
      <c r="A86" s="566"/>
      <c r="B86" s="567"/>
      <c r="C86" s="567"/>
      <c r="D86" s="568"/>
      <c r="E86" s="1083"/>
      <c r="F86" s="1083"/>
      <c r="G86" s="1086"/>
      <c r="H86" s="1086"/>
      <c r="I86" s="574" t="s">
        <v>374</v>
      </c>
      <c r="J86" s="575">
        <v>0.75</v>
      </c>
      <c r="K86" s="576">
        <v>2.2349999999999999</v>
      </c>
      <c r="L86" s="576">
        <v>7</v>
      </c>
      <c r="M86" s="576">
        <v>3</v>
      </c>
      <c r="N86" s="578">
        <f t="shared" si="2"/>
        <v>46.935000000000002</v>
      </c>
    </row>
    <row r="87" spans="1:14" ht="13.5" customHeight="1" x14ac:dyDescent="0.25">
      <c r="A87" s="566"/>
      <c r="B87" s="567"/>
      <c r="C87" s="567"/>
      <c r="D87" s="568"/>
      <c r="E87" s="1083"/>
      <c r="F87" s="1083"/>
      <c r="G87" s="1086"/>
      <c r="H87" s="1086"/>
      <c r="I87" s="574" t="s">
        <v>374</v>
      </c>
      <c r="J87" s="575">
        <v>0.75</v>
      </c>
      <c r="K87" s="576">
        <v>2.2349999999999999</v>
      </c>
      <c r="L87" s="576">
        <v>7</v>
      </c>
      <c r="M87" s="576">
        <v>2</v>
      </c>
      <c r="N87" s="578">
        <f t="shared" si="2"/>
        <v>31.29</v>
      </c>
    </row>
    <row r="88" spans="1:14" ht="13.5" customHeight="1" x14ac:dyDescent="0.25">
      <c r="A88" s="566"/>
      <c r="B88" s="567"/>
      <c r="C88" s="567"/>
      <c r="D88" s="568"/>
      <c r="E88" s="1083"/>
      <c r="F88" s="1083"/>
      <c r="G88" s="1086"/>
      <c r="H88" s="1086"/>
      <c r="I88" s="574" t="s">
        <v>374</v>
      </c>
      <c r="J88" s="575">
        <v>0.75</v>
      </c>
      <c r="K88" s="576">
        <v>2.2349999999999999</v>
      </c>
      <c r="L88" s="576">
        <v>4.9000000000000004</v>
      </c>
      <c r="M88" s="576">
        <v>3</v>
      </c>
      <c r="N88" s="578">
        <f t="shared" si="2"/>
        <v>32.854500000000002</v>
      </c>
    </row>
    <row r="89" spans="1:14" ht="13.5" customHeight="1" x14ac:dyDescent="0.25">
      <c r="A89" s="566"/>
      <c r="B89" s="567"/>
      <c r="C89" s="567"/>
      <c r="D89" s="568"/>
      <c r="E89" s="1083"/>
      <c r="F89" s="1083"/>
      <c r="G89" s="1086"/>
      <c r="H89" s="1086"/>
      <c r="I89" s="574" t="s">
        <v>374</v>
      </c>
      <c r="J89" s="575">
        <v>0.75</v>
      </c>
      <c r="K89" s="576">
        <v>2.2349999999999999</v>
      </c>
      <c r="L89" s="576">
        <v>4.9000000000000004</v>
      </c>
      <c r="M89" s="576">
        <v>2</v>
      </c>
      <c r="N89" s="578">
        <f t="shared" si="2"/>
        <v>21.902999999999999</v>
      </c>
    </row>
    <row r="90" spans="1:14" ht="13.5" customHeight="1" x14ac:dyDescent="0.25">
      <c r="A90" s="566"/>
      <c r="B90" s="567"/>
      <c r="C90" s="567"/>
      <c r="D90" s="568"/>
      <c r="E90" s="1083"/>
      <c r="F90" s="1083"/>
      <c r="G90" s="1086"/>
      <c r="H90" s="1086"/>
      <c r="I90" s="574" t="s">
        <v>374</v>
      </c>
      <c r="J90" s="575">
        <v>0.75</v>
      </c>
      <c r="K90" s="576">
        <v>2.2349999999999999</v>
      </c>
      <c r="L90" s="576">
        <v>4</v>
      </c>
      <c r="M90" s="576">
        <v>3</v>
      </c>
      <c r="N90" s="578">
        <f t="shared" si="2"/>
        <v>26.82</v>
      </c>
    </row>
    <row r="91" spans="1:14" ht="13.5" customHeight="1" x14ac:dyDescent="0.25">
      <c r="A91" s="566"/>
      <c r="B91" s="567"/>
      <c r="C91" s="567"/>
      <c r="D91" s="568"/>
      <c r="E91" s="1083"/>
      <c r="F91" s="1083"/>
      <c r="G91" s="1086"/>
      <c r="H91" s="1086"/>
      <c r="I91" s="574" t="s">
        <v>374</v>
      </c>
      <c r="J91" s="575">
        <v>0.75</v>
      </c>
      <c r="K91" s="576">
        <v>2.2349999999999999</v>
      </c>
      <c r="L91" s="576">
        <v>5</v>
      </c>
      <c r="M91" s="576">
        <v>3</v>
      </c>
      <c r="N91" s="578">
        <f t="shared" si="2"/>
        <v>33.524999999999999</v>
      </c>
    </row>
    <row r="92" spans="1:14" ht="13.5" customHeight="1" x14ac:dyDescent="0.25">
      <c r="A92" s="566"/>
      <c r="B92" s="567"/>
      <c r="C92" s="567"/>
      <c r="D92" s="568"/>
      <c r="E92" s="1083"/>
      <c r="F92" s="1083"/>
      <c r="G92" s="1086"/>
      <c r="H92" s="1086"/>
      <c r="I92" s="574" t="s">
        <v>374</v>
      </c>
      <c r="J92" s="575">
        <v>0.75</v>
      </c>
      <c r="K92" s="576">
        <v>2.2349999999999999</v>
      </c>
      <c r="L92" s="576">
        <v>6</v>
      </c>
      <c r="M92" s="576">
        <v>3</v>
      </c>
      <c r="N92" s="578">
        <f t="shared" si="2"/>
        <v>40.230000000000004</v>
      </c>
    </row>
    <row r="93" spans="1:14" ht="13.5" customHeight="1" x14ac:dyDescent="0.25">
      <c r="A93" s="566"/>
      <c r="B93" s="567"/>
      <c r="C93" s="567"/>
      <c r="D93" s="568"/>
      <c r="E93" s="1083"/>
      <c r="F93" s="1083"/>
      <c r="G93" s="1086"/>
      <c r="H93" s="1086"/>
      <c r="I93" s="574" t="s">
        <v>374</v>
      </c>
      <c r="J93" s="575">
        <v>0.75</v>
      </c>
      <c r="K93" s="576">
        <v>2.2349999999999999</v>
      </c>
      <c r="L93" s="576">
        <v>7</v>
      </c>
      <c r="M93" s="576">
        <v>3</v>
      </c>
      <c r="N93" s="578">
        <f t="shared" si="2"/>
        <v>46.935000000000002</v>
      </c>
    </row>
    <row r="94" spans="1:14" ht="13.5" customHeight="1" x14ac:dyDescent="0.25">
      <c r="A94" s="566"/>
      <c r="B94" s="567"/>
      <c r="C94" s="567"/>
      <c r="D94" s="568"/>
      <c r="E94" s="1083"/>
      <c r="F94" s="1083"/>
      <c r="G94" s="1086"/>
      <c r="H94" s="1086"/>
      <c r="I94" s="574" t="s">
        <v>374</v>
      </c>
      <c r="J94" s="575">
        <v>0.75</v>
      </c>
      <c r="K94" s="576">
        <v>2.2349999999999999</v>
      </c>
      <c r="L94" s="576">
        <v>7</v>
      </c>
      <c r="M94" s="576">
        <v>3</v>
      </c>
      <c r="N94" s="578">
        <f t="shared" si="2"/>
        <v>46.935000000000002</v>
      </c>
    </row>
    <row r="95" spans="1:14" ht="13.5" customHeight="1" x14ac:dyDescent="0.25">
      <c r="A95" s="566"/>
      <c r="B95" s="567"/>
      <c r="C95" s="567"/>
      <c r="D95" s="568"/>
      <c r="E95" s="1083"/>
      <c r="F95" s="1083"/>
      <c r="G95" s="1086"/>
      <c r="H95" s="1086"/>
      <c r="I95" s="574" t="s">
        <v>374</v>
      </c>
      <c r="J95" s="575">
        <v>0.75</v>
      </c>
      <c r="K95" s="576">
        <v>2.2349999999999999</v>
      </c>
      <c r="L95" s="576">
        <v>3.9</v>
      </c>
      <c r="M95" s="576">
        <v>3</v>
      </c>
      <c r="N95" s="578">
        <f t="shared" si="2"/>
        <v>26.1495</v>
      </c>
    </row>
    <row r="96" spans="1:14" ht="13.5" customHeight="1" x14ac:dyDescent="0.25">
      <c r="A96" s="566"/>
      <c r="B96" s="567"/>
      <c r="C96" s="567"/>
      <c r="D96" s="568"/>
      <c r="E96" s="1083"/>
      <c r="F96" s="1083"/>
      <c r="G96" s="1086"/>
      <c r="H96" s="1086"/>
      <c r="I96" s="574" t="s">
        <v>374</v>
      </c>
      <c r="J96" s="575">
        <v>0.375</v>
      </c>
      <c r="K96" s="576">
        <v>0.56000000000000005</v>
      </c>
      <c r="L96" s="576">
        <v>1.28</v>
      </c>
      <c r="M96" s="576">
        <v>198</v>
      </c>
      <c r="N96" s="578">
        <f t="shared" si="2"/>
        <v>141.92640000000003</v>
      </c>
    </row>
    <row r="97" spans="1:14" ht="13.5" customHeight="1" x14ac:dyDescent="0.25">
      <c r="A97" s="566"/>
      <c r="B97" s="567"/>
      <c r="C97" s="567"/>
      <c r="D97" s="568"/>
      <c r="E97" s="1083"/>
      <c r="F97" s="1083"/>
      <c r="G97" s="1086"/>
      <c r="H97" s="1086"/>
      <c r="I97" s="574" t="s">
        <v>374</v>
      </c>
      <c r="J97" s="575">
        <v>0.625</v>
      </c>
      <c r="K97" s="576">
        <v>1.552</v>
      </c>
      <c r="L97" s="576">
        <f>6*12.18</f>
        <v>73.08</v>
      </c>
      <c r="M97" s="576">
        <v>2</v>
      </c>
      <c r="N97" s="578">
        <f t="shared" si="2"/>
        <v>226.84031999999999</v>
      </c>
    </row>
    <row r="98" spans="1:14" ht="13.5" customHeight="1" x14ac:dyDescent="0.25">
      <c r="A98" s="566"/>
      <c r="B98" s="567"/>
      <c r="C98" s="567"/>
      <c r="D98" s="568"/>
      <c r="E98" s="1083"/>
      <c r="F98" s="1083"/>
      <c r="G98" s="1086"/>
      <c r="H98" s="1086"/>
      <c r="I98" s="574" t="s">
        <v>374</v>
      </c>
      <c r="J98" s="575">
        <v>0.625</v>
      </c>
      <c r="K98" s="576">
        <v>1.552</v>
      </c>
      <c r="L98" s="576">
        <f>6*12.18</f>
        <v>73.08</v>
      </c>
      <c r="M98" s="576">
        <v>2</v>
      </c>
      <c r="N98" s="578">
        <f t="shared" si="2"/>
        <v>226.84031999999999</v>
      </c>
    </row>
    <row r="99" spans="1:14" ht="13.5" customHeight="1" x14ac:dyDescent="0.25">
      <c r="A99" s="566"/>
      <c r="B99" s="567"/>
      <c r="C99" s="567"/>
      <c r="D99" s="568"/>
      <c r="E99" s="1083"/>
      <c r="F99" s="1083"/>
      <c r="G99" s="1086"/>
      <c r="H99" s="1086"/>
      <c r="I99" s="574" t="s">
        <v>374</v>
      </c>
      <c r="J99" s="575">
        <v>0.375</v>
      </c>
      <c r="K99" s="576">
        <v>0.56000000000000005</v>
      </c>
      <c r="L99" s="576">
        <f>0.68*12.18</f>
        <v>8.2824000000000009</v>
      </c>
      <c r="M99" s="576">
        <v>40</v>
      </c>
      <c r="N99" s="578">
        <f t="shared" si="2"/>
        <v>185.52576000000002</v>
      </c>
    </row>
    <row r="100" spans="1:14" ht="13.5" customHeight="1" x14ac:dyDescent="0.25">
      <c r="A100" s="566"/>
      <c r="B100" s="567"/>
      <c r="C100" s="567"/>
      <c r="D100" s="568"/>
      <c r="E100" s="1083"/>
      <c r="F100" s="1083"/>
      <c r="G100" s="1086"/>
      <c r="H100" s="1086"/>
      <c r="I100" s="574" t="s">
        <v>374</v>
      </c>
      <c r="J100" s="575">
        <v>0.75</v>
      </c>
      <c r="K100" s="576">
        <v>2.2349999999999999</v>
      </c>
      <c r="L100" s="576">
        <f>6*14.68</f>
        <v>88.08</v>
      </c>
      <c r="M100" s="576">
        <v>2</v>
      </c>
      <c r="N100" s="578">
        <f t="shared" si="2"/>
        <v>393.71759999999995</v>
      </c>
    </row>
    <row r="101" spans="1:14" ht="13.5" customHeight="1" x14ac:dyDescent="0.25">
      <c r="A101" s="566"/>
      <c r="B101" s="567"/>
      <c r="C101" s="567"/>
      <c r="D101" s="568"/>
      <c r="E101" s="1083"/>
      <c r="F101" s="1083"/>
      <c r="G101" s="1086"/>
      <c r="H101" s="1086"/>
      <c r="I101" s="574" t="s">
        <v>374</v>
      </c>
      <c r="J101" s="575">
        <v>0.75</v>
      </c>
      <c r="K101" s="576">
        <v>2.2349999999999999</v>
      </c>
      <c r="L101" s="576">
        <f>6*14.68</f>
        <v>88.08</v>
      </c>
      <c r="M101" s="576">
        <v>2</v>
      </c>
      <c r="N101" s="578">
        <f t="shared" si="2"/>
        <v>393.71759999999995</v>
      </c>
    </row>
    <row r="102" spans="1:14" ht="13.5" customHeight="1" x14ac:dyDescent="0.25">
      <c r="A102" s="566"/>
      <c r="B102" s="567"/>
      <c r="C102" s="567"/>
      <c r="D102" s="568"/>
      <c r="E102" s="1083"/>
      <c r="F102" s="1083"/>
      <c r="G102" s="1086"/>
      <c r="H102" s="1086"/>
      <c r="I102" s="574" t="s">
        <v>374</v>
      </c>
      <c r="J102" s="575">
        <v>0.375</v>
      </c>
      <c r="K102" s="576">
        <v>0.56000000000000005</v>
      </c>
      <c r="L102" s="576">
        <f>1.08*14.68</f>
        <v>15.8544</v>
      </c>
      <c r="M102" s="576">
        <v>40</v>
      </c>
      <c r="N102" s="578">
        <f t="shared" si="2"/>
        <v>355.13856000000004</v>
      </c>
    </row>
    <row r="103" spans="1:14" ht="13.5" customHeight="1" x14ac:dyDescent="0.25">
      <c r="A103" s="566"/>
      <c r="B103" s="567"/>
      <c r="C103" s="567"/>
      <c r="D103" s="568"/>
      <c r="E103" s="1083"/>
      <c r="F103" s="1083"/>
      <c r="G103" s="1086"/>
      <c r="H103" s="1086"/>
      <c r="I103" s="574" t="s">
        <v>374</v>
      </c>
      <c r="J103" s="575">
        <v>0.625</v>
      </c>
      <c r="K103" s="576">
        <v>1.552</v>
      </c>
      <c r="L103" s="576">
        <v>2.5</v>
      </c>
      <c r="M103" s="576">
        <v>3</v>
      </c>
      <c r="N103" s="578">
        <f t="shared" si="2"/>
        <v>11.64</v>
      </c>
    </row>
    <row r="104" spans="1:14" ht="13.5" customHeight="1" x14ac:dyDescent="0.25">
      <c r="A104" s="566"/>
      <c r="B104" s="567"/>
      <c r="C104" s="567"/>
      <c r="D104" s="568"/>
      <c r="E104" s="1083"/>
      <c r="F104" s="1083"/>
      <c r="G104" s="1086"/>
      <c r="H104" s="1086"/>
      <c r="I104" s="574" t="s">
        <v>374</v>
      </c>
      <c r="J104" s="575">
        <v>0.625</v>
      </c>
      <c r="K104" s="576">
        <v>1.552</v>
      </c>
      <c r="L104" s="576">
        <v>7</v>
      </c>
      <c r="M104" s="576">
        <v>3</v>
      </c>
      <c r="N104" s="578">
        <f t="shared" si="2"/>
        <v>32.591999999999999</v>
      </c>
    </row>
    <row r="105" spans="1:14" ht="13.5" customHeight="1" x14ac:dyDescent="0.25">
      <c r="A105" s="566"/>
      <c r="B105" s="567"/>
      <c r="C105" s="567"/>
      <c r="D105" s="568"/>
      <c r="E105" s="1083"/>
      <c r="F105" s="1083"/>
      <c r="G105" s="1086"/>
      <c r="H105" s="1086"/>
      <c r="I105" s="574" t="s">
        <v>374</v>
      </c>
      <c r="J105" s="575">
        <v>0.625</v>
      </c>
      <c r="K105" s="576">
        <v>1.552</v>
      </c>
      <c r="L105" s="576">
        <v>2.2999999999999998</v>
      </c>
      <c r="M105" s="576">
        <v>3</v>
      </c>
      <c r="N105" s="578">
        <f t="shared" si="2"/>
        <v>10.7088</v>
      </c>
    </row>
    <row r="106" spans="1:14" ht="13.5" customHeight="1" x14ac:dyDescent="0.25">
      <c r="A106" s="566"/>
      <c r="B106" s="567"/>
      <c r="C106" s="567"/>
      <c r="D106" s="568"/>
      <c r="E106" s="1083"/>
      <c r="F106" s="1083"/>
      <c r="G106" s="1086"/>
      <c r="H106" s="1086"/>
      <c r="I106" s="574" t="s">
        <v>374</v>
      </c>
      <c r="J106" s="575">
        <v>0.625</v>
      </c>
      <c r="K106" s="576">
        <v>1.552</v>
      </c>
      <c r="L106" s="576">
        <v>6</v>
      </c>
      <c r="M106" s="576">
        <v>3</v>
      </c>
      <c r="N106" s="578">
        <f t="shared" si="2"/>
        <v>27.936000000000003</v>
      </c>
    </row>
    <row r="107" spans="1:14" ht="13.5" customHeight="1" x14ac:dyDescent="0.25">
      <c r="A107" s="566"/>
      <c r="B107" s="567"/>
      <c r="C107" s="567"/>
      <c r="D107" s="568"/>
      <c r="E107" s="1083"/>
      <c r="F107" s="1083"/>
      <c r="G107" s="1086"/>
      <c r="H107" s="1086"/>
      <c r="I107" s="574" t="s">
        <v>374</v>
      </c>
      <c r="J107" s="575">
        <v>0.625</v>
      </c>
      <c r="K107" s="576">
        <v>1.552</v>
      </c>
      <c r="L107" s="576">
        <v>5</v>
      </c>
      <c r="M107" s="576">
        <v>3</v>
      </c>
      <c r="N107" s="578">
        <f t="shared" si="2"/>
        <v>23.28</v>
      </c>
    </row>
    <row r="108" spans="1:14" ht="13.5" customHeight="1" x14ac:dyDescent="0.25">
      <c r="A108" s="566"/>
      <c r="B108" s="567"/>
      <c r="C108" s="567"/>
      <c r="D108" s="568"/>
      <c r="E108" s="1083"/>
      <c r="F108" s="1083"/>
      <c r="G108" s="1086"/>
      <c r="H108" s="1086"/>
      <c r="I108" s="574" t="s">
        <v>374</v>
      </c>
      <c r="J108" s="575">
        <v>0.375</v>
      </c>
      <c r="K108" s="576">
        <v>0.56000000000000005</v>
      </c>
      <c r="L108" s="576">
        <v>1.28</v>
      </c>
      <c r="M108" s="576">
        <v>70</v>
      </c>
      <c r="N108" s="578">
        <f t="shared" si="2"/>
        <v>50.176000000000009</v>
      </c>
    </row>
    <row r="109" spans="1:14" ht="13.5" customHeight="1" x14ac:dyDescent="0.25">
      <c r="A109" s="566"/>
      <c r="B109" s="567"/>
      <c r="C109" s="567"/>
      <c r="D109" s="568"/>
      <c r="E109" s="1083"/>
      <c r="F109" s="1083"/>
      <c r="G109" s="1086"/>
      <c r="H109" s="1086"/>
      <c r="I109" s="574" t="s">
        <v>374</v>
      </c>
      <c r="J109" s="575">
        <v>0.75</v>
      </c>
      <c r="K109" s="576">
        <v>2.2349999999999999</v>
      </c>
      <c r="L109" s="576">
        <v>4</v>
      </c>
      <c r="M109" s="576">
        <f>3*5</f>
        <v>15</v>
      </c>
      <c r="N109" s="578">
        <f t="shared" si="2"/>
        <v>134.1</v>
      </c>
    </row>
    <row r="110" spans="1:14" ht="13.5" customHeight="1" x14ac:dyDescent="0.25">
      <c r="A110" s="566"/>
      <c r="B110" s="567"/>
      <c r="C110" s="567"/>
      <c r="D110" s="568"/>
      <c r="E110" s="1083"/>
      <c r="F110" s="1083"/>
      <c r="G110" s="1086"/>
      <c r="H110" s="1086"/>
      <c r="I110" s="574" t="s">
        <v>374</v>
      </c>
      <c r="J110" s="575">
        <v>0.625</v>
      </c>
      <c r="K110" s="576">
        <v>1.552</v>
      </c>
      <c r="L110" s="576">
        <v>3.5</v>
      </c>
      <c r="M110" s="576">
        <v>5</v>
      </c>
      <c r="N110" s="578">
        <f t="shared" si="2"/>
        <v>27.160000000000004</v>
      </c>
    </row>
    <row r="111" spans="1:14" ht="13.5" customHeight="1" x14ac:dyDescent="0.25">
      <c r="A111" s="566"/>
      <c r="B111" s="567"/>
      <c r="C111" s="567"/>
      <c r="D111" s="568"/>
      <c r="E111" s="1083"/>
      <c r="F111" s="1083"/>
      <c r="G111" s="1086"/>
      <c r="H111" s="1086"/>
      <c r="I111" s="574" t="s">
        <v>374</v>
      </c>
      <c r="J111" s="575">
        <v>0.75</v>
      </c>
      <c r="K111" s="576">
        <v>2.2349999999999999</v>
      </c>
      <c r="L111" s="576">
        <v>6</v>
      </c>
      <c r="M111" s="576">
        <f>3*5</f>
        <v>15</v>
      </c>
      <c r="N111" s="578">
        <f t="shared" si="2"/>
        <v>201.15</v>
      </c>
    </row>
    <row r="112" spans="1:14" ht="13.5" customHeight="1" x14ac:dyDescent="0.25">
      <c r="A112" s="566"/>
      <c r="B112" s="567"/>
      <c r="C112" s="567"/>
      <c r="D112" s="568"/>
      <c r="E112" s="1083"/>
      <c r="F112" s="1083"/>
      <c r="G112" s="1086"/>
      <c r="H112" s="1086"/>
      <c r="I112" s="574" t="s">
        <v>374</v>
      </c>
      <c r="J112" s="575">
        <v>0.75</v>
      </c>
      <c r="K112" s="576">
        <v>2.2349999999999999</v>
      </c>
      <c r="L112" s="576">
        <v>3.8</v>
      </c>
      <c r="M112" s="576">
        <f>3*5</f>
        <v>15</v>
      </c>
      <c r="N112" s="578">
        <f t="shared" si="2"/>
        <v>127.39499999999998</v>
      </c>
    </row>
    <row r="113" spans="1:16" ht="13.5" customHeight="1" x14ac:dyDescent="0.25">
      <c r="A113" s="566"/>
      <c r="B113" s="567"/>
      <c r="C113" s="567"/>
      <c r="D113" s="568"/>
      <c r="E113" s="1083"/>
      <c r="F113" s="1083"/>
      <c r="G113" s="1086"/>
      <c r="H113" s="1086"/>
      <c r="I113" s="574" t="s">
        <v>374</v>
      </c>
      <c r="J113" s="575">
        <v>0.75</v>
      </c>
      <c r="K113" s="576">
        <v>2.2349999999999999</v>
      </c>
      <c r="L113" s="576">
        <v>7</v>
      </c>
      <c r="M113" s="576">
        <f>3*5</f>
        <v>15</v>
      </c>
      <c r="N113" s="578">
        <f t="shared" si="2"/>
        <v>234.67499999999998</v>
      </c>
    </row>
    <row r="114" spans="1:16" ht="13.5" customHeight="1" x14ac:dyDescent="0.25">
      <c r="A114" s="566"/>
      <c r="B114" s="567"/>
      <c r="C114" s="567"/>
      <c r="D114" s="568"/>
      <c r="E114" s="1083"/>
      <c r="F114" s="1083"/>
      <c r="G114" s="1086"/>
      <c r="H114" s="1086"/>
      <c r="I114" s="574" t="s">
        <v>374</v>
      </c>
      <c r="J114" s="575">
        <v>0.75</v>
      </c>
      <c r="K114" s="576">
        <v>2.2349999999999999</v>
      </c>
      <c r="L114" s="576">
        <v>5.8</v>
      </c>
      <c r="M114" s="576">
        <f>3*5</f>
        <v>15</v>
      </c>
      <c r="N114" s="578">
        <f t="shared" si="2"/>
        <v>194.44499999999999</v>
      </c>
    </row>
    <row r="115" spans="1:16" ht="13.5" customHeight="1" x14ac:dyDescent="0.25">
      <c r="A115" s="566"/>
      <c r="B115" s="567"/>
      <c r="C115" s="567"/>
      <c r="D115" s="568"/>
      <c r="E115" s="1083"/>
      <c r="F115" s="1083"/>
      <c r="G115" s="1086"/>
      <c r="H115" s="1086"/>
      <c r="I115" s="574" t="s">
        <v>374</v>
      </c>
      <c r="J115" s="575">
        <v>0.375</v>
      </c>
      <c r="K115" s="576">
        <v>0.56000000000000005</v>
      </c>
      <c r="L115" s="576">
        <v>1.28</v>
      </c>
      <c r="M115" s="576">
        <f>5*87</f>
        <v>435</v>
      </c>
      <c r="N115" s="578">
        <f t="shared" si="2"/>
        <v>311.80800000000005</v>
      </c>
    </row>
    <row r="116" spans="1:16" ht="13.5" customHeight="1" x14ac:dyDescent="0.25">
      <c r="A116" s="566"/>
      <c r="B116" s="567"/>
      <c r="C116" s="567"/>
      <c r="D116" s="568"/>
      <c r="E116" s="1083"/>
      <c r="F116" s="1083"/>
      <c r="G116" s="1085" t="s">
        <v>2138</v>
      </c>
      <c r="H116" s="1085"/>
      <c r="I116" s="569" t="s">
        <v>374</v>
      </c>
      <c r="J116" s="570">
        <v>0.625</v>
      </c>
      <c r="K116" s="571">
        <v>1.552</v>
      </c>
      <c r="L116" s="571">
        <f>6*19.2</f>
        <v>115.19999999999999</v>
      </c>
      <c r="M116" s="571">
        <v>2</v>
      </c>
      <c r="N116" s="573">
        <f t="shared" si="2"/>
        <v>357.58079999999995</v>
      </c>
    </row>
    <row r="117" spans="1:16" ht="13.5" customHeight="1" x14ac:dyDescent="0.25">
      <c r="A117" s="566"/>
      <c r="B117" s="567"/>
      <c r="C117" s="567"/>
      <c r="D117" s="568"/>
      <c r="E117" s="1083"/>
      <c r="F117" s="1083"/>
      <c r="G117" s="1085"/>
      <c r="H117" s="1085"/>
      <c r="I117" s="569" t="s">
        <v>374</v>
      </c>
      <c r="J117" s="570">
        <v>0.625</v>
      </c>
      <c r="K117" s="571">
        <v>1.552</v>
      </c>
      <c r="L117" s="571">
        <f>6*19.2</f>
        <v>115.19999999999999</v>
      </c>
      <c r="M117" s="571">
        <v>2</v>
      </c>
      <c r="N117" s="573">
        <f t="shared" si="2"/>
        <v>357.58079999999995</v>
      </c>
    </row>
    <row r="118" spans="1:16" ht="13.5" customHeight="1" x14ac:dyDescent="0.25">
      <c r="A118" s="566"/>
      <c r="B118" s="567"/>
      <c r="C118" s="567"/>
      <c r="D118" s="568"/>
      <c r="E118" s="1083"/>
      <c r="F118" s="1083"/>
      <c r="G118" s="1085"/>
      <c r="H118" s="1085"/>
      <c r="I118" s="569" t="s">
        <v>374</v>
      </c>
      <c r="J118" s="570">
        <v>0.375</v>
      </c>
      <c r="K118" s="571">
        <v>0.56000000000000005</v>
      </c>
      <c r="L118" s="571">
        <f>0.68*19.2</f>
        <v>13.056000000000001</v>
      </c>
      <c r="M118" s="571">
        <v>40</v>
      </c>
      <c r="N118" s="573">
        <f t="shared" si="2"/>
        <v>292.45440000000008</v>
      </c>
    </row>
    <row r="119" spans="1:16" ht="13.5" customHeight="1" x14ac:dyDescent="0.25">
      <c r="A119" s="566"/>
      <c r="B119" s="567"/>
      <c r="C119" s="567"/>
      <c r="D119" s="568"/>
      <c r="E119" s="1083"/>
      <c r="F119" s="1083"/>
      <c r="G119" s="1086" t="s">
        <v>2139</v>
      </c>
      <c r="H119" s="1086"/>
      <c r="I119" s="574" t="s">
        <v>374</v>
      </c>
      <c r="J119" s="575">
        <v>0.5</v>
      </c>
      <c r="K119" s="576">
        <v>0.99399999999999999</v>
      </c>
      <c r="L119" s="576">
        <v>11.29</v>
      </c>
      <c r="M119" s="576">
        <v>4</v>
      </c>
      <c r="N119" s="578">
        <f t="shared" si="2"/>
        <v>44.889039999999994</v>
      </c>
    </row>
    <row r="120" spans="1:16" ht="13.5" customHeight="1" x14ac:dyDescent="0.25">
      <c r="A120" s="566"/>
      <c r="B120" s="567"/>
      <c r="C120" s="567"/>
      <c r="D120" s="568"/>
      <c r="E120" s="1083"/>
      <c r="F120" s="1083"/>
      <c r="G120" s="1086"/>
      <c r="H120" s="1086"/>
      <c r="I120" s="574" t="s">
        <v>374</v>
      </c>
      <c r="J120" s="575">
        <v>0.5</v>
      </c>
      <c r="K120" s="576">
        <v>0.99399999999999999</v>
      </c>
      <c r="L120" s="576">
        <v>13.58</v>
      </c>
      <c r="M120" s="576">
        <v>3</v>
      </c>
      <c r="N120" s="578">
        <f t="shared" si="2"/>
        <v>40.495559999999998</v>
      </c>
    </row>
    <row r="121" spans="1:16" ht="13.5" customHeight="1" x14ac:dyDescent="0.25">
      <c r="A121" s="566"/>
      <c r="B121" s="567"/>
      <c r="C121" s="567"/>
      <c r="D121" s="568"/>
      <c r="E121" s="1084"/>
      <c r="F121" s="1084"/>
      <c r="G121" s="1086"/>
      <c r="H121" s="1086"/>
      <c r="I121" s="574" t="s">
        <v>374</v>
      </c>
      <c r="J121" s="575">
        <v>0.5</v>
      </c>
      <c r="K121" s="576">
        <v>0.99399999999999999</v>
      </c>
      <c r="L121" s="576">
        <v>9.68</v>
      </c>
      <c r="M121" s="576">
        <v>3</v>
      </c>
      <c r="N121" s="578">
        <f t="shared" si="2"/>
        <v>28.865759999999998</v>
      </c>
    </row>
    <row r="122" spans="1:16" ht="13.5" customHeight="1" x14ac:dyDescent="0.25">
      <c r="A122" s="566"/>
      <c r="B122" s="567"/>
      <c r="C122" s="567"/>
      <c r="D122" s="568"/>
      <c r="E122" s="1059" t="s">
        <v>2140</v>
      </c>
      <c r="F122" s="1060"/>
      <c r="G122" s="1043" t="s">
        <v>2141</v>
      </c>
      <c r="H122" s="1044"/>
      <c r="I122" s="569" t="s">
        <v>374</v>
      </c>
      <c r="J122" s="570">
        <v>0.5</v>
      </c>
      <c r="K122" s="571">
        <v>0.99399999999999999</v>
      </c>
      <c r="L122" s="571">
        <f>1.25*42</f>
        <v>52.5</v>
      </c>
      <c r="M122" s="571">
        <v>6</v>
      </c>
      <c r="N122" s="573">
        <f t="shared" si="2"/>
        <v>313.11</v>
      </c>
    </row>
    <row r="123" spans="1:16" ht="13.5" customHeight="1" x14ac:dyDescent="0.25">
      <c r="A123" s="566"/>
      <c r="B123" s="567"/>
      <c r="C123" s="567"/>
      <c r="D123" s="568"/>
      <c r="E123" s="1061"/>
      <c r="F123" s="1062"/>
      <c r="G123" s="1047"/>
      <c r="H123" s="1048"/>
      <c r="I123" s="569" t="s">
        <v>374</v>
      </c>
      <c r="J123" s="570">
        <v>0.5</v>
      </c>
      <c r="K123" s="571">
        <v>0.99399999999999999</v>
      </c>
      <c r="L123" s="571">
        <f>1.25*42</f>
        <v>52.5</v>
      </c>
      <c r="M123" s="571">
        <v>6</v>
      </c>
      <c r="N123" s="573">
        <f t="shared" si="2"/>
        <v>313.11</v>
      </c>
    </row>
    <row r="124" spans="1:16" ht="13.5" customHeight="1" x14ac:dyDescent="0.25">
      <c r="A124" s="566"/>
      <c r="B124" s="567"/>
      <c r="C124" s="567"/>
      <c r="D124" s="568"/>
      <c r="E124" s="1061"/>
      <c r="F124" s="1062"/>
      <c r="G124" s="1065" t="s">
        <v>2133</v>
      </c>
      <c r="H124" s="1066"/>
      <c r="I124" s="581" t="s">
        <v>374</v>
      </c>
      <c r="J124" s="582">
        <v>0.5</v>
      </c>
      <c r="K124" s="583">
        <v>0.99399999999999999</v>
      </c>
      <c r="L124" s="583">
        <f>1.1*42</f>
        <v>46.2</v>
      </c>
      <c r="M124" s="583">
        <f>2*8</f>
        <v>16</v>
      </c>
      <c r="N124" s="584">
        <f t="shared" si="2"/>
        <v>734.76480000000004</v>
      </c>
    </row>
    <row r="125" spans="1:16" ht="13.5" customHeight="1" x14ac:dyDescent="0.25">
      <c r="A125" s="566"/>
      <c r="B125" s="567"/>
      <c r="C125" s="567"/>
      <c r="D125" s="568"/>
      <c r="E125" s="1061"/>
      <c r="F125" s="1062"/>
      <c r="G125" s="1067"/>
      <c r="H125" s="1068"/>
      <c r="I125" s="581" t="s">
        <v>374</v>
      </c>
      <c r="J125" s="582">
        <v>0.5</v>
      </c>
      <c r="K125" s="583">
        <v>0.99399999999999999</v>
      </c>
      <c r="L125" s="583">
        <f>2.55*42</f>
        <v>107.1</v>
      </c>
      <c r="M125" s="583">
        <f>2*8</f>
        <v>16</v>
      </c>
      <c r="N125" s="584">
        <f t="shared" si="2"/>
        <v>1703.3183999999999</v>
      </c>
    </row>
    <row r="126" spans="1:16" ht="13.5" customHeight="1" x14ac:dyDescent="0.25">
      <c r="A126" s="566"/>
      <c r="B126" s="567"/>
      <c r="C126" s="567"/>
      <c r="D126" s="568"/>
      <c r="E126" s="1061"/>
      <c r="F126" s="1062"/>
      <c r="G126" s="1067"/>
      <c r="H126" s="1068"/>
      <c r="I126" s="581" t="s">
        <v>374</v>
      </c>
      <c r="J126" s="582">
        <v>0.375</v>
      </c>
      <c r="K126" s="583">
        <v>0.56000000000000005</v>
      </c>
      <c r="L126" s="583">
        <f>0.93*42</f>
        <v>39.06</v>
      </c>
      <c r="M126" s="583">
        <f>2*49</f>
        <v>98</v>
      </c>
      <c r="N126" s="584">
        <f t="shared" si="2"/>
        <v>2143.6128000000003</v>
      </c>
    </row>
    <row r="127" spans="1:16" ht="13.5" customHeight="1" x14ac:dyDescent="0.25">
      <c r="A127" s="566"/>
      <c r="B127" s="567"/>
      <c r="C127" s="567"/>
      <c r="D127" s="568"/>
      <c r="E127" s="1061"/>
      <c r="F127" s="1062"/>
      <c r="G127" s="1069"/>
      <c r="H127" s="1070"/>
      <c r="I127" s="581" t="s">
        <v>374</v>
      </c>
      <c r="J127" s="582">
        <v>0.375</v>
      </c>
      <c r="K127" s="583">
        <v>0.56000000000000005</v>
      </c>
      <c r="L127" s="583">
        <f>0.37*42</f>
        <v>15.54</v>
      </c>
      <c r="M127" s="583">
        <f>2*98</f>
        <v>196</v>
      </c>
      <c r="N127" s="584">
        <f t="shared" si="2"/>
        <v>1705.6704000000002</v>
      </c>
      <c r="P127" s="585"/>
    </row>
    <row r="128" spans="1:16" ht="13.5" customHeight="1" x14ac:dyDescent="0.25">
      <c r="A128" s="566"/>
      <c r="B128" s="567"/>
      <c r="C128" s="567"/>
      <c r="D128" s="568"/>
      <c r="E128" s="1061"/>
      <c r="F128" s="1062"/>
      <c r="G128" s="1043" t="s">
        <v>2142</v>
      </c>
      <c r="H128" s="1044"/>
      <c r="I128" s="569" t="s">
        <v>374</v>
      </c>
      <c r="J128" s="570">
        <v>0.5</v>
      </c>
      <c r="K128" s="571">
        <v>0.99399999999999999</v>
      </c>
      <c r="L128" s="571">
        <f>3.23*83</f>
        <v>268.08999999999997</v>
      </c>
      <c r="M128" s="571">
        <v>2</v>
      </c>
      <c r="N128" s="573">
        <f t="shared" si="2"/>
        <v>532.96291999999994</v>
      </c>
    </row>
    <row r="129" spans="1:14" ht="13.5" customHeight="1" x14ac:dyDescent="0.25">
      <c r="A129" s="566"/>
      <c r="B129" s="567"/>
      <c r="C129" s="567"/>
      <c r="D129" s="568"/>
      <c r="E129" s="1061"/>
      <c r="F129" s="1062"/>
      <c r="G129" s="1045"/>
      <c r="H129" s="1046"/>
      <c r="I129" s="569" t="s">
        <v>374</v>
      </c>
      <c r="J129" s="570">
        <v>0.5</v>
      </c>
      <c r="K129" s="571">
        <v>0.99399999999999999</v>
      </c>
      <c r="L129" s="571">
        <f>3.23*83</f>
        <v>268.08999999999997</v>
      </c>
      <c r="M129" s="571">
        <v>2</v>
      </c>
      <c r="N129" s="573">
        <f t="shared" si="2"/>
        <v>532.96291999999994</v>
      </c>
    </row>
    <row r="130" spans="1:14" ht="13.5" customHeight="1" x14ac:dyDescent="0.25">
      <c r="A130" s="566"/>
      <c r="B130" s="567"/>
      <c r="C130" s="567"/>
      <c r="D130" s="568"/>
      <c r="E130" s="1061"/>
      <c r="F130" s="1062"/>
      <c r="G130" s="1047"/>
      <c r="H130" s="1048"/>
      <c r="I130" s="569" t="s">
        <v>374</v>
      </c>
      <c r="J130" s="570">
        <v>0.375</v>
      </c>
      <c r="K130" s="571">
        <v>0.56000000000000005</v>
      </c>
      <c r="L130" s="571">
        <f>0.88*83</f>
        <v>73.040000000000006</v>
      </c>
      <c r="M130" s="571">
        <v>41</v>
      </c>
      <c r="N130" s="573">
        <f t="shared" si="2"/>
        <v>1676.9984000000004</v>
      </c>
    </row>
    <row r="131" spans="1:14" ht="13.5" customHeight="1" x14ac:dyDescent="0.25">
      <c r="A131" s="566"/>
      <c r="B131" s="567"/>
      <c r="C131" s="567"/>
      <c r="D131" s="568"/>
      <c r="E131" s="1061"/>
      <c r="F131" s="1062"/>
      <c r="G131" s="1065" t="s">
        <v>2143</v>
      </c>
      <c r="H131" s="1066"/>
      <c r="I131" s="581" t="s">
        <v>374</v>
      </c>
      <c r="J131" s="582">
        <v>0.5</v>
      </c>
      <c r="K131" s="583">
        <v>0.99399999999999999</v>
      </c>
      <c r="L131" s="583">
        <f>3.23*83</f>
        <v>268.08999999999997</v>
      </c>
      <c r="M131" s="583">
        <v>1</v>
      </c>
      <c r="N131" s="584">
        <f t="shared" si="2"/>
        <v>266.48145999999997</v>
      </c>
    </row>
    <row r="132" spans="1:14" ht="13.5" customHeight="1" x14ac:dyDescent="0.25">
      <c r="A132" s="566"/>
      <c r="B132" s="567"/>
      <c r="C132" s="567"/>
      <c r="D132" s="568"/>
      <c r="E132" s="1061"/>
      <c r="F132" s="1062"/>
      <c r="G132" s="1067"/>
      <c r="H132" s="1068"/>
      <c r="I132" s="581" t="s">
        <v>374</v>
      </c>
      <c r="J132" s="582">
        <v>0.5</v>
      </c>
      <c r="K132" s="583">
        <v>0.99399999999999999</v>
      </c>
      <c r="L132" s="583">
        <f>3.23*83</f>
        <v>268.08999999999997</v>
      </c>
      <c r="M132" s="583">
        <v>1</v>
      </c>
      <c r="N132" s="584">
        <f t="shared" si="2"/>
        <v>266.48145999999997</v>
      </c>
    </row>
    <row r="133" spans="1:14" ht="13.5" customHeight="1" x14ac:dyDescent="0.25">
      <c r="A133" s="566"/>
      <c r="B133" s="567"/>
      <c r="C133" s="567"/>
      <c r="D133" s="568"/>
      <c r="E133" s="1063"/>
      <c r="F133" s="1064"/>
      <c r="G133" s="1069"/>
      <c r="H133" s="1070"/>
      <c r="I133" s="581" t="s">
        <v>374</v>
      </c>
      <c r="J133" s="582">
        <v>0.375</v>
      </c>
      <c r="K133" s="583">
        <v>0.56000000000000005</v>
      </c>
      <c r="L133" s="583">
        <f>0.4*83</f>
        <v>33.200000000000003</v>
      </c>
      <c r="M133" s="583">
        <v>4</v>
      </c>
      <c r="N133" s="584">
        <f t="shared" si="2"/>
        <v>74.368000000000009</v>
      </c>
    </row>
    <row r="134" spans="1:14" ht="13.5" customHeight="1" x14ac:dyDescent="0.25">
      <c r="A134" s="566"/>
      <c r="B134" s="567"/>
      <c r="C134" s="567"/>
      <c r="D134" s="568"/>
      <c r="E134" s="1071" t="s">
        <v>2144</v>
      </c>
      <c r="F134" s="1072"/>
      <c r="G134" s="1043" t="s">
        <v>2145</v>
      </c>
      <c r="H134" s="1044"/>
      <c r="I134" s="569" t="s">
        <v>374</v>
      </c>
      <c r="J134" s="570">
        <v>0.5</v>
      </c>
      <c r="K134" s="571">
        <v>0.99399999999999999</v>
      </c>
      <c r="L134" s="571">
        <v>1.25</v>
      </c>
      <c r="M134" s="571">
        <f>6*3</f>
        <v>18</v>
      </c>
      <c r="N134" s="573">
        <f t="shared" si="2"/>
        <v>22.364999999999998</v>
      </c>
    </row>
    <row r="135" spans="1:14" ht="13.5" customHeight="1" x14ac:dyDescent="0.25">
      <c r="A135" s="566"/>
      <c r="B135" s="567"/>
      <c r="C135" s="567"/>
      <c r="D135" s="568"/>
      <c r="E135" s="1073"/>
      <c r="F135" s="1074"/>
      <c r="G135" s="1047"/>
      <c r="H135" s="1048"/>
      <c r="I135" s="569" t="s">
        <v>374</v>
      </c>
      <c r="J135" s="570">
        <v>0.5</v>
      </c>
      <c r="K135" s="571">
        <v>0.99399999999999999</v>
      </c>
      <c r="L135" s="571">
        <v>1.25</v>
      </c>
      <c r="M135" s="571">
        <f>6*3</f>
        <v>18</v>
      </c>
      <c r="N135" s="573">
        <f t="shared" si="2"/>
        <v>22.364999999999998</v>
      </c>
    </row>
    <row r="136" spans="1:14" ht="13.5" customHeight="1" x14ac:dyDescent="0.25">
      <c r="A136" s="566"/>
      <c r="B136" s="567"/>
      <c r="C136" s="567"/>
      <c r="D136" s="568"/>
      <c r="E136" s="1073"/>
      <c r="F136" s="1074"/>
      <c r="G136" s="1077" t="s">
        <v>2133</v>
      </c>
      <c r="H136" s="1078"/>
      <c r="I136" s="586" t="s">
        <v>374</v>
      </c>
      <c r="J136" s="587">
        <v>0.5</v>
      </c>
      <c r="K136" s="588">
        <v>0.99399999999999999</v>
      </c>
      <c r="L136" s="588">
        <v>1.1000000000000001</v>
      </c>
      <c r="M136" s="588">
        <f>6*8</f>
        <v>48</v>
      </c>
      <c r="N136" s="589">
        <f t="shared" si="2"/>
        <v>52.483200000000011</v>
      </c>
    </row>
    <row r="137" spans="1:14" ht="13.5" customHeight="1" x14ac:dyDescent="0.25">
      <c r="A137" s="566"/>
      <c r="B137" s="567"/>
      <c r="C137" s="567"/>
      <c r="D137" s="568"/>
      <c r="E137" s="1073"/>
      <c r="F137" s="1074"/>
      <c r="G137" s="1079"/>
      <c r="H137" s="1080"/>
      <c r="I137" s="586" t="s">
        <v>374</v>
      </c>
      <c r="J137" s="587">
        <v>0.5</v>
      </c>
      <c r="K137" s="588">
        <v>0.99399999999999999</v>
      </c>
      <c r="L137" s="588">
        <v>2.2000000000000002</v>
      </c>
      <c r="M137" s="588">
        <f>6*8</f>
        <v>48</v>
      </c>
      <c r="N137" s="589">
        <f t="shared" si="2"/>
        <v>104.96640000000002</v>
      </c>
    </row>
    <row r="138" spans="1:14" ht="13.5" customHeight="1" x14ac:dyDescent="0.25">
      <c r="A138" s="566"/>
      <c r="B138" s="567"/>
      <c r="C138" s="567"/>
      <c r="D138" s="568"/>
      <c r="E138" s="1073"/>
      <c r="F138" s="1074"/>
      <c r="G138" s="1079"/>
      <c r="H138" s="1080"/>
      <c r="I138" s="586" t="s">
        <v>374</v>
      </c>
      <c r="J138" s="587">
        <v>0.5</v>
      </c>
      <c r="K138" s="588">
        <v>0.99399999999999999</v>
      </c>
      <c r="L138" s="588">
        <v>3.75</v>
      </c>
      <c r="M138" s="588">
        <f>6*8</f>
        <v>48</v>
      </c>
      <c r="N138" s="589">
        <f t="shared" si="2"/>
        <v>178.92000000000002</v>
      </c>
    </row>
    <row r="139" spans="1:14" ht="13.5" customHeight="1" x14ac:dyDescent="0.25">
      <c r="A139" s="566"/>
      <c r="B139" s="567"/>
      <c r="C139" s="567"/>
      <c r="D139" s="568"/>
      <c r="E139" s="1073"/>
      <c r="F139" s="1074"/>
      <c r="G139" s="1081"/>
      <c r="H139" s="1082"/>
      <c r="I139" s="586" t="s">
        <v>374</v>
      </c>
      <c r="J139" s="587">
        <v>0.375</v>
      </c>
      <c r="K139" s="588">
        <v>0.56000000000000005</v>
      </c>
      <c r="L139" s="588">
        <v>1.44</v>
      </c>
      <c r="M139" s="588">
        <f>6*87</f>
        <v>522</v>
      </c>
      <c r="N139" s="589">
        <f t="shared" ref="N139:N156" si="3">K139*L139*M139</f>
        <v>420.94080000000002</v>
      </c>
    </row>
    <row r="140" spans="1:14" ht="13.5" customHeight="1" x14ac:dyDescent="0.25">
      <c r="A140" s="566"/>
      <c r="B140" s="567"/>
      <c r="C140" s="567"/>
      <c r="D140" s="568"/>
      <c r="E140" s="1073"/>
      <c r="F140" s="1074"/>
      <c r="G140" s="1043" t="s">
        <v>2142</v>
      </c>
      <c r="H140" s="1044"/>
      <c r="I140" s="569" t="s">
        <v>374</v>
      </c>
      <c r="J140" s="570">
        <v>0.625</v>
      </c>
      <c r="K140" s="571">
        <v>1.552</v>
      </c>
      <c r="L140" s="571">
        <v>4.2</v>
      </c>
      <c r="M140" s="571">
        <f t="shared" ref="M140:M145" si="4">2*2</f>
        <v>4</v>
      </c>
      <c r="N140" s="590">
        <f t="shared" si="3"/>
        <v>26.073600000000003</v>
      </c>
    </row>
    <row r="141" spans="1:14" ht="13.5" customHeight="1" x14ac:dyDescent="0.25">
      <c r="A141" s="566"/>
      <c r="B141" s="567"/>
      <c r="C141" s="567"/>
      <c r="D141" s="568"/>
      <c r="E141" s="1073"/>
      <c r="F141" s="1074"/>
      <c r="G141" s="1045"/>
      <c r="H141" s="1046"/>
      <c r="I141" s="569" t="s">
        <v>374</v>
      </c>
      <c r="J141" s="570">
        <v>0.625</v>
      </c>
      <c r="K141" s="571">
        <v>1.552</v>
      </c>
      <c r="L141" s="571">
        <v>5.2</v>
      </c>
      <c r="M141" s="571">
        <f t="shared" si="4"/>
        <v>4</v>
      </c>
      <c r="N141" s="590">
        <f t="shared" si="3"/>
        <v>32.281600000000005</v>
      </c>
    </row>
    <row r="142" spans="1:14" ht="13.5" customHeight="1" x14ac:dyDescent="0.25">
      <c r="A142" s="566"/>
      <c r="B142" s="567"/>
      <c r="C142" s="567"/>
      <c r="D142" s="568"/>
      <c r="E142" s="1073"/>
      <c r="F142" s="1074"/>
      <c r="G142" s="1045"/>
      <c r="H142" s="1046"/>
      <c r="I142" s="569" t="s">
        <v>374</v>
      </c>
      <c r="J142" s="570">
        <v>0.625</v>
      </c>
      <c r="K142" s="571">
        <v>1.552</v>
      </c>
      <c r="L142" s="571">
        <v>2</v>
      </c>
      <c r="M142" s="571">
        <f t="shared" si="4"/>
        <v>4</v>
      </c>
      <c r="N142" s="590">
        <f t="shared" si="3"/>
        <v>12.416</v>
      </c>
    </row>
    <row r="143" spans="1:14" ht="13.5" customHeight="1" x14ac:dyDescent="0.25">
      <c r="A143" s="566"/>
      <c r="B143" s="567"/>
      <c r="C143" s="567"/>
      <c r="D143" s="568"/>
      <c r="E143" s="1073"/>
      <c r="F143" s="1074"/>
      <c r="G143" s="1045"/>
      <c r="H143" s="1046"/>
      <c r="I143" s="569" t="s">
        <v>374</v>
      </c>
      <c r="J143" s="570">
        <v>0.625</v>
      </c>
      <c r="K143" s="571">
        <v>1.552</v>
      </c>
      <c r="L143" s="571">
        <v>4.2</v>
      </c>
      <c r="M143" s="571">
        <f t="shared" si="4"/>
        <v>4</v>
      </c>
      <c r="N143" s="590">
        <f t="shared" si="3"/>
        <v>26.073600000000003</v>
      </c>
    </row>
    <row r="144" spans="1:14" ht="13.5" customHeight="1" x14ac:dyDescent="0.25">
      <c r="A144" s="566"/>
      <c r="B144" s="567"/>
      <c r="C144" s="567"/>
      <c r="D144" s="568"/>
      <c r="E144" s="1073"/>
      <c r="F144" s="1074"/>
      <c r="G144" s="1045"/>
      <c r="H144" s="1046"/>
      <c r="I144" s="569" t="s">
        <v>374</v>
      </c>
      <c r="J144" s="570">
        <v>0.625</v>
      </c>
      <c r="K144" s="571">
        <v>1.552</v>
      </c>
      <c r="L144" s="571">
        <v>5.2</v>
      </c>
      <c r="M144" s="571">
        <f t="shared" si="4"/>
        <v>4</v>
      </c>
      <c r="N144" s="590">
        <f t="shared" si="3"/>
        <v>32.281600000000005</v>
      </c>
    </row>
    <row r="145" spans="1:14" ht="13.5" customHeight="1" x14ac:dyDescent="0.25">
      <c r="A145" s="566"/>
      <c r="B145" s="567"/>
      <c r="C145" s="567"/>
      <c r="D145" s="568"/>
      <c r="E145" s="1073"/>
      <c r="F145" s="1074"/>
      <c r="G145" s="1045"/>
      <c r="H145" s="1046"/>
      <c r="I145" s="569" t="s">
        <v>374</v>
      </c>
      <c r="J145" s="570">
        <v>0.625</v>
      </c>
      <c r="K145" s="571">
        <v>1.552</v>
      </c>
      <c r="L145" s="571">
        <v>2</v>
      </c>
      <c r="M145" s="571">
        <f t="shared" si="4"/>
        <v>4</v>
      </c>
      <c r="N145" s="590">
        <f t="shared" si="3"/>
        <v>12.416</v>
      </c>
    </row>
    <row r="146" spans="1:14" ht="13.5" customHeight="1" x14ac:dyDescent="0.25">
      <c r="A146" s="566"/>
      <c r="B146" s="567"/>
      <c r="C146" s="567"/>
      <c r="D146" s="568"/>
      <c r="E146" s="1073"/>
      <c r="F146" s="1074"/>
      <c r="G146" s="1045"/>
      <c r="H146" s="1046"/>
      <c r="I146" s="569" t="s">
        <v>374</v>
      </c>
      <c r="J146" s="570">
        <v>0.375</v>
      </c>
      <c r="K146" s="571">
        <v>0.56000000000000005</v>
      </c>
      <c r="L146" s="571">
        <v>1.18</v>
      </c>
      <c r="M146" s="571">
        <f>2*71</f>
        <v>142</v>
      </c>
      <c r="N146" s="590">
        <f t="shared" si="3"/>
        <v>93.833600000000004</v>
      </c>
    </row>
    <row r="147" spans="1:14" ht="13.5" customHeight="1" x14ac:dyDescent="0.25">
      <c r="A147" s="566"/>
      <c r="B147" s="567"/>
      <c r="C147" s="567"/>
      <c r="D147" s="568"/>
      <c r="E147" s="1073"/>
      <c r="F147" s="1074"/>
      <c r="G147" s="1045"/>
      <c r="H147" s="1046"/>
      <c r="I147" s="569" t="s">
        <v>374</v>
      </c>
      <c r="J147" s="570">
        <v>0.625</v>
      </c>
      <c r="K147" s="571">
        <v>1.552</v>
      </c>
      <c r="L147" s="571">
        <v>4.53</v>
      </c>
      <c r="M147" s="571">
        <f>3*2</f>
        <v>6</v>
      </c>
      <c r="N147" s="590">
        <f t="shared" si="3"/>
        <v>42.18336</v>
      </c>
    </row>
    <row r="148" spans="1:14" ht="13.5" customHeight="1" x14ac:dyDescent="0.25">
      <c r="A148" s="566"/>
      <c r="B148" s="567"/>
      <c r="C148" s="567"/>
      <c r="D148" s="568"/>
      <c r="E148" s="1073"/>
      <c r="F148" s="1074"/>
      <c r="G148" s="1045"/>
      <c r="H148" s="1046"/>
      <c r="I148" s="569" t="s">
        <v>374</v>
      </c>
      <c r="J148" s="570">
        <v>0.625</v>
      </c>
      <c r="K148" s="571">
        <v>1.552</v>
      </c>
      <c r="L148" s="571">
        <v>4.9000000000000004</v>
      </c>
      <c r="M148" s="571">
        <f>3*2</f>
        <v>6</v>
      </c>
      <c r="N148" s="590">
        <f t="shared" si="3"/>
        <v>45.628800000000005</v>
      </c>
    </row>
    <row r="149" spans="1:14" ht="13.5" customHeight="1" x14ac:dyDescent="0.25">
      <c r="A149" s="566"/>
      <c r="B149" s="567"/>
      <c r="C149" s="567"/>
      <c r="D149" s="568"/>
      <c r="E149" s="1073"/>
      <c r="F149" s="1074"/>
      <c r="G149" s="1047"/>
      <c r="H149" s="1048"/>
      <c r="I149" s="569" t="s">
        <v>374</v>
      </c>
      <c r="J149" s="570">
        <v>0.375</v>
      </c>
      <c r="K149" s="571">
        <v>0.56000000000000005</v>
      </c>
      <c r="L149" s="571">
        <v>1.18</v>
      </c>
      <c r="M149" s="571">
        <f>3*32</f>
        <v>96</v>
      </c>
      <c r="N149" s="590">
        <f t="shared" si="3"/>
        <v>63.436800000000005</v>
      </c>
    </row>
    <row r="150" spans="1:14" ht="13.5" customHeight="1" x14ac:dyDescent="0.25">
      <c r="A150" s="566"/>
      <c r="B150" s="567"/>
      <c r="C150" s="567"/>
      <c r="D150" s="568"/>
      <c r="E150" s="1073"/>
      <c r="F150" s="1074"/>
      <c r="G150" s="1077" t="s">
        <v>2146</v>
      </c>
      <c r="H150" s="1078"/>
      <c r="I150" s="591" t="s">
        <v>374</v>
      </c>
      <c r="J150" s="592">
        <v>0.5</v>
      </c>
      <c r="K150" s="593">
        <v>0.99399999999999999</v>
      </c>
      <c r="L150" s="593">
        <v>4.53</v>
      </c>
      <c r="M150" s="593">
        <f>3*2</f>
        <v>6</v>
      </c>
      <c r="N150" s="594">
        <f t="shared" si="3"/>
        <v>27.016919999999999</v>
      </c>
    </row>
    <row r="151" spans="1:14" ht="13.5" customHeight="1" x14ac:dyDescent="0.25">
      <c r="A151" s="566"/>
      <c r="B151" s="567"/>
      <c r="C151" s="567"/>
      <c r="D151" s="568"/>
      <c r="E151" s="1073"/>
      <c r="F151" s="1074"/>
      <c r="G151" s="1079"/>
      <c r="H151" s="1080"/>
      <c r="I151" s="586" t="s">
        <v>374</v>
      </c>
      <c r="J151" s="587">
        <v>0.5</v>
      </c>
      <c r="K151" s="588">
        <v>0.99399999999999999</v>
      </c>
      <c r="L151" s="588">
        <v>4.9000000000000004</v>
      </c>
      <c r="M151" s="588">
        <f>3*2</f>
        <v>6</v>
      </c>
      <c r="N151" s="595">
        <f t="shared" si="3"/>
        <v>29.223600000000005</v>
      </c>
    </row>
    <row r="152" spans="1:14" ht="13.5" customHeight="1" x14ac:dyDescent="0.25">
      <c r="A152" s="566"/>
      <c r="B152" s="567"/>
      <c r="C152" s="567"/>
      <c r="D152" s="568"/>
      <c r="E152" s="1073"/>
      <c r="F152" s="1074"/>
      <c r="G152" s="1079"/>
      <c r="H152" s="1080"/>
      <c r="I152" s="586" t="s">
        <v>374</v>
      </c>
      <c r="J152" s="587">
        <v>0.375</v>
      </c>
      <c r="K152" s="588">
        <v>0.56000000000000005</v>
      </c>
      <c r="L152" s="588">
        <v>1.08</v>
      </c>
      <c r="M152" s="588">
        <f>3*32</f>
        <v>96</v>
      </c>
      <c r="N152" s="595">
        <f t="shared" si="3"/>
        <v>58.060800000000015</v>
      </c>
    </row>
    <row r="153" spans="1:14" ht="13.5" customHeight="1" x14ac:dyDescent="0.25">
      <c r="A153" s="566"/>
      <c r="B153" s="567"/>
      <c r="C153" s="567"/>
      <c r="D153" s="568"/>
      <c r="E153" s="1073"/>
      <c r="F153" s="1074"/>
      <c r="G153" s="1079"/>
      <c r="H153" s="1080"/>
      <c r="I153" s="586" t="s">
        <v>374</v>
      </c>
      <c r="J153" s="587">
        <v>0.5</v>
      </c>
      <c r="K153" s="588">
        <v>0.99399999999999999</v>
      </c>
      <c r="L153" s="588">
        <v>4.2</v>
      </c>
      <c r="M153" s="588">
        <f t="shared" ref="M153:M158" si="5">2*2</f>
        <v>4</v>
      </c>
      <c r="N153" s="595">
        <f t="shared" si="3"/>
        <v>16.699200000000001</v>
      </c>
    </row>
    <row r="154" spans="1:14" ht="13.5" customHeight="1" x14ac:dyDescent="0.25">
      <c r="A154" s="566"/>
      <c r="B154" s="567"/>
      <c r="C154" s="567"/>
      <c r="D154" s="568"/>
      <c r="E154" s="1073"/>
      <c r="F154" s="1074"/>
      <c r="G154" s="1079"/>
      <c r="H154" s="1080"/>
      <c r="I154" s="586" t="s">
        <v>374</v>
      </c>
      <c r="J154" s="587">
        <v>0.5</v>
      </c>
      <c r="K154" s="588">
        <v>0.99399999999999999</v>
      </c>
      <c r="L154" s="588">
        <v>5.2</v>
      </c>
      <c r="M154" s="588">
        <f t="shared" si="5"/>
        <v>4</v>
      </c>
      <c r="N154" s="595">
        <f t="shared" si="3"/>
        <v>20.6752</v>
      </c>
    </row>
    <row r="155" spans="1:14" ht="13.5" customHeight="1" x14ac:dyDescent="0.25">
      <c r="A155" s="566"/>
      <c r="B155" s="567"/>
      <c r="C155" s="567"/>
      <c r="D155" s="568"/>
      <c r="E155" s="1073"/>
      <c r="F155" s="1074"/>
      <c r="G155" s="1079"/>
      <c r="H155" s="1080"/>
      <c r="I155" s="586" t="s">
        <v>374</v>
      </c>
      <c r="J155" s="587">
        <v>0.5</v>
      </c>
      <c r="K155" s="588">
        <v>0.99399999999999999</v>
      </c>
      <c r="L155" s="588">
        <v>2</v>
      </c>
      <c r="M155" s="588">
        <f t="shared" si="5"/>
        <v>4</v>
      </c>
      <c r="N155" s="595">
        <f t="shared" si="3"/>
        <v>7.952</v>
      </c>
    </row>
    <row r="156" spans="1:14" ht="13.5" customHeight="1" x14ac:dyDescent="0.25">
      <c r="A156" s="566"/>
      <c r="B156" s="567"/>
      <c r="C156" s="567"/>
      <c r="D156" s="568"/>
      <c r="E156" s="1073"/>
      <c r="F156" s="1074"/>
      <c r="G156" s="1079"/>
      <c r="H156" s="1080"/>
      <c r="I156" s="586" t="s">
        <v>374</v>
      </c>
      <c r="J156" s="587">
        <v>0.5</v>
      </c>
      <c r="K156" s="588">
        <v>0.99399999999999999</v>
      </c>
      <c r="L156" s="588">
        <v>4.2</v>
      </c>
      <c r="M156" s="588">
        <f t="shared" si="5"/>
        <v>4</v>
      </c>
      <c r="N156" s="595">
        <f t="shared" si="3"/>
        <v>16.699200000000001</v>
      </c>
    </row>
    <row r="157" spans="1:14" ht="13.5" customHeight="1" x14ac:dyDescent="0.25">
      <c r="A157" s="566"/>
      <c r="B157" s="567"/>
      <c r="C157" s="567"/>
      <c r="D157" s="568"/>
      <c r="E157" s="1073"/>
      <c r="F157" s="1074"/>
      <c r="G157" s="1079"/>
      <c r="H157" s="1080"/>
      <c r="I157" s="586" t="s">
        <v>374</v>
      </c>
      <c r="J157" s="587">
        <v>0.5</v>
      </c>
      <c r="K157" s="588">
        <v>0.99399999999999999</v>
      </c>
      <c r="L157" s="588">
        <v>5.2</v>
      </c>
      <c r="M157" s="588">
        <f t="shared" si="5"/>
        <v>4</v>
      </c>
      <c r="N157" s="595">
        <f>K157*L157*M157</f>
        <v>20.6752</v>
      </c>
    </row>
    <row r="158" spans="1:14" ht="13.5" customHeight="1" x14ac:dyDescent="0.25">
      <c r="A158" s="566"/>
      <c r="B158" s="567"/>
      <c r="C158" s="567"/>
      <c r="D158" s="568"/>
      <c r="E158" s="1073"/>
      <c r="F158" s="1074"/>
      <c r="G158" s="1079"/>
      <c r="H158" s="1080"/>
      <c r="I158" s="586" t="s">
        <v>374</v>
      </c>
      <c r="J158" s="587">
        <v>0.5</v>
      </c>
      <c r="K158" s="588">
        <v>0.99399999999999999</v>
      </c>
      <c r="L158" s="588">
        <v>2</v>
      </c>
      <c r="M158" s="588">
        <f t="shared" si="5"/>
        <v>4</v>
      </c>
      <c r="N158" s="595">
        <f>K158*L158*M158</f>
        <v>7.952</v>
      </c>
    </row>
    <row r="159" spans="1:14" ht="13.5" customHeight="1" x14ac:dyDescent="0.25">
      <c r="A159" s="566"/>
      <c r="B159" s="567"/>
      <c r="C159" s="567"/>
      <c r="D159" s="568"/>
      <c r="E159" s="1075"/>
      <c r="F159" s="1076"/>
      <c r="G159" s="1081"/>
      <c r="H159" s="1082"/>
      <c r="I159" s="586" t="s">
        <v>374</v>
      </c>
      <c r="J159" s="587">
        <v>0.375</v>
      </c>
      <c r="K159" s="588">
        <v>0.56000000000000005</v>
      </c>
      <c r="L159" s="588">
        <v>1.08</v>
      </c>
      <c r="M159" s="588">
        <f>2*71</f>
        <v>142</v>
      </c>
      <c r="N159" s="595">
        <f>K159*L159*M159</f>
        <v>85.88160000000002</v>
      </c>
    </row>
    <row r="160" spans="1:14" s="599" customFormat="1" ht="13.5" customHeight="1" x14ac:dyDescent="0.25">
      <c r="A160" s="596"/>
      <c r="B160" s="597"/>
      <c r="C160" s="597"/>
      <c r="D160" s="598"/>
      <c r="E160" s="1037" t="s">
        <v>2147</v>
      </c>
      <c r="F160" s="1038"/>
      <c r="G160" s="1043" t="s">
        <v>2148</v>
      </c>
      <c r="H160" s="1044"/>
      <c r="I160" s="569" t="s">
        <v>374</v>
      </c>
      <c r="J160" s="570">
        <v>0.5</v>
      </c>
      <c r="K160" s="571">
        <v>0.99399999999999999</v>
      </c>
      <c r="L160" s="571">
        <v>4.93</v>
      </c>
      <c r="M160" s="571">
        <f>40*6</f>
        <v>240</v>
      </c>
      <c r="N160" s="573">
        <f>K160*L160*M160</f>
        <v>1176.1007999999999</v>
      </c>
    </row>
    <row r="161" spans="1:16" ht="13.5" customHeight="1" x14ac:dyDescent="0.25">
      <c r="A161" s="566"/>
      <c r="B161" s="567"/>
      <c r="C161" s="567"/>
      <c r="D161" s="600"/>
      <c r="E161" s="1039"/>
      <c r="F161" s="1040"/>
      <c r="G161" s="1045"/>
      <c r="H161" s="1046"/>
      <c r="I161" s="569" t="s">
        <v>374</v>
      </c>
      <c r="J161" s="570">
        <v>0.5</v>
      </c>
      <c r="K161" s="571">
        <v>0.99399999999999999</v>
      </c>
      <c r="L161" s="571">
        <v>1.35</v>
      </c>
      <c r="M161" s="571">
        <f>40*20</f>
        <v>800</v>
      </c>
      <c r="N161" s="573">
        <f t="shared" ref="N161:N169" si="6">K161*L161*M161</f>
        <v>1073.52</v>
      </c>
    </row>
    <row r="162" spans="1:16" ht="13.5" customHeight="1" x14ac:dyDescent="0.25">
      <c r="A162" s="566"/>
      <c r="B162" s="567"/>
      <c r="C162" s="567"/>
      <c r="D162" s="600"/>
      <c r="E162" s="1039"/>
      <c r="F162" s="1040"/>
      <c r="G162" s="1045"/>
      <c r="H162" s="1046"/>
      <c r="I162" s="569" t="s">
        <v>374</v>
      </c>
      <c r="J162" s="570">
        <v>0.75</v>
      </c>
      <c r="K162" s="571">
        <v>2.2349999999999999</v>
      </c>
      <c r="L162" s="571">
        <v>4.93</v>
      </c>
      <c r="M162" s="571">
        <f>40*4</f>
        <v>160</v>
      </c>
      <c r="N162" s="573">
        <f t="shared" si="6"/>
        <v>1762.9679999999998</v>
      </c>
    </row>
    <row r="163" spans="1:16" ht="13.5" customHeight="1" x14ac:dyDescent="0.25">
      <c r="A163" s="566"/>
      <c r="B163" s="567"/>
      <c r="C163" s="567"/>
      <c r="D163" s="600"/>
      <c r="E163" s="1039"/>
      <c r="F163" s="1040"/>
      <c r="G163" s="1045"/>
      <c r="H163" s="1046"/>
      <c r="I163" s="569" t="s">
        <v>374</v>
      </c>
      <c r="J163" s="570">
        <v>0.75</v>
      </c>
      <c r="K163" s="571">
        <v>2.2349999999999999</v>
      </c>
      <c r="L163" s="571">
        <v>2.5299999999999998</v>
      </c>
      <c r="M163" s="571">
        <f>40*4</f>
        <v>160</v>
      </c>
      <c r="N163" s="573">
        <f>K163*L163*M163</f>
        <v>904.72799999999995</v>
      </c>
    </row>
    <row r="164" spans="1:16" ht="13.5" customHeight="1" x14ac:dyDescent="0.25">
      <c r="A164" s="566"/>
      <c r="B164" s="567"/>
      <c r="C164" s="567"/>
      <c r="D164" s="600"/>
      <c r="E164" s="1039"/>
      <c r="F164" s="1040"/>
      <c r="G164" s="1047"/>
      <c r="H164" s="1048"/>
      <c r="I164" s="569" t="s">
        <v>374</v>
      </c>
      <c r="J164" s="570">
        <v>0.5</v>
      </c>
      <c r="K164" s="571">
        <v>0.99399999999999999</v>
      </c>
      <c r="L164" s="571">
        <v>1.35</v>
      </c>
      <c r="M164" s="571">
        <f>40*20</f>
        <v>800</v>
      </c>
      <c r="N164" s="573">
        <f>K164*L164*M164</f>
        <v>1073.52</v>
      </c>
    </row>
    <row r="165" spans="1:16" ht="13.5" customHeight="1" x14ac:dyDescent="0.25">
      <c r="A165" s="566"/>
      <c r="B165" s="567"/>
      <c r="C165" s="567"/>
      <c r="D165" s="600"/>
      <c r="E165" s="1039"/>
      <c r="F165" s="1040"/>
      <c r="G165" s="1049" t="s">
        <v>2149</v>
      </c>
      <c r="H165" s="1050"/>
      <c r="I165" s="601" t="s">
        <v>374</v>
      </c>
      <c r="J165" s="602">
        <v>0.625</v>
      </c>
      <c r="K165" s="603">
        <v>1.552</v>
      </c>
      <c r="L165" s="603">
        <v>3.5</v>
      </c>
      <c r="M165" s="603">
        <f>40*6</f>
        <v>240</v>
      </c>
      <c r="N165" s="604">
        <f>K165*L165*M165</f>
        <v>1303.68</v>
      </c>
    </row>
    <row r="166" spans="1:16" ht="13.5" customHeight="1" x14ac:dyDescent="0.25">
      <c r="A166" s="566"/>
      <c r="B166" s="567"/>
      <c r="C166" s="567"/>
      <c r="D166" s="600"/>
      <c r="E166" s="1039"/>
      <c r="F166" s="1040"/>
      <c r="G166" s="1051"/>
      <c r="H166" s="1052"/>
      <c r="I166" s="601" t="s">
        <v>374</v>
      </c>
      <c r="J166" s="602">
        <v>0.5</v>
      </c>
      <c r="K166" s="603">
        <v>0.99399999999999999</v>
      </c>
      <c r="L166" s="603">
        <v>1.35</v>
      </c>
      <c r="M166" s="603">
        <f>40*17</f>
        <v>680</v>
      </c>
      <c r="N166" s="604">
        <f>K166*L166*M166</f>
        <v>912.49200000000008</v>
      </c>
    </row>
    <row r="167" spans="1:16" ht="13.5" customHeight="1" x14ac:dyDescent="0.25">
      <c r="A167" s="566"/>
      <c r="B167" s="567"/>
      <c r="C167" s="567"/>
      <c r="D167" s="600"/>
      <c r="E167" s="1039"/>
      <c r="F167" s="1040"/>
      <c r="G167" s="1051"/>
      <c r="H167" s="1052"/>
      <c r="I167" s="601" t="s">
        <v>374</v>
      </c>
      <c r="J167" s="602">
        <v>0.625</v>
      </c>
      <c r="K167" s="603">
        <v>1.552</v>
      </c>
      <c r="L167" s="603">
        <v>3.5</v>
      </c>
      <c r="M167" s="603">
        <f>40*5</f>
        <v>200</v>
      </c>
      <c r="N167" s="604">
        <f>K167*L167*M167</f>
        <v>1086.4000000000001</v>
      </c>
    </row>
    <row r="168" spans="1:16" ht="13.5" customHeight="1" x14ac:dyDescent="0.25">
      <c r="A168" s="566"/>
      <c r="B168" s="567"/>
      <c r="C168" s="567"/>
      <c r="D168" s="600"/>
      <c r="E168" s="1039"/>
      <c r="F168" s="1040"/>
      <c r="G168" s="1053"/>
      <c r="H168" s="1054"/>
      <c r="I168" s="601" t="s">
        <v>374</v>
      </c>
      <c r="J168" s="602">
        <v>0.5</v>
      </c>
      <c r="K168" s="603">
        <v>0.99399999999999999</v>
      </c>
      <c r="L168" s="603">
        <v>1.35</v>
      </c>
      <c r="M168" s="603">
        <f>40*12</f>
        <v>480</v>
      </c>
      <c r="N168" s="604">
        <f t="shared" si="6"/>
        <v>644.11200000000008</v>
      </c>
    </row>
    <row r="169" spans="1:16" ht="13.5" customHeight="1" x14ac:dyDescent="0.25">
      <c r="A169" s="566"/>
      <c r="B169" s="567"/>
      <c r="C169" s="567"/>
      <c r="D169" s="600"/>
      <c r="E169" s="1039"/>
      <c r="F169" s="1040"/>
      <c r="G169" s="1043" t="s">
        <v>2150</v>
      </c>
      <c r="H169" s="1044"/>
      <c r="I169" s="569" t="s">
        <v>374</v>
      </c>
      <c r="J169" s="570">
        <v>0.75</v>
      </c>
      <c r="K169" s="571">
        <v>2.2349999999999999</v>
      </c>
      <c r="L169" s="571">
        <v>3.5</v>
      </c>
      <c r="M169" s="571">
        <f>40*20.4</f>
        <v>816</v>
      </c>
      <c r="N169" s="573">
        <f t="shared" si="6"/>
        <v>6383.16</v>
      </c>
      <c r="O169" s="863">
        <v>90</v>
      </c>
    </row>
    <row r="170" spans="1:16" ht="13.5" customHeight="1" x14ac:dyDescent="0.25">
      <c r="A170" s="566"/>
      <c r="B170" s="567"/>
      <c r="C170" s="567"/>
      <c r="D170" s="600"/>
      <c r="E170" s="1039"/>
      <c r="F170" s="1040"/>
      <c r="G170" s="1047"/>
      <c r="H170" s="1048"/>
      <c r="I170" s="569" t="s">
        <v>374</v>
      </c>
      <c r="J170" s="570">
        <v>0.375</v>
      </c>
      <c r="K170" s="571">
        <v>0.56000000000000005</v>
      </c>
      <c r="L170" s="571">
        <v>70</v>
      </c>
      <c r="M170" s="571">
        <f>40*0.85</f>
        <v>34</v>
      </c>
      <c r="N170" s="573">
        <f>K170*L170*M170</f>
        <v>1332.8000000000002</v>
      </c>
      <c r="O170" s="863">
        <v>3.5</v>
      </c>
    </row>
    <row r="171" spans="1:16" ht="13.5" customHeight="1" x14ac:dyDescent="0.25">
      <c r="A171" s="566"/>
      <c r="B171" s="567"/>
      <c r="C171" s="567"/>
      <c r="D171" s="600"/>
      <c r="E171" s="1039"/>
      <c r="F171" s="1040"/>
      <c r="G171" s="1049" t="s">
        <v>2151</v>
      </c>
      <c r="H171" s="1050"/>
      <c r="I171" s="601" t="s">
        <v>374</v>
      </c>
      <c r="J171" s="602">
        <v>0.75</v>
      </c>
      <c r="K171" s="603">
        <v>2.2349999999999999</v>
      </c>
      <c r="L171" s="603">
        <v>1.4</v>
      </c>
      <c r="M171" s="603">
        <f>40*4</f>
        <v>160</v>
      </c>
      <c r="N171" s="604">
        <f>K171*L171*M171</f>
        <v>500.63999999999993</v>
      </c>
    </row>
    <row r="172" spans="1:16" ht="13.5" customHeight="1" x14ac:dyDescent="0.25">
      <c r="A172" s="566"/>
      <c r="B172" s="567"/>
      <c r="C172" s="567"/>
      <c r="D172" s="600"/>
      <c r="E172" s="1039"/>
      <c r="F172" s="1040"/>
      <c r="G172" s="1051"/>
      <c r="H172" s="1052"/>
      <c r="I172" s="601" t="s">
        <v>374</v>
      </c>
      <c r="J172" s="602">
        <v>0.375</v>
      </c>
      <c r="K172" s="603">
        <v>0.56000000000000005</v>
      </c>
      <c r="L172" s="603">
        <v>2.1</v>
      </c>
      <c r="M172" s="603">
        <f>40*10</f>
        <v>400</v>
      </c>
      <c r="N172" s="604">
        <f>K172*L172*M172</f>
        <v>470.40000000000009</v>
      </c>
    </row>
    <row r="173" spans="1:16" ht="13.5" customHeight="1" x14ac:dyDescent="0.25">
      <c r="A173" s="566"/>
      <c r="B173" s="567"/>
      <c r="C173" s="567"/>
      <c r="D173" s="600"/>
      <c r="E173" s="1041"/>
      <c r="F173" s="1042"/>
      <c r="G173" s="1053"/>
      <c r="H173" s="1054"/>
      <c r="I173" s="601" t="s">
        <v>374</v>
      </c>
      <c r="J173" s="602">
        <v>0.75</v>
      </c>
      <c r="K173" s="603">
        <v>2.2349999999999999</v>
      </c>
      <c r="L173" s="603">
        <v>1.4</v>
      </c>
      <c r="M173" s="603">
        <f>40*4</f>
        <v>160</v>
      </c>
      <c r="N173" s="604">
        <f>K173*L173*M173</f>
        <v>500.63999999999993</v>
      </c>
    </row>
    <row r="174" spans="1:16" ht="16.5" thickBot="1" x14ac:dyDescent="0.3">
      <c r="A174" s="566"/>
      <c r="B174" s="567"/>
      <c r="C174" s="567"/>
      <c r="D174" s="600"/>
      <c r="E174" s="1055" t="s">
        <v>279</v>
      </c>
      <c r="F174" s="1056"/>
      <c r="G174" s="1057"/>
      <c r="H174" s="1057"/>
      <c r="I174" s="1056"/>
      <c r="J174" s="1056"/>
      <c r="K174" s="1056"/>
      <c r="L174" s="1056"/>
      <c r="M174" s="1058"/>
      <c r="N174" s="704">
        <f>SUM(N10:N173)</f>
        <v>42349.71516</v>
      </c>
      <c r="P174" s="605"/>
    </row>
    <row r="175" spans="1:16" ht="16.5" thickTop="1" x14ac:dyDescent="0.25">
      <c r="A175" s="566"/>
      <c r="B175" s="567"/>
      <c r="C175" s="567"/>
      <c r="D175" s="600"/>
      <c r="E175" s="1028" t="s">
        <v>2152</v>
      </c>
      <c r="F175" s="1029"/>
      <c r="G175" s="1029"/>
      <c r="H175" s="1029"/>
      <c r="I175" s="1029"/>
      <c r="J175" s="1029"/>
      <c r="K175" s="1029"/>
      <c r="L175" s="1029"/>
      <c r="M175" s="1029"/>
      <c r="N175" s="1030"/>
    </row>
    <row r="176" spans="1:16" ht="15.75" x14ac:dyDescent="0.25">
      <c r="A176" s="566"/>
      <c r="B176" s="567"/>
      <c r="C176" s="567"/>
      <c r="D176" s="600"/>
      <c r="E176" s="1031"/>
      <c r="F176" s="1032"/>
      <c r="G176" s="1032"/>
      <c r="H176" s="1032"/>
      <c r="I176" s="1032"/>
      <c r="J176" s="1032"/>
      <c r="K176" s="1032"/>
      <c r="L176" s="1032"/>
      <c r="M176" s="1032"/>
      <c r="N176" s="1033"/>
    </row>
    <row r="177" spans="1:14" ht="15.75" customHeight="1" thickBot="1" x14ac:dyDescent="0.3">
      <c r="A177" s="566"/>
      <c r="B177" s="567"/>
      <c r="C177" s="567"/>
      <c r="D177" s="600"/>
      <c r="E177" s="1034"/>
      <c r="F177" s="1035"/>
      <c r="G177" s="1035"/>
      <c r="H177" s="1035"/>
      <c r="I177" s="1035"/>
      <c r="J177" s="1035"/>
      <c r="K177" s="1035"/>
      <c r="L177" s="1035"/>
      <c r="M177" s="1035"/>
      <c r="N177" s="1036"/>
    </row>
    <row r="178" spans="1:14" ht="15" customHeight="1" thickTop="1" x14ac:dyDescent="0.25">
      <c r="A178" s="566"/>
      <c r="B178" s="567"/>
      <c r="C178" s="567"/>
      <c r="D178" s="600"/>
      <c r="E178" s="606"/>
      <c r="F178" s="607"/>
      <c r="G178" s="607"/>
      <c r="H178" s="608"/>
      <c r="I178" s="608"/>
      <c r="J178" s="608"/>
      <c r="K178" s="609"/>
      <c r="L178" s="610"/>
      <c r="M178" s="608"/>
      <c r="N178" s="611"/>
    </row>
    <row r="179" spans="1:14" ht="15" customHeight="1" x14ac:dyDescent="0.25">
      <c r="A179" s="566"/>
      <c r="B179" s="567"/>
      <c r="C179" s="567"/>
      <c r="D179" s="600"/>
      <c r="E179" s="612"/>
      <c r="F179" s="613"/>
      <c r="G179" s="613"/>
      <c r="H179" s="614"/>
      <c r="I179" s="614"/>
      <c r="J179" s="614"/>
      <c r="K179" s="615"/>
      <c r="L179" s="616"/>
      <c r="M179" s="617"/>
      <c r="N179" s="618"/>
    </row>
    <row r="180" spans="1:14" ht="15" customHeight="1" x14ac:dyDescent="0.25">
      <c r="A180" s="566"/>
      <c r="B180" s="567"/>
      <c r="C180" s="567"/>
      <c r="D180" s="600"/>
      <c r="E180" s="619" t="s">
        <v>2153</v>
      </c>
      <c r="F180" s="620"/>
      <c r="G180" s="620"/>
      <c r="H180" s="621"/>
      <c r="I180" s="614"/>
      <c r="J180" s="621" t="s">
        <v>2153</v>
      </c>
      <c r="K180" s="622"/>
      <c r="L180" s="623"/>
      <c r="M180" s="624"/>
      <c r="N180" s="618"/>
    </row>
    <row r="181" spans="1:14" ht="15.75" customHeight="1" x14ac:dyDescent="0.25">
      <c r="A181" s="566"/>
      <c r="B181" s="567"/>
      <c r="C181" s="567"/>
      <c r="D181" s="600"/>
      <c r="E181" s="612" t="s">
        <v>2154</v>
      </c>
      <c r="F181" s="625"/>
      <c r="G181" s="625"/>
      <c r="H181" s="626"/>
      <c r="I181" s="614"/>
      <c r="J181" s="614" t="s">
        <v>2154</v>
      </c>
      <c r="K181" s="615"/>
      <c r="L181" s="616"/>
      <c r="M181" s="617"/>
      <c r="N181" s="618"/>
    </row>
    <row r="182" spans="1:14" ht="15.75" customHeight="1" thickBot="1" x14ac:dyDescent="0.3">
      <c r="A182" s="566"/>
      <c r="B182" s="567"/>
      <c r="C182" s="567"/>
      <c r="D182" s="600"/>
      <c r="E182" s="627" t="s">
        <v>2155</v>
      </c>
      <c r="F182" s="628"/>
      <c r="G182" s="628"/>
      <c r="H182" s="629"/>
      <c r="I182" s="629"/>
      <c r="J182" s="629" t="s">
        <v>2156</v>
      </c>
      <c r="K182" s="630"/>
      <c r="L182" s="631"/>
      <c r="M182" s="630"/>
      <c r="N182" s="632"/>
    </row>
    <row r="183" spans="1:14" ht="15.75" customHeight="1" thickTop="1" x14ac:dyDescent="0.25">
      <c r="A183" s="566"/>
      <c r="B183" s="567"/>
      <c r="C183" s="567"/>
      <c r="D183" s="600"/>
      <c r="E183" s="612"/>
      <c r="F183" s="613"/>
      <c r="G183" s="613"/>
      <c r="H183" s="617"/>
      <c r="I183" s="617"/>
      <c r="J183" s="617"/>
      <c r="K183" s="615"/>
      <c r="L183" s="616"/>
      <c r="M183" s="615"/>
      <c r="N183" s="633"/>
    </row>
    <row r="184" spans="1:14" ht="15.75" customHeight="1" x14ac:dyDescent="0.25">
      <c r="A184" s="566"/>
      <c r="B184" s="567"/>
      <c r="C184" s="567"/>
      <c r="D184" s="600"/>
      <c r="E184" s="619" t="s">
        <v>2153</v>
      </c>
      <c r="F184" s="620"/>
      <c r="G184" s="620"/>
      <c r="H184" s="621"/>
      <c r="I184" s="614"/>
      <c r="J184" s="621" t="s">
        <v>2153</v>
      </c>
      <c r="K184" s="622"/>
      <c r="L184" s="623"/>
      <c r="M184" s="624"/>
      <c r="N184" s="633"/>
    </row>
    <row r="185" spans="1:14" ht="14.45" customHeight="1" x14ac:dyDescent="0.25">
      <c r="A185" s="566"/>
      <c r="B185" s="567"/>
      <c r="C185" s="567"/>
      <c r="D185" s="600"/>
      <c r="E185" s="612" t="s">
        <v>2154</v>
      </c>
      <c r="F185" s="613"/>
      <c r="G185" s="613"/>
      <c r="H185" s="614"/>
      <c r="I185" s="614"/>
      <c r="J185" s="614" t="s">
        <v>2154</v>
      </c>
      <c r="K185" s="615"/>
      <c r="L185" s="616"/>
      <c r="M185" s="617"/>
      <c r="N185" s="618"/>
    </row>
    <row r="186" spans="1:14" ht="15" customHeight="1" thickBot="1" x14ac:dyDescent="0.3">
      <c r="A186" s="634"/>
      <c r="B186" s="635"/>
      <c r="C186" s="635"/>
      <c r="D186" s="636"/>
      <c r="E186" s="637" t="s">
        <v>2157</v>
      </c>
      <c r="F186" s="638"/>
      <c r="G186" s="638"/>
      <c r="H186" s="639"/>
      <c r="I186" s="639"/>
      <c r="J186" s="639" t="s">
        <v>2158</v>
      </c>
      <c r="K186" s="640"/>
      <c r="L186" s="641"/>
      <c r="M186" s="639"/>
      <c r="N186" s="642"/>
    </row>
  </sheetData>
  <mergeCells count="48">
    <mergeCell ref="A1:J1"/>
    <mergeCell ref="A2:J2"/>
    <mergeCell ref="K2:N3"/>
    <mergeCell ref="A3:J3"/>
    <mergeCell ref="A4:B5"/>
    <mergeCell ref="C4:I5"/>
    <mergeCell ref="J4:K5"/>
    <mergeCell ref="L4:N5"/>
    <mergeCell ref="N8:N9"/>
    <mergeCell ref="A6:B6"/>
    <mergeCell ref="C6:G6"/>
    <mergeCell ref="H6:I6"/>
    <mergeCell ref="J6:N6"/>
    <mergeCell ref="B7:D7"/>
    <mergeCell ref="F7:J7"/>
    <mergeCell ref="A8:D8"/>
    <mergeCell ref="E8:F9"/>
    <mergeCell ref="G8:H9"/>
    <mergeCell ref="I8:I9"/>
    <mergeCell ref="J8:M8"/>
    <mergeCell ref="E10:F121"/>
    <mergeCell ref="G10:H10"/>
    <mergeCell ref="G11:H19"/>
    <mergeCell ref="G20:H22"/>
    <mergeCell ref="G23:H23"/>
    <mergeCell ref="G24:H45"/>
    <mergeCell ref="G46:H115"/>
    <mergeCell ref="G116:H118"/>
    <mergeCell ref="G119:H121"/>
    <mergeCell ref="E134:F159"/>
    <mergeCell ref="G134:H135"/>
    <mergeCell ref="G136:H139"/>
    <mergeCell ref="G140:H149"/>
    <mergeCell ref="G150:H159"/>
    <mergeCell ref="E122:F133"/>
    <mergeCell ref="G122:H123"/>
    <mergeCell ref="G124:H127"/>
    <mergeCell ref="G128:H130"/>
    <mergeCell ref="G131:H133"/>
    <mergeCell ref="E175:N175"/>
    <mergeCell ref="E176:N176"/>
    <mergeCell ref="E177:N177"/>
    <mergeCell ref="E160:F173"/>
    <mergeCell ref="G160:H164"/>
    <mergeCell ref="G165:H168"/>
    <mergeCell ref="G169:H170"/>
    <mergeCell ref="G171:H173"/>
    <mergeCell ref="E174:M174"/>
  </mergeCells>
  <pageMargins left="0.31496062992125984" right="0.39370078740157483" top="0.39370078740157483" bottom="0.51181102362204722" header="0.31496062992125984" footer="0.31496062992125984"/>
  <pageSetup paperSize="9" scale="85" orientation="portrait" horizontalDpi="4294967293"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P34"/>
  <sheetViews>
    <sheetView topLeftCell="B7" zoomScaleNormal="100" zoomScalePageLayoutView="110" workbookViewId="0">
      <selection activeCell="P14" sqref="P14"/>
    </sheetView>
  </sheetViews>
  <sheetFormatPr baseColWidth="10" defaultRowHeight="15" x14ac:dyDescent="0.25"/>
  <cols>
    <col min="1" max="1" width="9.28515625" customWidth="1"/>
    <col min="2" max="2" width="8.28515625" customWidth="1"/>
    <col min="3" max="3" width="11.85546875" customWidth="1"/>
    <col min="4" max="4" width="7.85546875" customWidth="1"/>
    <col min="5" max="5" width="13" customWidth="1"/>
    <col min="6" max="6" width="7" customWidth="1"/>
    <col min="7" max="7" width="13" customWidth="1"/>
    <col min="8" max="8" width="8.7109375" customWidth="1"/>
    <col min="9" max="9" width="6.42578125" customWidth="1"/>
    <col min="10" max="10" width="24.28515625" customWidth="1"/>
    <col min="11" max="11" width="9.42578125" style="580" customWidth="1"/>
    <col min="12" max="12" width="9" style="643" customWidth="1"/>
    <col min="13" max="13" width="9" customWidth="1"/>
    <col min="14" max="14" width="14.7109375" bestFit="1" customWidth="1"/>
    <col min="16" max="16" width="12.42578125" bestFit="1" customWidth="1"/>
    <col min="257" max="257" width="9.28515625" customWidth="1"/>
    <col min="258" max="258" width="8.28515625" customWidth="1"/>
    <col min="259" max="259" width="11.85546875" customWidth="1"/>
    <col min="260" max="260" width="7.85546875" customWidth="1"/>
    <col min="261" max="261" width="13" customWidth="1"/>
    <col min="262" max="262" width="7" customWidth="1"/>
    <col min="263" max="263" width="13" customWidth="1"/>
    <col min="264" max="264" width="8.7109375" customWidth="1"/>
    <col min="265" max="265" width="6.42578125" customWidth="1"/>
    <col min="266" max="266" width="24.28515625" customWidth="1"/>
    <col min="267" max="267" width="9.42578125" customWidth="1"/>
    <col min="268" max="269" width="9" customWidth="1"/>
    <col min="270" max="270" width="14.7109375" bestFit="1" customWidth="1"/>
    <col min="272" max="272" width="12.42578125" bestFit="1" customWidth="1"/>
    <col min="513" max="513" width="9.28515625" customWidth="1"/>
    <col min="514" max="514" width="8.28515625" customWidth="1"/>
    <col min="515" max="515" width="11.85546875" customWidth="1"/>
    <col min="516" max="516" width="7.85546875" customWidth="1"/>
    <col min="517" max="517" width="13" customWidth="1"/>
    <col min="518" max="518" width="7" customWidth="1"/>
    <col min="519" max="519" width="13" customWidth="1"/>
    <col min="520" max="520" width="8.7109375" customWidth="1"/>
    <col min="521" max="521" width="6.42578125" customWidth="1"/>
    <col min="522" max="522" width="24.28515625" customWidth="1"/>
    <col min="523" max="523" width="9.42578125" customWidth="1"/>
    <col min="524" max="525" width="9" customWidth="1"/>
    <col min="526" max="526" width="14.7109375" bestFit="1" customWidth="1"/>
    <col min="528" max="528" width="12.42578125" bestFit="1" customWidth="1"/>
    <col min="769" max="769" width="9.28515625" customWidth="1"/>
    <col min="770" max="770" width="8.28515625" customWidth="1"/>
    <col min="771" max="771" width="11.85546875" customWidth="1"/>
    <col min="772" max="772" width="7.85546875" customWidth="1"/>
    <col min="773" max="773" width="13" customWidth="1"/>
    <col min="774" max="774" width="7" customWidth="1"/>
    <col min="775" max="775" width="13" customWidth="1"/>
    <col min="776" max="776" width="8.7109375" customWidth="1"/>
    <col min="777" max="777" width="6.42578125" customWidth="1"/>
    <col min="778" max="778" width="24.28515625" customWidth="1"/>
    <col min="779" max="779" width="9.42578125" customWidth="1"/>
    <col min="780" max="781" width="9" customWidth="1"/>
    <col min="782" max="782" width="14.7109375" bestFit="1" customWidth="1"/>
    <col min="784" max="784" width="12.42578125" bestFit="1" customWidth="1"/>
    <col min="1025" max="1025" width="9.28515625" customWidth="1"/>
    <col min="1026" max="1026" width="8.28515625" customWidth="1"/>
    <col min="1027" max="1027" width="11.85546875" customWidth="1"/>
    <col min="1028" max="1028" width="7.85546875" customWidth="1"/>
    <col min="1029" max="1029" width="13" customWidth="1"/>
    <col min="1030" max="1030" width="7" customWidth="1"/>
    <col min="1031" max="1031" width="13" customWidth="1"/>
    <col min="1032" max="1032" width="8.7109375" customWidth="1"/>
    <col min="1033" max="1033" width="6.42578125" customWidth="1"/>
    <col min="1034" max="1034" width="24.28515625" customWidth="1"/>
    <col min="1035" max="1035" width="9.42578125" customWidth="1"/>
    <col min="1036" max="1037" width="9" customWidth="1"/>
    <col min="1038" max="1038" width="14.7109375" bestFit="1" customWidth="1"/>
    <col min="1040" max="1040" width="12.42578125" bestFit="1" customWidth="1"/>
    <col min="1281" max="1281" width="9.28515625" customWidth="1"/>
    <col min="1282" max="1282" width="8.28515625" customWidth="1"/>
    <col min="1283" max="1283" width="11.85546875" customWidth="1"/>
    <col min="1284" max="1284" width="7.85546875" customWidth="1"/>
    <col min="1285" max="1285" width="13" customWidth="1"/>
    <col min="1286" max="1286" width="7" customWidth="1"/>
    <col min="1287" max="1287" width="13" customWidth="1"/>
    <col min="1288" max="1288" width="8.7109375" customWidth="1"/>
    <col min="1289" max="1289" width="6.42578125" customWidth="1"/>
    <col min="1290" max="1290" width="24.28515625" customWidth="1"/>
    <col min="1291" max="1291" width="9.42578125" customWidth="1"/>
    <col min="1292" max="1293" width="9" customWidth="1"/>
    <col min="1294" max="1294" width="14.7109375" bestFit="1" customWidth="1"/>
    <col min="1296" max="1296" width="12.42578125" bestFit="1" customWidth="1"/>
    <col min="1537" max="1537" width="9.28515625" customWidth="1"/>
    <col min="1538" max="1538" width="8.28515625" customWidth="1"/>
    <col min="1539" max="1539" width="11.85546875" customWidth="1"/>
    <col min="1540" max="1540" width="7.85546875" customWidth="1"/>
    <col min="1541" max="1541" width="13" customWidth="1"/>
    <col min="1542" max="1542" width="7" customWidth="1"/>
    <col min="1543" max="1543" width="13" customWidth="1"/>
    <col min="1544" max="1544" width="8.7109375" customWidth="1"/>
    <col min="1545" max="1545" width="6.42578125" customWidth="1"/>
    <col min="1546" max="1546" width="24.28515625" customWidth="1"/>
    <col min="1547" max="1547" width="9.42578125" customWidth="1"/>
    <col min="1548" max="1549" width="9" customWidth="1"/>
    <col min="1550" max="1550" width="14.7109375" bestFit="1" customWidth="1"/>
    <col min="1552" max="1552" width="12.42578125" bestFit="1" customWidth="1"/>
    <col min="1793" max="1793" width="9.28515625" customWidth="1"/>
    <col min="1794" max="1794" width="8.28515625" customWidth="1"/>
    <col min="1795" max="1795" width="11.85546875" customWidth="1"/>
    <col min="1796" max="1796" width="7.85546875" customWidth="1"/>
    <col min="1797" max="1797" width="13" customWidth="1"/>
    <col min="1798" max="1798" width="7" customWidth="1"/>
    <col min="1799" max="1799" width="13" customWidth="1"/>
    <col min="1800" max="1800" width="8.7109375" customWidth="1"/>
    <col min="1801" max="1801" width="6.42578125" customWidth="1"/>
    <col min="1802" max="1802" width="24.28515625" customWidth="1"/>
    <col min="1803" max="1803" width="9.42578125" customWidth="1"/>
    <col min="1804" max="1805" width="9" customWidth="1"/>
    <col min="1806" max="1806" width="14.7109375" bestFit="1" customWidth="1"/>
    <col min="1808" max="1808" width="12.42578125" bestFit="1" customWidth="1"/>
    <col min="2049" max="2049" width="9.28515625" customWidth="1"/>
    <col min="2050" max="2050" width="8.28515625" customWidth="1"/>
    <col min="2051" max="2051" width="11.85546875" customWidth="1"/>
    <col min="2052" max="2052" width="7.85546875" customWidth="1"/>
    <col min="2053" max="2053" width="13" customWidth="1"/>
    <col min="2054" max="2054" width="7" customWidth="1"/>
    <col min="2055" max="2055" width="13" customWidth="1"/>
    <col min="2056" max="2056" width="8.7109375" customWidth="1"/>
    <col min="2057" max="2057" width="6.42578125" customWidth="1"/>
    <col min="2058" max="2058" width="24.28515625" customWidth="1"/>
    <col min="2059" max="2059" width="9.42578125" customWidth="1"/>
    <col min="2060" max="2061" width="9" customWidth="1"/>
    <col min="2062" max="2062" width="14.7109375" bestFit="1" customWidth="1"/>
    <col min="2064" max="2064" width="12.42578125" bestFit="1" customWidth="1"/>
    <col min="2305" max="2305" width="9.28515625" customWidth="1"/>
    <col min="2306" max="2306" width="8.28515625" customWidth="1"/>
    <col min="2307" max="2307" width="11.85546875" customWidth="1"/>
    <col min="2308" max="2308" width="7.85546875" customWidth="1"/>
    <col min="2309" max="2309" width="13" customWidth="1"/>
    <col min="2310" max="2310" width="7" customWidth="1"/>
    <col min="2311" max="2311" width="13" customWidth="1"/>
    <col min="2312" max="2312" width="8.7109375" customWidth="1"/>
    <col min="2313" max="2313" width="6.42578125" customWidth="1"/>
    <col min="2314" max="2314" width="24.28515625" customWidth="1"/>
    <col min="2315" max="2315" width="9.42578125" customWidth="1"/>
    <col min="2316" max="2317" width="9" customWidth="1"/>
    <col min="2318" max="2318" width="14.7109375" bestFit="1" customWidth="1"/>
    <col min="2320" max="2320" width="12.42578125" bestFit="1" customWidth="1"/>
    <col min="2561" max="2561" width="9.28515625" customWidth="1"/>
    <col min="2562" max="2562" width="8.28515625" customWidth="1"/>
    <col min="2563" max="2563" width="11.85546875" customWidth="1"/>
    <col min="2564" max="2564" width="7.85546875" customWidth="1"/>
    <col min="2565" max="2565" width="13" customWidth="1"/>
    <col min="2566" max="2566" width="7" customWidth="1"/>
    <col min="2567" max="2567" width="13" customWidth="1"/>
    <col min="2568" max="2568" width="8.7109375" customWidth="1"/>
    <col min="2569" max="2569" width="6.42578125" customWidth="1"/>
    <col min="2570" max="2570" width="24.28515625" customWidth="1"/>
    <col min="2571" max="2571" width="9.42578125" customWidth="1"/>
    <col min="2572" max="2573" width="9" customWidth="1"/>
    <col min="2574" max="2574" width="14.7109375" bestFit="1" customWidth="1"/>
    <col min="2576" max="2576" width="12.42578125" bestFit="1" customWidth="1"/>
    <col min="2817" max="2817" width="9.28515625" customWidth="1"/>
    <col min="2818" max="2818" width="8.28515625" customWidth="1"/>
    <col min="2819" max="2819" width="11.85546875" customWidth="1"/>
    <col min="2820" max="2820" width="7.85546875" customWidth="1"/>
    <col min="2821" max="2821" width="13" customWidth="1"/>
    <col min="2822" max="2822" width="7" customWidth="1"/>
    <col min="2823" max="2823" width="13" customWidth="1"/>
    <col min="2824" max="2824" width="8.7109375" customWidth="1"/>
    <col min="2825" max="2825" width="6.42578125" customWidth="1"/>
    <col min="2826" max="2826" width="24.28515625" customWidth="1"/>
    <col min="2827" max="2827" width="9.42578125" customWidth="1"/>
    <col min="2828" max="2829" width="9" customWidth="1"/>
    <col min="2830" max="2830" width="14.7109375" bestFit="1" customWidth="1"/>
    <col min="2832" max="2832" width="12.42578125" bestFit="1" customWidth="1"/>
    <col min="3073" max="3073" width="9.28515625" customWidth="1"/>
    <col min="3074" max="3074" width="8.28515625" customWidth="1"/>
    <col min="3075" max="3075" width="11.85546875" customWidth="1"/>
    <col min="3076" max="3076" width="7.85546875" customWidth="1"/>
    <col min="3077" max="3077" width="13" customWidth="1"/>
    <col min="3078" max="3078" width="7" customWidth="1"/>
    <col min="3079" max="3079" width="13" customWidth="1"/>
    <col min="3080" max="3080" width="8.7109375" customWidth="1"/>
    <col min="3081" max="3081" width="6.42578125" customWidth="1"/>
    <col min="3082" max="3082" width="24.28515625" customWidth="1"/>
    <col min="3083" max="3083" width="9.42578125" customWidth="1"/>
    <col min="3084" max="3085" width="9" customWidth="1"/>
    <col min="3086" max="3086" width="14.7109375" bestFit="1" customWidth="1"/>
    <col min="3088" max="3088" width="12.42578125" bestFit="1" customWidth="1"/>
    <col min="3329" max="3329" width="9.28515625" customWidth="1"/>
    <col min="3330" max="3330" width="8.28515625" customWidth="1"/>
    <col min="3331" max="3331" width="11.85546875" customWidth="1"/>
    <col min="3332" max="3332" width="7.85546875" customWidth="1"/>
    <col min="3333" max="3333" width="13" customWidth="1"/>
    <col min="3334" max="3334" width="7" customWidth="1"/>
    <col min="3335" max="3335" width="13" customWidth="1"/>
    <col min="3336" max="3336" width="8.7109375" customWidth="1"/>
    <col min="3337" max="3337" width="6.42578125" customWidth="1"/>
    <col min="3338" max="3338" width="24.28515625" customWidth="1"/>
    <col min="3339" max="3339" width="9.42578125" customWidth="1"/>
    <col min="3340" max="3341" width="9" customWidth="1"/>
    <col min="3342" max="3342" width="14.7109375" bestFit="1" customWidth="1"/>
    <col min="3344" max="3344" width="12.42578125" bestFit="1" customWidth="1"/>
    <col min="3585" max="3585" width="9.28515625" customWidth="1"/>
    <col min="3586" max="3586" width="8.28515625" customWidth="1"/>
    <col min="3587" max="3587" width="11.85546875" customWidth="1"/>
    <col min="3588" max="3588" width="7.85546875" customWidth="1"/>
    <col min="3589" max="3589" width="13" customWidth="1"/>
    <col min="3590" max="3590" width="7" customWidth="1"/>
    <col min="3591" max="3591" width="13" customWidth="1"/>
    <col min="3592" max="3592" width="8.7109375" customWidth="1"/>
    <col min="3593" max="3593" width="6.42578125" customWidth="1"/>
    <col min="3594" max="3594" width="24.28515625" customWidth="1"/>
    <col min="3595" max="3595" width="9.42578125" customWidth="1"/>
    <col min="3596" max="3597" width="9" customWidth="1"/>
    <col min="3598" max="3598" width="14.7109375" bestFit="1" customWidth="1"/>
    <col min="3600" max="3600" width="12.42578125" bestFit="1" customWidth="1"/>
    <col min="3841" max="3841" width="9.28515625" customWidth="1"/>
    <col min="3842" max="3842" width="8.28515625" customWidth="1"/>
    <col min="3843" max="3843" width="11.85546875" customWidth="1"/>
    <col min="3844" max="3844" width="7.85546875" customWidth="1"/>
    <col min="3845" max="3845" width="13" customWidth="1"/>
    <col min="3846" max="3846" width="7" customWidth="1"/>
    <col min="3847" max="3847" width="13" customWidth="1"/>
    <col min="3848" max="3848" width="8.7109375" customWidth="1"/>
    <col min="3849" max="3849" width="6.42578125" customWidth="1"/>
    <col min="3850" max="3850" width="24.28515625" customWidth="1"/>
    <col min="3851" max="3851" width="9.42578125" customWidth="1"/>
    <col min="3852" max="3853" width="9" customWidth="1"/>
    <col min="3854" max="3854" width="14.7109375" bestFit="1" customWidth="1"/>
    <col min="3856" max="3856" width="12.42578125" bestFit="1" customWidth="1"/>
    <col min="4097" max="4097" width="9.28515625" customWidth="1"/>
    <col min="4098" max="4098" width="8.28515625" customWidth="1"/>
    <col min="4099" max="4099" width="11.85546875" customWidth="1"/>
    <col min="4100" max="4100" width="7.85546875" customWidth="1"/>
    <col min="4101" max="4101" width="13" customWidth="1"/>
    <col min="4102" max="4102" width="7" customWidth="1"/>
    <col min="4103" max="4103" width="13" customWidth="1"/>
    <col min="4104" max="4104" width="8.7109375" customWidth="1"/>
    <col min="4105" max="4105" width="6.42578125" customWidth="1"/>
    <col min="4106" max="4106" width="24.28515625" customWidth="1"/>
    <col min="4107" max="4107" width="9.42578125" customWidth="1"/>
    <col min="4108" max="4109" width="9" customWidth="1"/>
    <col min="4110" max="4110" width="14.7109375" bestFit="1" customWidth="1"/>
    <col min="4112" max="4112" width="12.42578125" bestFit="1" customWidth="1"/>
    <col min="4353" max="4353" width="9.28515625" customWidth="1"/>
    <col min="4354" max="4354" width="8.28515625" customWidth="1"/>
    <col min="4355" max="4355" width="11.85546875" customWidth="1"/>
    <col min="4356" max="4356" width="7.85546875" customWidth="1"/>
    <col min="4357" max="4357" width="13" customWidth="1"/>
    <col min="4358" max="4358" width="7" customWidth="1"/>
    <col min="4359" max="4359" width="13" customWidth="1"/>
    <col min="4360" max="4360" width="8.7109375" customWidth="1"/>
    <col min="4361" max="4361" width="6.42578125" customWidth="1"/>
    <col min="4362" max="4362" width="24.28515625" customWidth="1"/>
    <col min="4363" max="4363" width="9.42578125" customWidth="1"/>
    <col min="4364" max="4365" width="9" customWidth="1"/>
    <col min="4366" max="4366" width="14.7109375" bestFit="1" customWidth="1"/>
    <col min="4368" max="4368" width="12.42578125" bestFit="1" customWidth="1"/>
    <col min="4609" max="4609" width="9.28515625" customWidth="1"/>
    <col min="4610" max="4610" width="8.28515625" customWidth="1"/>
    <col min="4611" max="4611" width="11.85546875" customWidth="1"/>
    <col min="4612" max="4612" width="7.85546875" customWidth="1"/>
    <col min="4613" max="4613" width="13" customWidth="1"/>
    <col min="4614" max="4614" width="7" customWidth="1"/>
    <col min="4615" max="4615" width="13" customWidth="1"/>
    <col min="4616" max="4616" width="8.7109375" customWidth="1"/>
    <col min="4617" max="4617" width="6.42578125" customWidth="1"/>
    <col min="4618" max="4618" width="24.28515625" customWidth="1"/>
    <col min="4619" max="4619" width="9.42578125" customWidth="1"/>
    <col min="4620" max="4621" width="9" customWidth="1"/>
    <col min="4622" max="4622" width="14.7109375" bestFit="1" customWidth="1"/>
    <col min="4624" max="4624" width="12.42578125" bestFit="1" customWidth="1"/>
    <col min="4865" max="4865" width="9.28515625" customWidth="1"/>
    <col min="4866" max="4866" width="8.28515625" customWidth="1"/>
    <col min="4867" max="4867" width="11.85546875" customWidth="1"/>
    <col min="4868" max="4868" width="7.85546875" customWidth="1"/>
    <col min="4869" max="4869" width="13" customWidth="1"/>
    <col min="4870" max="4870" width="7" customWidth="1"/>
    <col min="4871" max="4871" width="13" customWidth="1"/>
    <col min="4872" max="4872" width="8.7109375" customWidth="1"/>
    <col min="4873" max="4873" width="6.42578125" customWidth="1"/>
    <col min="4874" max="4874" width="24.28515625" customWidth="1"/>
    <col min="4875" max="4875" width="9.42578125" customWidth="1"/>
    <col min="4876" max="4877" width="9" customWidth="1"/>
    <col min="4878" max="4878" width="14.7109375" bestFit="1" customWidth="1"/>
    <col min="4880" max="4880" width="12.42578125" bestFit="1" customWidth="1"/>
    <col min="5121" max="5121" width="9.28515625" customWidth="1"/>
    <col min="5122" max="5122" width="8.28515625" customWidth="1"/>
    <col min="5123" max="5123" width="11.85546875" customWidth="1"/>
    <col min="5124" max="5124" width="7.85546875" customWidth="1"/>
    <col min="5125" max="5125" width="13" customWidth="1"/>
    <col min="5126" max="5126" width="7" customWidth="1"/>
    <col min="5127" max="5127" width="13" customWidth="1"/>
    <col min="5128" max="5128" width="8.7109375" customWidth="1"/>
    <col min="5129" max="5129" width="6.42578125" customWidth="1"/>
    <col min="5130" max="5130" width="24.28515625" customWidth="1"/>
    <col min="5131" max="5131" width="9.42578125" customWidth="1"/>
    <col min="5132" max="5133" width="9" customWidth="1"/>
    <col min="5134" max="5134" width="14.7109375" bestFit="1" customWidth="1"/>
    <col min="5136" max="5136" width="12.42578125" bestFit="1" customWidth="1"/>
    <col min="5377" max="5377" width="9.28515625" customWidth="1"/>
    <col min="5378" max="5378" width="8.28515625" customWidth="1"/>
    <col min="5379" max="5379" width="11.85546875" customWidth="1"/>
    <col min="5380" max="5380" width="7.85546875" customWidth="1"/>
    <col min="5381" max="5381" width="13" customWidth="1"/>
    <col min="5382" max="5382" width="7" customWidth="1"/>
    <col min="5383" max="5383" width="13" customWidth="1"/>
    <col min="5384" max="5384" width="8.7109375" customWidth="1"/>
    <col min="5385" max="5385" width="6.42578125" customWidth="1"/>
    <col min="5386" max="5386" width="24.28515625" customWidth="1"/>
    <col min="5387" max="5387" width="9.42578125" customWidth="1"/>
    <col min="5388" max="5389" width="9" customWidth="1"/>
    <col min="5390" max="5390" width="14.7109375" bestFit="1" customWidth="1"/>
    <col min="5392" max="5392" width="12.42578125" bestFit="1" customWidth="1"/>
    <col min="5633" max="5633" width="9.28515625" customWidth="1"/>
    <col min="5634" max="5634" width="8.28515625" customWidth="1"/>
    <col min="5635" max="5635" width="11.85546875" customWidth="1"/>
    <col min="5636" max="5636" width="7.85546875" customWidth="1"/>
    <col min="5637" max="5637" width="13" customWidth="1"/>
    <col min="5638" max="5638" width="7" customWidth="1"/>
    <col min="5639" max="5639" width="13" customWidth="1"/>
    <col min="5640" max="5640" width="8.7109375" customWidth="1"/>
    <col min="5641" max="5641" width="6.42578125" customWidth="1"/>
    <col min="5642" max="5642" width="24.28515625" customWidth="1"/>
    <col min="5643" max="5643" width="9.42578125" customWidth="1"/>
    <col min="5644" max="5645" width="9" customWidth="1"/>
    <col min="5646" max="5646" width="14.7109375" bestFit="1" customWidth="1"/>
    <col min="5648" max="5648" width="12.42578125" bestFit="1" customWidth="1"/>
    <col min="5889" max="5889" width="9.28515625" customWidth="1"/>
    <col min="5890" max="5890" width="8.28515625" customWidth="1"/>
    <col min="5891" max="5891" width="11.85546875" customWidth="1"/>
    <col min="5892" max="5892" width="7.85546875" customWidth="1"/>
    <col min="5893" max="5893" width="13" customWidth="1"/>
    <col min="5894" max="5894" width="7" customWidth="1"/>
    <col min="5895" max="5895" width="13" customWidth="1"/>
    <col min="5896" max="5896" width="8.7109375" customWidth="1"/>
    <col min="5897" max="5897" width="6.42578125" customWidth="1"/>
    <col min="5898" max="5898" width="24.28515625" customWidth="1"/>
    <col min="5899" max="5899" width="9.42578125" customWidth="1"/>
    <col min="5900" max="5901" width="9" customWidth="1"/>
    <col min="5902" max="5902" width="14.7109375" bestFit="1" customWidth="1"/>
    <col min="5904" max="5904" width="12.42578125" bestFit="1" customWidth="1"/>
    <col min="6145" max="6145" width="9.28515625" customWidth="1"/>
    <col min="6146" max="6146" width="8.28515625" customWidth="1"/>
    <col min="6147" max="6147" width="11.85546875" customWidth="1"/>
    <col min="6148" max="6148" width="7.85546875" customWidth="1"/>
    <col min="6149" max="6149" width="13" customWidth="1"/>
    <col min="6150" max="6150" width="7" customWidth="1"/>
    <col min="6151" max="6151" width="13" customWidth="1"/>
    <col min="6152" max="6152" width="8.7109375" customWidth="1"/>
    <col min="6153" max="6153" width="6.42578125" customWidth="1"/>
    <col min="6154" max="6154" width="24.28515625" customWidth="1"/>
    <col min="6155" max="6155" width="9.42578125" customWidth="1"/>
    <col min="6156" max="6157" width="9" customWidth="1"/>
    <col min="6158" max="6158" width="14.7109375" bestFit="1" customWidth="1"/>
    <col min="6160" max="6160" width="12.42578125" bestFit="1" customWidth="1"/>
    <col min="6401" max="6401" width="9.28515625" customWidth="1"/>
    <col min="6402" max="6402" width="8.28515625" customWidth="1"/>
    <col min="6403" max="6403" width="11.85546875" customWidth="1"/>
    <col min="6404" max="6404" width="7.85546875" customWidth="1"/>
    <col min="6405" max="6405" width="13" customWidth="1"/>
    <col min="6406" max="6406" width="7" customWidth="1"/>
    <col min="6407" max="6407" width="13" customWidth="1"/>
    <col min="6408" max="6408" width="8.7109375" customWidth="1"/>
    <col min="6409" max="6409" width="6.42578125" customWidth="1"/>
    <col min="6410" max="6410" width="24.28515625" customWidth="1"/>
    <col min="6411" max="6411" width="9.42578125" customWidth="1"/>
    <col min="6412" max="6413" width="9" customWidth="1"/>
    <col min="6414" max="6414" width="14.7109375" bestFit="1" customWidth="1"/>
    <col min="6416" max="6416" width="12.42578125" bestFit="1" customWidth="1"/>
    <col min="6657" max="6657" width="9.28515625" customWidth="1"/>
    <col min="6658" max="6658" width="8.28515625" customWidth="1"/>
    <col min="6659" max="6659" width="11.85546875" customWidth="1"/>
    <col min="6660" max="6660" width="7.85546875" customWidth="1"/>
    <col min="6661" max="6661" width="13" customWidth="1"/>
    <col min="6662" max="6662" width="7" customWidth="1"/>
    <col min="6663" max="6663" width="13" customWidth="1"/>
    <col min="6664" max="6664" width="8.7109375" customWidth="1"/>
    <col min="6665" max="6665" width="6.42578125" customWidth="1"/>
    <col min="6666" max="6666" width="24.28515625" customWidth="1"/>
    <col min="6667" max="6667" width="9.42578125" customWidth="1"/>
    <col min="6668" max="6669" width="9" customWidth="1"/>
    <col min="6670" max="6670" width="14.7109375" bestFit="1" customWidth="1"/>
    <col min="6672" max="6672" width="12.42578125" bestFit="1" customWidth="1"/>
    <col min="6913" max="6913" width="9.28515625" customWidth="1"/>
    <col min="6914" max="6914" width="8.28515625" customWidth="1"/>
    <col min="6915" max="6915" width="11.85546875" customWidth="1"/>
    <col min="6916" max="6916" width="7.85546875" customWidth="1"/>
    <col min="6917" max="6917" width="13" customWidth="1"/>
    <col min="6918" max="6918" width="7" customWidth="1"/>
    <col min="6919" max="6919" width="13" customWidth="1"/>
    <col min="6920" max="6920" width="8.7109375" customWidth="1"/>
    <col min="6921" max="6921" width="6.42578125" customWidth="1"/>
    <col min="6922" max="6922" width="24.28515625" customWidth="1"/>
    <col min="6923" max="6923" width="9.42578125" customWidth="1"/>
    <col min="6924" max="6925" width="9" customWidth="1"/>
    <col min="6926" max="6926" width="14.7109375" bestFit="1" customWidth="1"/>
    <col min="6928" max="6928" width="12.42578125" bestFit="1" customWidth="1"/>
    <col min="7169" max="7169" width="9.28515625" customWidth="1"/>
    <col min="7170" max="7170" width="8.28515625" customWidth="1"/>
    <col min="7171" max="7171" width="11.85546875" customWidth="1"/>
    <col min="7172" max="7172" width="7.85546875" customWidth="1"/>
    <col min="7173" max="7173" width="13" customWidth="1"/>
    <col min="7174" max="7174" width="7" customWidth="1"/>
    <col min="7175" max="7175" width="13" customWidth="1"/>
    <col min="7176" max="7176" width="8.7109375" customWidth="1"/>
    <col min="7177" max="7177" width="6.42578125" customWidth="1"/>
    <col min="7178" max="7178" width="24.28515625" customWidth="1"/>
    <col min="7179" max="7179" width="9.42578125" customWidth="1"/>
    <col min="7180" max="7181" width="9" customWidth="1"/>
    <col min="7182" max="7182" width="14.7109375" bestFit="1" customWidth="1"/>
    <col min="7184" max="7184" width="12.42578125" bestFit="1" customWidth="1"/>
    <col min="7425" max="7425" width="9.28515625" customWidth="1"/>
    <col min="7426" max="7426" width="8.28515625" customWidth="1"/>
    <col min="7427" max="7427" width="11.85546875" customWidth="1"/>
    <col min="7428" max="7428" width="7.85546875" customWidth="1"/>
    <col min="7429" max="7429" width="13" customWidth="1"/>
    <col min="7430" max="7430" width="7" customWidth="1"/>
    <col min="7431" max="7431" width="13" customWidth="1"/>
    <col min="7432" max="7432" width="8.7109375" customWidth="1"/>
    <col min="7433" max="7433" width="6.42578125" customWidth="1"/>
    <col min="7434" max="7434" width="24.28515625" customWidth="1"/>
    <col min="7435" max="7435" width="9.42578125" customWidth="1"/>
    <col min="7436" max="7437" width="9" customWidth="1"/>
    <col min="7438" max="7438" width="14.7109375" bestFit="1" customWidth="1"/>
    <col min="7440" max="7440" width="12.42578125" bestFit="1" customWidth="1"/>
    <col min="7681" max="7681" width="9.28515625" customWidth="1"/>
    <col min="7682" max="7682" width="8.28515625" customWidth="1"/>
    <col min="7683" max="7683" width="11.85546875" customWidth="1"/>
    <col min="7684" max="7684" width="7.85546875" customWidth="1"/>
    <col min="7685" max="7685" width="13" customWidth="1"/>
    <col min="7686" max="7686" width="7" customWidth="1"/>
    <col min="7687" max="7687" width="13" customWidth="1"/>
    <col min="7688" max="7688" width="8.7109375" customWidth="1"/>
    <col min="7689" max="7689" width="6.42578125" customWidth="1"/>
    <col min="7690" max="7690" width="24.28515625" customWidth="1"/>
    <col min="7691" max="7691" width="9.42578125" customWidth="1"/>
    <col min="7692" max="7693" width="9" customWidth="1"/>
    <col min="7694" max="7694" width="14.7109375" bestFit="1" customWidth="1"/>
    <col min="7696" max="7696" width="12.42578125" bestFit="1" customWidth="1"/>
    <col min="7937" max="7937" width="9.28515625" customWidth="1"/>
    <col min="7938" max="7938" width="8.28515625" customWidth="1"/>
    <col min="7939" max="7939" width="11.85546875" customWidth="1"/>
    <col min="7940" max="7940" width="7.85546875" customWidth="1"/>
    <col min="7941" max="7941" width="13" customWidth="1"/>
    <col min="7942" max="7942" width="7" customWidth="1"/>
    <col min="7943" max="7943" width="13" customWidth="1"/>
    <col min="7944" max="7944" width="8.7109375" customWidth="1"/>
    <col min="7945" max="7945" width="6.42578125" customWidth="1"/>
    <col min="7946" max="7946" width="24.28515625" customWidth="1"/>
    <col min="7947" max="7947" width="9.42578125" customWidth="1"/>
    <col min="7948" max="7949" width="9" customWidth="1"/>
    <col min="7950" max="7950" width="14.7109375" bestFit="1" customWidth="1"/>
    <col min="7952" max="7952" width="12.42578125" bestFit="1" customWidth="1"/>
    <col min="8193" max="8193" width="9.28515625" customWidth="1"/>
    <col min="8194" max="8194" width="8.28515625" customWidth="1"/>
    <col min="8195" max="8195" width="11.85546875" customWidth="1"/>
    <col min="8196" max="8196" width="7.85546875" customWidth="1"/>
    <col min="8197" max="8197" width="13" customWidth="1"/>
    <col min="8198" max="8198" width="7" customWidth="1"/>
    <col min="8199" max="8199" width="13" customWidth="1"/>
    <col min="8200" max="8200" width="8.7109375" customWidth="1"/>
    <col min="8201" max="8201" width="6.42578125" customWidth="1"/>
    <col min="8202" max="8202" width="24.28515625" customWidth="1"/>
    <col min="8203" max="8203" width="9.42578125" customWidth="1"/>
    <col min="8204" max="8205" width="9" customWidth="1"/>
    <col min="8206" max="8206" width="14.7109375" bestFit="1" customWidth="1"/>
    <col min="8208" max="8208" width="12.42578125" bestFit="1" customWidth="1"/>
    <col min="8449" max="8449" width="9.28515625" customWidth="1"/>
    <col min="8450" max="8450" width="8.28515625" customWidth="1"/>
    <col min="8451" max="8451" width="11.85546875" customWidth="1"/>
    <col min="8452" max="8452" width="7.85546875" customWidth="1"/>
    <col min="8453" max="8453" width="13" customWidth="1"/>
    <col min="8454" max="8454" width="7" customWidth="1"/>
    <col min="8455" max="8455" width="13" customWidth="1"/>
    <col min="8456" max="8456" width="8.7109375" customWidth="1"/>
    <col min="8457" max="8457" width="6.42578125" customWidth="1"/>
    <col min="8458" max="8458" width="24.28515625" customWidth="1"/>
    <col min="8459" max="8459" width="9.42578125" customWidth="1"/>
    <col min="8460" max="8461" width="9" customWidth="1"/>
    <col min="8462" max="8462" width="14.7109375" bestFit="1" customWidth="1"/>
    <col min="8464" max="8464" width="12.42578125" bestFit="1" customWidth="1"/>
    <col min="8705" max="8705" width="9.28515625" customWidth="1"/>
    <col min="8706" max="8706" width="8.28515625" customWidth="1"/>
    <col min="8707" max="8707" width="11.85546875" customWidth="1"/>
    <col min="8708" max="8708" width="7.85546875" customWidth="1"/>
    <col min="8709" max="8709" width="13" customWidth="1"/>
    <col min="8710" max="8710" width="7" customWidth="1"/>
    <col min="8711" max="8711" width="13" customWidth="1"/>
    <col min="8712" max="8712" width="8.7109375" customWidth="1"/>
    <col min="8713" max="8713" width="6.42578125" customWidth="1"/>
    <col min="8714" max="8714" width="24.28515625" customWidth="1"/>
    <col min="8715" max="8715" width="9.42578125" customWidth="1"/>
    <col min="8716" max="8717" width="9" customWidth="1"/>
    <col min="8718" max="8718" width="14.7109375" bestFit="1" customWidth="1"/>
    <col min="8720" max="8720" width="12.42578125" bestFit="1" customWidth="1"/>
    <col min="8961" max="8961" width="9.28515625" customWidth="1"/>
    <col min="8962" max="8962" width="8.28515625" customWidth="1"/>
    <col min="8963" max="8963" width="11.85546875" customWidth="1"/>
    <col min="8964" max="8964" width="7.85546875" customWidth="1"/>
    <col min="8965" max="8965" width="13" customWidth="1"/>
    <col min="8966" max="8966" width="7" customWidth="1"/>
    <col min="8967" max="8967" width="13" customWidth="1"/>
    <col min="8968" max="8968" width="8.7109375" customWidth="1"/>
    <col min="8969" max="8969" width="6.42578125" customWidth="1"/>
    <col min="8970" max="8970" width="24.28515625" customWidth="1"/>
    <col min="8971" max="8971" width="9.42578125" customWidth="1"/>
    <col min="8972" max="8973" width="9" customWidth="1"/>
    <col min="8974" max="8974" width="14.7109375" bestFit="1" customWidth="1"/>
    <col min="8976" max="8976" width="12.42578125" bestFit="1" customWidth="1"/>
    <col min="9217" max="9217" width="9.28515625" customWidth="1"/>
    <col min="9218" max="9218" width="8.28515625" customWidth="1"/>
    <col min="9219" max="9219" width="11.85546875" customWidth="1"/>
    <col min="9220" max="9220" width="7.85546875" customWidth="1"/>
    <col min="9221" max="9221" width="13" customWidth="1"/>
    <col min="9222" max="9222" width="7" customWidth="1"/>
    <col min="9223" max="9223" width="13" customWidth="1"/>
    <col min="9224" max="9224" width="8.7109375" customWidth="1"/>
    <col min="9225" max="9225" width="6.42578125" customWidth="1"/>
    <col min="9226" max="9226" width="24.28515625" customWidth="1"/>
    <col min="9227" max="9227" width="9.42578125" customWidth="1"/>
    <col min="9228" max="9229" width="9" customWidth="1"/>
    <col min="9230" max="9230" width="14.7109375" bestFit="1" customWidth="1"/>
    <col min="9232" max="9232" width="12.42578125" bestFit="1" customWidth="1"/>
    <col min="9473" max="9473" width="9.28515625" customWidth="1"/>
    <col min="9474" max="9474" width="8.28515625" customWidth="1"/>
    <col min="9475" max="9475" width="11.85546875" customWidth="1"/>
    <col min="9476" max="9476" width="7.85546875" customWidth="1"/>
    <col min="9477" max="9477" width="13" customWidth="1"/>
    <col min="9478" max="9478" width="7" customWidth="1"/>
    <col min="9479" max="9479" width="13" customWidth="1"/>
    <col min="9480" max="9480" width="8.7109375" customWidth="1"/>
    <col min="9481" max="9481" width="6.42578125" customWidth="1"/>
    <col min="9482" max="9482" width="24.28515625" customWidth="1"/>
    <col min="9483" max="9483" width="9.42578125" customWidth="1"/>
    <col min="9484" max="9485" width="9" customWidth="1"/>
    <col min="9486" max="9486" width="14.7109375" bestFit="1" customWidth="1"/>
    <col min="9488" max="9488" width="12.42578125" bestFit="1" customWidth="1"/>
    <col min="9729" max="9729" width="9.28515625" customWidth="1"/>
    <col min="9730" max="9730" width="8.28515625" customWidth="1"/>
    <col min="9731" max="9731" width="11.85546875" customWidth="1"/>
    <col min="9732" max="9732" width="7.85546875" customWidth="1"/>
    <col min="9733" max="9733" width="13" customWidth="1"/>
    <col min="9734" max="9734" width="7" customWidth="1"/>
    <col min="9735" max="9735" width="13" customWidth="1"/>
    <col min="9736" max="9736" width="8.7109375" customWidth="1"/>
    <col min="9737" max="9737" width="6.42578125" customWidth="1"/>
    <col min="9738" max="9738" width="24.28515625" customWidth="1"/>
    <col min="9739" max="9739" width="9.42578125" customWidth="1"/>
    <col min="9740" max="9741" width="9" customWidth="1"/>
    <col min="9742" max="9742" width="14.7109375" bestFit="1" customWidth="1"/>
    <col min="9744" max="9744" width="12.42578125" bestFit="1" customWidth="1"/>
    <col min="9985" max="9985" width="9.28515625" customWidth="1"/>
    <col min="9986" max="9986" width="8.28515625" customWidth="1"/>
    <col min="9987" max="9987" width="11.85546875" customWidth="1"/>
    <col min="9988" max="9988" width="7.85546875" customWidth="1"/>
    <col min="9989" max="9989" width="13" customWidth="1"/>
    <col min="9990" max="9990" width="7" customWidth="1"/>
    <col min="9991" max="9991" width="13" customWidth="1"/>
    <col min="9992" max="9992" width="8.7109375" customWidth="1"/>
    <col min="9993" max="9993" width="6.42578125" customWidth="1"/>
    <col min="9994" max="9994" width="24.28515625" customWidth="1"/>
    <col min="9995" max="9995" width="9.42578125" customWidth="1"/>
    <col min="9996" max="9997" width="9" customWidth="1"/>
    <col min="9998" max="9998" width="14.7109375" bestFit="1" customWidth="1"/>
    <col min="10000" max="10000" width="12.42578125" bestFit="1" customWidth="1"/>
    <col min="10241" max="10241" width="9.28515625" customWidth="1"/>
    <col min="10242" max="10242" width="8.28515625" customWidth="1"/>
    <col min="10243" max="10243" width="11.85546875" customWidth="1"/>
    <col min="10244" max="10244" width="7.85546875" customWidth="1"/>
    <col min="10245" max="10245" width="13" customWidth="1"/>
    <col min="10246" max="10246" width="7" customWidth="1"/>
    <col min="10247" max="10247" width="13" customWidth="1"/>
    <col min="10248" max="10248" width="8.7109375" customWidth="1"/>
    <col min="10249" max="10249" width="6.42578125" customWidth="1"/>
    <col min="10250" max="10250" width="24.28515625" customWidth="1"/>
    <col min="10251" max="10251" width="9.42578125" customWidth="1"/>
    <col min="10252" max="10253" width="9" customWidth="1"/>
    <col min="10254" max="10254" width="14.7109375" bestFit="1" customWidth="1"/>
    <col min="10256" max="10256" width="12.42578125" bestFit="1" customWidth="1"/>
    <col min="10497" max="10497" width="9.28515625" customWidth="1"/>
    <col min="10498" max="10498" width="8.28515625" customWidth="1"/>
    <col min="10499" max="10499" width="11.85546875" customWidth="1"/>
    <col min="10500" max="10500" width="7.85546875" customWidth="1"/>
    <col min="10501" max="10501" width="13" customWidth="1"/>
    <col min="10502" max="10502" width="7" customWidth="1"/>
    <col min="10503" max="10503" width="13" customWidth="1"/>
    <col min="10504" max="10504" width="8.7109375" customWidth="1"/>
    <col min="10505" max="10505" width="6.42578125" customWidth="1"/>
    <col min="10506" max="10506" width="24.28515625" customWidth="1"/>
    <col min="10507" max="10507" width="9.42578125" customWidth="1"/>
    <col min="10508" max="10509" width="9" customWidth="1"/>
    <col min="10510" max="10510" width="14.7109375" bestFit="1" customWidth="1"/>
    <col min="10512" max="10512" width="12.42578125" bestFit="1" customWidth="1"/>
    <col min="10753" max="10753" width="9.28515625" customWidth="1"/>
    <col min="10754" max="10754" width="8.28515625" customWidth="1"/>
    <col min="10755" max="10755" width="11.85546875" customWidth="1"/>
    <col min="10756" max="10756" width="7.85546875" customWidth="1"/>
    <col min="10757" max="10757" width="13" customWidth="1"/>
    <col min="10758" max="10758" width="7" customWidth="1"/>
    <col min="10759" max="10759" width="13" customWidth="1"/>
    <col min="10760" max="10760" width="8.7109375" customWidth="1"/>
    <col min="10761" max="10761" width="6.42578125" customWidth="1"/>
    <col min="10762" max="10762" width="24.28515625" customWidth="1"/>
    <col min="10763" max="10763" width="9.42578125" customWidth="1"/>
    <col min="10764" max="10765" width="9" customWidth="1"/>
    <col min="10766" max="10766" width="14.7109375" bestFit="1" customWidth="1"/>
    <col min="10768" max="10768" width="12.42578125" bestFit="1" customWidth="1"/>
    <col min="11009" max="11009" width="9.28515625" customWidth="1"/>
    <col min="11010" max="11010" width="8.28515625" customWidth="1"/>
    <col min="11011" max="11011" width="11.85546875" customWidth="1"/>
    <col min="11012" max="11012" width="7.85546875" customWidth="1"/>
    <col min="11013" max="11013" width="13" customWidth="1"/>
    <col min="11014" max="11014" width="7" customWidth="1"/>
    <col min="11015" max="11015" width="13" customWidth="1"/>
    <col min="11016" max="11016" width="8.7109375" customWidth="1"/>
    <col min="11017" max="11017" width="6.42578125" customWidth="1"/>
    <col min="11018" max="11018" width="24.28515625" customWidth="1"/>
    <col min="11019" max="11019" width="9.42578125" customWidth="1"/>
    <col min="11020" max="11021" width="9" customWidth="1"/>
    <col min="11022" max="11022" width="14.7109375" bestFit="1" customWidth="1"/>
    <col min="11024" max="11024" width="12.42578125" bestFit="1" customWidth="1"/>
    <col min="11265" max="11265" width="9.28515625" customWidth="1"/>
    <col min="11266" max="11266" width="8.28515625" customWidth="1"/>
    <col min="11267" max="11267" width="11.85546875" customWidth="1"/>
    <col min="11268" max="11268" width="7.85546875" customWidth="1"/>
    <col min="11269" max="11269" width="13" customWidth="1"/>
    <col min="11270" max="11270" width="7" customWidth="1"/>
    <col min="11271" max="11271" width="13" customWidth="1"/>
    <col min="11272" max="11272" width="8.7109375" customWidth="1"/>
    <col min="11273" max="11273" width="6.42578125" customWidth="1"/>
    <col min="11274" max="11274" width="24.28515625" customWidth="1"/>
    <col min="11275" max="11275" width="9.42578125" customWidth="1"/>
    <col min="11276" max="11277" width="9" customWidth="1"/>
    <col min="11278" max="11278" width="14.7109375" bestFit="1" customWidth="1"/>
    <col min="11280" max="11280" width="12.42578125" bestFit="1" customWidth="1"/>
    <col min="11521" max="11521" width="9.28515625" customWidth="1"/>
    <col min="11522" max="11522" width="8.28515625" customWidth="1"/>
    <col min="11523" max="11523" width="11.85546875" customWidth="1"/>
    <col min="11524" max="11524" width="7.85546875" customWidth="1"/>
    <col min="11525" max="11525" width="13" customWidth="1"/>
    <col min="11526" max="11526" width="7" customWidth="1"/>
    <col min="11527" max="11527" width="13" customWidth="1"/>
    <col min="11528" max="11528" width="8.7109375" customWidth="1"/>
    <col min="11529" max="11529" width="6.42578125" customWidth="1"/>
    <col min="11530" max="11530" width="24.28515625" customWidth="1"/>
    <col min="11531" max="11531" width="9.42578125" customWidth="1"/>
    <col min="11532" max="11533" width="9" customWidth="1"/>
    <col min="11534" max="11534" width="14.7109375" bestFit="1" customWidth="1"/>
    <col min="11536" max="11536" width="12.42578125" bestFit="1" customWidth="1"/>
    <col min="11777" max="11777" width="9.28515625" customWidth="1"/>
    <col min="11778" max="11778" width="8.28515625" customWidth="1"/>
    <col min="11779" max="11779" width="11.85546875" customWidth="1"/>
    <col min="11780" max="11780" width="7.85546875" customWidth="1"/>
    <col min="11781" max="11781" width="13" customWidth="1"/>
    <col min="11782" max="11782" width="7" customWidth="1"/>
    <col min="11783" max="11783" width="13" customWidth="1"/>
    <col min="11784" max="11784" width="8.7109375" customWidth="1"/>
    <col min="11785" max="11785" width="6.42578125" customWidth="1"/>
    <col min="11786" max="11786" width="24.28515625" customWidth="1"/>
    <col min="11787" max="11787" width="9.42578125" customWidth="1"/>
    <col min="11788" max="11789" width="9" customWidth="1"/>
    <col min="11790" max="11790" width="14.7109375" bestFit="1" customWidth="1"/>
    <col min="11792" max="11792" width="12.42578125" bestFit="1" customWidth="1"/>
    <col min="12033" max="12033" width="9.28515625" customWidth="1"/>
    <col min="12034" max="12034" width="8.28515625" customWidth="1"/>
    <col min="12035" max="12035" width="11.85546875" customWidth="1"/>
    <col min="12036" max="12036" width="7.85546875" customWidth="1"/>
    <col min="12037" max="12037" width="13" customWidth="1"/>
    <col min="12038" max="12038" width="7" customWidth="1"/>
    <col min="12039" max="12039" width="13" customWidth="1"/>
    <col min="12040" max="12040" width="8.7109375" customWidth="1"/>
    <col min="12041" max="12041" width="6.42578125" customWidth="1"/>
    <col min="12042" max="12042" width="24.28515625" customWidth="1"/>
    <col min="12043" max="12043" width="9.42578125" customWidth="1"/>
    <col min="12044" max="12045" width="9" customWidth="1"/>
    <col min="12046" max="12046" width="14.7109375" bestFit="1" customWidth="1"/>
    <col min="12048" max="12048" width="12.42578125" bestFit="1" customWidth="1"/>
    <col min="12289" max="12289" width="9.28515625" customWidth="1"/>
    <col min="12290" max="12290" width="8.28515625" customWidth="1"/>
    <col min="12291" max="12291" width="11.85546875" customWidth="1"/>
    <col min="12292" max="12292" width="7.85546875" customWidth="1"/>
    <col min="12293" max="12293" width="13" customWidth="1"/>
    <col min="12294" max="12294" width="7" customWidth="1"/>
    <col min="12295" max="12295" width="13" customWidth="1"/>
    <col min="12296" max="12296" width="8.7109375" customWidth="1"/>
    <col min="12297" max="12297" width="6.42578125" customWidth="1"/>
    <col min="12298" max="12298" width="24.28515625" customWidth="1"/>
    <col min="12299" max="12299" width="9.42578125" customWidth="1"/>
    <col min="12300" max="12301" width="9" customWidth="1"/>
    <col min="12302" max="12302" width="14.7109375" bestFit="1" customWidth="1"/>
    <col min="12304" max="12304" width="12.42578125" bestFit="1" customWidth="1"/>
    <col min="12545" max="12545" width="9.28515625" customWidth="1"/>
    <col min="12546" max="12546" width="8.28515625" customWidth="1"/>
    <col min="12547" max="12547" width="11.85546875" customWidth="1"/>
    <col min="12548" max="12548" width="7.85546875" customWidth="1"/>
    <col min="12549" max="12549" width="13" customWidth="1"/>
    <col min="12550" max="12550" width="7" customWidth="1"/>
    <col min="12551" max="12551" width="13" customWidth="1"/>
    <col min="12552" max="12552" width="8.7109375" customWidth="1"/>
    <col min="12553" max="12553" width="6.42578125" customWidth="1"/>
    <col min="12554" max="12554" width="24.28515625" customWidth="1"/>
    <col min="12555" max="12555" width="9.42578125" customWidth="1"/>
    <col min="12556" max="12557" width="9" customWidth="1"/>
    <col min="12558" max="12558" width="14.7109375" bestFit="1" customWidth="1"/>
    <col min="12560" max="12560" width="12.42578125" bestFit="1" customWidth="1"/>
    <col min="12801" max="12801" width="9.28515625" customWidth="1"/>
    <col min="12802" max="12802" width="8.28515625" customWidth="1"/>
    <col min="12803" max="12803" width="11.85546875" customWidth="1"/>
    <col min="12804" max="12804" width="7.85546875" customWidth="1"/>
    <col min="12805" max="12805" width="13" customWidth="1"/>
    <col min="12806" max="12806" width="7" customWidth="1"/>
    <col min="12807" max="12807" width="13" customWidth="1"/>
    <col min="12808" max="12808" width="8.7109375" customWidth="1"/>
    <col min="12809" max="12809" width="6.42578125" customWidth="1"/>
    <col min="12810" max="12810" width="24.28515625" customWidth="1"/>
    <col min="12811" max="12811" width="9.42578125" customWidth="1"/>
    <col min="12812" max="12813" width="9" customWidth="1"/>
    <col min="12814" max="12814" width="14.7109375" bestFit="1" customWidth="1"/>
    <col min="12816" max="12816" width="12.42578125" bestFit="1" customWidth="1"/>
    <col min="13057" max="13057" width="9.28515625" customWidth="1"/>
    <col min="13058" max="13058" width="8.28515625" customWidth="1"/>
    <col min="13059" max="13059" width="11.85546875" customWidth="1"/>
    <col min="13060" max="13060" width="7.85546875" customWidth="1"/>
    <col min="13061" max="13061" width="13" customWidth="1"/>
    <col min="13062" max="13062" width="7" customWidth="1"/>
    <col min="13063" max="13063" width="13" customWidth="1"/>
    <col min="13064" max="13064" width="8.7109375" customWidth="1"/>
    <col min="13065" max="13065" width="6.42578125" customWidth="1"/>
    <col min="13066" max="13066" width="24.28515625" customWidth="1"/>
    <col min="13067" max="13067" width="9.42578125" customWidth="1"/>
    <col min="13068" max="13069" width="9" customWidth="1"/>
    <col min="13070" max="13070" width="14.7109375" bestFit="1" customWidth="1"/>
    <col min="13072" max="13072" width="12.42578125" bestFit="1" customWidth="1"/>
    <col min="13313" max="13313" width="9.28515625" customWidth="1"/>
    <col min="13314" max="13314" width="8.28515625" customWidth="1"/>
    <col min="13315" max="13315" width="11.85546875" customWidth="1"/>
    <col min="13316" max="13316" width="7.85546875" customWidth="1"/>
    <col min="13317" max="13317" width="13" customWidth="1"/>
    <col min="13318" max="13318" width="7" customWidth="1"/>
    <col min="13319" max="13319" width="13" customWidth="1"/>
    <col min="13320" max="13320" width="8.7109375" customWidth="1"/>
    <col min="13321" max="13321" width="6.42578125" customWidth="1"/>
    <col min="13322" max="13322" width="24.28515625" customWidth="1"/>
    <col min="13323" max="13323" width="9.42578125" customWidth="1"/>
    <col min="13324" max="13325" width="9" customWidth="1"/>
    <col min="13326" max="13326" width="14.7109375" bestFit="1" customWidth="1"/>
    <col min="13328" max="13328" width="12.42578125" bestFit="1" customWidth="1"/>
    <col min="13569" max="13569" width="9.28515625" customWidth="1"/>
    <col min="13570" max="13570" width="8.28515625" customWidth="1"/>
    <col min="13571" max="13571" width="11.85546875" customWidth="1"/>
    <col min="13572" max="13572" width="7.85546875" customWidth="1"/>
    <col min="13573" max="13573" width="13" customWidth="1"/>
    <col min="13574" max="13574" width="7" customWidth="1"/>
    <col min="13575" max="13575" width="13" customWidth="1"/>
    <col min="13576" max="13576" width="8.7109375" customWidth="1"/>
    <col min="13577" max="13577" width="6.42578125" customWidth="1"/>
    <col min="13578" max="13578" width="24.28515625" customWidth="1"/>
    <col min="13579" max="13579" width="9.42578125" customWidth="1"/>
    <col min="13580" max="13581" width="9" customWidth="1"/>
    <col min="13582" max="13582" width="14.7109375" bestFit="1" customWidth="1"/>
    <col min="13584" max="13584" width="12.42578125" bestFit="1" customWidth="1"/>
    <col min="13825" max="13825" width="9.28515625" customWidth="1"/>
    <col min="13826" max="13826" width="8.28515625" customWidth="1"/>
    <col min="13827" max="13827" width="11.85546875" customWidth="1"/>
    <col min="13828" max="13828" width="7.85546875" customWidth="1"/>
    <col min="13829" max="13829" width="13" customWidth="1"/>
    <col min="13830" max="13830" width="7" customWidth="1"/>
    <col min="13831" max="13831" width="13" customWidth="1"/>
    <col min="13832" max="13832" width="8.7109375" customWidth="1"/>
    <col min="13833" max="13833" width="6.42578125" customWidth="1"/>
    <col min="13834" max="13834" width="24.28515625" customWidth="1"/>
    <col min="13835" max="13835" width="9.42578125" customWidth="1"/>
    <col min="13836" max="13837" width="9" customWidth="1"/>
    <col min="13838" max="13838" width="14.7109375" bestFit="1" customWidth="1"/>
    <col min="13840" max="13840" width="12.42578125" bestFit="1" customWidth="1"/>
    <col min="14081" max="14081" width="9.28515625" customWidth="1"/>
    <col min="14082" max="14082" width="8.28515625" customWidth="1"/>
    <col min="14083" max="14083" width="11.85546875" customWidth="1"/>
    <col min="14084" max="14084" width="7.85546875" customWidth="1"/>
    <col min="14085" max="14085" width="13" customWidth="1"/>
    <col min="14086" max="14086" width="7" customWidth="1"/>
    <col min="14087" max="14087" width="13" customWidth="1"/>
    <col min="14088" max="14088" width="8.7109375" customWidth="1"/>
    <col min="14089" max="14089" width="6.42578125" customWidth="1"/>
    <col min="14090" max="14090" width="24.28515625" customWidth="1"/>
    <col min="14091" max="14091" width="9.42578125" customWidth="1"/>
    <col min="14092" max="14093" width="9" customWidth="1"/>
    <col min="14094" max="14094" width="14.7109375" bestFit="1" customWidth="1"/>
    <col min="14096" max="14096" width="12.42578125" bestFit="1" customWidth="1"/>
    <col min="14337" max="14337" width="9.28515625" customWidth="1"/>
    <col min="14338" max="14338" width="8.28515625" customWidth="1"/>
    <col min="14339" max="14339" width="11.85546875" customWidth="1"/>
    <col min="14340" max="14340" width="7.85546875" customWidth="1"/>
    <col min="14341" max="14341" width="13" customWidth="1"/>
    <col min="14342" max="14342" width="7" customWidth="1"/>
    <col min="14343" max="14343" width="13" customWidth="1"/>
    <col min="14344" max="14344" width="8.7109375" customWidth="1"/>
    <col min="14345" max="14345" width="6.42578125" customWidth="1"/>
    <col min="14346" max="14346" width="24.28515625" customWidth="1"/>
    <col min="14347" max="14347" width="9.42578125" customWidth="1"/>
    <col min="14348" max="14349" width="9" customWidth="1"/>
    <col min="14350" max="14350" width="14.7109375" bestFit="1" customWidth="1"/>
    <col min="14352" max="14352" width="12.42578125" bestFit="1" customWidth="1"/>
    <col min="14593" max="14593" width="9.28515625" customWidth="1"/>
    <col min="14594" max="14594" width="8.28515625" customWidth="1"/>
    <col min="14595" max="14595" width="11.85546875" customWidth="1"/>
    <col min="14596" max="14596" width="7.85546875" customWidth="1"/>
    <col min="14597" max="14597" width="13" customWidth="1"/>
    <col min="14598" max="14598" width="7" customWidth="1"/>
    <col min="14599" max="14599" width="13" customWidth="1"/>
    <col min="14600" max="14600" width="8.7109375" customWidth="1"/>
    <col min="14601" max="14601" width="6.42578125" customWidth="1"/>
    <col min="14602" max="14602" width="24.28515625" customWidth="1"/>
    <col min="14603" max="14603" width="9.42578125" customWidth="1"/>
    <col min="14604" max="14605" width="9" customWidth="1"/>
    <col min="14606" max="14606" width="14.7109375" bestFit="1" customWidth="1"/>
    <col min="14608" max="14608" width="12.42578125" bestFit="1" customWidth="1"/>
    <col min="14849" max="14849" width="9.28515625" customWidth="1"/>
    <col min="14850" max="14850" width="8.28515625" customWidth="1"/>
    <col min="14851" max="14851" width="11.85546875" customWidth="1"/>
    <col min="14852" max="14852" width="7.85546875" customWidth="1"/>
    <col min="14853" max="14853" width="13" customWidth="1"/>
    <col min="14854" max="14854" width="7" customWidth="1"/>
    <col min="14855" max="14855" width="13" customWidth="1"/>
    <col min="14856" max="14856" width="8.7109375" customWidth="1"/>
    <col min="14857" max="14857" width="6.42578125" customWidth="1"/>
    <col min="14858" max="14858" width="24.28515625" customWidth="1"/>
    <col min="14859" max="14859" width="9.42578125" customWidth="1"/>
    <col min="14860" max="14861" width="9" customWidth="1"/>
    <col min="14862" max="14862" width="14.7109375" bestFit="1" customWidth="1"/>
    <col min="14864" max="14864" width="12.42578125" bestFit="1" customWidth="1"/>
    <col min="15105" max="15105" width="9.28515625" customWidth="1"/>
    <col min="15106" max="15106" width="8.28515625" customWidth="1"/>
    <col min="15107" max="15107" width="11.85546875" customWidth="1"/>
    <col min="15108" max="15108" width="7.85546875" customWidth="1"/>
    <col min="15109" max="15109" width="13" customWidth="1"/>
    <col min="15110" max="15110" width="7" customWidth="1"/>
    <col min="15111" max="15111" width="13" customWidth="1"/>
    <col min="15112" max="15112" width="8.7109375" customWidth="1"/>
    <col min="15113" max="15113" width="6.42578125" customWidth="1"/>
    <col min="15114" max="15114" width="24.28515625" customWidth="1"/>
    <col min="15115" max="15115" width="9.42578125" customWidth="1"/>
    <col min="15116" max="15117" width="9" customWidth="1"/>
    <col min="15118" max="15118" width="14.7109375" bestFit="1" customWidth="1"/>
    <col min="15120" max="15120" width="12.42578125" bestFit="1" customWidth="1"/>
    <col min="15361" max="15361" width="9.28515625" customWidth="1"/>
    <col min="15362" max="15362" width="8.28515625" customWidth="1"/>
    <col min="15363" max="15363" width="11.85546875" customWidth="1"/>
    <col min="15364" max="15364" width="7.85546875" customWidth="1"/>
    <col min="15365" max="15365" width="13" customWidth="1"/>
    <col min="15366" max="15366" width="7" customWidth="1"/>
    <col min="15367" max="15367" width="13" customWidth="1"/>
    <col min="15368" max="15368" width="8.7109375" customWidth="1"/>
    <col min="15369" max="15369" width="6.42578125" customWidth="1"/>
    <col min="15370" max="15370" width="24.28515625" customWidth="1"/>
    <col min="15371" max="15371" width="9.42578125" customWidth="1"/>
    <col min="15372" max="15373" width="9" customWidth="1"/>
    <col min="15374" max="15374" width="14.7109375" bestFit="1" customWidth="1"/>
    <col min="15376" max="15376" width="12.42578125" bestFit="1" customWidth="1"/>
    <col min="15617" max="15617" width="9.28515625" customWidth="1"/>
    <col min="15618" max="15618" width="8.28515625" customWidth="1"/>
    <col min="15619" max="15619" width="11.85546875" customWidth="1"/>
    <col min="15620" max="15620" width="7.85546875" customWidth="1"/>
    <col min="15621" max="15621" width="13" customWidth="1"/>
    <col min="15622" max="15622" width="7" customWidth="1"/>
    <col min="15623" max="15623" width="13" customWidth="1"/>
    <col min="15624" max="15624" width="8.7109375" customWidth="1"/>
    <col min="15625" max="15625" width="6.42578125" customWidth="1"/>
    <col min="15626" max="15626" width="24.28515625" customWidth="1"/>
    <col min="15627" max="15627" width="9.42578125" customWidth="1"/>
    <col min="15628" max="15629" width="9" customWidth="1"/>
    <col min="15630" max="15630" width="14.7109375" bestFit="1" customWidth="1"/>
    <col min="15632" max="15632" width="12.42578125" bestFit="1" customWidth="1"/>
    <col min="15873" max="15873" width="9.28515625" customWidth="1"/>
    <col min="15874" max="15874" width="8.28515625" customWidth="1"/>
    <col min="15875" max="15875" width="11.85546875" customWidth="1"/>
    <col min="15876" max="15876" width="7.85546875" customWidth="1"/>
    <col min="15877" max="15877" width="13" customWidth="1"/>
    <col min="15878" max="15878" width="7" customWidth="1"/>
    <col min="15879" max="15879" width="13" customWidth="1"/>
    <col min="15880" max="15880" width="8.7109375" customWidth="1"/>
    <col min="15881" max="15881" width="6.42578125" customWidth="1"/>
    <col min="15882" max="15882" width="24.28515625" customWidth="1"/>
    <col min="15883" max="15883" width="9.42578125" customWidth="1"/>
    <col min="15884" max="15885" width="9" customWidth="1"/>
    <col min="15886" max="15886" width="14.7109375" bestFit="1" customWidth="1"/>
    <col min="15888" max="15888" width="12.42578125" bestFit="1" customWidth="1"/>
    <col min="16129" max="16129" width="9.28515625" customWidth="1"/>
    <col min="16130" max="16130" width="8.28515625" customWidth="1"/>
    <col min="16131" max="16131" width="11.85546875" customWidth="1"/>
    <col min="16132" max="16132" width="7.85546875" customWidth="1"/>
    <col min="16133" max="16133" width="13" customWidth="1"/>
    <col min="16134" max="16134" width="7" customWidth="1"/>
    <col min="16135" max="16135" width="13" customWidth="1"/>
    <col min="16136" max="16136" width="8.7109375" customWidth="1"/>
    <col min="16137" max="16137" width="6.42578125" customWidth="1"/>
    <col min="16138" max="16138" width="24.28515625" customWidth="1"/>
    <col min="16139" max="16139" width="9.42578125" customWidth="1"/>
    <col min="16140" max="16141" width="9" customWidth="1"/>
    <col min="16142" max="16142" width="14.7109375" bestFit="1" customWidth="1"/>
    <col min="16144" max="16144" width="12.42578125" bestFit="1" customWidth="1"/>
  </cols>
  <sheetData>
    <row r="1" spans="1:14" ht="16.5" thickBot="1" x14ac:dyDescent="0.3">
      <c r="A1" s="1111" t="s">
        <v>474</v>
      </c>
      <c r="B1" s="1112"/>
      <c r="C1" s="1112"/>
      <c r="D1" s="1112"/>
      <c r="E1" s="1112"/>
      <c r="F1" s="1112"/>
      <c r="G1" s="1112"/>
      <c r="H1" s="1112"/>
      <c r="I1" s="1112"/>
      <c r="J1" s="1112"/>
      <c r="K1" s="549" t="s">
        <v>2109</v>
      </c>
      <c r="L1" s="550">
        <v>2</v>
      </c>
      <c r="M1" s="551" t="s">
        <v>2110</v>
      </c>
      <c r="N1" s="552">
        <v>2</v>
      </c>
    </row>
    <row r="2" spans="1:14" ht="15.75" x14ac:dyDescent="0.25">
      <c r="A2" s="1113" t="s">
        <v>2111</v>
      </c>
      <c r="B2" s="1114"/>
      <c r="C2" s="1114"/>
      <c r="D2" s="1114"/>
      <c r="E2" s="1114"/>
      <c r="F2" s="1114"/>
      <c r="G2" s="1114"/>
      <c r="H2" s="1114"/>
      <c r="I2" s="1114"/>
      <c r="J2" s="1114"/>
      <c r="K2" s="1115" t="s">
        <v>88</v>
      </c>
      <c r="L2" s="1116"/>
      <c r="M2" s="1116"/>
      <c r="N2" s="1117"/>
    </row>
    <row r="3" spans="1:14" ht="16.5" thickBot="1" x14ac:dyDescent="0.3">
      <c r="A3" s="1121" t="s">
        <v>472</v>
      </c>
      <c r="B3" s="1122"/>
      <c r="C3" s="1122"/>
      <c r="D3" s="1122"/>
      <c r="E3" s="1122"/>
      <c r="F3" s="1122"/>
      <c r="G3" s="1122"/>
      <c r="H3" s="1122"/>
      <c r="I3" s="1122"/>
      <c r="J3" s="1123"/>
      <c r="K3" s="1118"/>
      <c r="L3" s="1119"/>
      <c r="M3" s="1119"/>
      <c r="N3" s="1120"/>
    </row>
    <row r="4" spans="1:14" x14ac:dyDescent="0.25">
      <c r="A4" s="1124" t="s">
        <v>2112</v>
      </c>
      <c r="B4" s="1125"/>
      <c r="C4" s="1128" t="str">
        <f>[16]ACERO!C4</f>
        <v xml:space="preserve">TERMINACION DE LA CONSTRUCCION DE LA UNIDAD INTERMEDIA EL CARAÑO EN EL MUNICIPIO DE QUIBDÓ, DEPARTAMENTO DEL CHOCÓ </v>
      </c>
      <c r="D4" s="1129"/>
      <c r="E4" s="1129"/>
      <c r="F4" s="1129"/>
      <c r="G4" s="1129"/>
      <c r="H4" s="1129"/>
      <c r="I4" s="1129"/>
      <c r="J4" s="1132" t="s">
        <v>2114</v>
      </c>
      <c r="K4" s="1125"/>
      <c r="L4" s="1129" t="str">
        <f>A3</f>
        <v>MUNICIPIO DE QUIBDÓ</v>
      </c>
      <c r="M4" s="1129"/>
      <c r="N4" s="1134"/>
    </row>
    <row r="5" spans="1:14" x14ac:dyDescent="0.25">
      <c r="A5" s="1126"/>
      <c r="B5" s="1127"/>
      <c r="C5" s="1130"/>
      <c r="D5" s="1131"/>
      <c r="E5" s="1131"/>
      <c r="F5" s="1131"/>
      <c r="G5" s="1131"/>
      <c r="H5" s="1131"/>
      <c r="I5" s="1131"/>
      <c r="J5" s="1133"/>
      <c r="K5" s="1127"/>
      <c r="L5" s="1131"/>
      <c r="M5" s="1131"/>
      <c r="N5" s="1135"/>
    </row>
    <row r="6" spans="1:14" ht="16.5" thickBot="1" x14ac:dyDescent="0.3">
      <c r="A6" s="1089" t="s">
        <v>2115</v>
      </c>
      <c r="B6" s="1090"/>
      <c r="C6" s="1091"/>
      <c r="D6" s="1092"/>
      <c r="E6" s="1092"/>
      <c r="F6" s="1092"/>
      <c r="G6" s="1093"/>
      <c r="H6" s="1090" t="s">
        <v>2116</v>
      </c>
      <c r="I6" s="1090"/>
      <c r="J6" s="1091"/>
      <c r="K6" s="1092"/>
      <c r="L6" s="1092"/>
      <c r="M6" s="1092"/>
      <c r="N6" s="1094"/>
    </row>
    <row r="7" spans="1:14" ht="24.75" customHeight="1" thickBot="1" x14ac:dyDescent="0.3">
      <c r="A7" s="556" t="s">
        <v>2117</v>
      </c>
      <c r="B7" s="1095" t="str">
        <f>'[15]MURO CONCRETO'!$B$15</f>
        <v>ESTRUCTURAS EN CONCRETO</v>
      </c>
      <c r="C7" s="1096"/>
      <c r="D7" s="1096"/>
      <c r="E7" s="557" t="s">
        <v>2118</v>
      </c>
      <c r="F7" s="1097" t="s">
        <v>2159</v>
      </c>
      <c r="G7" s="1098"/>
      <c r="H7" s="1098"/>
      <c r="I7" s="1098"/>
      <c r="J7" s="1099"/>
      <c r="K7" s="556" t="s">
        <v>3</v>
      </c>
      <c r="L7" s="558" t="s">
        <v>374</v>
      </c>
      <c r="M7" s="556" t="s">
        <v>6</v>
      </c>
      <c r="N7" s="559">
        <f>N22</f>
        <v>6622.67749</v>
      </c>
    </row>
    <row r="8" spans="1:14" ht="16.5" thickBot="1" x14ac:dyDescent="0.3">
      <c r="A8" s="1100" t="s">
        <v>2120</v>
      </c>
      <c r="B8" s="1101"/>
      <c r="C8" s="1101"/>
      <c r="D8" s="1102"/>
      <c r="E8" s="1103" t="s">
        <v>2121</v>
      </c>
      <c r="F8" s="1104"/>
      <c r="G8" s="1107" t="s">
        <v>2122</v>
      </c>
      <c r="H8" s="1107"/>
      <c r="I8" s="1109" t="s">
        <v>2123</v>
      </c>
      <c r="J8" s="1107" t="s">
        <v>2124</v>
      </c>
      <c r="K8" s="1107"/>
      <c r="L8" s="1107"/>
      <c r="M8" s="1107"/>
      <c r="N8" s="1087" t="s">
        <v>2125</v>
      </c>
    </row>
    <row r="9" spans="1:14" ht="22.5" x14ac:dyDescent="0.25">
      <c r="A9" s="560"/>
      <c r="B9" s="560"/>
      <c r="C9" s="561"/>
      <c r="D9" s="562"/>
      <c r="E9" s="1149"/>
      <c r="F9" s="1106"/>
      <c r="G9" s="1108"/>
      <c r="H9" s="1108"/>
      <c r="I9" s="1164"/>
      <c r="J9" s="645" t="s">
        <v>2160</v>
      </c>
      <c r="K9" s="645" t="s">
        <v>2127</v>
      </c>
      <c r="L9" s="646" t="s">
        <v>2128</v>
      </c>
      <c r="M9" s="647" t="s">
        <v>2161</v>
      </c>
      <c r="N9" s="1165"/>
    </row>
    <row r="10" spans="1:14" s="599" customFormat="1" ht="13.5" customHeight="1" x14ac:dyDescent="0.25">
      <c r="A10" s="596"/>
      <c r="B10" s="596"/>
      <c r="C10" s="644"/>
      <c r="D10" s="598"/>
      <c r="E10" s="1150" t="s">
        <v>2162</v>
      </c>
      <c r="F10" s="1151"/>
      <c r="G10" s="1156" t="s">
        <v>2163</v>
      </c>
      <c r="H10" s="1157"/>
      <c r="I10" s="648" t="s">
        <v>374</v>
      </c>
      <c r="J10" s="649" t="s">
        <v>2164</v>
      </c>
      <c r="K10" s="650">
        <v>2.41</v>
      </c>
      <c r="L10" s="650">
        <v>9.36</v>
      </c>
      <c r="M10" s="650">
        <f>4*2</f>
        <v>8</v>
      </c>
      <c r="N10" s="651">
        <f t="shared" ref="N10:N20" si="0">K10*L10*M10</f>
        <v>180.46080000000001</v>
      </c>
    </row>
    <row r="11" spans="1:14" ht="13.5" customHeight="1" x14ac:dyDescent="0.25">
      <c r="A11" s="566"/>
      <c r="B11" s="566"/>
      <c r="C11" s="568"/>
      <c r="D11" s="600"/>
      <c r="E11" s="1152"/>
      <c r="F11" s="1153"/>
      <c r="G11" s="1158"/>
      <c r="H11" s="1159"/>
      <c r="I11" s="648" t="s">
        <v>374</v>
      </c>
      <c r="J11" s="649" t="s">
        <v>2165</v>
      </c>
      <c r="K11" s="650">
        <v>1.82</v>
      </c>
      <c r="L11" s="650">
        <v>25.69</v>
      </c>
      <c r="M11" s="650">
        <f>4*1</f>
        <v>4</v>
      </c>
      <c r="N11" s="651">
        <f t="shared" si="0"/>
        <v>187.0232</v>
      </c>
    </row>
    <row r="12" spans="1:14" ht="13.5" customHeight="1" x14ac:dyDescent="0.25">
      <c r="A12" s="566"/>
      <c r="B12" s="566"/>
      <c r="C12" s="568"/>
      <c r="D12" s="600"/>
      <c r="E12" s="1152"/>
      <c r="F12" s="1153"/>
      <c r="G12" s="1156" t="s">
        <v>2166</v>
      </c>
      <c r="H12" s="1157"/>
      <c r="I12" s="648" t="s">
        <v>374</v>
      </c>
      <c r="J12" s="649" t="s">
        <v>2167</v>
      </c>
      <c r="K12" s="650">
        <v>3.66</v>
      </c>
      <c r="L12" s="650">
        <v>13.18</v>
      </c>
      <c r="M12" s="650">
        <f>2*2</f>
        <v>4</v>
      </c>
      <c r="N12" s="651">
        <f t="shared" si="0"/>
        <v>192.95519999999999</v>
      </c>
    </row>
    <row r="13" spans="1:14" ht="13.5" customHeight="1" x14ac:dyDescent="0.25">
      <c r="A13" s="566"/>
      <c r="B13" s="566"/>
      <c r="C13" s="568"/>
      <c r="D13" s="600"/>
      <c r="E13" s="1152"/>
      <c r="F13" s="1153"/>
      <c r="G13" s="1158"/>
      <c r="H13" s="1159"/>
      <c r="I13" s="648" t="s">
        <v>374</v>
      </c>
      <c r="J13" s="649" t="s">
        <v>2165</v>
      </c>
      <c r="K13" s="650">
        <v>1.82</v>
      </c>
      <c r="L13" s="650">
        <f>18.53+20.94</f>
        <v>39.47</v>
      </c>
      <c r="M13" s="650">
        <v>2</v>
      </c>
      <c r="N13" s="651">
        <f t="shared" si="0"/>
        <v>143.67080000000001</v>
      </c>
    </row>
    <row r="14" spans="1:14" ht="13.5" customHeight="1" x14ac:dyDescent="0.25">
      <c r="A14" s="566"/>
      <c r="B14" s="566"/>
      <c r="C14" s="568"/>
      <c r="D14" s="600"/>
      <c r="E14" s="1152"/>
      <c r="F14" s="1153"/>
      <c r="G14" s="1156" t="s">
        <v>2168</v>
      </c>
      <c r="H14" s="1157"/>
      <c r="I14" s="648" t="s">
        <v>374</v>
      </c>
      <c r="J14" s="649" t="s">
        <v>2169</v>
      </c>
      <c r="K14" s="650">
        <v>7.97</v>
      </c>
      <c r="L14" s="650">
        <v>9.6</v>
      </c>
      <c r="M14" s="650">
        <v>9</v>
      </c>
      <c r="N14" s="651">
        <f t="shared" si="0"/>
        <v>688.60799999999995</v>
      </c>
    </row>
    <row r="15" spans="1:14" ht="13.5" customHeight="1" x14ac:dyDescent="0.25">
      <c r="A15" s="566"/>
      <c r="B15" s="566"/>
      <c r="C15" s="568"/>
      <c r="D15" s="600"/>
      <c r="E15" s="1152"/>
      <c r="F15" s="1153"/>
      <c r="G15" s="1160"/>
      <c r="H15" s="1161"/>
      <c r="I15" s="648" t="s">
        <v>374</v>
      </c>
      <c r="J15" s="649" t="s">
        <v>2169</v>
      </c>
      <c r="K15" s="650">
        <v>7.97</v>
      </c>
      <c r="L15" s="650">
        <v>14.41</v>
      </c>
      <c r="M15" s="650">
        <v>9</v>
      </c>
      <c r="N15" s="651">
        <f t="shared" si="0"/>
        <v>1033.6293000000001</v>
      </c>
    </row>
    <row r="16" spans="1:14" ht="13.5" customHeight="1" x14ac:dyDescent="0.25">
      <c r="A16" s="566"/>
      <c r="B16" s="566"/>
      <c r="C16" s="568"/>
      <c r="D16" s="600"/>
      <c r="E16" s="1152"/>
      <c r="F16" s="1153"/>
      <c r="G16" s="1160"/>
      <c r="H16" s="1161"/>
      <c r="I16" s="648" t="s">
        <v>374</v>
      </c>
      <c r="J16" s="649" t="s">
        <v>2169</v>
      </c>
      <c r="K16" s="650">
        <v>7.97</v>
      </c>
      <c r="L16" s="650">
        <v>17.21</v>
      </c>
      <c r="M16" s="650">
        <v>8</v>
      </c>
      <c r="N16" s="651">
        <f t="shared" si="0"/>
        <v>1097.3096</v>
      </c>
    </row>
    <row r="17" spans="1:16" ht="13.5" customHeight="1" x14ac:dyDescent="0.25">
      <c r="A17" s="566"/>
      <c r="B17" s="566"/>
      <c r="C17" s="568"/>
      <c r="D17" s="600"/>
      <c r="E17" s="1152"/>
      <c r="F17" s="1153"/>
      <c r="G17" s="1158"/>
      <c r="H17" s="1159"/>
      <c r="I17" s="648" t="s">
        <v>374</v>
      </c>
      <c r="J17" s="649" t="s">
        <v>2169</v>
      </c>
      <c r="K17" s="650">
        <v>7.97</v>
      </c>
      <c r="L17" s="650">
        <v>17.47</v>
      </c>
      <c r="M17" s="650">
        <v>10</v>
      </c>
      <c r="N17" s="651">
        <f t="shared" si="0"/>
        <v>1392.3589999999999</v>
      </c>
    </row>
    <row r="18" spans="1:16" ht="13.5" customHeight="1" x14ac:dyDescent="0.25">
      <c r="A18" s="566"/>
      <c r="B18" s="566"/>
      <c r="C18" s="568"/>
      <c r="D18" s="600"/>
      <c r="E18" s="1154"/>
      <c r="F18" s="1155"/>
      <c r="G18" s="1162" t="s">
        <v>2170</v>
      </c>
      <c r="H18" s="1163"/>
      <c r="I18" s="652" t="s">
        <v>374</v>
      </c>
      <c r="J18" s="653" t="s">
        <v>1854</v>
      </c>
      <c r="K18" s="654"/>
      <c r="L18" s="654"/>
      <c r="M18" s="654"/>
      <c r="N18" s="655">
        <f>SUM(N10:N17)*0.1</f>
        <v>491.60159000000004</v>
      </c>
    </row>
    <row r="19" spans="1:16" ht="13.5" customHeight="1" x14ac:dyDescent="0.25">
      <c r="A19" s="566"/>
      <c r="B19" s="566"/>
      <c r="C19" s="568"/>
      <c r="D19" s="600"/>
      <c r="E19" s="1145" t="s">
        <v>2171</v>
      </c>
      <c r="F19" s="1146"/>
      <c r="G19" s="1147" t="s">
        <v>2168</v>
      </c>
      <c r="H19" s="1148"/>
      <c r="I19" s="656" t="s">
        <v>374</v>
      </c>
      <c r="J19" s="657" t="s">
        <v>2172</v>
      </c>
      <c r="K19" s="658">
        <v>3.38</v>
      </c>
      <c r="L19" s="658">
        <v>11</v>
      </c>
      <c r="M19" s="658">
        <v>3</v>
      </c>
      <c r="N19" s="659">
        <f t="shared" si="0"/>
        <v>111.53999999999999</v>
      </c>
    </row>
    <row r="20" spans="1:16" ht="13.5" customHeight="1" x14ac:dyDescent="0.25">
      <c r="A20" s="566"/>
      <c r="B20" s="566"/>
      <c r="C20" s="568"/>
      <c r="D20" s="600"/>
      <c r="E20" s="1137" t="s">
        <v>2173</v>
      </c>
      <c r="F20" s="1138"/>
      <c r="G20" s="1141" t="s">
        <v>2174</v>
      </c>
      <c r="H20" s="1142"/>
      <c r="I20" s="660" t="s">
        <v>374</v>
      </c>
      <c r="J20" s="661" t="s">
        <v>2175</v>
      </c>
      <c r="K20" s="662">
        <v>14.25</v>
      </c>
      <c r="L20" s="662">
        <v>6.4</v>
      </c>
      <c r="M20" s="662">
        <v>11</v>
      </c>
      <c r="N20" s="663">
        <f t="shared" si="0"/>
        <v>1003.2</v>
      </c>
    </row>
    <row r="21" spans="1:16" ht="13.5" customHeight="1" x14ac:dyDescent="0.25">
      <c r="A21" s="566"/>
      <c r="B21" s="566"/>
      <c r="C21" s="568"/>
      <c r="D21" s="600"/>
      <c r="E21" s="1139"/>
      <c r="F21" s="1140"/>
      <c r="G21" s="1141" t="s">
        <v>2176</v>
      </c>
      <c r="H21" s="1142"/>
      <c r="I21" s="660" t="s">
        <v>374</v>
      </c>
      <c r="J21" s="661" t="s">
        <v>1854</v>
      </c>
      <c r="K21" s="662"/>
      <c r="L21" s="662"/>
      <c r="M21" s="662"/>
      <c r="N21" s="663">
        <f>N20*0.1</f>
        <v>100.32000000000001</v>
      </c>
    </row>
    <row r="22" spans="1:16" ht="16.5" thickBot="1" x14ac:dyDescent="0.3">
      <c r="A22" s="566"/>
      <c r="B22" s="566"/>
      <c r="C22" s="568"/>
      <c r="D22" s="600"/>
      <c r="E22" s="1057" t="s">
        <v>279</v>
      </c>
      <c r="F22" s="1057"/>
      <c r="G22" s="1057"/>
      <c r="H22" s="1057"/>
      <c r="I22" s="1057"/>
      <c r="J22" s="1057"/>
      <c r="K22" s="1057"/>
      <c r="L22" s="1057"/>
      <c r="M22" s="1143"/>
      <c r="N22" s="664">
        <f>SUM(N10:N21)</f>
        <v>6622.67749</v>
      </c>
      <c r="P22" s="605"/>
    </row>
    <row r="23" spans="1:16" ht="16.5" thickTop="1" x14ac:dyDescent="0.25">
      <c r="A23" s="566"/>
      <c r="B23" s="566"/>
      <c r="C23" s="568"/>
      <c r="D23" s="600"/>
      <c r="E23" s="1029" t="s">
        <v>2152</v>
      </c>
      <c r="F23" s="1029"/>
      <c r="G23" s="1029"/>
      <c r="H23" s="1029"/>
      <c r="I23" s="1029"/>
      <c r="J23" s="1029"/>
      <c r="K23" s="1029"/>
      <c r="L23" s="1029"/>
      <c r="M23" s="1029"/>
      <c r="N23" s="1030"/>
    </row>
    <row r="24" spans="1:16" ht="15.75" x14ac:dyDescent="0.25">
      <c r="A24" s="566"/>
      <c r="B24" s="566"/>
      <c r="C24" s="568"/>
      <c r="D24" s="600"/>
      <c r="E24" s="1144"/>
      <c r="F24" s="1032"/>
      <c r="G24" s="1032"/>
      <c r="H24" s="1032"/>
      <c r="I24" s="1032"/>
      <c r="J24" s="1032"/>
      <c r="K24" s="1032"/>
      <c r="L24" s="1032"/>
      <c r="M24" s="1032"/>
      <c r="N24" s="1033"/>
    </row>
    <row r="25" spans="1:16" ht="15.75" customHeight="1" thickBot="1" x14ac:dyDescent="0.3">
      <c r="A25" s="566"/>
      <c r="B25" s="566"/>
      <c r="C25" s="568"/>
      <c r="D25" s="600"/>
      <c r="E25" s="1136"/>
      <c r="F25" s="1035"/>
      <c r="G25" s="1035"/>
      <c r="H25" s="1035"/>
      <c r="I25" s="1035"/>
      <c r="J25" s="1035"/>
      <c r="K25" s="1035"/>
      <c r="L25" s="1035"/>
      <c r="M25" s="1035"/>
      <c r="N25" s="1036"/>
    </row>
    <row r="26" spans="1:16" ht="15" customHeight="1" thickTop="1" x14ac:dyDescent="0.25">
      <c r="A26" s="566"/>
      <c r="B26" s="566"/>
      <c r="C26" s="568"/>
      <c r="D26" s="600"/>
      <c r="E26" s="607"/>
      <c r="F26" s="607"/>
      <c r="G26" s="607"/>
      <c r="H26" s="608"/>
      <c r="I26" s="608"/>
      <c r="J26" s="608"/>
      <c r="K26" s="609"/>
      <c r="L26" s="610"/>
      <c r="M26" s="608"/>
      <c r="N26" s="611"/>
    </row>
    <row r="27" spans="1:16" ht="15" customHeight="1" x14ac:dyDescent="0.25">
      <c r="A27" s="566"/>
      <c r="B27" s="566"/>
      <c r="C27" s="568"/>
      <c r="D27" s="600"/>
      <c r="E27" s="665"/>
      <c r="F27" s="613"/>
      <c r="G27" s="613"/>
      <c r="H27" s="614"/>
      <c r="I27" s="614"/>
      <c r="J27" s="614"/>
      <c r="K27" s="615"/>
      <c r="L27" s="616"/>
      <c r="M27" s="617"/>
      <c r="N27" s="618"/>
    </row>
    <row r="28" spans="1:16" ht="15" customHeight="1" x14ac:dyDescent="0.25">
      <c r="A28" s="566"/>
      <c r="B28" s="566"/>
      <c r="C28" s="568"/>
      <c r="D28" s="600"/>
      <c r="E28" s="621" t="s">
        <v>2153</v>
      </c>
      <c r="F28" s="620"/>
      <c r="G28" s="620"/>
      <c r="H28" s="621"/>
      <c r="I28" s="614"/>
      <c r="J28" s="621" t="s">
        <v>2153</v>
      </c>
      <c r="K28" s="622"/>
      <c r="L28" s="623"/>
      <c r="M28" s="624"/>
      <c r="N28" s="618"/>
    </row>
    <row r="29" spans="1:16" ht="15.75" customHeight="1" x14ac:dyDescent="0.25">
      <c r="A29" s="566"/>
      <c r="B29" s="566"/>
      <c r="C29" s="568"/>
      <c r="D29" s="600"/>
      <c r="E29" s="665" t="s">
        <v>2154</v>
      </c>
      <c r="F29" s="625"/>
      <c r="G29" s="625"/>
      <c r="H29" s="626"/>
      <c r="I29" s="614"/>
      <c r="J29" s="614" t="s">
        <v>2154</v>
      </c>
      <c r="K29" s="615"/>
      <c r="L29" s="616"/>
      <c r="M29" s="617"/>
      <c r="N29" s="618"/>
    </row>
    <row r="30" spans="1:16" ht="15.75" customHeight="1" thickBot="1" x14ac:dyDescent="0.3">
      <c r="A30" s="566"/>
      <c r="B30" s="566"/>
      <c r="C30" s="568"/>
      <c r="D30" s="600"/>
      <c r="E30" s="666" t="s">
        <v>2155</v>
      </c>
      <c r="F30" s="628"/>
      <c r="G30" s="628"/>
      <c r="H30" s="629"/>
      <c r="I30" s="629"/>
      <c r="J30" s="629" t="s">
        <v>2156</v>
      </c>
      <c r="K30" s="630"/>
      <c r="L30" s="631"/>
      <c r="M30" s="630"/>
      <c r="N30" s="632"/>
    </row>
    <row r="31" spans="1:16" ht="15.75" customHeight="1" thickTop="1" x14ac:dyDescent="0.25">
      <c r="A31" s="566"/>
      <c r="B31" s="566"/>
      <c r="C31" s="568"/>
      <c r="D31" s="600"/>
      <c r="E31" s="665"/>
      <c r="F31" s="613"/>
      <c r="G31" s="613"/>
      <c r="H31" s="617"/>
      <c r="I31" s="617"/>
      <c r="J31" s="617"/>
      <c r="K31" s="615"/>
      <c r="L31" s="616"/>
      <c r="M31" s="615"/>
      <c r="N31" s="633"/>
    </row>
    <row r="32" spans="1:16" ht="15.75" customHeight="1" x14ac:dyDescent="0.25">
      <c r="A32" s="566"/>
      <c r="B32" s="566"/>
      <c r="C32" s="568"/>
      <c r="D32" s="600"/>
      <c r="E32" s="621" t="s">
        <v>2153</v>
      </c>
      <c r="F32" s="620"/>
      <c r="G32" s="620"/>
      <c r="H32" s="621"/>
      <c r="I32" s="614"/>
      <c r="J32" s="621" t="s">
        <v>2153</v>
      </c>
      <c r="K32" s="622"/>
      <c r="L32" s="623"/>
      <c r="M32" s="624"/>
      <c r="N32" s="633"/>
    </row>
    <row r="33" spans="1:14" ht="14.45" customHeight="1" x14ac:dyDescent="0.25">
      <c r="A33" s="566"/>
      <c r="B33" s="566"/>
      <c r="C33" s="568"/>
      <c r="D33" s="600"/>
      <c r="E33" s="665" t="s">
        <v>2154</v>
      </c>
      <c r="F33" s="613"/>
      <c r="G33" s="613"/>
      <c r="H33" s="614"/>
      <c r="I33" s="614"/>
      <c r="J33" s="614" t="s">
        <v>2154</v>
      </c>
      <c r="K33" s="615"/>
      <c r="L33" s="616"/>
      <c r="M33" s="617"/>
      <c r="N33" s="618"/>
    </row>
    <row r="34" spans="1:14" ht="15" customHeight="1" thickBot="1" x14ac:dyDescent="0.3">
      <c r="A34" s="634"/>
      <c r="B34" s="634"/>
      <c r="C34" s="635"/>
      <c r="D34" s="636"/>
      <c r="E34" s="638" t="s">
        <v>2157</v>
      </c>
      <c r="F34" s="638"/>
      <c r="G34" s="638"/>
      <c r="H34" s="639"/>
      <c r="I34" s="639"/>
      <c r="J34" s="639" t="s">
        <v>2158</v>
      </c>
      <c r="K34" s="640"/>
      <c r="L34" s="641"/>
      <c r="M34" s="639"/>
      <c r="N34" s="642"/>
    </row>
  </sheetData>
  <mergeCells count="34">
    <mergeCell ref="A1:J1"/>
    <mergeCell ref="A2:J2"/>
    <mergeCell ref="K2:N3"/>
    <mergeCell ref="A3:J3"/>
    <mergeCell ref="A4:B5"/>
    <mergeCell ref="C4:I5"/>
    <mergeCell ref="J4:K5"/>
    <mergeCell ref="L4:N5"/>
    <mergeCell ref="I8:I9"/>
    <mergeCell ref="J8:M8"/>
    <mergeCell ref="N8:N9"/>
    <mergeCell ref="A6:B6"/>
    <mergeCell ref="C6:G6"/>
    <mergeCell ref="H6:I6"/>
    <mergeCell ref="J6:N6"/>
    <mergeCell ref="B7:D7"/>
    <mergeCell ref="F7:J7"/>
    <mergeCell ref="E19:F19"/>
    <mergeCell ref="G19:H19"/>
    <mergeCell ref="A8:D8"/>
    <mergeCell ref="E8:F9"/>
    <mergeCell ref="G8:H9"/>
    <mergeCell ref="E10:F18"/>
    <mergeCell ref="G10:H11"/>
    <mergeCell ref="G12:H13"/>
    <mergeCell ref="G14:H17"/>
    <mergeCell ref="G18:H18"/>
    <mergeCell ref="E25:N25"/>
    <mergeCell ref="E20:F21"/>
    <mergeCell ref="G20:H20"/>
    <mergeCell ref="G21:H21"/>
    <mergeCell ref="E22:M22"/>
    <mergeCell ref="E23:N23"/>
    <mergeCell ref="E24:N24"/>
  </mergeCells>
  <pageMargins left="0.30208333333333331" right="0.39583333333333331" top="0.375" bottom="0.52083333333333337" header="0.3" footer="0.3"/>
  <pageSetup paperSize="9" orientation="portrait" horizontalDpi="4294967293"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dimension ref="A1:G353"/>
  <sheetViews>
    <sheetView topLeftCell="A48" zoomScale="139" zoomScaleNormal="90" zoomScaleSheetLayoutView="133" zoomScalePageLayoutView="90" workbookViewId="0">
      <selection activeCell="D17" sqref="D17"/>
    </sheetView>
  </sheetViews>
  <sheetFormatPr baseColWidth="10" defaultColWidth="11.42578125" defaultRowHeight="14.25" x14ac:dyDescent="0.2"/>
  <cols>
    <col min="1" max="1" width="22.7109375" style="197" customWidth="1"/>
    <col min="2" max="2" width="25.7109375" style="197" customWidth="1"/>
    <col min="3" max="3" width="12.7109375" style="197" customWidth="1"/>
    <col min="4" max="4" width="12.42578125" style="197" customWidth="1"/>
    <col min="5" max="5" width="11.140625" style="197" customWidth="1"/>
    <col min="6" max="6" width="13.140625" style="197" customWidth="1"/>
    <col min="7" max="16384" width="11.42578125" style="197"/>
  </cols>
  <sheetData>
    <row r="1" spans="1:7" ht="15" x14ac:dyDescent="0.2">
      <c r="A1" s="1193" t="s">
        <v>474</v>
      </c>
      <c r="B1" s="1194"/>
      <c r="C1" s="1194"/>
      <c r="D1" s="1194"/>
      <c r="E1" s="1194"/>
      <c r="F1" s="286" t="s">
        <v>303</v>
      </c>
      <c r="G1" s="287"/>
    </row>
    <row r="2" spans="1:7" ht="15" x14ac:dyDescent="0.2">
      <c r="A2" s="1195" t="s">
        <v>301</v>
      </c>
      <c r="B2" s="1196"/>
      <c r="C2" s="1196"/>
      <c r="D2" s="1196"/>
      <c r="E2" s="1196"/>
      <c r="F2" s="288" t="s">
        <v>302</v>
      </c>
      <c r="G2" s="289"/>
    </row>
    <row r="3" spans="1:7" ht="15" x14ac:dyDescent="0.2">
      <c r="A3" s="1195" t="s">
        <v>472</v>
      </c>
      <c r="B3" s="1196"/>
      <c r="C3" s="1196"/>
      <c r="D3" s="1196"/>
      <c r="E3" s="1196"/>
      <c r="F3" s="288" t="s">
        <v>304</v>
      </c>
      <c r="G3" s="290"/>
    </row>
    <row r="4" spans="1:7" ht="15.75" customHeight="1" x14ac:dyDescent="0.2">
      <c r="A4" s="1195" t="s">
        <v>680</v>
      </c>
      <c r="B4" s="1196"/>
      <c r="C4" s="1196"/>
      <c r="D4" s="1196"/>
      <c r="E4" s="1196"/>
      <c r="F4" s="1196"/>
      <c r="G4" s="1197"/>
    </row>
    <row r="5" spans="1:7" ht="20.25" customHeight="1" thickBot="1" x14ac:dyDescent="0.25">
      <c r="A5" s="1198" t="s">
        <v>1689</v>
      </c>
      <c r="B5" s="1199"/>
      <c r="C5" s="1199"/>
      <c r="D5" s="1199"/>
      <c r="E5" s="1199"/>
      <c r="F5" s="1199"/>
      <c r="G5" s="1200"/>
    </row>
    <row r="6" spans="1:7" ht="15" thickBot="1" x14ac:dyDescent="0.25">
      <c r="A6" s="1201"/>
      <c r="B6" s="1202"/>
      <c r="C6" s="1202"/>
      <c r="D6" s="1202"/>
      <c r="E6" s="1202"/>
      <c r="F6" s="291" t="s">
        <v>24</v>
      </c>
      <c r="G6" s="292"/>
    </row>
    <row r="7" spans="1:7" ht="15" thickBot="1" x14ac:dyDescent="0.25">
      <c r="A7" s="1188" t="s">
        <v>1642</v>
      </c>
      <c r="B7" s="1189"/>
      <c r="C7" s="1189"/>
      <c r="D7" s="1189"/>
      <c r="E7" s="1189"/>
      <c r="F7" s="1189"/>
      <c r="G7" s="1190"/>
    </row>
    <row r="8" spans="1:7" ht="18" customHeight="1" x14ac:dyDescent="0.2">
      <c r="A8" s="293" t="s">
        <v>1643</v>
      </c>
      <c r="B8" s="294" t="s">
        <v>1644</v>
      </c>
      <c r="C8" s="295" t="s">
        <v>26</v>
      </c>
      <c r="D8" s="295" t="s">
        <v>27</v>
      </c>
      <c r="E8" s="295" t="s">
        <v>28</v>
      </c>
      <c r="F8" s="295" t="s">
        <v>29</v>
      </c>
      <c r="G8" s="296"/>
    </row>
    <row r="9" spans="1:7" ht="36" x14ac:dyDescent="0.2">
      <c r="A9" s="297" t="str">
        <f>VLOOKUP(B9,PRECIOS!$A$309:$E$485,2,FALSE)</f>
        <v>EQUIPO01</v>
      </c>
      <c r="B9" s="298" t="s">
        <v>487</v>
      </c>
      <c r="C9" s="288" t="str">
        <f>VLOOKUP(B9,PRECIOS!$A$309:$E$485,3,FALSE)</f>
        <v>Estructura</v>
      </c>
      <c r="D9" s="299">
        <f>VLOOKUP(B9,PRECIOS!$A$309:$E$485,5,FALSE)</f>
        <v>8417.7198750000007</v>
      </c>
      <c r="E9" s="300"/>
      <c r="F9" s="301">
        <f>+D9*E9</f>
        <v>0</v>
      </c>
      <c r="G9" s="302"/>
    </row>
    <row r="10" spans="1:7" x14ac:dyDescent="0.2">
      <c r="A10" s="297" t="str">
        <f>VLOOKUP(B10,PRECIOS!$A$310:$E$486,2,FALSE)</f>
        <v>EQUIPO02</v>
      </c>
      <c r="B10" s="298" t="s">
        <v>591</v>
      </c>
      <c r="C10" s="288" t="str">
        <f>VLOOKUP(B10,PRECIOS!$A$309:$E$485,3,FALSE)</f>
        <v>Manual</v>
      </c>
      <c r="D10" s="299">
        <f>VLOOKUP(B10,PRECIOS!$A$309:$E$485,5,FALSE)</f>
        <v>3717.2129999999997</v>
      </c>
      <c r="E10" s="300"/>
      <c r="F10" s="301">
        <f t="shared" ref="F10:F14" si="0">+D10*E10</f>
        <v>0</v>
      </c>
      <c r="G10" s="302"/>
    </row>
    <row r="11" spans="1:7" x14ac:dyDescent="0.2">
      <c r="A11" s="297" t="e">
        <f>VLOOKUP(B11,PRECIOS!$A$311:$E$487,2,FALSE)</f>
        <v>#N/A</v>
      </c>
      <c r="B11" s="298" t="s">
        <v>1648</v>
      </c>
      <c r="C11" s="288" t="e">
        <f>VLOOKUP(B11,PRECIOS!$A$309:$E$485,3,FALSE)</f>
        <v>#N/A</v>
      </c>
      <c r="D11" s="299" t="e">
        <f>VLOOKUP(B11,PRECIOS!$A$309:$E$485,5,FALSE)</f>
        <v>#N/A</v>
      </c>
      <c r="E11" s="300"/>
      <c r="F11" s="301" t="e">
        <f t="shared" si="0"/>
        <v>#N/A</v>
      </c>
      <c r="G11" s="302"/>
    </row>
    <row r="12" spans="1:7" x14ac:dyDescent="0.2">
      <c r="A12" s="297" t="e">
        <f>VLOOKUP(B12,PRECIOS!$A$312:$E$488,2,FALSE)</f>
        <v>#N/A</v>
      </c>
      <c r="B12" s="298" t="s">
        <v>1648</v>
      </c>
      <c r="C12" s="288" t="e">
        <f>VLOOKUP(B12,PRECIOS!$A$309:$E$485,3,FALSE)</f>
        <v>#N/A</v>
      </c>
      <c r="D12" s="299" t="e">
        <f>VLOOKUP(B12,PRECIOS!$A$309:$E$485,5,FALSE)</f>
        <v>#N/A</v>
      </c>
      <c r="E12" s="300"/>
      <c r="F12" s="301" t="e">
        <f t="shared" si="0"/>
        <v>#N/A</v>
      </c>
      <c r="G12" s="302"/>
    </row>
    <row r="13" spans="1:7" ht="15" customHeight="1" x14ac:dyDescent="0.2">
      <c r="A13" s="297" t="e">
        <f>VLOOKUP(B13,PRECIOS!$A$313:$E$489,2,FALSE)</f>
        <v>#N/A</v>
      </c>
      <c r="B13" s="298" t="s">
        <v>1648</v>
      </c>
      <c r="C13" s="288" t="e">
        <f>VLOOKUP(B13,PRECIOS!$A$309:$E$485,3,FALSE)</f>
        <v>#N/A</v>
      </c>
      <c r="D13" s="299" t="e">
        <f>VLOOKUP(B13,PRECIOS!$A$309:$E$485,5,FALSE)</f>
        <v>#N/A</v>
      </c>
      <c r="E13" s="300"/>
      <c r="F13" s="301" t="e">
        <f t="shared" si="0"/>
        <v>#N/A</v>
      </c>
      <c r="G13" s="302"/>
    </row>
    <row r="14" spans="1:7" ht="15" customHeight="1" x14ac:dyDescent="0.2">
      <c r="A14" s="297" t="e">
        <f>VLOOKUP(B14,PRECIOS!$A$314:$E$490,2,FALSE)</f>
        <v>#N/A</v>
      </c>
      <c r="B14" s="298" t="s">
        <v>1648</v>
      </c>
      <c r="C14" s="288" t="e">
        <f>VLOOKUP(B14,PRECIOS!$A$309:$E$485,3,FALSE)</f>
        <v>#N/A</v>
      </c>
      <c r="D14" s="299" t="e">
        <f>VLOOKUP(B14,PRECIOS!$A$309:$E$485,5,FALSE)</f>
        <v>#N/A</v>
      </c>
      <c r="E14" s="300"/>
      <c r="F14" s="301" t="e">
        <f t="shared" si="0"/>
        <v>#N/A</v>
      </c>
      <c r="G14" s="302"/>
    </row>
    <row r="15" spans="1:7" ht="14.25" customHeight="1" x14ac:dyDescent="0.2">
      <c r="A15" s="1191" t="s">
        <v>1650</v>
      </c>
      <c r="B15" s="1192"/>
      <c r="C15" s="303">
        <v>0.05</v>
      </c>
      <c r="D15" s="304"/>
      <c r="E15" s="305"/>
      <c r="F15" s="306" t="e">
        <f>+G42*C15</f>
        <v>#N/A</v>
      </c>
      <c r="G15" s="307"/>
    </row>
    <row r="16" spans="1:7" x14ac:dyDescent="0.2">
      <c r="A16" s="308" t="s">
        <v>25</v>
      </c>
      <c r="B16" s="309"/>
      <c r="C16" s="309"/>
      <c r="D16" s="309"/>
      <c r="E16" s="309"/>
      <c r="F16" s="309"/>
      <c r="G16" s="307" t="s">
        <v>31</v>
      </c>
    </row>
    <row r="17" spans="1:7" ht="15" thickBot="1" x14ac:dyDescent="0.25">
      <c r="A17" s="310"/>
      <c r="B17" s="311"/>
      <c r="C17" s="311"/>
      <c r="D17" s="311"/>
      <c r="E17" s="311"/>
      <c r="F17" s="311"/>
      <c r="G17" s="312" t="e">
        <f>SUM(F9:F15)</f>
        <v>#N/A</v>
      </c>
    </row>
    <row r="18" spans="1:7" ht="15" thickBot="1" x14ac:dyDescent="0.25">
      <c r="A18" s="1188" t="s">
        <v>1645</v>
      </c>
      <c r="B18" s="1189"/>
      <c r="C18" s="1189"/>
      <c r="D18" s="1189"/>
      <c r="E18" s="1189"/>
      <c r="F18" s="1189"/>
      <c r="G18" s="1190"/>
    </row>
    <row r="19" spans="1:7" x14ac:dyDescent="0.2">
      <c r="A19" s="293" t="s">
        <v>1643</v>
      </c>
      <c r="B19" s="294" t="s">
        <v>1644</v>
      </c>
      <c r="C19" s="295" t="s">
        <v>32</v>
      </c>
      <c r="D19" s="295" t="s">
        <v>33</v>
      </c>
      <c r="E19" s="295" t="s">
        <v>34</v>
      </c>
      <c r="F19" s="295" t="s">
        <v>35</v>
      </c>
      <c r="G19" s="296"/>
    </row>
    <row r="20" spans="1:7" ht="15" customHeight="1" x14ac:dyDescent="0.2">
      <c r="A20" s="308" t="str">
        <f>VLOOKUP(B20,PRECIOS!$A$5:$D$303,2,FALSE)</f>
        <v>VARIOS01</v>
      </c>
      <c r="B20" s="309" t="s">
        <v>378</v>
      </c>
      <c r="C20" s="309" t="str">
        <f>VLOOKUP(B20,PRECIOS!$A$5:$D$303,3,FALSE)</f>
        <v>Bulto x 50 Kg.</v>
      </c>
      <c r="D20" s="313">
        <f>VLOOKUP(B20,PRECIOS!$A$5:$D$303,4,FALSE)</f>
        <v>33540.506999999998</v>
      </c>
      <c r="E20" s="314"/>
      <c r="F20" s="315">
        <f>+D20*E20</f>
        <v>0</v>
      </c>
      <c r="G20" s="307"/>
    </row>
    <row r="21" spans="1:7" ht="15" customHeight="1" x14ac:dyDescent="0.2">
      <c r="A21" s="308" t="e">
        <f>VLOOKUP(B21,PRECIOS!$A$6:$D$304,2,FALSE)</f>
        <v>#N/A</v>
      </c>
      <c r="B21" s="309" t="s">
        <v>1648</v>
      </c>
      <c r="C21" s="309" t="e">
        <f>VLOOKUP(B21,PRECIOS!$A$6:$D$304,3,FALSE)</f>
        <v>#N/A</v>
      </c>
      <c r="D21" s="313" t="e">
        <f>VLOOKUP(B21,PRECIOS!$A$6:$D$304,4,FALSE)</f>
        <v>#N/A</v>
      </c>
      <c r="E21" s="314"/>
      <c r="F21" s="315" t="e">
        <f t="shared" ref="F21:F26" si="1">+D21*E21</f>
        <v>#N/A</v>
      </c>
      <c r="G21" s="307"/>
    </row>
    <row r="22" spans="1:7" ht="15" customHeight="1" x14ac:dyDescent="0.2">
      <c r="A22" s="308" t="e">
        <f>VLOOKUP(B22,PRECIOS!$A$7:$D$305,2,FALSE)</f>
        <v>#N/A</v>
      </c>
      <c r="B22" s="309" t="s">
        <v>1648</v>
      </c>
      <c r="C22" s="309" t="e">
        <f>VLOOKUP(B22,PRECIOS!$A$7:$D$305,3,FALSE)</f>
        <v>#N/A</v>
      </c>
      <c r="D22" s="313" t="e">
        <f>VLOOKUP(B22,PRECIOS!$A$7:$D$305,4,FALSE)</f>
        <v>#N/A</v>
      </c>
      <c r="E22" s="314"/>
      <c r="F22" s="315" t="e">
        <f t="shared" si="1"/>
        <v>#N/A</v>
      </c>
      <c r="G22" s="307"/>
    </row>
    <row r="23" spans="1:7" ht="15" customHeight="1" x14ac:dyDescent="0.2">
      <c r="A23" s="308" t="e">
        <f>VLOOKUP(B23,PRECIOS!$A$8:$D$306,2,FALSE)</f>
        <v>#N/A</v>
      </c>
      <c r="B23" s="309" t="s">
        <v>1648</v>
      </c>
      <c r="C23" s="309" t="e">
        <f>VLOOKUP(B23,PRECIOS!$A$8:$D$306,3,FALSE)</f>
        <v>#N/A</v>
      </c>
      <c r="D23" s="313" t="e">
        <f>VLOOKUP(B23,PRECIOS!$A$8:$D$306,4,FALSE)</f>
        <v>#N/A</v>
      </c>
      <c r="E23" s="314"/>
      <c r="F23" s="315" t="e">
        <f t="shared" si="1"/>
        <v>#N/A</v>
      </c>
      <c r="G23" s="307"/>
    </row>
    <row r="24" spans="1:7" ht="15" customHeight="1" x14ac:dyDescent="0.2">
      <c r="A24" s="308" t="e">
        <f>VLOOKUP(B24,PRECIOS!$A$9:$D$307,2,FALSE)</f>
        <v>#N/A</v>
      </c>
      <c r="B24" s="309" t="s">
        <v>1648</v>
      </c>
      <c r="C24" s="309" t="e">
        <f>VLOOKUP(B24,PRECIOS!$A$9:$D$307,3,FALSE)</f>
        <v>#N/A</v>
      </c>
      <c r="D24" s="313" t="e">
        <f>VLOOKUP(B24,PRECIOS!$A$9:$D$307,4,FALSE)</f>
        <v>#N/A</v>
      </c>
      <c r="E24" s="314"/>
      <c r="F24" s="315" t="e">
        <f t="shared" si="1"/>
        <v>#N/A</v>
      </c>
      <c r="G24" s="307"/>
    </row>
    <row r="25" spans="1:7" ht="15" customHeight="1" x14ac:dyDescent="0.2">
      <c r="A25" s="308" t="e">
        <f>VLOOKUP(B25,PRECIOS!$A$10:$D$308,2,FALSE)</f>
        <v>#N/A</v>
      </c>
      <c r="B25" s="309" t="s">
        <v>1648</v>
      </c>
      <c r="C25" s="309" t="e">
        <f>VLOOKUP(B25,PRECIOS!$A$10:$D$308,3,FALSE)</f>
        <v>#N/A</v>
      </c>
      <c r="D25" s="313" t="e">
        <f>VLOOKUP(B25,PRECIOS!$A$10:$D$308,4,FALSE)</f>
        <v>#N/A</v>
      </c>
      <c r="E25" s="314"/>
      <c r="F25" s="315" t="e">
        <f t="shared" si="1"/>
        <v>#N/A</v>
      </c>
      <c r="G25" s="307"/>
    </row>
    <row r="26" spans="1:7" ht="15" customHeight="1" x14ac:dyDescent="0.2">
      <c r="A26" s="308" t="e">
        <f>VLOOKUP(B26,PRECIOS!$A$11:$D$309,2,FALSE)</f>
        <v>#N/A</v>
      </c>
      <c r="B26" s="309" t="s">
        <v>1648</v>
      </c>
      <c r="C26" s="309" t="e">
        <f>VLOOKUP(B26,PRECIOS!$A$11:$D$309,3,FALSE)</f>
        <v>#N/A</v>
      </c>
      <c r="D26" s="313" t="e">
        <f>VLOOKUP(B26,PRECIOS!$A$11:$D$309,4,FALSE)</f>
        <v>#N/A</v>
      </c>
      <c r="E26" s="314"/>
      <c r="F26" s="315" t="e">
        <f t="shared" si="1"/>
        <v>#N/A</v>
      </c>
      <c r="G26" s="307"/>
    </row>
    <row r="27" spans="1:7" ht="15" customHeight="1" x14ac:dyDescent="0.2">
      <c r="A27" s="1191" t="s">
        <v>1649</v>
      </c>
      <c r="B27" s="1192"/>
      <c r="C27" s="303">
        <v>0.02</v>
      </c>
      <c r="D27" s="316"/>
      <c r="E27" s="305"/>
      <c r="F27" s="306">
        <f>+G52*C27</f>
        <v>0</v>
      </c>
      <c r="G27" s="307"/>
    </row>
    <row r="28" spans="1:7" x14ac:dyDescent="0.2">
      <c r="A28" s="308"/>
      <c r="B28" s="309"/>
      <c r="C28" s="317"/>
      <c r="D28" s="317"/>
      <c r="E28" s="317"/>
      <c r="F28" s="317"/>
      <c r="G28" s="307" t="s">
        <v>31</v>
      </c>
    </row>
    <row r="29" spans="1:7" ht="15" thickBot="1" x14ac:dyDescent="0.25">
      <c r="A29" s="310"/>
      <c r="B29" s="311"/>
      <c r="C29" s="311"/>
      <c r="D29" s="311"/>
      <c r="E29" s="311"/>
      <c r="F29" s="311"/>
      <c r="G29" s="318" t="e">
        <f>SUM(F20:F27)</f>
        <v>#N/A</v>
      </c>
    </row>
    <row r="30" spans="1:7" ht="15" thickBot="1" x14ac:dyDescent="0.25">
      <c r="A30" s="1188" t="s">
        <v>1646</v>
      </c>
      <c r="B30" s="1189"/>
      <c r="C30" s="1189"/>
      <c r="D30" s="1189"/>
      <c r="E30" s="1189"/>
      <c r="F30" s="1189"/>
      <c r="G30" s="1190"/>
    </row>
    <row r="31" spans="1:7" x14ac:dyDescent="0.2">
      <c r="A31" s="319" t="s">
        <v>305</v>
      </c>
      <c r="B31" s="295" t="s">
        <v>38</v>
      </c>
      <c r="C31" s="295" t="s">
        <v>39</v>
      </c>
      <c r="D31" s="295" t="s">
        <v>40</v>
      </c>
      <c r="E31" s="295" t="s">
        <v>34</v>
      </c>
      <c r="F31" s="295" t="s">
        <v>35</v>
      </c>
      <c r="G31" s="296"/>
    </row>
    <row r="32" spans="1:7" x14ac:dyDescent="0.2">
      <c r="A32" s="320"/>
      <c r="B32" s="321"/>
      <c r="C32" s="322"/>
      <c r="D32" s="323"/>
      <c r="E32" s="324"/>
      <c r="F32" s="325"/>
      <c r="G32" s="326"/>
    </row>
    <row r="33" spans="1:7" x14ac:dyDescent="0.2">
      <c r="A33" s="320"/>
      <c r="B33" s="321"/>
      <c r="C33" s="322"/>
      <c r="D33" s="323"/>
      <c r="E33" s="324"/>
      <c r="F33" s="325"/>
      <c r="G33" s="326"/>
    </row>
    <row r="34" spans="1:7" x14ac:dyDescent="0.2">
      <c r="A34" s="308" t="s">
        <v>25</v>
      </c>
      <c r="B34" s="317" t="s">
        <v>25</v>
      </c>
      <c r="C34" s="317" t="s">
        <v>25</v>
      </c>
      <c r="D34" s="327" t="s">
        <v>25</v>
      </c>
      <c r="E34" s="328" t="s">
        <v>25</v>
      </c>
      <c r="F34" s="329" t="s">
        <v>25</v>
      </c>
      <c r="G34" s="307" t="s">
        <v>31</v>
      </c>
    </row>
    <row r="35" spans="1:7" ht="15" thickBot="1" x14ac:dyDescent="0.25">
      <c r="A35" s="310"/>
      <c r="B35" s="311"/>
      <c r="C35" s="311"/>
      <c r="D35" s="311"/>
      <c r="E35" s="311"/>
      <c r="F35" s="311"/>
      <c r="G35" s="318">
        <f>SUM(F32:F33)</f>
        <v>0</v>
      </c>
    </row>
    <row r="36" spans="1:7" ht="15" thickBot="1" x14ac:dyDescent="0.25">
      <c r="A36" s="1188" t="s">
        <v>1647</v>
      </c>
      <c r="B36" s="1189"/>
      <c r="C36" s="1189"/>
      <c r="D36" s="1189"/>
      <c r="E36" s="1189"/>
      <c r="F36" s="1189"/>
      <c r="G36" s="1190"/>
    </row>
    <row r="37" spans="1:7" ht="24" x14ac:dyDescent="0.2">
      <c r="A37" s="330" t="s">
        <v>1681</v>
      </c>
      <c r="B37" s="295" t="s">
        <v>42</v>
      </c>
      <c r="C37" s="295" t="s">
        <v>43</v>
      </c>
      <c r="D37" s="295" t="s">
        <v>44</v>
      </c>
      <c r="E37" s="295" t="s">
        <v>306</v>
      </c>
      <c r="F37" s="295" t="s">
        <v>29</v>
      </c>
      <c r="G37" s="296"/>
    </row>
    <row r="38" spans="1:7" x14ac:dyDescent="0.2">
      <c r="A38" s="331" t="s">
        <v>1648</v>
      </c>
      <c r="B38" s="332" t="e">
        <f>VLOOKUP(A38,JORNALES!$A$5:$B$28,2,FALSE)</f>
        <v>#N/A</v>
      </c>
      <c r="C38" s="333">
        <f>+PRESTACIONES!$C$20/100</f>
        <v>0.89990000000000014</v>
      </c>
      <c r="D38" s="334" t="e">
        <f>+(B38*C38)+B38</f>
        <v>#N/A</v>
      </c>
      <c r="E38" s="335">
        <v>25</v>
      </c>
      <c r="F38" s="336" t="e">
        <f>+D38/E38</f>
        <v>#N/A</v>
      </c>
      <c r="G38" s="307"/>
    </row>
    <row r="39" spans="1:7" x14ac:dyDescent="0.2">
      <c r="A39" s="331" t="s">
        <v>1648</v>
      </c>
      <c r="B39" s="332" t="e">
        <f>VLOOKUP(A39,JORNALES!$A$6:$B$29,2,FALSE)</f>
        <v>#N/A</v>
      </c>
      <c r="C39" s="333">
        <f>+PRESTACIONES!$C$20/100</f>
        <v>0.89990000000000014</v>
      </c>
      <c r="D39" s="334" t="e">
        <f t="shared" ref="D39:D40" si="2">+(B39*C39)+B39</f>
        <v>#N/A</v>
      </c>
      <c r="E39" s="335">
        <v>25</v>
      </c>
      <c r="F39" s="336" t="e">
        <f t="shared" ref="F39:F40" si="3">+D39/E39</f>
        <v>#N/A</v>
      </c>
      <c r="G39" s="307"/>
    </row>
    <row r="40" spans="1:7" x14ac:dyDescent="0.2">
      <c r="A40" s="331" t="s">
        <v>1648</v>
      </c>
      <c r="B40" s="332" t="e">
        <f>VLOOKUP(A40,JORNALES!$A$7:$B$30,2,FALSE)</f>
        <v>#N/A</v>
      </c>
      <c r="C40" s="333">
        <f>+PRESTACIONES!$C$20/100</f>
        <v>0.89990000000000014</v>
      </c>
      <c r="D40" s="334" t="e">
        <f t="shared" si="2"/>
        <v>#N/A</v>
      </c>
      <c r="E40" s="335">
        <v>25</v>
      </c>
      <c r="F40" s="336" t="e">
        <f t="shared" si="3"/>
        <v>#N/A</v>
      </c>
      <c r="G40" s="307"/>
    </row>
    <row r="41" spans="1:7" x14ac:dyDescent="0.2">
      <c r="A41" s="308"/>
      <c r="B41" s="309"/>
      <c r="C41" s="309"/>
      <c r="D41" s="309"/>
      <c r="E41" s="309"/>
      <c r="F41" s="309"/>
      <c r="G41" s="307" t="s">
        <v>31</v>
      </c>
    </row>
    <row r="42" spans="1:7" x14ac:dyDescent="0.2">
      <c r="A42" s="308"/>
      <c r="B42" s="309"/>
      <c r="C42" s="309"/>
      <c r="D42" s="309"/>
      <c r="E42" s="309"/>
      <c r="F42" s="309"/>
      <c r="G42" s="337" t="e">
        <f>SUM(F38:F40)</f>
        <v>#N/A</v>
      </c>
    </row>
    <row r="43" spans="1:7" ht="15" thickBot="1" x14ac:dyDescent="0.25">
      <c r="A43" s="1209" t="s">
        <v>25</v>
      </c>
      <c r="B43" s="1210"/>
      <c r="C43" s="1210"/>
      <c r="D43" s="1210"/>
      <c r="E43" s="1210"/>
      <c r="F43" s="1210"/>
      <c r="G43" s="1211"/>
    </row>
    <row r="44" spans="1:7" ht="15" thickBot="1" x14ac:dyDescent="0.25">
      <c r="A44" s="1212" t="s">
        <v>45</v>
      </c>
      <c r="B44" s="1213"/>
      <c r="C44" s="1213"/>
      <c r="D44" s="1213"/>
      <c r="E44" s="1213"/>
      <c r="F44" s="338"/>
      <c r="G44" s="339" t="e">
        <f xml:space="preserve"> ROUND(G42+G35+G29+G17,0)</f>
        <v>#N/A</v>
      </c>
    </row>
    <row r="45" spans="1:7" ht="18" customHeight="1" x14ac:dyDescent="0.2">
      <c r="A45" s="1214" t="s">
        <v>476</v>
      </c>
      <c r="B45" s="1215"/>
      <c r="C45" s="1215"/>
      <c r="D45" s="1215"/>
      <c r="E45" s="1215"/>
      <c r="F45" s="340" t="s">
        <v>51</v>
      </c>
      <c r="G45" s="341" t="s">
        <v>307</v>
      </c>
    </row>
    <row r="46" spans="1:7" x14ac:dyDescent="0.2">
      <c r="A46" s="1216" t="s">
        <v>17</v>
      </c>
      <c r="B46" s="1217"/>
      <c r="C46" s="1217"/>
      <c r="D46" s="1217"/>
      <c r="E46" s="1217"/>
      <c r="F46" s="342"/>
      <c r="G46" s="289"/>
    </row>
    <row r="47" spans="1:7" x14ac:dyDescent="0.2">
      <c r="A47" s="1216" t="s">
        <v>308</v>
      </c>
      <c r="B47" s="1217"/>
      <c r="C47" s="1217"/>
      <c r="D47" s="1217"/>
      <c r="E47" s="1217"/>
      <c r="F47" s="342"/>
      <c r="G47" s="289"/>
    </row>
    <row r="48" spans="1:7" x14ac:dyDescent="0.2">
      <c r="A48" s="1216" t="s">
        <v>19</v>
      </c>
      <c r="B48" s="1217"/>
      <c r="C48" s="1217"/>
      <c r="D48" s="1217"/>
      <c r="E48" s="1217"/>
      <c r="F48" s="342"/>
      <c r="G48" s="289"/>
    </row>
    <row r="49" spans="1:7" ht="15" thickBot="1" x14ac:dyDescent="0.25">
      <c r="A49" s="1203" t="s">
        <v>309</v>
      </c>
      <c r="B49" s="1204"/>
      <c r="C49" s="1204"/>
      <c r="D49" s="1204"/>
      <c r="E49" s="1204"/>
      <c r="F49" s="343"/>
      <c r="G49" s="344"/>
    </row>
    <row r="50" spans="1:7" ht="15" thickBot="1" x14ac:dyDescent="0.25">
      <c r="A50" s="1205" t="s">
        <v>310</v>
      </c>
      <c r="B50" s="1206"/>
      <c r="C50" s="1206"/>
      <c r="D50" s="1206"/>
      <c r="E50" s="1206"/>
      <c r="F50" s="1207"/>
      <c r="G50" s="1208"/>
    </row>
    <row r="51" spans="1:7" ht="7.5" customHeight="1" x14ac:dyDescent="0.2">
      <c r="A51" s="345"/>
      <c r="B51" s="346"/>
      <c r="C51" s="346"/>
      <c r="D51" s="346"/>
      <c r="E51" s="346"/>
      <c r="F51" s="340"/>
      <c r="G51" s="347"/>
    </row>
    <row r="52" spans="1:7" ht="15" thickBot="1" x14ac:dyDescent="0.25">
      <c r="A52" s="348" t="s">
        <v>681</v>
      </c>
      <c r="B52" s="349"/>
      <c r="C52" s="349" t="s">
        <v>682</v>
      </c>
      <c r="D52" s="349"/>
      <c r="E52" s="349"/>
      <c r="F52" s="349" t="s">
        <v>683</v>
      </c>
      <c r="G52" s="350"/>
    </row>
    <row r="53" spans="1:7" x14ac:dyDescent="0.2">
      <c r="A53" s="351"/>
      <c r="B53" s="351"/>
      <c r="C53" s="351"/>
      <c r="D53" s="351"/>
      <c r="E53" s="351"/>
      <c r="F53" s="351"/>
      <c r="G53" s="351"/>
    </row>
    <row r="54" spans="1:7" ht="15" thickBot="1" x14ac:dyDescent="0.25">
      <c r="A54" s="1174" t="s">
        <v>1688</v>
      </c>
      <c r="B54" s="1175"/>
      <c r="C54" s="1175"/>
      <c r="D54" s="1175"/>
      <c r="E54" s="1175"/>
      <c r="F54" s="241" t="s">
        <v>24</v>
      </c>
      <c r="G54" s="264" t="s">
        <v>11</v>
      </c>
    </row>
    <row r="55" spans="1:7" ht="15" thickBot="1" x14ac:dyDescent="0.25">
      <c r="A55" s="1176" t="s">
        <v>1642</v>
      </c>
      <c r="B55" s="1177"/>
      <c r="C55" s="1177"/>
      <c r="D55" s="1177"/>
      <c r="E55" s="1177"/>
      <c r="F55" s="1177"/>
      <c r="G55" s="1178"/>
    </row>
    <row r="56" spans="1:7" x14ac:dyDescent="0.2">
      <c r="A56" s="242" t="s">
        <v>1643</v>
      </c>
      <c r="B56" s="191" t="s">
        <v>1644</v>
      </c>
      <c r="C56" s="190" t="s">
        <v>26</v>
      </c>
      <c r="D56" s="190" t="s">
        <v>27</v>
      </c>
      <c r="E56" s="190" t="s">
        <v>28</v>
      </c>
      <c r="F56" s="190" t="s">
        <v>29</v>
      </c>
      <c r="G56" s="243"/>
    </row>
    <row r="57" spans="1:7" x14ac:dyDescent="0.2">
      <c r="A57" s="244" t="str">
        <f>VLOOKUP(B57,PRECIOS!$A$309:$E$485,2,FALSE)</f>
        <v>EQUIPO84</v>
      </c>
      <c r="B57" s="200" t="s">
        <v>546</v>
      </c>
      <c r="C57" s="89" t="str">
        <f>VLOOKUP(B57,PRECIOS!$A$309:$E$485,3,FALSE)</f>
        <v>Combustible</v>
      </c>
      <c r="D57" s="209">
        <f>VLOOKUP(B57,PRECIOS!$A$309:$E$485,5,FALSE)</f>
        <v>9615.3150000000005</v>
      </c>
      <c r="E57" s="210">
        <v>1.5</v>
      </c>
      <c r="F57" s="203">
        <f>+D57*E57</f>
        <v>14422.9725</v>
      </c>
      <c r="G57" s="245"/>
    </row>
    <row r="58" spans="1:7" x14ac:dyDescent="0.2">
      <c r="A58" s="1179" t="s">
        <v>1650</v>
      </c>
      <c r="B58" s="1180"/>
      <c r="C58" s="214">
        <v>0.05</v>
      </c>
      <c r="D58" s="213"/>
      <c r="E58" s="163"/>
      <c r="F58" s="212">
        <f>+G80*C58</f>
        <v>23748.75</v>
      </c>
      <c r="G58" s="246"/>
    </row>
    <row r="59" spans="1:7" x14ac:dyDescent="0.2">
      <c r="A59" s="247" t="s">
        <v>25</v>
      </c>
      <c r="B59" s="159"/>
      <c r="C59" s="159"/>
      <c r="D59" s="159"/>
      <c r="E59" s="159"/>
      <c r="F59" s="159"/>
      <c r="G59" s="246" t="s">
        <v>31</v>
      </c>
    </row>
    <row r="60" spans="1:7" ht="15" thickBot="1" x14ac:dyDescent="0.25">
      <c r="A60" s="248"/>
      <c r="B60" s="160"/>
      <c r="C60" s="160"/>
      <c r="D60" s="160"/>
      <c r="E60" s="160"/>
      <c r="F60" s="160"/>
      <c r="G60" s="249">
        <f>SUM(F57:F58)</f>
        <v>38171.722500000003</v>
      </c>
    </row>
    <row r="61" spans="1:7" ht="15" thickBot="1" x14ac:dyDescent="0.25">
      <c r="A61" s="1176" t="s">
        <v>1645</v>
      </c>
      <c r="B61" s="1177"/>
      <c r="C61" s="1177"/>
      <c r="D61" s="1177"/>
      <c r="E61" s="1177"/>
      <c r="F61" s="1177"/>
      <c r="G61" s="1178"/>
    </row>
    <row r="62" spans="1:7" x14ac:dyDescent="0.2">
      <c r="A62" s="242" t="s">
        <v>1643</v>
      </c>
      <c r="B62" s="191" t="s">
        <v>1644</v>
      </c>
      <c r="C62" s="190" t="s">
        <v>32</v>
      </c>
      <c r="D62" s="190" t="s">
        <v>33</v>
      </c>
      <c r="E62" s="190" t="s">
        <v>34</v>
      </c>
      <c r="F62" s="190" t="s">
        <v>35</v>
      </c>
      <c r="G62" s="243"/>
    </row>
    <row r="63" spans="1:7" x14ac:dyDescent="0.2">
      <c r="A63" s="247" t="str">
        <f>VLOOKUP(B63,PRECIOS!$A$5:$D$303,2,FALSE)</f>
        <v>MATPLAYA01</v>
      </c>
      <c r="B63" s="159" t="s">
        <v>457</v>
      </c>
      <c r="C63" s="159" t="str">
        <f>VLOOKUP(B63,PRECIOS!$A$5:$D$303,3,FALSE)</f>
        <v>m3</v>
      </c>
      <c r="D63" s="215">
        <f>VLOOKUP(B63,PRECIOS!$A$5:$D$303,4,FALSE)</f>
        <v>68171.400000000009</v>
      </c>
      <c r="E63" s="273">
        <v>0.78</v>
      </c>
      <c r="F63" s="211">
        <f>+D63*E63</f>
        <v>53173.69200000001</v>
      </c>
      <c r="G63" s="246"/>
    </row>
    <row r="64" spans="1:7" x14ac:dyDescent="0.2">
      <c r="A64" s="247" t="str">
        <f>VLOOKUP(B64,PRECIOS!$A$6:$D$304,2,FALSE)</f>
        <v>MATPLAYA02</v>
      </c>
      <c r="B64" s="159" t="s">
        <v>458</v>
      </c>
      <c r="C64" s="159" t="str">
        <f>VLOOKUP(B64,PRECIOS!$A$6:$D$304,3,FALSE)</f>
        <v>m3</v>
      </c>
      <c r="D64" s="215">
        <f>VLOOKUP(B64,PRECIOS!$A$6:$D$304,4,FALSE)</f>
        <v>65751.400000000009</v>
      </c>
      <c r="E64" s="273">
        <v>0.76</v>
      </c>
      <c r="F64" s="211">
        <f t="shared" ref="F64:F66" si="4">+D64*E64</f>
        <v>49971.064000000006</v>
      </c>
      <c r="G64" s="246"/>
    </row>
    <row r="65" spans="1:7" x14ac:dyDescent="0.2">
      <c r="A65" s="247" t="str">
        <f>VLOOKUP(B65,PRECIOS!$A$5:$D$303,2,FALSE)</f>
        <v>VARIOS01</v>
      </c>
      <c r="B65" s="159" t="s">
        <v>378</v>
      </c>
      <c r="C65" s="159" t="str">
        <f>VLOOKUP(B65,PRECIOS!$A$5:$D$303,3,FALSE)</f>
        <v>Bulto x 50 Kg.</v>
      </c>
      <c r="D65" s="215">
        <f>VLOOKUP(B65,PRECIOS!$A$5:$D$303,4,FALSE)</f>
        <v>33540.506999999998</v>
      </c>
      <c r="E65" s="216">
        <v>10</v>
      </c>
      <c r="F65" s="211">
        <f>+D65*E65</f>
        <v>335405.06999999995</v>
      </c>
      <c r="G65" s="246"/>
    </row>
    <row r="66" spans="1:7" x14ac:dyDescent="0.2">
      <c r="A66" s="247" t="str">
        <f>VLOOKUP(B66,PRECIOS!$A$8:$D$306,2,FALSE)</f>
        <v>MATPLAYA10</v>
      </c>
      <c r="B66" s="159" t="s">
        <v>66</v>
      </c>
      <c r="C66" s="159" t="str">
        <f>VLOOKUP(B66,PRECIOS!$A$8:$D$306,3,FALSE)</f>
        <v>Litro</v>
      </c>
      <c r="D66" s="215">
        <f>VLOOKUP(B66,PRECIOS!$A$8:$D$306,4,FALSE)</f>
        <v>180</v>
      </c>
      <c r="E66" s="273">
        <v>180</v>
      </c>
      <c r="F66" s="211">
        <f t="shared" si="4"/>
        <v>32400</v>
      </c>
      <c r="G66" s="246"/>
    </row>
    <row r="67" spans="1:7" x14ac:dyDescent="0.2">
      <c r="A67" s="1179" t="s">
        <v>1649</v>
      </c>
      <c r="B67" s="1180"/>
      <c r="C67" s="214">
        <v>0.02</v>
      </c>
      <c r="D67" s="162"/>
      <c r="E67" s="163"/>
      <c r="F67" s="276">
        <f>SUM(F63:F66)*C67</f>
        <v>9418.9965200000006</v>
      </c>
      <c r="G67" s="246"/>
    </row>
    <row r="68" spans="1:7" x14ac:dyDescent="0.2">
      <c r="A68" s="247"/>
      <c r="B68" s="159"/>
      <c r="C68" s="104"/>
      <c r="D68" s="104"/>
      <c r="E68" s="104"/>
      <c r="F68" s="104"/>
      <c r="G68" s="246" t="s">
        <v>31</v>
      </c>
    </row>
    <row r="69" spans="1:7" ht="15" thickBot="1" x14ac:dyDescent="0.25">
      <c r="A69" s="248"/>
      <c r="B69" s="160"/>
      <c r="C69" s="160"/>
      <c r="D69" s="160"/>
      <c r="E69" s="160"/>
      <c r="F69" s="160"/>
      <c r="G69" s="250">
        <f>SUM(F63:F67)</f>
        <v>480368.82251999999</v>
      </c>
    </row>
    <row r="70" spans="1:7" ht="15" thickBot="1" x14ac:dyDescent="0.25">
      <c r="A70" s="1176" t="s">
        <v>1646</v>
      </c>
      <c r="B70" s="1177"/>
      <c r="C70" s="1177"/>
      <c r="D70" s="1177"/>
      <c r="E70" s="1177"/>
      <c r="F70" s="1177"/>
      <c r="G70" s="1178"/>
    </row>
    <row r="71" spans="1:7" x14ac:dyDescent="0.2">
      <c r="A71" s="251" t="s">
        <v>305</v>
      </c>
      <c r="B71" s="190" t="s">
        <v>38</v>
      </c>
      <c r="C71" s="190" t="s">
        <v>39</v>
      </c>
      <c r="D71" s="190" t="s">
        <v>40</v>
      </c>
      <c r="E71" s="190" t="s">
        <v>34</v>
      </c>
      <c r="F71" s="190" t="s">
        <v>35</v>
      </c>
      <c r="G71" s="243"/>
    </row>
    <row r="72" spans="1:7" x14ac:dyDescent="0.2">
      <c r="A72" s="252"/>
      <c r="B72" s="235"/>
      <c r="C72" s="238"/>
      <c r="D72" s="236"/>
      <c r="E72" s="237"/>
      <c r="F72" s="239"/>
      <c r="G72" s="253"/>
    </row>
    <row r="73" spans="1:7" x14ac:dyDescent="0.2">
      <c r="A73" s="252"/>
      <c r="B73" s="235"/>
      <c r="C73" s="238"/>
      <c r="D73" s="236"/>
      <c r="E73" s="237"/>
      <c r="F73" s="239"/>
      <c r="G73" s="253"/>
    </row>
    <row r="74" spans="1:7" x14ac:dyDescent="0.2">
      <c r="A74" s="247" t="s">
        <v>25</v>
      </c>
      <c r="B74" s="104" t="s">
        <v>25</v>
      </c>
      <c r="C74" s="104" t="s">
        <v>25</v>
      </c>
      <c r="D74" s="188" t="s">
        <v>25</v>
      </c>
      <c r="E74" s="189" t="s">
        <v>25</v>
      </c>
      <c r="F74" s="187" t="s">
        <v>25</v>
      </c>
      <c r="G74" s="246" t="s">
        <v>31</v>
      </c>
    </row>
    <row r="75" spans="1:7" ht="15" thickBot="1" x14ac:dyDescent="0.25">
      <c r="A75" s="248"/>
      <c r="B75" s="160"/>
      <c r="C75" s="160"/>
      <c r="D75" s="160"/>
      <c r="E75" s="160"/>
      <c r="F75" s="160"/>
      <c r="G75" s="250">
        <f>SUM(F72:F73)</f>
        <v>0</v>
      </c>
    </row>
    <row r="76" spans="1:7" ht="15" thickBot="1" x14ac:dyDescent="0.25">
      <c r="A76" s="1176" t="s">
        <v>1647</v>
      </c>
      <c r="B76" s="1177"/>
      <c r="C76" s="1177"/>
      <c r="D76" s="1177"/>
      <c r="E76" s="1177"/>
      <c r="F76" s="1177"/>
      <c r="G76" s="1178"/>
    </row>
    <row r="77" spans="1:7" ht="24" x14ac:dyDescent="0.2">
      <c r="A77" s="254" t="s">
        <v>1681</v>
      </c>
      <c r="B77" s="190" t="s">
        <v>42</v>
      </c>
      <c r="C77" s="190" t="s">
        <v>43</v>
      </c>
      <c r="D77" s="190" t="s">
        <v>44</v>
      </c>
      <c r="E77" s="190" t="s">
        <v>306</v>
      </c>
      <c r="F77" s="190" t="s">
        <v>29</v>
      </c>
      <c r="G77" s="243"/>
    </row>
    <row r="78" spans="1:7" ht="36" x14ac:dyDescent="0.2">
      <c r="A78" s="255" t="s">
        <v>1677</v>
      </c>
      <c r="B78" s="202">
        <f>VLOOKUP(A78,JORNALES!$A$5:$B$28,2,FALSE)</f>
        <v>375000</v>
      </c>
      <c r="C78" s="233">
        <f>+PRESTACIONES!$C$20/100</f>
        <v>0.89990000000000014</v>
      </c>
      <c r="D78" s="234">
        <f>+(B78*C78)+B78</f>
        <v>712462.5</v>
      </c>
      <c r="E78" s="161">
        <v>1.5</v>
      </c>
      <c r="F78" s="199">
        <f>+D78/E78</f>
        <v>474975</v>
      </c>
      <c r="G78" s="246"/>
    </row>
    <row r="79" spans="1:7" x14ac:dyDescent="0.2">
      <c r="A79" s="247"/>
      <c r="B79" s="159"/>
      <c r="C79" s="159"/>
      <c r="D79" s="159"/>
      <c r="E79" s="159"/>
      <c r="F79" s="159"/>
      <c r="G79" s="246" t="s">
        <v>31</v>
      </c>
    </row>
    <row r="80" spans="1:7" x14ac:dyDescent="0.2">
      <c r="A80" s="247"/>
      <c r="B80" s="159"/>
      <c r="C80" s="159"/>
      <c r="D80" s="159"/>
      <c r="E80" s="159"/>
      <c r="F80" s="159"/>
      <c r="G80" s="256">
        <f>SUM(F78:F78)</f>
        <v>474975</v>
      </c>
    </row>
    <row r="81" spans="1:7" ht="15" thickBot="1" x14ac:dyDescent="0.25">
      <c r="A81" s="1181" t="s">
        <v>25</v>
      </c>
      <c r="B81" s="1182"/>
      <c r="C81" s="1182"/>
      <c r="D81" s="1182"/>
      <c r="E81" s="1182"/>
      <c r="F81" s="1182"/>
      <c r="G81" s="1183"/>
    </row>
    <row r="82" spans="1:7" ht="15" thickBot="1" x14ac:dyDescent="0.25">
      <c r="A82" s="1184" t="s">
        <v>45</v>
      </c>
      <c r="B82" s="1185"/>
      <c r="C82" s="1185"/>
      <c r="D82" s="1185"/>
      <c r="E82" s="1185"/>
      <c r="F82" s="192"/>
      <c r="G82" s="277">
        <f xml:space="preserve"> ROUND(G80+G75+G69+G60,0)</f>
        <v>993516</v>
      </c>
    </row>
    <row r="83" spans="1:7" x14ac:dyDescent="0.2">
      <c r="A83" s="1186" t="s">
        <v>476</v>
      </c>
      <c r="B83" s="1187"/>
      <c r="C83" s="1187"/>
      <c r="D83" s="1187"/>
      <c r="E83" s="1187"/>
      <c r="F83" s="193" t="s">
        <v>51</v>
      </c>
      <c r="G83" s="257" t="s">
        <v>307</v>
      </c>
    </row>
    <row r="84" spans="1:7" x14ac:dyDescent="0.2">
      <c r="A84" s="1166" t="s">
        <v>17</v>
      </c>
      <c r="B84" s="1167"/>
      <c r="C84" s="1167"/>
      <c r="D84" s="1167"/>
      <c r="E84" s="1167"/>
      <c r="F84" s="240"/>
      <c r="G84" s="196"/>
    </row>
    <row r="85" spans="1:7" x14ac:dyDescent="0.2">
      <c r="A85" s="1166" t="s">
        <v>308</v>
      </c>
      <c r="B85" s="1167"/>
      <c r="C85" s="1167"/>
      <c r="D85" s="1167"/>
      <c r="E85" s="1167"/>
      <c r="F85" s="240"/>
      <c r="G85" s="196"/>
    </row>
    <row r="86" spans="1:7" x14ac:dyDescent="0.2">
      <c r="A86" s="1166" t="s">
        <v>19</v>
      </c>
      <c r="B86" s="1167"/>
      <c r="C86" s="1167"/>
      <c r="D86" s="1167"/>
      <c r="E86" s="1167"/>
      <c r="F86" s="240"/>
      <c r="G86" s="196"/>
    </row>
    <row r="87" spans="1:7" ht="15" thickBot="1" x14ac:dyDescent="0.25">
      <c r="A87" s="1168" t="s">
        <v>309</v>
      </c>
      <c r="B87" s="1169"/>
      <c r="C87" s="1169"/>
      <c r="D87" s="1169"/>
      <c r="E87" s="1169"/>
      <c r="F87" s="198"/>
      <c r="G87" s="258"/>
    </row>
    <row r="88" spans="1:7" ht="15" thickBot="1" x14ac:dyDescent="0.25">
      <c r="A88" s="1170" t="s">
        <v>310</v>
      </c>
      <c r="B88" s="1171"/>
      <c r="C88" s="1171"/>
      <c r="D88" s="1171"/>
      <c r="E88" s="1171"/>
      <c r="F88" s="1172"/>
      <c r="G88" s="1173"/>
    </row>
    <row r="89" spans="1:7" x14ac:dyDescent="0.2">
      <c r="A89" s="259"/>
      <c r="B89" s="195"/>
      <c r="C89" s="195"/>
      <c r="D89" s="195"/>
      <c r="E89" s="195"/>
      <c r="F89" s="193"/>
      <c r="G89" s="260"/>
    </row>
    <row r="90" spans="1:7" ht="15" thickBot="1" x14ac:dyDescent="0.25">
      <c r="A90" s="261" t="s">
        <v>681</v>
      </c>
      <c r="B90" s="262"/>
      <c r="C90" s="262" t="s">
        <v>682</v>
      </c>
      <c r="D90" s="262"/>
      <c r="E90" s="262"/>
      <c r="F90" s="262" t="s">
        <v>683</v>
      </c>
      <c r="G90" s="263"/>
    </row>
    <row r="92" spans="1:7" ht="15" thickBot="1" x14ac:dyDescent="0.25">
      <c r="A92" s="1174" t="s">
        <v>52</v>
      </c>
      <c r="B92" s="1175"/>
      <c r="C92" s="1175"/>
      <c r="D92" s="1175"/>
      <c r="E92" s="1175"/>
      <c r="F92" s="241" t="s">
        <v>24</v>
      </c>
      <c r="G92" s="264" t="s">
        <v>11</v>
      </c>
    </row>
    <row r="93" spans="1:7" ht="15" thickBot="1" x14ac:dyDescent="0.25">
      <c r="A93" s="1176" t="s">
        <v>1642</v>
      </c>
      <c r="B93" s="1177"/>
      <c r="C93" s="1177"/>
      <c r="D93" s="1177"/>
      <c r="E93" s="1177"/>
      <c r="F93" s="1177"/>
      <c r="G93" s="1178"/>
    </row>
    <row r="94" spans="1:7" x14ac:dyDescent="0.2">
      <c r="A94" s="242" t="s">
        <v>1643</v>
      </c>
      <c r="B94" s="191" t="s">
        <v>1644</v>
      </c>
      <c r="C94" s="190" t="s">
        <v>26</v>
      </c>
      <c r="D94" s="190" t="s">
        <v>27</v>
      </c>
      <c r="E94" s="190" t="s">
        <v>28</v>
      </c>
      <c r="F94" s="190" t="s">
        <v>29</v>
      </c>
      <c r="G94" s="243"/>
    </row>
    <row r="95" spans="1:7" x14ac:dyDescent="0.2">
      <c r="A95" s="244" t="str">
        <f>VLOOKUP(B95,PRECIOS!$A$309:$E$485,2,FALSE)</f>
        <v>EQUIPO84</v>
      </c>
      <c r="B95" s="200" t="s">
        <v>546</v>
      </c>
      <c r="C95" s="89" t="str">
        <f>VLOOKUP(B95,PRECIOS!$A$309:$E$485,3,FALSE)</f>
        <v>Combustible</v>
      </c>
      <c r="D95" s="209">
        <f>VLOOKUP(B95,PRECIOS!$A$309:$E$485,5,FALSE)</f>
        <v>9615.3150000000005</v>
      </c>
      <c r="E95" s="210">
        <v>3</v>
      </c>
      <c r="F95" s="203">
        <f>+D95*E95</f>
        <v>28845.945</v>
      </c>
      <c r="G95" s="245"/>
    </row>
    <row r="96" spans="1:7" x14ac:dyDescent="0.2">
      <c r="A96" s="1179" t="s">
        <v>1650</v>
      </c>
      <c r="B96" s="1180"/>
      <c r="C96" s="214">
        <v>0.05</v>
      </c>
      <c r="D96" s="213"/>
      <c r="E96" s="163"/>
      <c r="F96" s="212">
        <f>+G118*C96</f>
        <v>19790.625</v>
      </c>
      <c r="G96" s="246"/>
    </row>
    <row r="97" spans="1:7" x14ac:dyDescent="0.2">
      <c r="A97" s="247" t="s">
        <v>25</v>
      </c>
      <c r="B97" s="159"/>
      <c r="C97" s="159"/>
      <c r="D97" s="159"/>
      <c r="E97" s="159"/>
      <c r="F97" s="159"/>
      <c r="G97" s="246" t="s">
        <v>31</v>
      </c>
    </row>
    <row r="98" spans="1:7" ht="15" thickBot="1" x14ac:dyDescent="0.25">
      <c r="A98" s="248"/>
      <c r="B98" s="160"/>
      <c r="C98" s="160"/>
      <c r="D98" s="160"/>
      <c r="E98" s="160"/>
      <c r="F98" s="160"/>
      <c r="G98" s="249">
        <f>SUM(F95:F96)</f>
        <v>48636.57</v>
      </c>
    </row>
    <row r="99" spans="1:7" ht="15" thickBot="1" x14ac:dyDescent="0.25">
      <c r="A99" s="1176" t="s">
        <v>1645</v>
      </c>
      <c r="B99" s="1177"/>
      <c r="C99" s="1177"/>
      <c r="D99" s="1177"/>
      <c r="E99" s="1177"/>
      <c r="F99" s="1177"/>
      <c r="G99" s="1178"/>
    </row>
    <row r="100" spans="1:7" x14ac:dyDescent="0.2">
      <c r="A100" s="242" t="s">
        <v>1643</v>
      </c>
      <c r="B100" s="191" t="s">
        <v>1644</v>
      </c>
      <c r="C100" s="190" t="s">
        <v>32</v>
      </c>
      <c r="D100" s="190" t="s">
        <v>33</v>
      </c>
      <c r="E100" s="190" t="s">
        <v>34</v>
      </c>
      <c r="F100" s="190" t="s">
        <v>35</v>
      </c>
      <c r="G100" s="243"/>
    </row>
    <row r="101" spans="1:7" x14ac:dyDescent="0.2">
      <c r="A101" s="247" t="str">
        <f>VLOOKUP(B101,PRECIOS!$A$5:$D$303,2,FALSE)</f>
        <v>MATPLAYA01</v>
      </c>
      <c r="B101" s="159" t="s">
        <v>457</v>
      </c>
      <c r="C101" s="159" t="str">
        <f>VLOOKUP(B101,PRECIOS!$A$5:$D$303,3,FALSE)</f>
        <v>m3</v>
      </c>
      <c r="D101" s="215">
        <f>VLOOKUP(B101,PRECIOS!$A$5:$D$303,4,FALSE)</f>
        <v>68171.400000000009</v>
      </c>
      <c r="E101" s="273">
        <v>0.65</v>
      </c>
      <c r="F101" s="211">
        <f>+D101*E101</f>
        <v>44311.410000000011</v>
      </c>
      <c r="G101" s="246"/>
    </row>
    <row r="102" spans="1:7" x14ac:dyDescent="0.2">
      <c r="A102" s="247" t="str">
        <f>VLOOKUP(B102,PRECIOS!$A$6:$D$304,2,FALSE)</f>
        <v>MATPLAYA02</v>
      </c>
      <c r="B102" s="159" t="s">
        <v>458</v>
      </c>
      <c r="C102" s="159" t="str">
        <f>VLOOKUP(B102,PRECIOS!$A$6:$D$304,3,FALSE)</f>
        <v>m3</v>
      </c>
      <c r="D102" s="215">
        <f>VLOOKUP(B102,PRECIOS!$A$6:$D$304,4,FALSE)</f>
        <v>65751.400000000009</v>
      </c>
      <c r="E102" s="273">
        <v>0.68</v>
      </c>
      <c r="F102" s="211">
        <f t="shared" ref="F102" si="5">+D102*E102</f>
        <v>44710.952000000012</v>
      </c>
      <c r="G102" s="246"/>
    </row>
    <row r="103" spans="1:7" x14ac:dyDescent="0.2">
      <c r="A103" s="247" t="str">
        <f>VLOOKUP(B103,PRECIOS!$A$5:$D$303,2,FALSE)</f>
        <v>VARIOS01</v>
      </c>
      <c r="B103" s="159" t="s">
        <v>378</v>
      </c>
      <c r="C103" s="159" t="str">
        <f>VLOOKUP(B103,PRECIOS!$A$5:$D$303,3,FALSE)</f>
        <v>Bulto x 50 Kg.</v>
      </c>
      <c r="D103" s="215">
        <f>VLOOKUP(B103,PRECIOS!$A$5:$D$303,4,FALSE)</f>
        <v>33540.506999999998</v>
      </c>
      <c r="E103" s="216">
        <v>8</v>
      </c>
      <c r="F103" s="211">
        <f>+D103*E103</f>
        <v>268324.05599999998</v>
      </c>
      <c r="G103" s="246"/>
    </row>
    <row r="104" spans="1:7" x14ac:dyDescent="0.2">
      <c r="A104" s="247" t="str">
        <f>VLOOKUP(B104,PRECIOS!$A$8:$D$306,2,FALSE)</f>
        <v>MATPLAYA10</v>
      </c>
      <c r="B104" s="159" t="s">
        <v>66</v>
      </c>
      <c r="C104" s="159" t="str">
        <f>VLOOKUP(B104,PRECIOS!$A$8:$D$306,3,FALSE)</f>
        <v>Litro</v>
      </c>
      <c r="D104" s="215">
        <f>VLOOKUP(B104,PRECIOS!$A$8:$D$306,4,FALSE)</f>
        <v>180</v>
      </c>
      <c r="E104" s="273">
        <v>180</v>
      </c>
      <c r="F104" s="211">
        <f t="shared" ref="F104" si="6">+D104*E104</f>
        <v>32400</v>
      </c>
      <c r="G104" s="246"/>
    </row>
    <row r="105" spans="1:7" x14ac:dyDescent="0.2">
      <c r="A105" s="1179" t="s">
        <v>1649</v>
      </c>
      <c r="B105" s="1180"/>
      <c r="C105" s="214">
        <v>0.02</v>
      </c>
      <c r="D105" s="162"/>
      <c r="E105" s="163"/>
      <c r="F105" s="276">
        <f>SUM(F101:F104)*C105</f>
        <v>7794.9283599999999</v>
      </c>
      <c r="G105" s="246"/>
    </row>
    <row r="106" spans="1:7" x14ac:dyDescent="0.2">
      <c r="A106" s="247"/>
      <c r="B106" s="159"/>
      <c r="C106" s="104"/>
      <c r="D106" s="104"/>
      <c r="E106" s="104"/>
      <c r="F106" s="104"/>
      <c r="G106" s="246" t="s">
        <v>31</v>
      </c>
    </row>
    <row r="107" spans="1:7" ht="15" thickBot="1" x14ac:dyDescent="0.25">
      <c r="A107" s="248"/>
      <c r="B107" s="160"/>
      <c r="C107" s="160"/>
      <c r="D107" s="160"/>
      <c r="E107" s="160"/>
      <c r="F107" s="160"/>
      <c r="G107" s="250">
        <f>SUM(F101:F105)</f>
        <v>397541.34636000003</v>
      </c>
    </row>
    <row r="108" spans="1:7" ht="15" thickBot="1" x14ac:dyDescent="0.25">
      <c r="A108" s="1176" t="s">
        <v>1646</v>
      </c>
      <c r="B108" s="1177"/>
      <c r="C108" s="1177"/>
      <c r="D108" s="1177"/>
      <c r="E108" s="1177"/>
      <c r="F108" s="1177"/>
      <c r="G108" s="1178"/>
    </row>
    <row r="109" spans="1:7" x14ac:dyDescent="0.2">
      <c r="A109" s="251" t="s">
        <v>305</v>
      </c>
      <c r="B109" s="190" t="s">
        <v>38</v>
      </c>
      <c r="C109" s="190" t="s">
        <v>39</v>
      </c>
      <c r="D109" s="190" t="s">
        <v>40</v>
      </c>
      <c r="E109" s="190" t="s">
        <v>34</v>
      </c>
      <c r="F109" s="190" t="s">
        <v>35</v>
      </c>
      <c r="G109" s="243"/>
    </row>
    <row r="110" spans="1:7" x14ac:dyDescent="0.2">
      <c r="A110" s="252"/>
      <c r="B110" s="235"/>
      <c r="C110" s="238"/>
      <c r="D110" s="236"/>
      <c r="E110" s="237"/>
      <c r="F110" s="239"/>
      <c r="G110" s="253"/>
    </row>
    <row r="111" spans="1:7" x14ac:dyDescent="0.2">
      <c r="A111" s="252"/>
      <c r="B111" s="235"/>
      <c r="C111" s="238"/>
      <c r="D111" s="236"/>
      <c r="E111" s="237"/>
      <c r="F111" s="239"/>
      <c r="G111" s="253"/>
    </row>
    <row r="112" spans="1:7" x14ac:dyDescent="0.2">
      <c r="A112" s="247" t="s">
        <v>25</v>
      </c>
      <c r="B112" s="104" t="s">
        <v>25</v>
      </c>
      <c r="C112" s="104" t="s">
        <v>25</v>
      </c>
      <c r="D112" s="188" t="s">
        <v>25</v>
      </c>
      <c r="E112" s="189" t="s">
        <v>25</v>
      </c>
      <c r="F112" s="187" t="s">
        <v>25</v>
      </c>
      <c r="G112" s="246" t="s">
        <v>31</v>
      </c>
    </row>
    <row r="113" spans="1:7" ht="15" thickBot="1" x14ac:dyDescent="0.25">
      <c r="A113" s="248"/>
      <c r="B113" s="160"/>
      <c r="C113" s="160"/>
      <c r="D113" s="160"/>
      <c r="E113" s="160"/>
      <c r="F113" s="160"/>
      <c r="G113" s="250">
        <f>SUM(F110:F111)</f>
        <v>0</v>
      </c>
    </row>
    <row r="114" spans="1:7" ht="15" thickBot="1" x14ac:dyDescent="0.25">
      <c r="A114" s="1176" t="s">
        <v>1647</v>
      </c>
      <c r="B114" s="1177"/>
      <c r="C114" s="1177"/>
      <c r="D114" s="1177"/>
      <c r="E114" s="1177"/>
      <c r="F114" s="1177"/>
      <c r="G114" s="1178"/>
    </row>
    <row r="115" spans="1:7" ht="24" x14ac:dyDescent="0.2">
      <c r="A115" s="254" t="s">
        <v>1681</v>
      </c>
      <c r="B115" s="190" t="s">
        <v>42</v>
      </c>
      <c r="C115" s="190" t="s">
        <v>43</v>
      </c>
      <c r="D115" s="190" t="s">
        <v>44</v>
      </c>
      <c r="E115" s="190" t="s">
        <v>306</v>
      </c>
      <c r="F115" s="190" t="s">
        <v>29</v>
      </c>
      <c r="G115" s="243"/>
    </row>
    <row r="116" spans="1:7" ht="36" x14ac:dyDescent="0.2">
      <c r="A116" s="255" t="s">
        <v>1677</v>
      </c>
      <c r="B116" s="202">
        <f>VLOOKUP(A116,JORNALES!$A$5:$B$28,2,FALSE)</f>
        <v>375000</v>
      </c>
      <c r="C116" s="233">
        <f>+PRESTACIONES!$C$20/100</f>
        <v>0.89990000000000014</v>
      </c>
      <c r="D116" s="234">
        <f>+(B116*C116)+B116</f>
        <v>712462.5</v>
      </c>
      <c r="E116" s="161">
        <v>1.8</v>
      </c>
      <c r="F116" s="199">
        <f>+D116/E116</f>
        <v>395812.5</v>
      </c>
      <c r="G116" s="246"/>
    </row>
    <row r="117" spans="1:7" x14ac:dyDescent="0.2">
      <c r="A117" s="247"/>
      <c r="B117" s="159"/>
      <c r="C117" s="159"/>
      <c r="D117" s="159"/>
      <c r="E117" s="159"/>
      <c r="F117" s="159"/>
      <c r="G117" s="246" t="s">
        <v>31</v>
      </c>
    </row>
    <row r="118" spans="1:7" x14ac:dyDescent="0.2">
      <c r="A118" s="247"/>
      <c r="B118" s="159"/>
      <c r="C118" s="159"/>
      <c r="D118" s="159"/>
      <c r="E118" s="159"/>
      <c r="F118" s="159"/>
      <c r="G118" s="256">
        <f>SUM(F116:F116)</f>
        <v>395812.5</v>
      </c>
    </row>
    <row r="119" spans="1:7" ht="15" thickBot="1" x14ac:dyDescent="0.25">
      <c r="A119" s="1181" t="s">
        <v>25</v>
      </c>
      <c r="B119" s="1182"/>
      <c r="C119" s="1182"/>
      <c r="D119" s="1182"/>
      <c r="E119" s="1182"/>
      <c r="F119" s="1182"/>
      <c r="G119" s="1183"/>
    </row>
    <row r="120" spans="1:7" ht="15" thickBot="1" x14ac:dyDescent="0.25">
      <c r="A120" s="1184" t="s">
        <v>45</v>
      </c>
      <c r="B120" s="1185"/>
      <c r="C120" s="1185"/>
      <c r="D120" s="1185"/>
      <c r="E120" s="1185"/>
      <c r="F120" s="192"/>
      <c r="G120" s="194">
        <f xml:space="preserve"> ROUND(G118+G113+G107+G98,0)</f>
        <v>841990</v>
      </c>
    </row>
    <row r="121" spans="1:7" x14ac:dyDescent="0.2">
      <c r="A121" s="1186" t="s">
        <v>476</v>
      </c>
      <c r="B121" s="1187"/>
      <c r="C121" s="1187"/>
      <c r="D121" s="1187"/>
      <c r="E121" s="1187"/>
      <c r="F121" s="193" t="s">
        <v>51</v>
      </c>
      <c r="G121" s="257" t="s">
        <v>307</v>
      </c>
    </row>
    <row r="122" spans="1:7" x14ac:dyDescent="0.2">
      <c r="A122" s="1166" t="s">
        <v>17</v>
      </c>
      <c r="B122" s="1167"/>
      <c r="C122" s="1167"/>
      <c r="D122" s="1167"/>
      <c r="E122" s="1167"/>
      <c r="F122" s="240"/>
      <c r="G122" s="196"/>
    </row>
    <row r="123" spans="1:7" x14ac:dyDescent="0.2">
      <c r="A123" s="1166" t="s">
        <v>308</v>
      </c>
      <c r="B123" s="1167"/>
      <c r="C123" s="1167"/>
      <c r="D123" s="1167"/>
      <c r="E123" s="1167"/>
      <c r="F123" s="240"/>
      <c r="G123" s="196"/>
    </row>
    <row r="124" spans="1:7" x14ac:dyDescent="0.2">
      <c r="A124" s="1166" t="s">
        <v>19</v>
      </c>
      <c r="B124" s="1167"/>
      <c r="C124" s="1167"/>
      <c r="D124" s="1167"/>
      <c r="E124" s="1167"/>
      <c r="F124" s="240"/>
      <c r="G124" s="196"/>
    </row>
    <row r="125" spans="1:7" ht="15" thickBot="1" x14ac:dyDescent="0.25">
      <c r="A125" s="1168" t="s">
        <v>309</v>
      </c>
      <c r="B125" s="1169"/>
      <c r="C125" s="1169"/>
      <c r="D125" s="1169"/>
      <c r="E125" s="1169"/>
      <c r="F125" s="198"/>
      <c r="G125" s="258"/>
    </row>
    <row r="126" spans="1:7" ht="15" thickBot="1" x14ac:dyDescent="0.25">
      <c r="A126" s="1170" t="s">
        <v>310</v>
      </c>
      <c r="B126" s="1171"/>
      <c r="C126" s="1171"/>
      <c r="D126" s="1171"/>
      <c r="E126" s="1171"/>
      <c r="F126" s="1172"/>
      <c r="G126" s="1173"/>
    </row>
    <row r="127" spans="1:7" x14ac:dyDescent="0.2">
      <c r="A127" s="259"/>
      <c r="B127" s="195"/>
      <c r="C127" s="195"/>
      <c r="D127" s="195"/>
      <c r="E127" s="195"/>
      <c r="F127" s="193"/>
      <c r="G127" s="260"/>
    </row>
    <row r="128" spans="1:7" ht="15" thickBot="1" x14ac:dyDescent="0.25">
      <c r="A128" s="261" t="s">
        <v>681</v>
      </c>
      <c r="B128" s="262"/>
      <c r="C128" s="262" t="s">
        <v>682</v>
      </c>
      <c r="D128" s="262"/>
      <c r="E128" s="262"/>
      <c r="F128" s="262" t="s">
        <v>683</v>
      </c>
      <c r="G128" s="263"/>
    </row>
    <row r="129" spans="1:7" ht="15" thickBot="1" x14ac:dyDescent="0.25">
      <c r="A129" s="1174" t="s">
        <v>1710</v>
      </c>
      <c r="B129" s="1175"/>
      <c r="C129" s="1175"/>
      <c r="D129" s="1175"/>
      <c r="E129" s="1175"/>
      <c r="F129" s="241" t="s">
        <v>24</v>
      </c>
      <c r="G129" s="264" t="s">
        <v>11</v>
      </c>
    </row>
    <row r="130" spans="1:7" ht="15" thickBot="1" x14ac:dyDescent="0.25">
      <c r="A130" s="1176" t="s">
        <v>1642</v>
      </c>
      <c r="B130" s="1177"/>
      <c r="C130" s="1177"/>
      <c r="D130" s="1177"/>
      <c r="E130" s="1177"/>
      <c r="F130" s="1177"/>
      <c r="G130" s="1178"/>
    </row>
    <row r="131" spans="1:7" x14ac:dyDescent="0.2">
      <c r="A131" s="242" t="s">
        <v>1643</v>
      </c>
      <c r="B131" s="191" t="s">
        <v>1644</v>
      </c>
      <c r="C131" s="190" t="s">
        <v>26</v>
      </c>
      <c r="D131" s="190" t="s">
        <v>27</v>
      </c>
      <c r="E131" s="190" t="s">
        <v>28</v>
      </c>
      <c r="F131" s="190" t="s">
        <v>29</v>
      </c>
      <c r="G131" s="243"/>
    </row>
    <row r="132" spans="1:7" x14ac:dyDescent="0.2">
      <c r="A132" s="244" t="str">
        <f>VLOOKUP(B132,PRECIOS!$A$309:$E$485,2,FALSE)</f>
        <v>EQUIPO84</v>
      </c>
      <c r="B132" s="200" t="s">
        <v>546</v>
      </c>
      <c r="C132" s="89" t="str">
        <f>VLOOKUP(B132,PRECIOS!$A$309:$E$485,3,FALSE)</f>
        <v>Combustible</v>
      </c>
      <c r="D132" s="209">
        <f>VLOOKUP(B132,PRECIOS!$A$309:$E$485,5,FALSE)</f>
        <v>9615.3150000000005</v>
      </c>
      <c r="E132" s="210">
        <v>3</v>
      </c>
      <c r="F132" s="203">
        <f>+D132*E132</f>
        <v>28845.945</v>
      </c>
      <c r="G132" s="245"/>
    </row>
    <row r="133" spans="1:7" x14ac:dyDescent="0.2">
      <c r="A133" s="1179" t="s">
        <v>1650</v>
      </c>
      <c r="B133" s="1180"/>
      <c r="C133" s="214">
        <v>0.05</v>
      </c>
      <c r="D133" s="213"/>
      <c r="E133" s="269"/>
      <c r="F133" s="212">
        <f>+G155*C133</f>
        <v>19790.625</v>
      </c>
      <c r="G133" s="246"/>
    </row>
    <row r="134" spans="1:7" x14ac:dyDescent="0.2">
      <c r="A134" s="247" t="s">
        <v>25</v>
      </c>
      <c r="B134" s="267"/>
      <c r="C134" s="267"/>
      <c r="D134" s="267"/>
      <c r="E134" s="267"/>
      <c r="F134" s="267"/>
      <c r="G134" s="246" t="s">
        <v>31</v>
      </c>
    </row>
    <row r="135" spans="1:7" ht="15" thickBot="1" x14ac:dyDescent="0.25">
      <c r="A135" s="248"/>
      <c r="B135" s="271"/>
      <c r="C135" s="271"/>
      <c r="D135" s="271"/>
      <c r="E135" s="271"/>
      <c r="F135" s="271"/>
      <c r="G135" s="249">
        <f>SUM(F132:F133)</f>
        <v>48636.57</v>
      </c>
    </row>
    <row r="136" spans="1:7" ht="15" thickBot="1" x14ac:dyDescent="0.25">
      <c r="A136" s="1176" t="s">
        <v>1645</v>
      </c>
      <c r="B136" s="1177"/>
      <c r="C136" s="1177"/>
      <c r="D136" s="1177"/>
      <c r="E136" s="1177"/>
      <c r="F136" s="1177"/>
      <c r="G136" s="1178"/>
    </row>
    <row r="137" spans="1:7" x14ac:dyDescent="0.2">
      <c r="A137" s="242" t="s">
        <v>1643</v>
      </c>
      <c r="B137" s="191" t="s">
        <v>1644</v>
      </c>
      <c r="C137" s="190" t="s">
        <v>32</v>
      </c>
      <c r="D137" s="190" t="s">
        <v>33</v>
      </c>
      <c r="E137" s="190" t="s">
        <v>34</v>
      </c>
      <c r="F137" s="190" t="s">
        <v>35</v>
      </c>
      <c r="G137" s="243"/>
    </row>
    <row r="138" spans="1:7" x14ac:dyDescent="0.2">
      <c r="A138" s="247" t="str">
        <f>VLOOKUP(B138,PRECIOS!$A$5:$D$303,2,FALSE)</f>
        <v>MATPLAYA01</v>
      </c>
      <c r="B138" s="267" t="s">
        <v>457</v>
      </c>
      <c r="C138" s="267" t="str">
        <f>VLOOKUP(B138,PRECIOS!$A$5:$D$303,3,FALSE)</f>
        <v>m3</v>
      </c>
      <c r="D138" s="215">
        <f>VLOOKUP(B138,PRECIOS!$A$5:$D$303,4,FALSE)</f>
        <v>68171.400000000009</v>
      </c>
      <c r="E138" s="273">
        <v>0.75</v>
      </c>
      <c r="F138" s="211">
        <f>+D138*E138</f>
        <v>51128.55</v>
      </c>
      <c r="G138" s="246"/>
    </row>
    <row r="139" spans="1:7" x14ac:dyDescent="0.2">
      <c r="A139" s="247" t="str">
        <f>VLOOKUP(B139,PRECIOS!$A$6:$D$304,2,FALSE)</f>
        <v>MATPLAYA02</v>
      </c>
      <c r="B139" s="267" t="s">
        <v>458</v>
      </c>
      <c r="C139" s="267" t="str">
        <f>VLOOKUP(B139,PRECIOS!$A$6:$D$304,3,FALSE)</f>
        <v>m3</v>
      </c>
      <c r="D139" s="215">
        <f>VLOOKUP(B139,PRECIOS!$A$6:$D$304,4,FALSE)</f>
        <v>65751.400000000009</v>
      </c>
      <c r="E139" s="273">
        <v>0.75</v>
      </c>
      <c r="F139" s="211">
        <f t="shared" ref="F139" si="7">+D139*E139</f>
        <v>49313.55</v>
      </c>
      <c r="G139" s="246"/>
    </row>
    <row r="140" spans="1:7" x14ac:dyDescent="0.2">
      <c r="A140" s="247" t="str">
        <f>VLOOKUP(B140,PRECIOS!$A$5:$D$303,2,FALSE)</f>
        <v>VARIOS01</v>
      </c>
      <c r="B140" s="267" t="s">
        <v>378</v>
      </c>
      <c r="C140" s="267" t="str">
        <f>VLOOKUP(B140,PRECIOS!$A$5:$D$303,3,FALSE)</f>
        <v>Bulto x 50 Kg.</v>
      </c>
      <c r="D140" s="215">
        <f>VLOOKUP(B140,PRECIOS!$A$5:$D$303,4,FALSE)</f>
        <v>33540.506999999998</v>
      </c>
      <c r="E140" s="216">
        <v>7</v>
      </c>
      <c r="F140" s="211">
        <f>+D140*E140</f>
        <v>234783.549</v>
      </c>
      <c r="G140" s="246"/>
    </row>
    <row r="141" spans="1:7" x14ac:dyDescent="0.2">
      <c r="A141" s="247" t="str">
        <f>VLOOKUP(B141,PRECIOS!$A$8:$D$306,2,FALSE)</f>
        <v>MATPLAYA10</v>
      </c>
      <c r="B141" s="267" t="s">
        <v>66</v>
      </c>
      <c r="C141" s="267" t="str">
        <f>VLOOKUP(B141,PRECIOS!$A$8:$D$306,3,FALSE)</f>
        <v>Litro</v>
      </c>
      <c r="D141" s="215">
        <f>VLOOKUP(B141,PRECIOS!$A$8:$D$306,4,FALSE)</f>
        <v>180</v>
      </c>
      <c r="E141" s="273">
        <v>180</v>
      </c>
      <c r="F141" s="211">
        <f t="shared" ref="F141" si="8">+D141*E141</f>
        <v>32400</v>
      </c>
      <c r="G141" s="246"/>
    </row>
    <row r="142" spans="1:7" x14ac:dyDescent="0.2">
      <c r="A142" s="1179" t="s">
        <v>1649</v>
      </c>
      <c r="B142" s="1180"/>
      <c r="C142" s="214">
        <v>0.02</v>
      </c>
      <c r="D142" s="268"/>
      <c r="E142" s="269"/>
      <c r="F142" s="276">
        <f>SUM(F138:F141)*C142</f>
        <v>7352.5129799999995</v>
      </c>
      <c r="G142" s="246"/>
    </row>
    <row r="143" spans="1:7" x14ac:dyDescent="0.2">
      <c r="A143" s="247"/>
      <c r="B143" s="267"/>
      <c r="C143" s="104"/>
      <c r="D143" s="104"/>
      <c r="E143" s="104"/>
      <c r="F143" s="104"/>
      <c r="G143" s="246" t="s">
        <v>31</v>
      </c>
    </row>
    <row r="144" spans="1:7" ht="15" thickBot="1" x14ac:dyDescent="0.25">
      <c r="A144" s="248"/>
      <c r="B144" s="271"/>
      <c r="C144" s="271"/>
      <c r="D144" s="271"/>
      <c r="E144" s="271"/>
      <c r="F144" s="271"/>
      <c r="G144" s="250">
        <f>SUM(F138:F142)</f>
        <v>374978.16197999998</v>
      </c>
    </row>
    <row r="145" spans="1:7" ht="15" thickBot="1" x14ac:dyDescent="0.25">
      <c r="A145" s="1176" t="s">
        <v>1646</v>
      </c>
      <c r="B145" s="1177"/>
      <c r="C145" s="1177"/>
      <c r="D145" s="1177"/>
      <c r="E145" s="1177"/>
      <c r="F145" s="1177"/>
      <c r="G145" s="1178"/>
    </row>
    <row r="146" spans="1:7" x14ac:dyDescent="0.2">
      <c r="A146" s="251" t="s">
        <v>305</v>
      </c>
      <c r="B146" s="190" t="s">
        <v>38</v>
      </c>
      <c r="C146" s="190" t="s">
        <v>39</v>
      </c>
      <c r="D146" s="190" t="s">
        <v>40</v>
      </c>
      <c r="E146" s="190" t="s">
        <v>34</v>
      </c>
      <c r="F146" s="190" t="s">
        <v>35</v>
      </c>
      <c r="G146" s="243"/>
    </row>
    <row r="147" spans="1:7" x14ac:dyDescent="0.2">
      <c r="A147" s="252"/>
      <c r="B147" s="235"/>
      <c r="C147" s="238"/>
      <c r="D147" s="236"/>
      <c r="E147" s="237"/>
      <c r="F147" s="239"/>
      <c r="G147" s="253"/>
    </row>
    <row r="148" spans="1:7" x14ac:dyDescent="0.2">
      <c r="A148" s="252"/>
      <c r="B148" s="235"/>
      <c r="C148" s="238"/>
      <c r="D148" s="236"/>
      <c r="E148" s="237"/>
      <c r="F148" s="239"/>
      <c r="G148" s="253"/>
    </row>
    <row r="149" spans="1:7" x14ac:dyDescent="0.2">
      <c r="A149" s="247" t="s">
        <v>25</v>
      </c>
      <c r="B149" s="104" t="s">
        <v>25</v>
      </c>
      <c r="C149" s="104" t="s">
        <v>25</v>
      </c>
      <c r="D149" s="188" t="s">
        <v>25</v>
      </c>
      <c r="E149" s="189" t="s">
        <v>25</v>
      </c>
      <c r="F149" s="187" t="s">
        <v>25</v>
      </c>
      <c r="G149" s="246" t="s">
        <v>31</v>
      </c>
    </row>
    <row r="150" spans="1:7" ht="15" thickBot="1" x14ac:dyDescent="0.25">
      <c r="A150" s="248"/>
      <c r="B150" s="271"/>
      <c r="C150" s="271"/>
      <c r="D150" s="271"/>
      <c r="E150" s="271"/>
      <c r="F150" s="271"/>
      <c r="G150" s="250">
        <f>SUM(F147:F148)</f>
        <v>0</v>
      </c>
    </row>
    <row r="151" spans="1:7" ht="15" thickBot="1" x14ac:dyDescent="0.25">
      <c r="A151" s="1176" t="s">
        <v>1647</v>
      </c>
      <c r="B151" s="1177"/>
      <c r="C151" s="1177"/>
      <c r="D151" s="1177"/>
      <c r="E151" s="1177"/>
      <c r="F151" s="1177"/>
      <c r="G151" s="1178"/>
    </row>
    <row r="152" spans="1:7" ht="24" x14ac:dyDescent="0.2">
      <c r="A152" s="254" t="s">
        <v>1681</v>
      </c>
      <c r="B152" s="190" t="s">
        <v>42</v>
      </c>
      <c r="C152" s="190" t="s">
        <v>43</v>
      </c>
      <c r="D152" s="190" t="s">
        <v>44</v>
      </c>
      <c r="E152" s="190" t="s">
        <v>306</v>
      </c>
      <c r="F152" s="190" t="s">
        <v>29</v>
      </c>
      <c r="G152" s="243"/>
    </row>
    <row r="153" spans="1:7" ht="36" x14ac:dyDescent="0.2">
      <c r="A153" s="255" t="s">
        <v>1677</v>
      </c>
      <c r="B153" s="202">
        <f>VLOOKUP(A153,JORNALES!$A$5:$B$28,2,FALSE)</f>
        <v>375000</v>
      </c>
      <c r="C153" s="233">
        <f>+PRESTACIONES!$C$20/100</f>
        <v>0.89990000000000014</v>
      </c>
      <c r="D153" s="234">
        <f>+(B153*C153)+B153</f>
        <v>712462.5</v>
      </c>
      <c r="E153" s="270">
        <v>1.8</v>
      </c>
      <c r="F153" s="199">
        <f>+D153/E153</f>
        <v>395812.5</v>
      </c>
      <c r="G153" s="246"/>
    </row>
    <row r="154" spans="1:7" x14ac:dyDescent="0.2">
      <c r="A154" s="247"/>
      <c r="B154" s="267"/>
      <c r="C154" s="267"/>
      <c r="D154" s="267"/>
      <c r="E154" s="267"/>
      <c r="F154" s="267"/>
      <c r="G154" s="246" t="s">
        <v>31</v>
      </c>
    </row>
    <row r="155" spans="1:7" x14ac:dyDescent="0.2">
      <c r="A155" s="247"/>
      <c r="B155" s="267"/>
      <c r="C155" s="267"/>
      <c r="D155" s="267"/>
      <c r="E155" s="267"/>
      <c r="F155" s="267"/>
      <c r="G155" s="256">
        <f>SUM(F153:F153)</f>
        <v>395812.5</v>
      </c>
    </row>
    <row r="156" spans="1:7" ht="15" thickBot="1" x14ac:dyDescent="0.25">
      <c r="A156" s="1181" t="s">
        <v>25</v>
      </c>
      <c r="B156" s="1182"/>
      <c r="C156" s="1182"/>
      <c r="D156" s="1182"/>
      <c r="E156" s="1182"/>
      <c r="F156" s="1182"/>
      <c r="G156" s="1183"/>
    </row>
    <row r="157" spans="1:7" ht="15" thickBot="1" x14ac:dyDescent="0.25">
      <c r="A157" s="1184" t="s">
        <v>45</v>
      </c>
      <c r="B157" s="1185"/>
      <c r="C157" s="1185"/>
      <c r="D157" s="1185"/>
      <c r="E157" s="1185"/>
      <c r="F157" s="192"/>
      <c r="G157" s="194">
        <f xml:space="preserve"> ROUND(G155+G150+G144+G135,0)</f>
        <v>819427</v>
      </c>
    </row>
    <row r="158" spans="1:7" x14ac:dyDescent="0.2">
      <c r="A158" s="1186" t="s">
        <v>476</v>
      </c>
      <c r="B158" s="1187"/>
      <c r="C158" s="1187"/>
      <c r="D158" s="1187"/>
      <c r="E158" s="1187"/>
      <c r="F158" s="193" t="s">
        <v>51</v>
      </c>
      <c r="G158" s="257" t="s">
        <v>307</v>
      </c>
    </row>
    <row r="159" spans="1:7" x14ac:dyDescent="0.2">
      <c r="A159" s="1166" t="s">
        <v>17</v>
      </c>
      <c r="B159" s="1167"/>
      <c r="C159" s="1167"/>
      <c r="D159" s="1167"/>
      <c r="E159" s="1167"/>
      <c r="F159" s="240"/>
      <c r="G159" s="196"/>
    </row>
    <row r="160" spans="1:7" x14ac:dyDescent="0.2">
      <c r="A160" s="1166" t="s">
        <v>308</v>
      </c>
      <c r="B160" s="1167"/>
      <c r="C160" s="1167"/>
      <c r="D160" s="1167"/>
      <c r="E160" s="1167"/>
      <c r="F160" s="240"/>
      <c r="G160" s="196"/>
    </row>
    <row r="161" spans="1:7" x14ac:dyDescent="0.2">
      <c r="A161" s="1166" t="s">
        <v>19</v>
      </c>
      <c r="B161" s="1167"/>
      <c r="C161" s="1167"/>
      <c r="D161" s="1167"/>
      <c r="E161" s="1167"/>
      <c r="F161" s="240"/>
      <c r="G161" s="196"/>
    </row>
    <row r="162" spans="1:7" ht="15" thickBot="1" x14ac:dyDescent="0.25">
      <c r="A162" s="1168" t="s">
        <v>309</v>
      </c>
      <c r="B162" s="1169"/>
      <c r="C162" s="1169"/>
      <c r="D162" s="1169"/>
      <c r="E162" s="1169"/>
      <c r="F162" s="198"/>
      <c r="G162" s="258"/>
    </row>
    <row r="163" spans="1:7" ht="15" thickBot="1" x14ac:dyDescent="0.25">
      <c r="A163" s="1170" t="s">
        <v>310</v>
      </c>
      <c r="B163" s="1171"/>
      <c r="C163" s="1171"/>
      <c r="D163" s="1171"/>
      <c r="E163" s="1171"/>
      <c r="F163" s="1172"/>
      <c r="G163" s="1173"/>
    </row>
    <row r="164" spans="1:7" x14ac:dyDescent="0.2">
      <c r="A164" s="265"/>
      <c r="B164" s="266"/>
      <c r="C164" s="266"/>
      <c r="D164" s="266"/>
      <c r="E164" s="266"/>
      <c r="F164" s="193"/>
      <c r="G164" s="260"/>
    </row>
    <row r="165" spans="1:7" ht="15" thickBot="1" x14ac:dyDescent="0.25">
      <c r="A165" s="261" t="s">
        <v>681</v>
      </c>
      <c r="B165" s="262"/>
      <c r="C165" s="262" t="s">
        <v>682</v>
      </c>
      <c r="D165" s="262"/>
      <c r="E165" s="262"/>
      <c r="F165" s="262" t="s">
        <v>683</v>
      </c>
      <c r="G165" s="263"/>
    </row>
    <row r="166" spans="1:7" ht="15" thickBot="1" x14ac:dyDescent="0.25">
      <c r="A166" s="1174" t="s">
        <v>1695</v>
      </c>
      <c r="B166" s="1175"/>
      <c r="C166" s="1175"/>
      <c r="D166" s="1175"/>
      <c r="E166" s="1175"/>
      <c r="F166" s="241" t="s">
        <v>24</v>
      </c>
      <c r="G166" s="264" t="s">
        <v>11</v>
      </c>
    </row>
    <row r="167" spans="1:7" ht="15" thickBot="1" x14ac:dyDescent="0.25">
      <c r="A167" s="1176" t="s">
        <v>1642</v>
      </c>
      <c r="B167" s="1177"/>
      <c r="C167" s="1177"/>
      <c r="D167" s="1177"/>
      <c r="E167" s="1177"/>
      <c r="F167" s="1177"/>
      <c r="G167" s="1178"/>
    </row>
    <row r="168" spans="1:7" x14ac:dyDescent="0.2">
      <c r="A168" s="242" t="s">
        <v>1643</v>
      </c>
      <c r="B168" s="191" t="s">
        <v>1644</v>
      </c>
      <c r="C168" s="190" t="s">
        <v>26</v>
      </c>
      <c r="D168" s="190" t="s">
        <v>27</v>
      </c>
      <c r="E168" s="190" t="s">
        <v>28</v>
      </c>
      <c r="F168" s="190" t="s">
        <v>29</v>
      </c>
      <c r="G168" s="243"/>
    </row>
    <row r="169" spans="1:7" x14ac:dyDescent="0.2">
      <c r="A169" s="244" t="str">
        <f>VLOOKUP(B169,PRECIOS!$A$309:$E$485,2,FALSE)</f>
        <v>EQUIPO84</v>
      </c>
      <c r="B169" s="200" t="s">
        <v>546</v>
      </c>
      <c r="C169" s="89" t="str">
        <f>VLOOKUP(B169,PRECIOS!$A$309:$E$485,3,FALSE)</f>
        <v>Combustible</v>
      </c>
      <c r="D169" s="209">
        <f>VLOOKUP(B169,PRECIOS!$A$309:$E$485,5,FALSE)</f>
        <v>9615.3150000000005</v>
      </c>
      <c r="E169" s="210">
        <v>1.25</v>
      </c>
      <c r="F169" s="203">
        <f>+D169*E169</f>
        <v>12019.143750000001</v>
      </c>
      <c r="G169" s="245"/>
    </row>
    <row r="170" spans="1:7" x14ac:dyDescent="0.2">
      <c r="A170" s="1179" t="s">
        <v>1650</v>
      </c>
      <c r="B170" s="1180"/>
      <c r="C170" s="214">
        <v>0.05</v>
      </c>
      <c r="D170" s="213"/>
      <c r="E170" s="163"/>
      <c r="F170" s="212">
        <f>+G191*C170</f>
        <v>12722.544642857145</v>
      </c>
      <c r="G170" s="246"/>
    </row>
    <row r="171" spans="1:7" x14ac:dyDescent="0.2">
      <c r="A171" s="247" t="s">
        <v>25</v>
      </c>
      <c r="B171" s="159"/>
      <c r="C171" s="159"/>
      <c r="D171" s="159"/>
      <c r="E171" s="159"/>
      <c r="F171" s="159"/>
      <c r="G171" s="246" t="s">
        <v>31</v>
      </c>
    </row>
    <row r="172" spans="1:7" ht="15" thickBot="1" x14ac:dyDescent="0.25">
      <c r="A172" s="248"/>
      <c r="B172" s="160"/>
      <c r="C172" s="160"/>
      <c r="D172" s="160"/>
      <c r="E172" s="160"/>
      <c r="F172" s="160"/>
      <c r="G172" s="249">
        <f>SUM(F169:F170)</f>
        <v>24741.688392857148</v>
      </c>
    </row>
    <row r="173" spans="1:7" ht="15" thickBot="1" x14ac:dyDescent="0.25">
      <c r="A173" s="1176" t="s">
        <v>1645</v>
      </c>
      <c r="B173" s="1177"/>
      <c r="C173" s="1177"/>
      <c r="D173" s="1177"/>
      <c r="E173" s="1177"/>
      <c r="F173" s="1177"/>
      <c r="G173" s="1178"/>
    </row>
    <row r="174" spans="1:7" x14ac:dyDescent="0.2">
      <c r="A174" s="242" t="s">
        <v>1643</v>
      </c>
      <c r="B174" s="191" t="s">
        <v>1644</v>
      </c>
      <c r="C174" s="190" t="s">
        <v>32</v>
      </c>
      <c r="D174" s="190" t="s">
        <v>33</v>
      </c>
      <c r="E174" s="190" t="s">
        <v>34</v>
      </c>
      <c r="F174" s="190" t="s">
        <v>35</v>
      </c>
      <c r="G174" s="243"/>
    </row>
    <row r="175" spans="1:7" x14ac:dyDescent="0.2">
      <c r="A175" s="247" t="str">
        <f>VLOOKUP(B175,PRECIOS!$A$5:$D$303,2,FALSE)</f>
        <v>MATPLAYA06</v>
      </c>
      <c r="B175" s="159" t="s">
        <v>65</v>
      </c>
      <c r="C175" s="159" t="str">
        <f>VLOOKUP(B175,PRECIOS!$A$5:$D$303,3,FALSE)</f>
        <v>Viaje de 5m3</v>
      </c>
      <c r="D175" s="215">
        <f>VLOOKUP(B175,PRECIOS!$A$5:$D$303,4,FALSE)</f>
        <v>221000</v>
      </c>
      <c r="E175" s="273">
        <v>0.35</v>
      </c>
      <c r="F175" s="211">
        <f>+D175*E175</f>
        <v>77350</v>
      </c>
      <c r="G175" s="246"/>
    </row>
    <row r="176" spans="1:7" x14ac:dyDescent="0.2">
      <c r="A176" s="247" t="str">
        <f>VLOOKUP(B176,PRECIOS!$A$5:$D$303,2,FALSE)</f>
        <v>VARIOS01</v>
      </c>
      <c r="B176" s="159" t="s">
        <v>378</v>
      </c>
      <c r="C176" s="159" t="str">
        <f>VLOOKUP(B176,PRECIOS!$A$5:$D$303,3,FALSE)</f>
        <v>Bulto x 50 Kg.</v>
      </c>
      <c r="D176" s="215">
        <f>VLOOKUP(B176,PRECIOS!$A$5:$D$303,4,FALSE)</f>
        <v>33540.506999999998</v>
      </c>
      <c r="E176" s="216">
        <v>10</v>
      </c>
      <c r="F176" s="211">
        <f>+D176*E176</f>
        <v>335405.06999999995</v>
      </c>
      <c r="G176" s="246"/>
    </row>
    <row r="177" spans="1:7" x14ac:dyDescent="0.2">
      <c r="A177" s="247" t="str">
        <f>VLOOKUP(B177,PRECIOS!$A$8:$D$306,2,FALSE)</f>
        <v>MATPLAYA10</v>
      </c>
      <c r="B177" s="159" t="s">
        <v>66</v>
      </c>
      <c r="C177" s="159" t="str">
        <f>VLOOKUP(B177,PRECIOS!$A$8:$D$306,3,FALSE)</f>
        <v>Litro</v>
      </c>
      <c r="D177" s="215">
        <f>VLOOKUP(B177,PRECIOS!$A$8:$D$306,4,FALSE)</f>
        <v>180</v>
      </c>
      <c r="E177" s="273">
        <v>100</v>
      </c>
      <c r="F177" s="211">
        <f t="shared" ref="F177" si="9">+D177*E177</f>
        <v>18000</v>
      </c>
      <c r="G177" s="246"/>
    </row>
    <row r="178" spans="1:7" x14ac:dyDescent="0.2">
      <c r="A178" s="1179" t="s">
        <v>1649</v>
      </c>
      <c r="B178" s="1180"/>
      <c r="C178" s="214">
        <v>0.02</v>
      </c>
      <c r="D178" s="162"/>
      <c r="E178" s="163"/>
      <c r="F178" s="276">
        <f>SUM(F175:F177)*C178</f>
        <v>8615.1013999999996</v>
      </c>
      <c r="G178" s="246"/>
    </row>
    <row r="179" spans="1:7" x14ac:dyDescent="0.2">
      <c r="A179" s="247"/>
      <c r="B179" s="159"/>
      <c r="C179" s="104"/>
      <c r="D179" s="104"/>
      <c r="E179" s="104"/>
      <c r="F179" s="104"/>
      <c r="G179" s="246" t="s">
        <v>31</v>
      </c>
    </row>
    <row r="180" spans="1:7" ht="15" thickBot="1" x14ac:dyDescent="0.25">
      <c r="A180" s="248"/>
      <c r="B180" s="160"/>
      <c r="C180" s="160"/>
      <c r="D180" s="160"/>
      <c r="E180" s="160"/>
      <c r="F180" s="160"/>
      <c r="G180" s="250">
        <f>SUM(F175:F178)</f>
        <v>439370.17139999993</v>
      </c>
    </row>
    <row r="181" spans="1:7" ht="15" thickBot="1" x14ac:dyDescent="0.25">
      <c r="A181" s="1176" t="s">
        <v>1646</v>
      </c>
      <c r="B181" s="1177"/>
      <c r="C181" s="1177"/>
      <c r="D181" s="1177"/>
      <c r="E181" s="1177"/>
      <c r="F181" s="1177"/>
      <c r="G181" s="1178"/>
    </row>
    <row r="182" spans="1:7" x14ac:dyDescent="0.2">
      <c r="A182" s="251" t="s">
        <v>305</v>
      </c>
      <c r="B182" s="190" t="s">
        <v>38</v>
      </c>
      <c r="C182" s="190" t="s">
        <v>39</v>
      </c>
      <c r="D182" s="190" t="s">
        <v>40</v>
      </c>
      <c r="E182" s="190" t="s">
        <v>34</v>
      </c>
      <c r="F182" s="190" t="s">
        <v>35</v>
      </c>
      <c r="G182" s="243"/>
    </row>
    <row r="183" spans="1:7" x14ac:dyDescent="0.2">
      <c r="A183" s="252"/>
      <c r="B183" s="235"/>
      <c r="C183" s="238"/>
      <c r="D183" s="236"/>
      <c r="E183" s="237"/>
      <c r="F183" s="239"/>
      <c r="G183" s="253"/>
    </row>
    <row r="184" spans="1:7" x14ac:dyDescent="0.2">
      <c r="A184" s="252"/>
      <c r="B184" s="235"/>
      <c r="C184" s="238"/>
      <c r="D184" s="236"/>
      <c r="E184" s="237"/>
      <c r="F184" s="239"/>
      <c r="G184" s="253"/>
    </row>
    <row r="185" spans="1:7" x14ac:dyDescent="0.2">
      <c r="A185" s="247" t="s">
        <v>25</v>
      </c>
      <c r="B185" s="104" t="s">
        <v>25</v>
      </c>
      <c r="C185" s="104" t="s">
        <v>25</v>
      </c>
      <c r="D185" s="188" t="s">
        <v>25</v>
      </c>
      <c r="E185" s="189" t="s">
        <v>25</v>
      </c>
      <c r="F185" s="187" t="s">
        <v>25</v>
      </c>
      <c r="G185" s="246" t="s">
        <v>31</v>
      </c>
    </row>
    <row r="186" spans="1:7" ht="15" thickBot="1" x14ac:dyDescent="0.25">
      <c r="A186" s="248"/>
      <c r="B186" s="160"/>
      <c r="C186" s="160"/>
      <c r="D186" s="160"/>
      <c r="E186" s="160"/>
      <c r="F186" s="160"/>
      <c r="G186" s="250">
        <f>SUM(F183:F184)</f>
        <v>0</v>
      </c>
    </row>
    <row r="187" spans="1:7" ht="15" thickBot="1" x14ac:dyDescent="0.25">
      <c r="A187" s="1176" t="s">
        <v>1647</v>
      </c>
      <c r="B187" s="1177"/>
      <c r="C187" s="1177"/>
      <c r="D187" s="1177"/>
      <c r="E187" s="1177"/>
      <c r="F187" s="1177"/>
      <c r="G187" s="1178"/>
    </row>
    <row r="188" spans="1:7" ht="24" x14ac:dyDescent="0.2">
      <c r="A188" s="254" t="s">
        <v>1681</v>
      </c>
      <c r="B188" s="190" t="s">
        <v>42</v>
      </c>
      <c r="C188" s="190" t="s">
        <v>43</v>
      </c>
      <c r="D188" s="190" t="s">
        <v>44</v>
      </c>
      <c r="E188" s="190" t="s">
        <v>306</v>
      </c>
      <c r="F188" s="190" t="s">
        <v>29</v>
      </c>
      <c r="G188" s="243"/>
    </row>
    <row r="189" spans="1:7" ht="36" x14ac:dyDescent="0.2">
      <c r="A189" s="255" t="s">
        <v>1677</v>
      </c>
      <c r="B189" s="202">
        <f>VLOOKUP(A189,JORNALES!$A$5:$B$28,2,FALSE)</f>
        <v>375000</v>
      </c>
      <c r="C189" s="233">
        <f>+PRESTACIONES!$C$20/100</f>
        <v>0.89990000000000014</v>
      </c>
      <c r="D189" s="234">
        <f>+(B189*C189)+B189</f>
        <v>712462.5</v>
      </c>
      <c r="E189" s="161">
        <v>2.8</v>
      </c>
      <c r="F189" s="199">
        <f>+D189/E189</f>
        <v>254450.89285714287</v>
      </c>
      <c r="G189" s="246"/>
    </row>
    <row r="190" spans="1:7" x14ac:dyDescent="0.2">
      <c r="A190" s="247"/>
      <c r="B190" s="159"/>
      <c r="C190" s="159"/>
      <c r="D190" s="159"/>
      <c r="E190" s="159"/>
      <c r="F190" s="159"/>
      <c r="G190" s="246" t="s">
        <v>31</v>
      </c>
    </row>
    <row r="191" spans="1:7" x14ac:dyDescent="0.2">
      <c r="A191" s="247"/>
      <c r="B191" s="159"/>
      <c r="C191" s="159"/>
      <c r="D191" s="159"/>
      <c r="E191" s="159"/>
      <c r="F191" s="159"/>
      <c r="G191" s="256">
        <f>SUM(F189:F189)</f>
        <v>254450.89285714287</v>
      </c>
    </row>
    <row r="192" spans="1:7" ht="15" thickBot="1" x14ac:dyDescent="0.25">
      <c r="A192" s="1181" t="s">
        <v>25</v>
      </c>
      <c r="B192" s="1182"/>
      <c r="C192" s="1182"/>
      <c r="D192" s="1182"/>
      <c r="E192" s="1182"/>
      <c r="F192" s="1182"/>
      <c r="G192" s="1183"/>
    </row>
    <row r="193" spans="1:7" ht="15" thickBot="1" x14ac:dyDescent="0.25">
      <c r="A193" s="1184" t="s">
        <v>45</v>
      </c>
      <c r="B193" s="1185"/>
      <c r="C193" s="1185"/>
      <c r="D193" s="1185"/>
      <c r="E193" s="1185"/>
      <c r="F193" s="192"/>
      <c r="G193" s="194">
        <f xml:space="preserve"> ROUND(G191+G186+G180+G172,0)</f>
        <v>718563</v>
      </c>
    </row>
    <row r="194" spans="1:7" x14ac:dyDescent="0.2">
      <c r="A194" s="1186" t="s">
        <v>476</v>
      </c>
      <c r="B194" s="1187"/>
      <c r="C194" s="1187"/>
      <c r="D194" s="1187"/>
      <c r="E194" s="1187"/>
      <c r="F194" s="193" t="s">
        <v>51</v>
      </c>
      <c r="G194" s="257" t="s">
        <v>307</v>
      </c>
    </row>
    <row r="195" spans="1:7" x14ac:dyDescent="0.2">
      <c r="A195" s="1166" t="s">
        <v>17</v>
      </c>
      <c r="B195" s="1167"/>
      <c r="C195" s="1167"/>
      <c r="D195" s="1167"/>
      <c r="E195" s="1167"/>
      <c r="F195" s="240"/>
      <c r="G195" s="196"/>
    </row>
    <row r="196" spans="1:7" x14ac:dyDescent="0.2">
      <c r="A196" s="1166" t="s">
        <v>308</v>
      </c>
      <c r="B196" s="1167"/>
      <c r="C196" s="1167"/>
      <c r="D196" s="1167"/>
      <c r="E196" s="1167"/>
      <c r="F196" s="240"/>
      <c r="G196" s="196"/>
    </row>
    <row r="197" spans="1:7" x14ac:dyDescent="0.2">
      <c r="A197" s="1166" t="s">
        <v>19</v>
      </c>
      <c r="B197" s="1167"/>
      <c r="C197" s="1167"/>
      <c r="D197" s="1167"/>
      <c r="E197" s="1167"/>
      <c r="F197" s="240"/>
      <c r="G197" s="196"/>
    </row>
    <row r="198" spans="1:7" ht="15" thickBot="1" x14ac:dyDescent="0.25">
      <c r="A198" s="1168" t="s">
        <v>309</v>
      </c>
      <c r="B198" s="1169"/>
      <c r="C198" s="1169"/>
      <c r="D198" s="1169"/>
      <c r="E198" s="1169"/>
      <c r="F198" s="198"/>
      <c r="G198" s="258"/>
    </row>
    <row r="199" spans="1:7" ht="15" thickBot="1" x14ac:dyDescent="0.25">
      <c r="A199" s="1170" t="s">
        <v>310</v>
      </c>
      <c r="B199" s="1171"/>
      <c r="C199" s="1171"/>
      <c r="D199" s="1171"/>
      <c r="E199" s="1171"/>
      <c r="F199" s="1172"/>
      <c r="G199" s="1173"/>
    </row>
    <row r="200" spans="1:7" x14ac:dyDescent="0.2">
      <c r="A200" s="259"/>
      <c r="B200" s="195"/>
      <c r="C200" s="195"/>
      <c r="D200" s="195"/>
      <c r="E200" s="195"/>
      <c r="F200" s="193"/>
      <c r="G200" s="260"/>
    </row>
    <row r="201" spans="1:7" ht="15" thickBot="1" x14ac:dyDescent="0.25">
      <c r="A201" s="261" t="s">
        <v>681</v>
      </c>
      <c r="B201" s="262"/>
      <c r="C201" s="262" t="s">
        <v>682</v>
      </c>
      <c r="D201" s="262"/>
      <c r="E201" s="262"/>
      <c r="F201" s="262" t="s">
        <v>683</v>
      </c>
      <c r="G201" s="263"/>
    </row>
    <row r="203" spans="1:7" ht="15" thickBot="1" x14ac:dyDescent="0.25">
      <c r="A203" s="1174" t="s">
        <v>1696</v>
      </c>
      <c r="B203" s="1175"/>
      <c r="C203" s="1175"/>
      <c r="D203" s="1175"/>
      <c r="E203" s="1175"/>
      <c r="F203" s="241" t="s">
        <v>24</v>
      </c>
      <c r="G203" s="264" t="s">
        <v>14</v>
      </c>
    </row>
    <row r="204" spans="1:7" ht="15" thickBot="1" x14ac:dyDescent="0.25">
      <c r="A204" s="1176" t="s">
        <v>1642</v>
      </c>
      <c r="B204" s="1177"/>
      <c r="C204" s="1177"/>
      <c r="D204" s="1177"/>
      <c r="E204" s="1177"/>
      <c r="F204" s="1177"/>
      <c r="G204" s="1178"/>
    </row>
    <row r="205" spans="1:7" x14ac:dyDescent="0.2">
      <c r="A205" s="242" t="s">
        <v>1643</v>
      </c>
      <c r="B205" s="191" t="s">
        <v>1644</v>
      </c>
      <c r="C205" s="190" t="s">
        <v>26</v>
      </c>
      <c r="D205" s="190" t="s">
        <v>27</v>
      </c>
      <c r="E205" s="190" t="s">
        <v>28</v>
      </c>
      <c r="F205" s="190" t="s">
        <v>29</v>
      </c>
      <c r="G205" s="243"/>
    </row>
    <row r="206" spans="1:7" x14ac:dyDescent="0.2">
      <c r="A206" s="244" t="str">
        <f>VLOOKUP(B206,PRECIOS!$A$309:$E$485,2,FALSE)</f>
        <v>EQUIPO23</v>
      </c>
      <c r="B206" s="200" t="s">
        <v>505</v>
      </c>
      <c r="C206" s="89" t="str">
        <f>VLOOKUP(B206,PRECIOS!$A$309:$E$485,3,FALSE)</f>
        <v>Manual</v>
      </c>
      <c r="D206" s="209">
        <f>VLOOKUP(B206,PRECIOS!$A$309:$E$485,5,FALSE)</f>
        <v>1440.636</v>
      </c>
      <c r="E206" s="210">
        <v>0.6</v>
      </c>
      <c r="F206" s="203">
        <f>+D206*E206</f>
        <v>864.38159999999993</v>
      </c>
      <c r="G206" s="245"/>
    </row>
    <row r="207" spans="1:7" x14ac:dyDescent="0.2">
      <c r="A207" s="1179" t="s">
        <v>1650</v>
      </c>
      <c r="B207" s="1180"/>
      <c r="C207" s="214">
        <v>0.05</v>
      </c>
      <c r="D207" s="213"/>
      <c r="E207" s="163"/>
      <c r="F207" s="212">
        <f>+G227*C207</f>
        <v>132.99300000000002</v>
      </c>
      <c r="G207" s="246"/>
    </row>
    <row r="208" spans="1:7" x14ac:dyDescent="0.2">
      <c r="A208" s="247" t="s">
        <v>25</v>
      </c>
      <c r="B208" s="159"/>
      <c r="C208" s="159"/>
      <c r="D208" s="159"/>
      <c r="E208" s="159"/>
      <c r="F208" s="159"/>
      <c r="G208" s="246" t="s">
        <v>31</v>
      </c>
    </row>
    <row r="209" spans="1:7" ht="15" thickBot="1" x14ac:dyDescent="0.25">
      <c r="A209" s="248"/>
      <c r="B209" s="160"/>
      <c r="C209" s="160"/>
      <c r="D209" s="160"/>
      <c r="E209" s="160"/>
      <c r="F209" s="160"/>
      <c r="G209" s="249">
        <f>SUM(F206:F207)</f>
        <v>997.37459999999999</v>
      </c>
    </row>
    <row r="210" spans="1:7" ht="15" thickBot="1" x14ac:dyDescent="0.25">
      <c r="A210" s="1176" t="s">
        <v>1645</v>
      </c>
      <c r="B210" s="1177"/>
      <c r="C210" s="1177"/>
      <c r="D210" s="1177"/>
      <c r="E210" s="1177"/>
      <c r="F210" s="1177"/>
      <c r="G210" s="1178"/>
    </row>
    <row r="211" spans="1:7" x14ac:dyDescent="0.2">
      <c r="A211" s="242" t="s">
        <v>1643</v>
      </c>
      <c r="B211" s="191" t="s">
        <v>1644</v>
      </c>
      <c r="C211" s="190" t="s">
        <v>32</v>
      </c>
      <c r="D211" s="190" t="s">
        <v>33</v>
      </c>
      <c r="E211" s="190" t="s">
        <v>34</v>
      </c>
      <c r="F211" s="190" t="s">
        <v>35</v>
      </c>
      <c r="G211" s="243"/>
    </row>
    <row r="212" spans="1:7" x14ac:dyDescent="0.2">
      <c r="A212" s="247"/>
      <c r="B212" s="159" t="s">
        <v>1697</v>
      </c>
      <c r="C212" s="278" t="s">
        <v>468</v>
      </c>
      <c r="D212" s="215">
        <v>3500</v>
      </c>
      <c r="E212" s="216">
        <v>1</v>
      </c>
      <c r="F212" s="211">
        <f>+D212*E212</f>
        <v>3500</v>
      </c>
      <c r="G212" s="246"/>
    </row>
    <row r="213" spans="1:7" x14ac:dyDescent="0.2">
      <c r="A213" s="247" t="str">
        <f>VLOOKUP(B213,PRECIOS!$A$5:$D$303,2,FALSE)</f>
        <v>ACEROVAR03</v>
      </c>
      <c r="B213" s="159" t="s">
        <v>117</v>
      </c>
      <c r="C213" s="159" t="str">
        <f>VLOOKUP(B213,PRECIOS!$A$5:$D$303,3,FALSE)</f>
        <v>Kg.</v>
      </c>
      <c r="D213" s="215">
        <f>VLOOKUP(B213,PRECIOS!$A$5:$D$303,4,FALSE)</f>
        <v>4940</v>
      </c>
      <c r="E213" s="187">
        <v>0.05</v>
      </c>
      <c r="F213" s="211">
        <f>+D213*E213</f>
        <v>247</v>
      </c>
      <c r="G213" s="246"/>
    </row>
    <row r="214" spans="1:7" x14ac:dyDescent="0.2">
      <c r="A214" s="1179" t="s">
        <v>1649</v>
      </c>
      <c r="B214" s="1180"/>
      <c r="C214" s="214">
        <v>0.02</v>
      </c>
      <c r="D214" s="162"/>
      <c r="E214" s="163"/>
      <c r="F214" s="276">
        <f>SUM(F212:F213)*C214</f>
        <v>74.94</v>
      </c>
      <c r="G214" s="246"/>
    </row>
    <row r="215" spans="1:7" x14ac:dyDescent="0.2">
      <c r="A215" s="247"/>
      <c r="B215" s="159"/>
      <c r="C215" s="104"/>
      <c r="D215" s="104"/>
      <c r="E215" s="104"/>
      <c r="F215" s="104"/>
      <c r="G215" s="246" t="s">
        <v>31</v>
      </c>
    </row>
    <row r="216" spans="1:7" ht="15" thickBot="1" x14ac:dyDescent="0.25">
      <c r="A216" s="248"/>
      <c r="B216" s="160"/>
      <c r="C216" s="160"/>
      <c r="D216" s="160"/>
      <c r="E216" s="160"/>
      <c r="F216" s="160"/>
      <c r="G216" s="250">
        <f>SUM(F212:F214)</f>
        <v>3821.94</v>
      </c>
    </row>
    <row r="217" spans="1:7" ht="15" thickBot="1" x14ac:dyDescent="0.25">
      <c r="A217" s="1176" t="s">
        <v>1646</v>
      </c>
      <c r="B217" s="1177"/>
      <c r="C217" s="1177"/>
      <c r="D217" s="1177"/>
      <c r="E217" s="1177"/>
      <c r="F217" s="1177"/>
      <c r="G217" s="1178"/>
    </row>
    <row r="218" spans="1:7" x14ac:dyDescent="0.2">
      <c r="A218" s="251" t="s">
        <v>305</v>
      </c>
      <c r="B218" s="190" t="s">
        <v>38</v>
      </c>
      <c r="C218" s="190" t="s">
        <v>39</v>
      </c>
      <c r="D218" s="190" t="s">
        <v>40</v>
      </c>
      <c r="E218" s="190" t="s">
        <v>34</v>
      </c>
      <c r="F218" s="190" t="s">
        <v>35</v>
      </c>
      <c r="G218" s="243"/>
    </row>
    <row r="219" spans="1:7" x14ac:dyDescent="0.2">
      <c r="A219" s="252"/>
      <c r="B219" s="235"/>
      <c r="C219" s="238"/>
      <c r="D219" s="236"/>
      <c r="E219" s="237"/>
      <c r="F219" s="239"/>
      <c r="G219" s="253"/>
    </row>
    <row r="220" spans="1:7" x14ac:dyDescent="0.2">
      <c r="A220" s="252"/>
      <c r="B220" s="235"/>
      <c r="C220" s="238"/>
      <c r="D220" s="236"/>
      <c r="E220" s="237"/>
      <c r="F220" s="239"/>
      <c r="G220" s="253"/>
    </row>
    <row r="221" spans="1:7" x14ac:dyDescent="0.2">
      <c r="A221" s="247" t="s">
        <v>25</v>
      </c>
      <c r="B221" s="104" t="s">
        <v>25</v>
      </c>
      <c r="C221" s="104" t="s">
        <v>25</v>
      </c>
      <c r="D221" s="188" t="s">
        <v>25</v>
      </c>
      <c r="E221" s="189" t="s">
        <v>25</v>
      </c>
      <c r="F221" s="187" t="s">
        <v>25</v>
      </c>
      <c r="G221" s="246" t="s">
        <v>31</v>
      </c>
    </row>
    <row r="222" spans="1:7" ht="15" thickBot="1" x14ac:dyDescent="0.25">
      <c r="A222" s="248"/>
      <c r="B222" s="160"/>
      <c r="C222" s="160"/>
      <c r="D222" s="160"/>
      <c r="E222" s="160"/>
      <c r="F222" s="160"/>
      <c r="G222" s="250">
        <f>SUM(F219:F220)</f>
        <v>0</v>
      </c>
    </row>
    <row r="223" spans="1:7" ht="15" thickBot="1" x14ac:dyDescent="0.25">
      <c r="A223" s="1176" t="s">
        <v>1647</v>
      </c>
      <c r="B223" s="1177"/>
      <c r="C223" s="1177"/>
      <c r="D223" s="1177"/>
      <c r="E223" s="1177"/>
      <c r="F223" s="1177"/>
      <c r="G223" s="1178"/>
    </row>
    <row r="224" spans="1:7" ht="24" x14ac:dyDescent="0.2">
      <c r="A224" s="254" t="s">
        <v>1681</v>
      </c>
      <c r="B224" s="190" t="s">
        <v>42</v>
      </c>
      <c r="C224" s="190" t="s">
        <v>43</v>
      </c>
      <c r="D224" s="190" t="s">
        <v>44</v>
      </c>
      <c r="E224" s="190" t="s">
        <v>306</v>
      </c>
      <c r="F224" s="190" t="s">
        <v>29</v>
      </c>
      <c r="G224" s="243"/>
    </row>
    <row r="225" spans="1:7" ht="36" x14ac:dyDescent="0.2">
      <c r="A225" s="255" t="s">
        <v>1672</v>
      </c>
      <c r="B225" s="202">
        <f>VLOOKUP(A225,JORNALES!$A$5:$B$28,2,FALSE)</f>
        <v>175000</v>
      </c>
      <c r="C225" s="233">
        <f>+PRESTACIONES!$C$20/100</f>
        <v>0.89990000000000014</v>
      </c>
      <c r="D225" s="234">
        <f>+(B225*C225)+B225</f>
        <v>332482.5</v>
      </c>
      <c r="E225" s="161">
        <v>125</v>
      </c>
      <c r="F225" s="199">
        <f>+D225/E225</f>
        <v>2659.86</v>
      </c>
      <c r="G225" s="246"/>
    </row>
    <row r="226" spans="1:7" x14ac:dyDescent="0.2">
      <c r="A226" s="247"/>
      <c r="B226" s="159"/>
      <c r="C226" s="159"/>
      <c r="D226" s="159"/>
      <c r="E226" s="159"/>
      <c r="F226" s="159"/>
      <c r="G226" s="246" t="s">
        <v>31</v>
      </c>
    </row>
    <row r="227" spans="1:7" x14ac:dyDescent="0.2">
      <c r="A227" s="247"/>
      <c r="B227" s="159"/>
      <c r="C227" s="159"/>
      <c r="D227" s="159"/>
      <c r="E227" s="159"/>
      <c r="F227" s="159"/>
      <c r="G227" s="256">
        <f>SUM(F225:F225)</f>
        <v>2659.86</v>
      </c>
    </row>
    <row r="228" spans="1:7" ht="15" thickBot="1" x14ac:dyDescent="0.25">
      <c r="A228" s="1181" t="s">
        <v>25</v>
      </c>
      <c r="B228" s="1182"/>
      <c r="C228" s="1182"/>
      <c r="D228" s="1182"/>
      <c r="E228" s="1182"/>
      <c r="F228" s="1182"/>
      <c r="G228" s="1183"/>
    </row>
    <row r="229" spans="1:7" ht="15" thickBot="1" x14ac:dyDescent="0.25">
      <c r="A229" s="1184" t="s">
        <v>45</v>
      </c>
      <c r="B229" s="1185"/>
      <c r="C229" s="1185"/>
      <c r="D229" s="1185"/>
      <c r="E229" s="1185"/>
      <c r="F229" s="192"/>
      <c r="G229" s="194">
        <f xml:space="preserve"> ROUND(G227+G222+G216+G209,0)</f>
        <v>7479</v>
      </c>
    </row>
    <row r="230" spans="1:7" x14ac:dyDescent="0.2">
      <c r="A230" s="1186" t="s">
        <v>476</v>
      </c>
      <c r="B230" s="1187"/>
      <c r="C230" s="1187"/>
      <c r="D230" s="1187"/>
      <c r="E230" s="1187"/>
      <c r="F230" s="193" t="s">
        <v>51</v>
      </c>
      <c r="G230" s="257" t="s">
        <v>307</v>
      </c>
    </row>
    <row r="231" spans="1:7" x14ac:dyDescent="0.2">
      <c r="A231" s="1166" t="s">
        <v>17</v>
      </c>
      <c r="B231" s="1167"/>
      <c r="C231" s="1167"/>
      <c r="D231" s="1167"/>
      <c r="E231" s="1167"/>
      <c r="F231" s="240"/>
      <c r="G231" s="196"/>
    </row>
    <row r="232" spans="1:7" x14ac:dyDescent="0.2">
      <c r="A232" s="1166" t="s">
        <v>308</v>
      </c>
      <c r="B232" s="1167"/>
      <c r="C232" s="1167"/>
      <c r="D232" s="1167"/>
      <c r="E232" s="1167"/>
      <c r="F232" s="240"/>
      <c r="G232" s="196"/>
    </row>
    <row r="233" spans="1:7" x14ac:dyDescent="0.2">
      <c r="A233" s="1166" t="s">
        <v>19</v>
      </c>
      <c r="B233" s="1167"/>
      <c r="C233" s="1167"/>
      <c r="D233" s="1167"/>
      <c r="E233" s="1167"/>
      <c r="F233" s="240"/>
      <c r="G233" s="196"/>
    </row>
    <row r="234" spans="1:7" ht="15" thickBot="1" x14ac:dyDescent="0.25">
      <c r="A234" s="1168" t="s">
        <v>309</v>
      </c>
      <c r="B234" s="1169"/>
      <c r="C234" s="1169"/>
      <c r="D234" s="1169"/>
      <c r="E234" s="1169"/>
      <c r="F234" s="198"/>
      <c r="G234" s="258"/>
    </row>
    <row r="235" spans="1:7" ht="15" thickBot="1" x14ac:dyDescent="0.25">
      <c r="A235" s="1170" t="s">
        <v>310</v>
      </c>
      <c r="B235" s="1171"/>
      <c r="C235" s="1171"/>
      <c r="D235" s="1171"/>
      <c r="E235" s="1171"/>
      <c r="F235" s="1172"/>
      <c r="G235" s="1173"/>
    </row>
    <row r="236" spans="1:7" x14ac:dyDescent="0.2">
      <c r="A236" s="259"/>
      <c r="B236" s="195"/>
      <c r="C236" s="195"/>
      <c r="D236" s="195"/>
      <c r="E236" s="195"/>
      <c r="F236" s="193"/>
      <c r="G236" s="260"/>
    </row>
    <row r="237" spans="1:7" ht="15" thickBot="1" x14ac:dyDescent="0.25">
      <c r="A237" s="261" t="s">
        <v>681</v>
      </c>
      <c r="B237" s="262"/>
      <c r="C237" s="262" t="s">
        <v>682</v>
      </c>
      <c r="D237" s="262"/>
      <c r="E237" s="262"/>
      <c r="F237" s="262" t="s">
        <v>683</v>
      </c>
      <c r="G237" s="263"/>
    </row>
    <row r="238" spans="1:7" ht="15" thickBot="1" x14ac:dyDescent="0.25">
      <c r="A238" s="1174" t="s">
        <v>1784</v>
      </c>
      <c r="B238" s="1175"/>
      <c r="C238" s="1175"/>
      <c r="D238" s="1175"/>
      <c r="E238" s="1175"/>
      <c r="F238" s="241" t="s">
        <v>24</v>
      </c>
      <c r="G238" s="264" t="s">
        <v>14</v>
      </c>
    </row>
    <row r="239" spans="1:7" ht="15" thickBot="1" x14ac:dyDescent="0.25">
      <c r="A239" s="1176" t="s">
        <v>1642</v>
      </c>
      <c r="B239" s="1177"/>
      <c r="C239" s="1177"/>
      <c r="D239" s="1177"/>
      <c r="E239" s="1177"/>
      <c r="F239" s="1177"/>
      <c r="G239" s="1178"/>
    </row>
    <row r="240" spans="1:7" x14ac:dyDescent="0.2">
      <c r="A240" s="242" t="s">
        <v>1643</v>
      </c>
      <c r="B240" s="191" t="s">
        <v>1644</v>
      </c>
      <c r="C240" s="190" t="s">
        <v>26</v>
      </c>
      <c r="D240" s="190" t="s">
        <v>27</v>
      </c>
      <c r="E240" s="190" t="s">
        <v>28</v>
      </c>
      <c r="F240" s="190" t="s">
        <v>29</v>
      </c>
      <c r="G240" s="243"/>
    </row>
    <row r="241" spans="1:7" ht="20.25" customHeight="1" x14ac:dyDescent="0.2">
      <c r="A241" s="432" t="str">
        <f>VLOOKUP(B241,PRECIOS!$A$309:$E$485,2,FALSE)</f>
        <v>EQUIPO158</v>
      </c>
      <c r="B241" s="433" t="s">
        <v>1699</v>
      </c>
      <c r="C241" s="434" t="str">
        <f>VLOOKUP(B241,PRECIOS!$A$309:$E$485,3,FALSE)</f>
        <v>Electrica</v>
      </c>
      <c r="D241" s="435">
        <f>VLOOKUP(B241,PRECIOS!$A$309:$E$485,5,FALSE)</f>
        <v>6250</v>
      </c>
      <c r="E241" s="436">
        <v>0.3</v>
      </c>
      <c r="F241" s="437">
        <f>+D241*E241</f>
        <v>1875</v>
      </c>
      <c r="G241" s="438"/>
    </row>
    <row r="242" spans="1:7" x14ac:dyDescent="0.2">
      <c r="A242" s="432" t="str">
        <f>VLOOKUP(B242,PRECIOS!$A$309:$E$485,2,FALSE)</f>
        <v>EQUIPO41</v>
      </c>
      <c r="B242" s="433" t="s">
        <v>512</v>
      </c>
      <c r="C242" s="434" t="str">
        <f>VLOOKUP(B242,PRECIOS!$A$309:$E$485,3,FALSE)</f>
        <v>Estructura</v>
      </c>
      <c r="D242" s="435">
        <f>VLOOKUP(B242,PRECIOS!$A$309:$E$485,5,FALSE)</f>
        <v>5167.152</v>
      </c>
      <c r="E242" s="436">
        <v>0.1</v>
      </c>
      <c r="F242" s="437">
        <f>+D242*E242</f>
        <v>516.71519999999998</v>
      </c>
      <c r="G242" s="438"/>
    </row>
    <row r="243" spans="1:7" x14ac:dyDescent="0.2">
      <c r="A243" s="1179" t="s">
        <v>1650</v>
      </c>
      <c r="B243" s="1180"/>
      <c r="C243" s="214">
        <v>0.05</v>
      </c>
      <c r="D243" s="213"/>
      <c r="E243" s="418" t="s">
        <v>25</v>
      </c>
      <c r="F243" s="212">
        <f>+G262*C243</f>
        <v>110.82750000000001</v>
      </c>
      <c r="G243" s="246"/>
    </row>
    <row r="244" spans="1:7" x14ac:dyDescent="0.2">
      <c r="A244" s="247" t="s">
        <v>25</v>
      </c>
      <c r="B244" s="416"/>
      <c r="C244" s="416"/>
      <c r="D244" s="416"/>
      <c r="E244" s="416"/>
      <c r="F244" s="416"/>
      <c r="G244" s="246" t="s">
        <v>31</v>
      </c>
    </row>
    <row r="245" spans="1:7" ht="15" thickBot="1" x14ac:dyDescent="0.25">
      <c r="A245" s="248"/>
      <c r="B245" s="420"/>
      <c r="C245" s="420"/>
      <c r="D245" s="420"/>
      <c r="E245" s="420"/>
      <c r="F245" s="420"/>
      <c r="G245" s="249">
        <f>SUM(F241:F243)</f>
        <v>2502.5427</v>
      </c>
    </row>
    <row r="246" spans="1:7" ht="15" thickBot="1" x14ac:dyDescent="0.25">
      <c r="A246" s="1176" t="s">
        <v>1645</v>
      </c>
      <c r="B246" s="1177"/>
      <c r="C246" s="1177"/>
      <c r="D246" s="1177"/>
      <c r="E246" s="1177"/>
      <c r="F246" s="1177"/>
      <c r="G246" s="1178"/>
    </row>
    <row r="247" spans="1:7" x14ac:dyDescent="0.2">
      <c r="A247" s="242" t="s">
        <v>1643</v>
      </c>
      <c r="B247" s="191" t="s">
        <v>1644</v>
      </c>
      <c r="C247" s="190" t="s">
        <v>32</v>
      </c>
      <c r="D247" s="190" t="s">
        <v>33</v>
      </c>
      <c r="E247" s="190" t="s">
        <v>34</v>
      </c>
      <c r="F247" s="190" t="s">
        <v>35</v>
      </c>
      <c r="G247" s="243"/>
    </row>
    <row r="248" spans="1:7" x14ac:dyDescent="0.2">
      <c r="A248" s="247"/>
      <c r="B248" s="416" t="s">
        <v>1697</v>
      </c>
      <c r="C248" s="278" t="s">
        <v>468</v>
      </c>
      <c r="D248" s="215">
        <v>5500</v>
      </c>
      <c r="E248" s="216">
        <v>1</v>
      </c>
      <c r="F248" s="211">
        <f>+D248*E248</f>
        <v>5500</v>
      </c>
      <c r="G248" s="246"/>
    </row>
    <row r="249" spans="1:7" x14ac:dyDescent="0.2">
      <c r="A249" s="1179" t="s">
        <v>1649</v>
      </c>
      <c r="B249" s="1180"/>
      <c r="C249" s="214">
        <v>0.02</v>
      </c>
      <c r="D249" s="417"/>
      <c r="E249" s="418"/>
      <c r="F249" s="276">
        <f>SUM(F248:F248)*C249</f>
        <v>110</v>
      </c>
      <c r="G249" s="246"/>
    </row>
    <row r="250" spans="1:7" x14ac:dyDescent="0.2">
      <c r="A250" s="247"/>
      <c r="B250" s="416"/>
      <c r="C250" s="104"/>
      <c r="D250" s="104"/>
      <c r="E250" s="104"/>
      <c r="F250" s="104"/>
      <c r="G250" s="246" t="s">
        <v>31</v>
      </c>
    </row>
    <row r="251" spans="1:7" ht="15" thickBot="1" x14ac:dyDescent="0.25">
      <c r="A251" s="248"/>
      <c r="B251" s="420"/>
      <c r="C251" s="420"/>
      <c r="D251" s="420"/>
      <c r="E251" s="420"/>
      <c r="F251" s="420"/>
      <c r="G251" s="250">
        <f>SUM(F248:F249)</f>
        <v>5610</v>
      </c>
    </row>
    <row r="252" spans="1:7" ht="15" thickBot="1" x14ac:dyDescent="0.25">
      <c r="A252" s="1176" t="s">
        <v>1646</v>
      </c>
      <c r="B252" s="1177"/>
      <c r="C252" s="1177"/>
      <c r="D252" s="1177"/>
      <c r="E252" s="1177"/>
      <c r="F252" s="1177"/>
      <c r="G252" s="1178"/>
    </row>
    <row r="253" spans="1:7" x14ac:dyDescent="0.2">
      <c r="A253" s="251" t="s">
        <v>305</v>
      </c>
      <c r="B253" s="190" t="s">
        <v>38</v>
      </c>
      <c r="C253" s="190" t="s">
        <v>39</v>
      </c>
      <c r="D253" s="190" t="s">
        <v>40</v>
      </c>
      <c r="E253" s="190" t="s">
        <v>34</v>
      </c>
      <c r="F253" s="190" t="s">
        <v>35</v>
      </c>
      <c r="G253" s="243"/>
    </row>
    <row r="254" spans="1:7" x14ac:dyDescent="0.2">
      <c r="A254" s="252"/>
      <c r="B254" s="235"/>
      <c r="C254" s="238"/>
      <c r="D254" s="236"/>
      <c r="E254" s="237"/>
      <c r="F254" s="239"/>
      <c r="G254" s="253"/>
    </row>
    <row r="255" spans="1:7" x14ac:dyDescent="0.2">
      <c r="A255" s="252"/>
      <c r="B255" s="235"/>
      <c r="C255" s="238"/>
      <c r="D255" s="236"/>
      <c r="E255" s="237"/>
      <c r="F255" s="239"/>
      <c r="G255" s="253"/>
    </row>
    <row r="256" spans="1:7" x14ac:dyDescent="0.2">
      <c r="A256" s="247" t="s">
        <v>25</v>
      </c>
      <c r="B256" s="104" t="s">
        <v>25</v>
      </c>
      <c r="C256" s="104" t="s">
        <v>25</v>
      </c>
      <c r="D256" s="188" t="s">
        <v>25</v>
      </c>
      <c r="E256" s="189" t="s">
        <v>25</v>
      </c>
      <c r="F256" s="187" t="s">
        <v>25</v>
      </c>
      <c r="G256" s="246" t="s">
        <v>31</v>
      </c>
    </row>
    <row r="257" spans="1:7" ht="15" thickBot="1" x14ac:dyDescent="0.25">
      <c r="A257" s="248"/>
      <c r="B257" s="420"/>
      <c r="C257" s="420"/>
      <c r="D257" s="420"/>
      <c r="E257" s="420"/>
      <c r="F257" s="420"/>
      <c r="G257" s="250">
        <f>SUM(F254:F255)</f>
        <v>0</v>
      </c>
    </row>
    <row r="258" spans="1:7" ht="15" thickBot="1" x14ac:dyDescent="0.25">
      <c r="A258" s="1176" t="s">
        <v>1647</v>
      </c>
      <c r="B258" s="1177"/>
      <c r="C258" s="1177"/>
      <c r="D258" s="1177"/>
      <c r="E258" s="1177"/>
      <c r="F258" s="1177"/>
      <c r="G258" s="1178"/>
    </row>
    <row r="259" spans="1:7" ht="24" x14ac:dyDescent="0.2">
      <c r="A259" s="254" t="s">
        <v>1681</v>
      </c>
      <c r="B259" s="190" t="s">
        <v>42</v>
      </c>
      <c r="C259" s="190" t="s">
        <v>43</v>
      </c>
      <c r="D259" s="190" t="s">
        <v>44</v>
      </c>
      <c r="E259" s="190" t="s">
        <v>306</v>
      </c>
      <c r="F259" s="190" t="s">
        <v>29</v>
      </c>
      <c r="G259" s="243"/>
    </row>
    <row r="260" spans="1:7" ht="36" x14ac:dyDescent="0.2">
      <c r="A260" s="255" t="s">
        <v>1672</v>
      </c>
      <c r="B260" s="202">
        <f>VLOOKUP(A260,JORNALES!$A$5:$B$28,2,FALSE)</f>
        <v>175000</v>
      </c>
      <c r="C260" s="233">
        <f>+PRESTACIONES!$C$20/100</f>
        <v>0.89990000000000014</v>
      </c>
      <c r="D260" s="234">
        <f>+(B260*C260)+B260</f>
        <v>332482.5</v>
      </c>
      <c r="E260" s="421">
        <v>150</v>
      </c>
      <c r="F260" s="199">
        <f>+D260/E260</f>
        <v>2216.5500000000002</v>
      </c>
      <c r="G260" s="246"/>
    </row>
    <row r="261" spans="1:7" x14ac:dyDescent="0.2">
      <c r="A261" s="247"/>
      <c r="B261" s="416"/>
      <c r="C261" s="416"/>
      <c r="D261" s="416"/>
      <c r="E261" s="416"/>
      <c r="F261" s="416"/>
      <c r="G261" s="246" t="s">
        <v>31</v>
      </c>
    </row>
    <row r="262" spans="1:7" x14ac:dyDescent="0.2">
      <c r="A262" s="247"/>
      <c r="B262" s="416"/>
      <c r="C262" s="416"/>
      <c r="D262" s="416"/>
      <c r="E262" s="416"/>
      <c r="F262" s="416"/>
      <c r="G262" s="256">
        <f>SUM(F260:F260)</f>
        <v>2216.5500000000002</v>
      </c>
    </row>
    <row r="263" spans="1:7" ht="15" thickBot="1" x14ac:dyDescent="0.25">
      <c r="A263" s="1181" t="s">
        <v>25</v>
      </c>
      <c r="B263" s="1182"/>
      <c r="C263" s="1182"/>
      <c r="D263" s="1182"/>
      <c r="E263" s="1182"/>
      <c r="F263" s="1182"/>
      <c r="G263" s="1183"/>
    </row>
    <row r="264" spans="1:7" ht="15" thickBot="1" x14ac:dyDescent="0.25">
      <c r="A264" s="1184" t="s">
        <v>45</v>
      </c>
      <c r="B264" s="1185"/>
      <c r="C264" s="1185"/>
      <c r="D264" s="1185"/>
      <c r="E264" s="1185"/>
      <c r="F264" s="192"/>
      <c r="G264" s="194">
        <f xml:space="preserve"> ROUND(G262+G257+G251+G245,0)</f>
        <v>10329</v>
      </c>
    </row>
    <row r="265" spans="1:7" x14ac:dyDescent="0.2">
      <c r="A265" s="1186" t="s">
        <v>476</v>
      </c>
      <c r="B265" s="1187"/>
      <c r="C265" s="1187"/>
      <c r="D265" s="1187"/>
      <c r="E265" s="1187"/>
      <c r="F265" s="193" t="s">
        <v>51</v>
      </c>
      <c r="G265" s="257" t="s">
        <v>307</v>
      </c>
    </row>
    <row r="266" spans="1:7" x14ac:dyDescent="0.2">
      <c r="A266" s="1166" t="s">
        <v>17</v>
      </c>
      <c r="B266" s="1167"/>
      <c r="C266" s="1167"/>
      <c r="D266" s="1167"/>
      <c r="E266" s="1167"/>
      <c r="F266" s="240"/>
      <c r="G266" s="196"/>
    </row>
    <row r="267" spans="1:7" x14ac:dyDescent="0.2">
      <c r="A267" s="1166" t="s">
        <v>308</v>
      </c>
      <c r="B267" s="1167"/>
      <c r="C267" s="1167"/>
      <c r="D267" s="1167"/>
      <c r="E267" s="1167"/>
      <c r="F267" s="240"/>
      <c r="G267" s="196"/>
    </row>
    <row r="268" spans="1:7" x14ac:dyDescent="0.2">
      <c r="A268" s="1166" t="s">
        <v>19</v>
      </c>
      <c r="B268" s="1167"/>
      <c r="C268" s="1167"/>
      <c r="D268" s="1167"/>
      <c r="E268" s="1167"/>
      <c r="F268" s="240"/>
      <c r="G268" s="196"/>
    </row>
    <row r="269" spans="1:7" ht="15" thickBot="1" x14ac:dyDescent="0.25">
      <c r="A269" s="1168" t="s">
        <v>309</v>
      </c>
      <c r="B269" s="1169"/>
      <c r="C269" s="1169"/>
      <c r="D269" s="1169"/>
      <c r="E269" s="1169"/>
      <c r="F269" s="198"/>
      <c r="G269" s="258"/>
    </row>
    <row r="270" spans="1:7" ht="15" thickBot="1" x14ac:dyDescent="0.25">
      <c r="A270" s="1170" t="s">
        <v>310</v>
      </c>
      <c r="B270" s="1171"/>
      <c r="C270" s="1171"/>
      <c r="D270" s="1171"/>
      <c r="E270" s="1171"/>
      <c r="F270" s="1172"/>
      <c r="G270" s="1173"/>
    </row>
    <row r="271" spans="1:7" x14ac:dyDescent="0.2">
      <c r="A271" s="413"/>
      <c r="B271" s="414"/>
      <c r="C271" s="414"/>
      <c r="D271" s="414"/>
      <c r="E271" s="414"/>
      <c r="F271" s="193"/>
      <c r="G271" s="260"/>
    </row>
    <row r="272" spans="1:7" ht="15" thickBot="1" x14ac:dyDescent="0.25">
      <c r="A272" s="261" t="s">
        <v>681</v>
      </c>
      <c r="B272" s="262"/>
      <c r="C272" s="262" t="s">
        <v>682</v>
      </c>
      <c r="D272" s="262"/>
      <c r="E272" s="262"/>
      <c r="F272" s="262" t="s">
        <v>683</v>
      </c>
      <c r="G272" s="263"/>
    </row>
    <row r="273" spans="1:7" ht="15" thickBot="1" x14ac:dyDescent="0.25">
      <c r="A273" s="1174" t="s">
        <v>1698</v>
      </c>
      <c r="B273" s="1175"/>
      <c r="C273" s="1175"/>
      <c r="D273" s="1175"/>
      <c r="E273" s="1175"/>
      <c r="F273" s="241" t="s">
        <v>24</v>
      </c>
      <c r="G273" s="264" t="s">
        <v>12</v>
      </c>
    </row>
    <row r="274" spans="1:7" ht="15" thickBot="1" x14ac:dyDescent="0.25">
      <c r="A274" s="1176" t="s">
        <v>1642</v>
      </c>
      <c r="B274" s="1177"/>
      <c r="C274" s="1177"/>
      <c r="D274" s="1177"/>
      <c r="E274" s="1177"/>
      <c r="F274" s="1177"/>
      <c r="G274" s="1178"/>
    </row>
    <row r="275" spans="1:7" x14ac:dyDescent="0.2">
      <c r="A275" s="242" t="s">
        <v>1643</v>
      </c>
      <c r="B275" s="191" t="s">
        <v>1644</v>
      </c>
      <c r="C275" s="190" t="s">
        <v>26</v>
      </c>
      <c r="D275" s="190" t="s">
        <v>27</v>
      </c>
      <c r="E275" s="190" t="s">
        <v>28</v>
      </c>
      <c r="F275" s="190" t="s">
        <v>29</v>
      </c>
      <c r="G275" s="243"/>
    </row>
    <row r="276" spans="1:7" x14ac:dyDescent="0.2">
      <c r="A276" s="244" t="str">
        <f>VLOOKUP(B276,PRECIOS!$A$309:$E$485,2,FALSE)</f>
        <v>EQUIPO158</v>
      </c>
      <c r="B276" s="200" t="s">
        <v>1699</v>
      </c>
      <c r="C276" s="89" t="str">
        <f>VLOOKUP(B276,PRECIOS!$A$309:$E$485,3,FALSE)</f>
        <v>Electrica</v>
      </c>
      <c r="D276" s="209">
        <f>VLOOKUP(B276,PRECIOS!$A$309:$E$485,5,FALSE)</f>
        <v>6250</v>
      </c>
      <c r="E276" s="210">
        <v>0.6</v>
      </c>
      <c r="F276" s="203">
        <f>+D276*E276</f>
        <v>3750</v>
      </c>
      <c r="G276" s="245"/>
    </row>
    <row r="277" spans="1:7" ht="24" x14ac:dyDescent="0.2">
      <c r="A277" s="244" t="str">
        <f>VLOOKUP(B277,PRECIOS!$A$309:$E$485,2,FALSE)</f>
        <v>EQUIPO175</v>
      </c>
      <c r="B277" s="200" t="s">
        <v>454</v>
      </c>
      <c r="C277" s="89" t="str">
        <f>VLOOKUP(B277,PRECIOS!$A$309:$E$485,3,FALSE)</f>
        <v>Estructura</v>
      </c>
      <c r="D277" s="209">
        <f>VLOOKUP(B277,PRECIOS!$A$309:$E$485,5,FALSE)</f>
        <v>75</v>
      </c>
      <c r="E277" s="210">
        <v>0.6</v>
      </c>
      <c r="F277" s="203">
        <f>+D277*E277</f>
        <v>45</v>
      </c>
      <c r="G277" s="245"/>
    </row>
    <row r="278" spans="1:7" x14ac:dyDescent="0.2">
      <c r="A278" s="1179" t="s">
        <v>1650</v>
      </c>
      <c r="B278" s="1180"/>
      <c r="C278" s="214">
        <v>0.05</v>
      </c>
      <c r="D278" s="213"/>
      <c r="E278" s="269"/>
      <c r="F278" s="212">
        <f>+G302*C278</f>
        <v>291.77035714285716</v>
      </c>
      <c r="G278" s="246"/>
    </row>
    <row r="279" spans="1:7" x14ac:dyDescent="0.2">
      <c r="A279" s="247" t="s">
        <v>25</v>
      </c>
      <c r="B279" s="267"/>
      <c r="C279" s="267"/>
      <c r="D279" s="267"/>
      <c r="E279" s="267"/>
      <c r="F279" s="267"/>
      <c r="G279" s="246" t="s">
        <v>31</v>
      </c>
    </row>
    <row r="280" spans="1:7" ht="15" thickBot="1" x14ac:dyDescent="0.25">
      <c r="A280" s="248"/>
      <c r="B280" s="271"/>
      <c r="C280" s="271"/>
      <c r="D280" s="271"/>
      <c r="E280" s="271"/>
      <c r="F280" s="271"/>
      <c r="G280" s="249">
        <f>SUM(F276:F278)</f>
        <v>4086.7703571428574</v>
      </c>
    </row>
    <row r="281" spans="1:7" ht="15" thickBot="1" x14ac:dyDescent="0.25">
      <c r="A281" s="1176" t="s">
        <v>1645</v>
      </c>
      <c r="B281" s="1177"/>
      <c r="C281" s="1177"/>
      <c r="D281" s="1177"/>
      <c r="E281" s="1177"/>
      <c r="F281" s="1177"/>
      <c r="G281" s="1178"/>
    </row>
    <row r="282" spans="1:7" x14ac:dyDescent="0.2">
      <c r="A282" s="242" t="s">
        <v>1643</v>
      </c>
      <c r="B282" s="191" t="s">
        <v>1644</v>
      </c>
      <c r="C282" s="190" t="s">
        <v>32</v>
      </c>
      <c r="D282" s="190" t="s">
        <v>33</v>
      </c>
      <c r="E282" s="190" t="s">
        <v>34</v>
      </c>
      <c r="F282" s="190" t="s">
        <v>35</v>
      </c>
      <c r="G282" s="243"/>
    </row>
    <row r="283" spans="1:7" x14ac:dyDescent="0.2">
      <c r="A283" s="247" t="str">
        <f>VLOOKUP(B283,PRECIOS!$A$5:$D$303,2,FALSE)</f>
        <v>MADERFINA01</v>
      </c>
      <c r="B283" s="267" t="s">
        <v>210</v>
      </c>
      <c r="C283" s="267" t="str">
        <f>VLOOKUP(B283,PRECIOS!$A$5:$D$303,3,FALSE)</f>
        <v>Docena</v>
      </c>
      <c r="D283" s="215">
        <f>VLOOKUP(B283,PRECIOS!$A$5:$D$303,4,FALSE)</f>
        <v>148445.79750000002</v>
      </c>
      <c r="E283" s="187">
        <v>0.12</v>
      </c>
      <c r="F283" s="211">
        <f>+D283*E283</f>
        <v>17813.495699999999</v>
      </c>
      <c r="G283" s="246"/>
    </row>
    <row r="284" spans="1:7" x14ac:dyDescent="0.2">
      <c r="A284" s="247" t="str">
        <f>VLOOKUP(B284,PRECIOS!$A$5:$D$303,2,FALSE)</f>
        <v>MADERFINA07</v>
      </c>
      <c r="B284" s="267" t="s">
        <v>217</v>
      </c>
      <c r="C284" s="267" t="str">
        <f>VLOOKUP(B284,PRECIOS!$A$5:$D$303,3,FALSE)</f>
        <v>Docena</v>
      </c>
      <c r="D284" s="215">
        <f>VLOOKUP(B284,PRECIOS!$A$5:$D$303,4,FALSE)</f>
        <v>219243.02400000003</v>
      </c>
      <c r="E284" s="187">
        <v>0.02</v>
      </c>
      <c r="F284" s="211">
        <f t="shared" ref="F284:F288" si="10">+D284*E284</f>
        <v>4384.8604800000012</v>
      </c>
      <c r="G284" s="246"/>
    </row>
    <row r="285" spans="1:7" x14ac:dyDescent="0.2">
      <c r="A285" s="247" t="str">
        <f>VLOOKUP(B285,PRECIOS!$A$5:$D$303,2,FALSE)</f>
        <v>MADERFINA06</v>
      </c>
      <c r="B285" s="267" t="s">
        <v>216</v>
      </c>
      <c r="C285" s="267" t="str">
        <f>VLOOKUP(B285,PRECIOS!$A$5:$D$303,3,FALSE)</f>
        <v>Docena</v>
      </c>
      <c r="D285" s="215">
        <f>VLOOKUP(B285,PRECIOS!$A$5:$D$303,4,FALSE)</f>
        <v>109621.51200000002</v>
      </c>
      <c r="E285" s="187">
        <v>0.03</v>
      </c>
      <c r="F285" s="211">
        <f t="shared" si="10"/>
        <v>3288.6453600000004</v>
      </c>
      <c r="G285" s="246"/>
    </row>
    <row r="286" spans="1:7" x14ac:dyDescent="0.2">
      <c r="A286" s="247" t="str">
        <f>VLOOKUP(B286,PRECIOS!$A$5:$D$303,2,FALSE)</f>
        <v>MADERFINA05</v>
      </c>
      <c r="B286" s="267" t="s">
        <v>215</v>
      </c>
      <c r="C286" s="267" t="str">
        <f>VLOOKUP(B286,PRECIOS!$A$5:$D$303,3,FALSE)</f>
        <v>Docena</v>
      </c>
      <c r="D286" s="215">
        <f>VLOOKUP(B286,PRECIOS!$A$5:$D$303,4,FALSE)</f>
        <v>68513.445000000007</v>
      </c>
      <c r="E286" s="187">
        <v>0.06</v>
      </c>
      <c r="F286" s="211">
        <f t="shared" si="10"/>
        <v>4110.8067000000001</v>
      </c>
      <c r="G286" s="246"/>
    </row>
    <row r="287" spans="1:7" x14ac:dyDescent="0.2">
      <c r="A287" s="247" t="str">
        <f>VLOOKUP(B287,PRECIOS!$A$5:$D$303,2,FALSE)</f>
        <v>MADECOMUN</v>
      </c>
      <c r="B287" s="267" t="s">
        <v>67</v>
      </c>
      <c r="C287" s="267" t="str">
        <f>VLOOKUP(B287,PRECIOS!$A$5:$D$303,3,FALSE)</f>
        <v>Docena</v>
      </c>
      <c r="D287" s="215">
        <f>VLOOKUP(B287,PRECIOS!$A$5:$D$303,4,FALSE)</f>
        <v>30145.915800000006</v>
      </c>
      <c r="E287" s="187">
        <v>0.05</v>
      </c>
      <c r="F287" s="211">
        <f t="shared" si="10"/>
        <v>1507.2957900000004</v>
      </c>
      <c r="G287" s="246"/>
    </row>
    <row r="288" spans="1:7" x14ac:dyDescent="0.2">
      <c r="A288" s="247" t="str">
        <f>VLOOKUP(B288,PRECIOS!$A$5:$D$303,2,FALSE)</f>
        <v>MADECOMUN</v>
      </c>
      <c r="B288" s="267" t="s">
        <v>47</v>
      </c>
      <c r="C288" s="267" t="str">
        <f>VLOOKUP(B288,PRECIOS!$A$5:$D$303,3,FALSE)</f>
        <v>Lb.</v>
      </c>
      <c r="D288" s="215">
        <f>VLOOKUP(B288,PRECIOS!$A$5:$D$303,4,FALSE)</f>
        <v>4879.8750000000009</v>
      </c>
      <c r="E288" s="187">
        <v>0.3</v>
      </c>
      <c r="F288" s="211">
        <f t="shared" si="10"/>
        <v>1463.9625000000003</v>
      </c>
      <c r="G288" s="246"/>
    </row>
    <row r="289" spans="1:7" x14ac:dyDescent="0.2">
      <c r="A289" s="1179" t="s">
        <v>1649</v>
      </c>
      <c r="B289" s="1180"/>
      <c r="C289" s="214">
        <v>0.02</v>
      </c>
      <c r="D289" s="268"/>
      <c r="E289" s="269"/>
      <c r="F289" s="276">
        <f>SUM(F283:F288)*C289</f>
        <v>651.38133060000018</v>
      </c>
      <c r="G289" s="246"/>
    </row>
    <row r="290" spans="1:7" x14ac:dyDescent="0.2">
      <c r="A290" s="247"/>
      <c r="B290" s="267"/>
      <c r="C290" s="104"/>
      <c r="D290" s="104"/>
      <c r="E290" s="104"/>
      <c r="F290" s="104"/>
      <c r="G290" s="246" t="s">
        <v>31</v>
      </c>
    </row>
    <row r="291" spans="1:7" ht="15" thickBot="1" x14ac:dyDescent="0.25">
      <c r="A291" s="248"/>
      <c r="B291" s="271"/>
      <c r="C291" s="271"/>
      <c r="D291" s="271"/>
      <c r="E291" s="271"/>
      <c r="F291" s="271"/>
      <c r="G291" s="250">
        <f>SUM(F283:F289)</f>
        <v>33220.447860600005</v>
      </c>
    </row>
    <row r="292" spans="1:7" ht="15" thickBot="1" x14ac:dyDescent="0.25">
      <c r="A292" s="1176" t="s">
        <v>1646</v>
      </c>
      <c r="B292" s="1177"/>
      <c r="C292" s="1177"/>
      <c r="D292" s="1177"/>
      <c r="E292" s="1177"/>
      <c r="F292" s="1177"/>
      <c r="G292" s="1178"/>
    </row>
    <row r="293" spans="1:7" x14ac:dyDescent="0.2">
      <c r="A293" s="251" t="s">
        <v>305</v>
      </c>
      <c r="B293" s="190" t="s">
        <v>38</v>
      </c>
      <c r="C293" s="190" t="s">
        <v>39</v>
      </c>
      <c r="D293" s="190" t="s">
        <v>40</v>
      </c>
      <c r="E293" s="190" t="s">
        <v>34</v>
      </c>
      <c r="F293" s="190" t="s">
        <v>35</v>
      </c>
      <c r="G293" s="243"/>
    </row>
    <row r="294" spans="1:7" x14ac:dyDescent="0.2">
      <c r="A294" s="252"/>
      <c r="B294" s="235"/>
      <c r="C294" s="238"/>
      <c r="D294" s="236"/>
      <c r="E294" s="237"/>
      <c r="F294" s="239"/>
      <c r="G294" s="253"/>
    </row>
    <row r="295" spans="1:7" x14ac:dyDescent="0.2">
      <c r="A295" s="252"/>
      <c r="B295" s="235"/>
      <c r="C295" s="238"/>
      <c r="D295" s="236"/>
      <c r="E295" s="237"/>
      <c r="F295" s="239"/>
      <c r="G295" s="253"/>
    </row>
    <row r="296" spans="1:7" x14ac:dyDescent="0.2">
      <c r="A296" s="247" t="s">
        <v>25</v>
      </c>
      <c r="B296" s="104" t="s">
        <v>25</v>
      </c>
      <c r="C296" s="104" t="s">
        <v>25</v>
      </c>
      <c r="D296" s="188" t="s">
        <v>25</v>
      </c>
      <c r="E296" s="189" t="s">
        <v>25</v>
      </c>
      <c r="F296" s="187" t="s">
        <v>25</v>
      </c>
      <c r="G296" s="246" t="s">
        <v>31</v>
      </c>
    </row>
    <row r="297" spans="1:7" ht="15" thickBot="1" x14ac:dyDescent="0.25">
      <c r="A297" s="248"/>
      <c r="B297" s="271"/>
      <c r="C297" s="271"/>
      <c r="D297" s="271"/>
      <c r="E297" s="271"/>
      <c r="F297" s="271"/>
      <c r="G297" s="250">
        <f>SUM(F294:F295)</f>
        <v>0</v>
      </c>
    </row>
    <row r="298" spans="1:7" ht="15" thickBot="1" x14ac:dyDescent="0.25">
      <c r="A298" s="1176" t="s">
        <v>1647</v>
      </c>
      <c r="B298" s="1177"/>
      <c r="C298" s="1177"/>
      <c r="D298" s="1177"/>
      <c r="E298" s="1177"/>
      <c r="F298" s="1177"/>
      <c r="G298" s="1178"/>
    </row>
    <row r="299" spans="1:7" ht="24" x14ac:dyDescent="0.2">
      <c r="A299" s="254" t="s">
        <v>1681</v>
      </c>
      <c r="B299" s="190" t="s">
        <v>42</v>
      </c>
      <c r="C299" s="190" t="s">
        <v>43</v>
      </c>
      <c r="D299" s="190" t="s">
        <v>44</v>
      </c>
      <c r="E299" s="190" t="s">
        <v>306</v>
      </c>
      <c r="F299" s="190" t="s">
        <v>29</v>
      </c>
      <c r="G299" s="243"/>
    </row>
    <row r="300" spans="1:7" ht="36" x14ac:dyDescent="0.2">
      <c r="A300" s="255" t="s">
        <v>1674</v>
      </c>
      <c r="B300" s="202">
        <f>VLOOKUP(A300,JORNALES!$A$5:$B$28,2,FALSE)</f>
        <v>215000</v>
      </c>
      <c r="C300" s="233">
        <f>+PRESTACIONES!$C$20/100</f>
        <v>0.89990000000000014</v>
      </c>
      <c r="D300" s="234">
        <f>+(B300*C300)+B300</f>
        <v>408478.5</v>
      </c>
      <c r="E300" s="270">
        <v>70</v>
      </c>
      <c r="F300" s="199">
        <f>+D300/E300</f>
        <v>5835.4071428571433</v>
      </c>
      <c r="G300" s="246"/>
    </row>
    <row r="301" spans="1:7" x14ac:dyDescent="0.2">
      <c r="A301" s="247"/>
      <c r="B301" s="267"/>
      <c r="C301" s="267"/>
      <c r="D301" s="267"/>
      <c r="E301" s="267"/>
      <c r="F301" s="267"/>
      <c r="G301" s="246" t="s">
        <v>31</v>
      </c>
    </row>
    <row r="302" spans="1:7" x14ac:dyDescent="0.2">
      <c r="A302" s="247"/>
      <c r="B302" s="267"/>
      <c r="C302" s="267"/>
      <c r="D302" s="267"/>
      <c r="E302" s="267"/>
      <c r="F302" s="267"/>
      <c r="G302" s="256">
        <f>SUM(F300:F300)</f>
        <v>5835.4071428571433</v>
      </c>
    </row>
    <row r="303" spans="1:7" ht="15" thickBot="1" x14ac:dyDescent="0.25">
      <c r="A303" s="1181" t="s">
        <v>25</v>
      </c>
      <c r="B303" s="1182"/>
      <c r="C303" s="1182"/>
      <c r="D303" s="1182"/>
      <c r="E303" s="1182"/>
      <c r="F303" s="1182"/>
      <c r="G303" s="1183"/>
    </row>
    <row r="304" spans="1:7" ht="15" thickBot="1" x14ac:dyDescent="0.25">
      <c r="A304" s="1184" t="s">
        <v>45</v>
      </c>
      <c r="B304" s="1185"/>
      <c r="C304" s="1185"/>
      <c r="D304" s="1185"/>
      <c r="E304" s="1185"/>
      <c r="F304" s="192"/>
      <c r="G304" s="194">
        <f xml:space="preserve"> ROUND(G302+G297+G291+G280,0)</f>
        <v>43143</v>
      </c>
    </row>
    <row r="305" spans="1:7" x14ac:dyDescent="0.2">
      <c r="A305" s="1186" t="s">
        <v>476</v>
      </c>
      <c r="B305" s="1187"/>
      <c r="C305" s="1187"/>
      <c r="D305" s="1187"/>
      <c r="E305" s="1187"/>
      <c r="F305" s="193" t="s">
        <v>51</v>
      </c>
      <c r="G305" s="257" t="s">
        <v>307</v>
      </c>
    </row>
    <row r="306" spans="1:7" x14ac:dyDescent="0.2">
      <c r="A306" s="1166" t="s">
        <v>17</v>
      </c>
      <c r="B306" s="1167"/>
      <c r="C306" s="1167"/>
      <c r="D306" s="1167"/>
      <c r="E306" s="1167"/>
      <c r="F306" s="240"/>
      <c r="G306" s="196"/>
    </row>
    <row r="307" spans="1:7" x14ac:dyDescent="0.2">
      <c r="A307" s="1166" t="s">
        <v>308</v>
      </c>
      <c r="B307" s="1167"/>
      <c r="C307" s="1167"/>
      <c r="D307" s="1167"/>
      <c r="E307" s="1167"/>
      <c r="F307" s="240"/>
      <c r="G307" s="196"/>
    </row>
    <row r="308" spans="1:7" x14ac:dyDescent="0.2">
      <c r="A308" s="1166" t="s">
        <v>19</v>
      </c>
      <c r="B308" s="1167"/>
      <c r="C308" s="1167"/>
      <c r="D308" s="1167"/>
      <c r="E308" s="1167"/>
      <c r="F308" s="240"/>
      <c r="G308" s="196"/>
    </row>
    <row r="309" spans="1:7" ht="15" thickBot="1" x14ac:dyDescent="0.25">
      <c r="A309" s="1168" t="s">
        <v>309</v>
      </c>
      <c r="B309" s="1169"/>
      <c r="C309" s="1169"/>
      <c r="D309" s="1169"/>
      <c r="E309" s="1169"/>
      <c r="F309" s="198"/>
      <c r="G309" s="258"/>
    </row>
    <row r="310" spans="1:7" ht="15" thickBot="1" x14ac:dyDescent="0.25">
      <c r="A310" s="1170" t="s">
        <v>310</v>
      </c>
      <c r="B310" s="1171"/>
      <c r="C310" s="1171"/>
      <c r="D310" s="1171"/>
      <c r="E310" s="1171"/>
      <c r="F310" s="1172"/>
      <c r="G310" s="1173"/>
    </row>
    <row r="311" spans="1:7" x14ac:dyDescent="0.2">
      <c r="A311" s="265"/>
      <c r="B311" s="266"/>
      <c r="C311" s="266"/>
      <c r="D311" s="266"/>
      <c r="E311" s="266"/>
      <c r="F311" s="193"/>
      <c r="G311" s="260"/>
    </row>
    <row r="312" spans="1:7" ht="15" thickBot="1" x14ac:dyDescent="0.25">
      <c r="A312" s="261" t="s">
        <v>681</v>
      </c>
      <c r="B312" s="262"/>
      <c r="C312" s="262" t="s">
        <v>682</v>
      </c>
      <c r="D312" s="262"/>
      <c r="E312" s="262"/>
      <c r="F312" s="262" t="s">
        <v>683</v>
      </c>
      <c r="G312" s="263"/>
    </row>
    <row r="313" spans="1:7" ht="15" thickBot="1" x14ac:dyDescent="0.25">
      <c r="A313" s="1174" t="s">
        <v>1700</v>
      </c>
      <c r="B313" s="1175"/>
      <c r="C313" s="1175"/>
      <c r="D313" s="1175"/>
      <c r="E313" s="1175"/>
      <c r="F313" s="241" t="s">
        <v>24</v>
      </c>
      <c r="G313" s="264" t="s">
        <v>12</v>
      </c>
    </row>
    <row r="314" spans="1:7" ht="15" thickBot="1" x14ac:dyDescent="0.25">
      <c r="A314" s="1176" t="s">
        <v>1642</v>
      </c>
      <c r="B314" s="1177"/>
      <c r="C314" s="1177"/>
      <c r="D314" s="1177"/>
      <c r="E314" s="1177"/>
      <c r="F314" s="1177"/>
      <c r="G314" s="1178"/>
    </row>
    <row r="315" spans="1:7" x14ac:dyDescent="0.2">
      <c r="A315" s="242" t="s">
        <v>1643</v>
      </c>
      <c r="B315" s="191" t="s">
        <v>1644</v>
      </c>
      <c r="C315" s="190" t="s">
        <v>26</v>
      </c>
      <c r="D315" s="190" t="s">
        <v>27</v>
      </c>
      <c r="E315" s="190" t="s">
        <v>28</v>
      </c>
      <c r="F315" s="190" t="s">
        <v>29</v>
      </c>
      <c r="G315" s="243"/>
    </row>
    <row r="316" spans="1:7" x14ac:dyDescent="0.2">
      <c r="A316" s="244" t="str">
        <f>VLOOKUP(B316,PRECIOS!$A$309:$E$485,2,FALSE)</f>
        <v>EQUIPO158</v>
      </c>
      <c r="B316" s="200" t="s">
        <v>1699</v>
      </c>
      <c r="C316" s="89" t="str">
        <f>VLOOKUP(B316,PRECIOS!$A$309:$E$485,3,FALSE)</f>
        <v>Electrica</v>
      </c>
      <c r="D316" s="209">
        <f>VLOOKUP(B316,PRECIOS!$A$309:$E$485,5,FALSE)</f>
        <v>6250</v>
      </c>
      <c r="E316" s="210">
        <v>0.5</v>
      </c>
      <c r="F316" s="203">
        <f>+D316*E316</f>
        <v>3125</v>
      </c>
      <c r="G316" s="245"/>
    </row>
    <row r="317" spans="1:7" ht="13.5" customHeight="1" x14ac:dyDescent="0.2">
      <c r="A317" s="244" t="str">
        <f>VLOOKUP(B317,PRECIOS!$A$309:$E$485,2,FALSE)</f>
        <v>EQUIPO175</v>
      </c>
      <c r="B317" s="200" t="s">
        <v>454</v>
      </c>
      <c r="C317" s="89" t="str">
        <f>VLOOKUP(B317,PRECIOS!$A$309:$E$485,3,FALSE)</f>
        <v>Estructura</v>
      </c>
      <c r="D317" s="209">
        <f>VLOOKUP(B317,PRECIOS!$A$309:$E$485,5,FALSE)</f>
        <v>75</v>
      </c>
      <c r="E317" s="210">
        <v>0.9</v>
      </c>
      <c r="F317" s="203">
        <f>+D317*E317</f>
        <v>67.5</v>
      </c>
      <c r="G317" s="245"/>
    </row>
    <row r="318" spans="1:7" ht="25.5" customHeight="1" x14ac:dyDescent="0.2">
      <c r="A318" s="244" t="str">
        <f>VLOOKUP(B318,PRECIOS!$A$309:$E$485,2,FALSE)</f>
        <v>EQUIPO166</v>
      </c>
      <c r="B318" s="200" t="s">
        <v>447</v>
      </c>
      <c r="C318" s="89" t="str">
        <f>VLOOKUP(B318,PRECIOS!$A$309:$E$485,3,FALSE)</f>
        <v>Estructura</v>
      </c>
      <c r="D318" s="209">
        <f>VLOOKUP(B318,PRECIOS!$A$309:$E$485,5,FALSE)</f>
        <v>125</v>
      </c>
      <c r="E318" s="210">
        <v>3.5</v>
      </c>
      <c r="F318" s="203">
        <f>+D318*E318</f>
        <v>437.5</v>
      </c>
      <c r="G318" s="245"/>
    </row>
    <row r="319" spans="1:7" x14ac:dyDescent="0.2">
      <c r="A319" s="1179" t="s">
        <v>1650</v>
      </c>
      <c r="B319" s="1180"/>
      <c r="C319" s="214">
        <v>0.05</v>
      </c>
      <c r="D319" s="213"/>
      <c r="E319" s="269"/>
      <c r="F319" s="212">
        <f>+G343*C319</f>
        <v>680.79750000000013</v>
      </c>
      <c r="G319" s="246"/>
    </row>
    <row r="320" spans="1:7" x14ac:dyDescent="0.2">
      <c r="A320" s="247" t="s">
        <v>25</v>
      </c>
      <c r="B320" s="267"/>
      <c r="C320" s="267"/>
      <c r="D320" s="267"/>
      <c r="E320" s="267"/>
      <c r="F320" s="267"/>
      <c r="G320" s="246" t="s">
        <v>31</v>
      </c>
    </row>
    <row r="321" spans="1:7" ht="15" thickBot="1" x14ac:dyDescent="0.25">
      <c r="A321" s="248"/>
      <c r="B321" s="271"/>
      <c r="C321" s="271"/>
      <c r="D321" s="271"/>
      <c r="E321" s="271"/>
      <c r="F321" s="271"/>
      <c r="G321" s="249">
        <f>SUM(F316:F319)</f>
        <v>4310.7975000000006</v>
      </c>
    </row>
    <row r="322" spans="1:7" ht="15" thickBot="1" x14ac:dyDescent="0.25">
      <c r="A322" s="1176" t="s">
        <v>1645</v>
      </c>
      <c r="B322" s="1177"/>
      <c r="C322" s="1177"/>
      <c r="D322" s="1177"/>
      <c r="E322" s="1177"/>
      <c r="F322" s="1177"/>
      <c r="G322" s="1178"/>
    </row>
    <row r="323" spans="1:7" x14ac:dyDescent="0.2">
      <c r="A323" s="242" t="s">
        <v>1643</v>
      </c>
      <c r="B323" s="191" t="s">
        <v>1644</v>
      </c>
      <c r="C323" s="190" t="s">
        <v>32</v>
      </c>
      <c r="D323" s="190" t="s">
        <v>33</v>
      </c>
      <c r="E323" s="190" t="s">
        <v>34</v>
      </c>
      <c r="F323" s="190" t="s">
        <v>35</v>
      </c>
      <c r="G323" s="243"/>
    </row>
    <row r="324" spans="1:7" x14ac:dyDescent="0.2">
      <c r="A324" s="247" t="str">
        <f>VLOOKUP(B324,PRECIOS!$A$5:$D$303,2,FALSE)</f>
        <v>MADERFINA01</v>
      </c>
      <c r="B324" s="267" t="s">
        <v>210</v>
      </c>
      <c r="C324" s="267" t="str">
        <f>VLOOKUP(B324,PRECIOS!$A$5:$D$303,3,FALSE)</f>
        <v>Docena</v>
      </c>
      <c r="D324" s="215">
        <f>VLOOKUP(B324,PRECIOS!$A$5:$D$303,4,FALSE)</f>
        <v>148445.79750000002</v>
      </c>
      <c r="E324" s="187">
        <v>0.12</v>
      </c>
      <c r="F324" s="211">
        <f>+D324*E324</f>
        <v>17813.495699999999</v>
      </c>
      <c r="G324" s="246"/>
    </row>
    <row r="325" spans="1:7" x14ac:dyDescent="0.2">
      <c r="A325" s="247" t="str">
        <f>VLOOKUP(B325,PRECIOS!$A$5:$D$303,2,FALSE)</f>
        <v>MADERFINA07</v>
      </c>
      <c r="B325" s="267" t="s">
        <v>217</v>
      </c>
      <c r="C325" s="267" t="str">
        <f>VLOOKUP(B325,PRECIOS!$A$5:$D$303,3,FALSE)</f>
        <v>Docena</v>
      </c>
      <c r="D325" s="215">
        <f>VLOOKUP(B325,PRECIOS!$A$5:$D$303,4,FALSE)</f>
        <v>219243.02400000003</v>
      </c>
      <c r="E325" s="187">
        <v>0.04</v>
      </c>
      <c r="F325" s="211">
        <f t="shared" ref="F325:F329" si="11">+D325*E325</f>
        <v>8769.7209600000024</v>
      </c>
      <c r="G325" s="246"/>
    </row>
    <row r="326" spans="1:7" x14ac:dyDescent="0.2">
      <c r="A326" s="247" t="str">
        <f>VLOOKUP(B326,PRECIOS!$A$5:$D$303,2,FALSE)</f>
        <v>MADERFINA06</v>
      </c>
      <c r="B326" s="267" t="s">
        <v>216</v>
      </c>
      <c r="C326" s="267" t="str">
        <f>VLOOKUP(B326,PRECIOS!$A$5:$D$303,3,FALSE)</f>
        <v>Docena</v>
      </c>
      <c r="D326" s="215">
        <f>VLOOKUP(B326,PRECIOS!$A$5:$D$303,4,FALSE)</f>
        <v>109621.51200000002</v>
      </c>
      <c r="E326" s="187">
        <v>0.04</v>
      </c>
      <c r="F326" s="211">
        <f t="shared" si="11"/>
        <v>4384.8604800000012</v>
      </c>
      <c r="G326" s="246"/>
    </row>
    <row r="327" spans="1:7" x14ac:dyDescent="0.2">
      <c r="A327" s="247" t="str">
        <f>VLOOKUP(B327,PRECIOS!$A$5:$D$303,2,FALSE)</f>
        <v>MADERFINA05</v>
      </c>
      <c r="B327" s="267" t="s">
        <v>215</v>
      </c>
      <c r="C327" s="267" t="str">
        <f>VLOOKUP(B327,PRECIOS!$A$5:$D$303,3,FALSE)</f>
        <v>Docena</v>
      </c>
      <c r="D327" s="215">
        <f>VLOOKUP(B327,PRECIOS!$A$5:$D$303,4,FALSE)</f>
        <v>68513.445000000007</v>
      </c>
      <c r="E327" s="187">
        <v>0.12</v>
      </c>
      <c r="F327" s="211">
        <f t="shared" si="11"/>
        <v>8221.6134000000002</v>
      </c>
      <c r="G327" s="246"/>
    </row>
    <row r="328" spans="1:7" x14ac:dyDescent="0.2">
      <c r="A328" s="247" t="str">
        <f>VLOOKUP(B328,PRECIOS!$A$5:$D$303,2,FALSE)</f>
        <v>MADECOMUN</v>
      </c>
      <c r="B328" s="267" t="s">
        <v>67</v>
      </c>
      <c r="C328" s="267" t="str">
        <f>VLOOKUP(B328,PRECIOS!$A$5:$D$303,3,FALSE)</f>
        <v>Docena</v>
      </c>
      <c r="D328" s="215">
        <f>VLOOKUP(B328,PRECIOS!$A$5:$D$303,4,FALSE)</f>
        <v>30145.915800000006</v>
      </c>
      <c r="E328" s="187">
        <v>0.12</v>
      </c>
      <c r="F328" s="211">
        <f t="shared" si="11"/>
        <v>3617.5098960000005</v>
      </c>
      <c r="G328" s="246"/>
    </row>
    <row r="329" spans="1:7" x14ac:dyDescent="0.2">
      <c r="A329" s="247" t="str">
        <f>VLOOKUP(B329,PRECIOS!$A$5:$D$303,2,FALSE)</f>
        <v>MADECOMUN</v>
      </c>
      <c r="B329" s="267" t="s">
        <v>47</v>
      </c>
      <c r="C329" s="267" t="str">
        <f>VLOOKUP(B329,PRECIOS!$A$5:$D$303,3,FALSE)</f>
        <v>Lb.</v>
      </c>
      <c r="D329" s="215">
        <f>VLOOKUP(B329,PRECIOS!$A$5:$D$303,4,FALSE)</f>
        <v>4879.8750000000009</v>
      </c>
      <c r="E329" s="187">
        <v>1</v>
      </c>
      <c r="F329" s="211">
        <f t="shared" si="11"/>
        <v>4879.8750000000009</v>
      </c>
      <c r="G329" s="246"/>
    </row>
    <row r="330" spans="1:7" x14ac:dyDescent="0.2">
      <c r="A330" s="1179" t="s">
        <v>1649</v>
      </c>
      <c r="B330" s="1180"/>
      <c r="C330" s="214">
        <v>0.01</v>
      </c>
      <c r="D330" s="268"/>
      <c r="E330" s="269"/>
      <c r="F330" s="276">
        <f>SUM(F324:F329)*C330</f>
        <v>476.87075436000009</v>
      </c>
      <c r="G330" s="246"/>
    </row>
    <row r="331" spans="1:7" x14ac:dyDescent="0.2">
      <c r="A331" s="247"/>
      <c r="B331" s="267"/>
      <c r="C331" s="104"/>
      <c r="D331" s="104"/>
      <c r="E331" s="104"/>
      <c r="F331" s="104"/>
      <c r="G331" s="246" t="s">
        <v>31</v>
      </c>
    </row>
    <row r="332" spans="1:7" ht="15" thickBot="1" x14ac:dyDescent="0.25">
      <c r="A332" s="248"/>
      <c r="B332" s="271"/>
      <c r="C332" s="271"/>
      <c r="D332" s="271"/>
      <c r="E332" s="271"/>
      <c r="F332" s="271"/>
      <c r="G332" s="250">
        <f>SUM(F324:F330)</f>
        <v>48163.946190360009</v>
      </c>
    </row>
    <row r="333" spans="1:7" ht="15" thickBot="1" x14ac:dyDescent="0.25">
      <c r="A333" s="1176" t="s">
        <v>1646</v>
      </c>
      <c r="B333" s="1177"/>
      <c r="C333" s="1177"/>
      <c r="D333" s="1177"/>
      <c r="E333" s="1177"/>
      <c r="F333" s="1177"/>
      <c r="G333" s="1178"/>
    </row>
    <row r="334" spans="1:7" x14ac:dyDescent="0.2">
      <c r="A334" s="251" t="s">
        <v>305</v>
      </c>
      <c r="B334" s="190" t="s">
        <v>38</v>
      </c>
      <c r="C334" s="190" t="s">
        <v>39</v>
      </c>
      <c r="D334" s="190" t="s">
        <v>40</v>
      </c>
      <c r="E334" s="190" t="s">
        <v>34</v>
      </c>
      <c r="F334" s="190" t="s">
        <v>35</v>
      </c>
      <c r="G334" s="243"/>
    </row>
    <row r="335" spans="1:7" x14ac:dyDescent="0.2">
      <c r="A335" s="252"/>
      <c r="B335" s="235"/>
      <c r="C335" s="238"/>
      <c r="D335" s="236"/>
      <c r="E335" s="237"/>
      <c r="F335" s="239"/>
      <c r="G335" s="253"/>
    </row>
    <row r="336" spans="1:7" x14ac:dyDescent="0.2">
      <c r="A336" s="252"/>
      <c r="B336" s="235"/>
      <c r="C336" s="238"/>
      <c r="D336" s="236"/>
      <c r="E336" s="237"/>
      <c r="F336" s="239"/>
      <c r="G336" s="253"/>
    </row>
    <row r="337" spans="1:7" x14ac:dyDescent="0.2">
      <c r="A337" s="247" t="s">
        <v>25</v>
      </c>
      <c r="B337" s="104" t="s">
        <v>25</v>
      </c>
      <c r="C337" s="104" t="s">
        <v>25</v>
      </c>
      <c r="D337" s="188" t="s">
        <v>25</v>
      </c>
      <c r="E337" s="189" t="s">
        <v>25</v>
      </c>
      <c r="F337" s="187" t="s">
        <v>25</v>
      </c>
      <c r="G337" s="246" t="s">
        <v>31</v>
      </c>
    </row>
    <row r="338" spans="1:7" ht="15" thickBot="1" x14ac:dyDescent="0.25">
      <c r="A338" s="248"/>
      <c r="B338" s="271"/>
      <c r="C338" s="271"/>
      <c r="D338" s="271"/>
      <c r="E338" s="271"/>
      <c r="F338" s="271"/>
      <c r="G338" s="250">
        <f>SUM(F335:F336)</f>
        <v>0</v>
      </c>
    </row>
    <row r="339" spans="1:7" ht="15" thickBot="1" x14ac:dyDescent="0.25">
      <c r="A339" s="1176" t="s">
        <v>1647</v>
      </c>
      <c r="B339" s="1177"/>
      <c r="C339" s="1177"/>
      <c r="D339" s="1177"/>
      <c r="E339" s="1177"/>
      <c r="F339" s="1177"/>
      <c r="G339" s="1178"/>
    </row>
    <row r="340" spans="1:7" ht="24" x14ac:dyDescent="0.2">
      <c r="A340" s="254" t="s">
        <v>1681</v>
      </c>
      <c r="B340" s="190" t="s">
        <v>42</v>
      </c>
      <c r="C340" s="190" t="s">
        <v>43</v>
      </c>
      <c r="D340" s="190" t="s">
        <v>44</v>
      </c>
      <c r="E340" s="190" t="s">
        <v>306</v>
      </c>
      <c r="F340" s="190" t="s">
        <v>29</v>
      </c>
      <c r="G340" s="243"/>
    </row>
    <row r="341" spans="1:7" ht="36" x14ac:dyDescent="0.2">
      <c r="A341" s="255" t="s">
        <v>1674</v>
      </c>
      <c r="B341" s="202">
        <f>VLOOKUP(A341,JORNALES!$A$5:$B$28,2,FALSE)</f>
        <v>215000</v>
      </c>
      <c r="C341" s="233">
        <f>+PRESTACIONES!$C$20/100</f>
        <v>0.89990000000000014</v>
      </c>
      <c r="D341" s="234">
        <f>+(B341*C341)+B341</f>
        <v>408478.5</v>
      </c>
      <c r="E341" s="270">
        <v>30</v>
      </c>
      <c r="F341" s="199">
        <f>+D341/E341</f>
        <v>13615.95</v>
      </c>
      <c r="G341" s="246"/>
    </row>
    <row r="342" spans="1:7" x14ac:dyDescent="0.2">
      <c r="A342" s="247"/>
      <c r="B342" s="267"/>
      <c r="C342" s="267"/>
      <c r="D342" s="267"/>
      <c r="E342" s="267"/>
      <c r="F342" s="267"/>
      <c r="G342" s="246" t="s">
        <v>31</v>
      </c>
    </row>
    <row r="343" spans="1:7" x14ac:dyDescent="0.2">
      <c r="A343" s="247"/>
      <c r="B343" s="267"/>
      <c r="C343" s="267"/>
      <c r="D343" s="267"/>
      <c r="E343" s="267"/>
      <c r="F343" s="267"/>
      <c r="G343" s="256">
        <f>SUM(F341:F341)</f>
        <v>13615.95</v>
      </c>
    </row>
    <row r="344" spans="1:7" ht="15" thickBot="1" x14ac:dyDescent="0.25">
      <c r="A344" s="1181" t="s">
        <v>25</v>
      </c>
      <c r="B344" s="1182"/>
      <c r="C344" s="1182"/>
      <c r="D344" s="1182"/>
      <c r="E344" s="1182"/>
      <c r="F344" s="1182"/>
      <c r="G344" s="1183"/>
    </row>
    <row r="345" spans="1:7" ht="15" thickBot="1" x14ac:dyDescent="0.25">
      <c r="A345" s="1184" t="s">
        <v>45</v>
      </c>
      <c r="B345" s="1185"/>
      <c r="C345" s="1185"/>
      <c r="D345" s="1185"/>
      <c r="E345" s="1185"/>
      <c r="F345" s="192"/>
      <c r="G345" s="194">
        <f xml:space="preserve"> ROUND(G343+G338+G332+G321,0)</f>
        <v>66091</v>
      </c>
    </row>
    <row r="346" spans="1:7" x14ac:dyDescent="0.2">
      <c r="A346" s="1186" t="s">
        <v>476</v>
      </c>
      <c r="B346" s="1187"/>
      <c r="C346" s="1187"/>
      <c r="D346" s="1187"/>
      <c r="E346" s="1187"/>
      <c r="F346" s="193" t="s">
        <v>51</v>
      </c>
      <c r="G346" s="257" t="s">
        <v>307</v>
      </c>
    </row>
    <row r="347" spans="1:7" x14ac:dyDescent="0.2">
      <c r="A347" s="1166" t="s">
        <v>17</v>
      </c>
      <c r="B347" s="1167"/>
      <c r="C347" s="1167"/>
      <c r="D347" s="1167"/>
      <c r="E347" s="1167"/>
      <c r="F347" s="240"/>
      <c r="G347" s="196"/>
    </row>
    <row r="348" spans="1:7" x14ac:dyDescent="0.2">
      <c r="A348" s="1166" t="s">
        <v>308</v>
      </c>
      <c r="B348" s="1167"/>
      <c r="C348" s="1167"/>
      <c r="D348" s="1167"/>
      <c r="E348" s="1167"/>
      <c r="F348" s="240"/>
      <c r="G348" s="196"/>
    </row>
    <row r="349" spans="1:7" x14ac:dyDescent="0.2">
      <c r="A349" s="1166" t="s">
        <v>19</v>
      </c>
      <c r="B349" s="1167"/>
      <c r="C349" s="1167"/>
      <c r="D349" s="1167"/>
      <c r="E349" s="1167"/>
      <c r="F349" s="240"/>
      <c r="G349" s="196"/>
    </row>
    <row r="350" spans="1:7" ht="15" thickBot="1" x14ac:dyDescent="0.25">
      <c r="A350" s="1168" t="s">
        <v>309</v>
      </c>
      <c r="B350" s="1169"/>
      <c r="C350" s="1169"/>
      <c r="D350" s="1169"/>
      <c r="E350" s="1169"/>
      <c r="F350" s="198"/>
      <c r="G350" s="258"/>
    </row>
    <row r="351" spans="1:7" ht="15" thickBot="1" x14ac:dyDescent="0.25">
      <c r="A351" s="1170" t="s">
        <v>310</v>
      </c>
      <c r="B351" s="1171"/>
      <c r="C351" s="1171"/>
      <c r="D351" s="1171"/>
      <c r="E351" s="1171"/>
      <c r="F351" s="1172"/>
      <c r="G351" s="1173"/>
    </row>
    <row r="352" spans="1:7" x14ac:dyDescent="0.2">
      <c r="A352" s="265"/>
      <c r="B352" s="266"/>
      <c r="C352" s="266"/>
      <c r="D352" s="266"/>
      <c r="E352" s="266"/>
      <c r="F352" s="193"/>
      <c r="G352" s="260"/>
    </row>
    <row r="353" spans="1:7" ht="15" thickBot="1" x14ac:dyDescent="0.25">
      <c r="A353" s="261" t="s">
        <v>681</v>
      </c>
      <c r="B353" s="262"/>
      <c r="C353" s="262" t="s">
        <v>682</v>
      </c>
      <c r="D353" s="262"/>
      <c r="E353" s="262"/>
      <c r="F353" s="262" t="s">
        <v>683</v>
      </c>
      <c r="G353" s="263"/>
    </row>
  </sheetData>
  <dataConsolidate/>
  <mergeCells count="149">
    <mergeCell ref="A265:E265"/>
    <mergeCell ref="A266:E266"/>
    <mergeCell ref="A267:E267"/>
    <mergeCell ref="A268:E268"/>
    <mergeCell ref="A269:E269"/>
    <mergeCell ref="A270:E270"/>
    <mergeCell ref="F270:G270"/>
    <mergeCell ref="A238:E238"/>
    <mergeCell ref="A239:G239"/>
    <mergeCell ref="A243:B243"/>
    <mergeCell ref="A246:G246"/>
    <mergeCell ref="A249:B249"/>
    <mergeCell ref="A252:G252"/>
    <mergeCell ref="A258:G258"/>
    <mergeCell ref="A263:G263"/>
    <mergeCell ref="A264:E264"/>
    <mergeCell ref="A204:G204"/>
    <mergeCell ref="A207:B207"/>
    <mergeCell ref="A210:G210"/>
    <mergeCell ref="A214:B214"/>
    <mergeCell ref="A217:G217"/>
    <mergeCell ref="A223:G223"/>
    <mergeCell ref="A203:E203"/>
    <mergeCell ref="A234:E234"/>
    <mergeCell ref="A235:E235"/>
    <mergeCell ref="F235:G235"/>
    <mergeCell ref="A228:G228"/>
    <mergeCell ref="A229:E229"/>
    <mergeCell ref="A230:E230"/>
    <mergeCell ref="A231:E231"/>
    <mergeCell ref="A232:E232"/>
    <mergeCell ref="A233:E233"/>
    <mergeCell ref="A197:E197"/>
    <mergeCell ref="A198:E198"/>
    <mergeCell ref="A199:E199"/>
    <mergeCell ref="F199:G199"/>
    <mergeCell ref="A178:B178"/>
    <mergeCell ref="A181:G181"/>
    <mergeCell ref="A187:G187"/>
    <mergeCell ref="A192:G192"/>
    <mergeCell ref="A193:E193"/>
    <mergeCell ref="A194:E194"/>
    <mergeCell ref="A166:E166"/>
    <mergeCell ref="A167:G167"/>
    <mergeCell ref="A170:B170"/>
    <mergeCell ref="A173:G173"/>
    <mergeCell ref="A125:E125"/>
    <mergeCell ref="A126:E126"/>
    <mergeCell ref="F126:G126"/>
    <mergeCell ref="A195:E195"/>
    <mergeCell ref="A196:E196"/>
    <mergeCell ref="A121:E121"/>
    <mergeCell ref="A122:E122"/>
    <mergeCell ref="A123:E123"/>
    <mergeCell ref="A124:E124"/>
    <mergeCell ref="A93:G93"/>
    <mergeCell ref="A96:B96"/>
    <mergeCell ref="A99:G99"/>
    <mergeCell ref="A105:B105"/>
    <mergeCell ref="A108:G108"/>
    <mergeCell ref="A114:G114"/>
    <mergeCell ref="A92:E92"/>
    <mergeCell ref="A84:E84"/>
    <mergeCell ref="A85:E85"/>
    <mergeCell ref="A86:E86"/>
    <mergeCell ref="A87:E87"/>
    <mergeCell ref="A88:E88"/>
    <mergeCell ref="F88:G88"/>
    <mergeCell ref="A119:G119"/>
    <mergeCell ref="A120:E120"/>
    <mergeCell ref="A67:B67"/>
    <mergeCell ref="A70:G70"/>
    <mergeCell ref="A76:G76"/>
    <mergeCell ref="A81:G81"/>
    <mergeCell ref="A82:E82"/>
    <mergeCell ref="A83:E83"/>
    <mergeCell ref="A54:E54"/>
    <mergeCell ref="A55:G55"/>
    <mergeCell ref="A58:B58"/>
    <mergeCell ref="A61:G61"/>
    <mergeCell ref="A49:E49"/>
    <mergeCell ref="A50:E50"/>
    <mergeCell ref="F50:G50"/>
    <mergeCell ref="A43:G43"/>
    <mergeCell ref="A44:E44"/>
    <mergeCell ref="A45:E45"/>
    <mergeCell ref="A46:E46"/>
    <mergeCell ref="A47:E47"/>
    <mergeCell ref="A48:E48"/>
    <mergeCell ref="A7:G7"/>
    <mergeCell ref="A15:B15"/>
    <mergeCell ref="A18:G18"/>
    <mergeCell ref="A27:B27"/>
    <mergeCell ref="A30:G30"/>
    <mergeCell ref="A36:G36"/>
    <mergeCell ref="A1:E1"/>
    <mergeCell ref="A2:E2"/>
    <mergeCell ref="A3:E3"/>
    <mergeCell ref="A4:G4"/>
    <mergeCell ref="A5:G5"/>
    <mergeCell ref="A6:E6"/>
    <mergeCell ref="A273:E273"/>
    <mergeCell ref="A274:G274"/>
    <mergeCell ref="A278:B278"/>
    <mergeCell ref="A281:G281"/>
    <mergeCell ref="A289:B289"/>
    <mergeCell ref="A292:G292"/>
    <mergeCell ref="A298:G298"/>
    <mergeCell ref="A303:G303"/>
    <mergeCell ref="A304:E304"/>
    <mergeCell ref="A333:G333"/>
    <mergeCell ref="A339:G339"/>
    <mergeCell ref="A344:G344"/>
    <mergeCell ref="A345:E345"/>
    <mergeCell ref="A346:E346"/>
    <mergeCell ref="A347:E347"/>
    <mergeCell ref="A305:E305"/>
    <mergeCell ref="A306:E306"/>
    <mergeCell ref="A307:E307"/>
    <mergeCell ref="A308:E308"/>
    <mergeCell ref="A309:E309"/>
    <mergeCell ref="A310:E310"/>
    <mergeCell ref="F310:G310"/>
    <mergeCell ref="A313:E313"/>
    <mergeCell ref="A314:G314"/>
    <mergeCell ref="A348:E348"/>
    <mergeCell ref="A349:E349"/>
    <mergeCell ref="A350:E350"/>
    <mergeCell ref="A351:E351"/>
    <mergeCell ref="F351:G351"/>
    <mergeCell ref="A129:E129"/>
    <mergeCell ref="A130:G130"/>
    <mergeCell ref="A133:B133"/>
    <mergeCell ref="A136:G136"/>
    <mergeCell ref="A142:B142"/>
    <mergeCell ref="A145:G145"/>
    <mergeCell ref="A151:G151"/>
    <mergeCell ref="A156:G156"/>
    <mergeCell ref="A157:E157"/>
    <mergeCell ref="A158:E158"/>
    <mergeCell ref="A159:E159"/>
    <mergeCell ref="A160:E160"/>
    <mergeCell ref="A161:E161"/>
    <mergeCell ref="A162:E162"/>
    <mergeCell ref="A163:E163"/>
    <mergeCell ref="F163:G163"/>
    <mergeCell ref="A319:B319"/>
    <mergeCell ref="A322:G322"/>
    <mergeCell ref="A330:B330"/>
  </mergeCells>
  <dataValidations count="3">
    <dataValidation type="list" allowBlank="1" showDropDown="1" showInputMessage="1" showErrorMessage="1" sqref="B57 B276:B277 B206 B169 B95 B132 B316:B318">
      <formula1>$A$345:$A$521</formula1>
    </dataValidation>
    <dataValidation type="list" allowBlank="1" showDropDown="1" showInputMessage="1" showErrorMessage="1" sqref="B324:B329 B63:B66 B283:B288 B213 B175:B177 B101:B104 B138:B141">
      <formula1>$A$5:$A$339</formula1>
    </dataValidation>
    <dataValidation type="list" allowBlank="1" showDropDown="1" showInputMessage="1" showErrorMessage="1" sqref="B241:B242">
      <formula1>$A$273:$A$433</formula1>
    </dataValidation>
  </dataValidations>
  <printOptions horizontalCentered="1"/>
  <pageMargins left="0.70866141732283472" right="0.70866141732283472" top="0.74803149606299213" bottom="0.74803149606299213" header="0.31496062992125984" footer="0.31496062992125984"/>
  <pageSetup paperSize="9" scale="75" orientation="portrait" r:id="rId1"/>
  <rowBreaks count="8" manualBreakCount="8">
    <brk id="53" max="6" man="1"/>
    <brk id="91" max="6" man="1"/>
    <brk id="128" max="6" man="1"/>
    <brk id="165" max="6" man="1"/>
    <brk id="202" max="6" man="1"/>
    <brk id="237" max="6" man="1"/>
    <brk id="272" max="6" man="1"/>
    <brk id="312" max="6" man="1"/>
  </rowBreaks>
  <drawing r:id="rId2"/>
  <extLst>
    <ext xmlns:x14="http://schemas.microsoft.com/office/spreadsheetml/2009/9/main" uri="{CCE6A557-97BC-4b89-ADB6-D9C93CAAB3DF}">
      <x14:dataValidations xmlns:xm="http://schemas.microsoft.com/office/excel/2006/main" count="3">
        <x14:dataValidation type="list" allowBlank="1" showDropDown="1" showInputMessage="1" showErrorMessage="1">
          <x14:formula1>
            <xm:f>JORNALES!$A$5:$A$28</xm:f>
          </x14:formula1>
          <xm:sqref>A38:A40 A78 A116 A189 A225 A300 A341 A153 A260</xm:sqref>
        </x14:dataValidation>
        <x14:dataValidation type="list" allowBlank="1" showDropDown="1" showInputMessage="1" showErrorMessage="1">
          <x14:formula1>
            <xm:f>PRECIOS!$A$309:$A$485</xm:f>
          </x14:formula1>
          <xm:sqref>B9:B14</xm:sqref>
        </x14:dataValidation>
        <x14:dataValidation type="list" allowBlank="1" showDropDown="1" showInputMessage="1" showErrorMessage="1">
          <x14:formula1>
            <xm:f>PRECIOS!$A$5:$A$303</xm:f>
          </x14:formula1>
          <xm:sqref>B20:B26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dimension ref="A1:M1407"/>
  <sheetViews>
    <sheetView view="pageBreakPreview" topLeftCell="A25" zoomScale="150" zoomScaleNormal="138" zoomScalePageLayoutView="90" workbookViewId="0">
      <selection activeCell="A5" sqref="A5:B5"/>
    </sheetView>
  </sheetViews>
  <sheetFormatPr baseColWidth="10" defaultRowHeight="15" x14ac:dyDescent="0.25"/>
  <cols>
    <col min="1" max="1" width="18.85546875" customWidth="1"/>
    <col min="2" max="2" width="10.140625" customWidth="1"/>
    <col min="3" max="3" width="8.7109375" customWidth="1"/>
    <col min="4" max="4" width="11.7109375" customWidth="1"/>
    <col min="5" max="5" width="9.85546875" customWidth="1"/>
    <col min="6" max="6" width="12" customWidth="1"/>
    <col min="7" max="7" width="13.28515625" customWidth="1"/>
    <col min="10" max="10" width="11.140625" bestFit="1" customWidth="1"/>
    <col min="11" max="11" width="14.28515625" bestFit="1" customWidth="1"/>
  </cols>
  <sheetData>
    <row r="1" spans="1:7" ht="17.100000000000001" customHeight="1" x14ac:dyDescent="0.25">
      <c r="A1" s="95"/>
      <c r="B1" s="94"/>
      <c r="C1" s="94"/>
      <c r="D1" s="94"/>
      <c r="E1" s="94"/>
      <c r="F1" s="882" t="s">
        <v>300</v>
      </c>
      <c r="G1" s="882" t="s">
        <v>2411</v>
      </c>
    </row>
    <row r="2" spans="1:7" x14ac:dyDescent="0.25">
      <c r="A2" s="1238" t="s">
        <v>729</v>
      </c>
      <c r="B2" s="1246"/>
      <c r="C2" s="1246"/>
      <c r="D2" s="1246"/>
      <c r="E2" s="1247"/>
      <c r="F2" s="880" t="s">
        <v>24</v>
      </c>
      <c r="G2" s="880" t="s">
        <v>373</v>
      </c>
    </row>
    <row r="3" spans="1:7" x14ac:dyDescent="0.25">
      <c r="A3" s="1229" t="s">
        <v>25</v>
      </c>
      <c r="B3" s="1229"/>
      <c r="C3" s="1229"/>
      <c r="D3" s="1229"/>
      <c r="E3" s="1229"/>
      <c r="F3" s="1229"/>
      <c r="G3" s="1229"/>
    </row>
    <row r="4" spans="1:7" x14ac:dyDescent="0.25">
      <c r="A4" s="1234" t="s">
        <v>469</v>
      </c>
      <c r="B4" s="1235"/>
      <c r="C4" s="80" t="s">
        <v>26</v>
      </c>
      <c r="D4" s="80" t="s">
        <v>27</v>
      </c>
      <c r="E4" s="80" t="s">
        <v>28</v>
      </c>
      <c r="F4" s="80" t="s">
        <v>35</v>
      </c>
      <c r="G4" s="67"/>
    </row>
    <row r="5" spans="1:7" x14ac:dyDescent="0.25">
      <c r="A5" s="1236"/>
      <c r="B5" s="1236"/>
      <c r="C5" s="69"/>
      <c r="D5" s="62"/>
      <c r="E5" s="62"/>
      <c r="F5" s="62"/>
      <c r="G5" s="81"/>
    </row>
    <row r="6" spans="1:7" x14ac:dyDescent="0.25">
      <c r="A6" s="1236"/>
      <c r="B6" s="1236"/>
      <c r="C6" s="69"/>
      <c r="D6" s="62"/>
      <c r="E6" s="62"/>
      <c r="F6" s="62"/>
      <c r="G6" s="69"/>
    </row>
    <row r="7" spans="1:7" x14ac:dyDescent="0.25">
      <c r="A7" s="1236" t="s">
        <v>30</v>
      </c>
      <c r="B7" s="1236"/>
      <c r="C7" s="69"/>
      <c r="D7" s="69"/>
      <c r="E7" s="69"/>
      <c r="F7" s="62">
        <f>+F35*0.05</f>
        <v>12587.5</v>
      </c>
      <c r="G7" s="69"/>
    </row>
    <row r="8" spans="1:7" x14ac:dyDescent="0.25">
      <c r="A8" s="1236"/>
      <c r="B8" s="1236"/>
      <c r="C8" s="69"/>
      <c r="D8" s="69"/>
      <c r="E8" s="69"/>
      <c r="F8" s="69"/>
      <c r="G8" s="69"/>
    </row>
    <row r="9" spans="1:7" x14ac:dyDescent="0.25">
      <c r="A9" s="1236" t="s">
        <v>25</v>
      </c>
      <c r="B9" s="1236"/>
      <c r="C9" s="69"/>
      <c r="D9" s="69"/>
      <c r="E9" s="69"/>
      <c r="F9" s="69"/>
      <c r="G9" s="83" t="s">
        <v>31</v>
      </c>
    </row>
    <row r="10" spans="1:7" x14ac:dyDescent="0.25">
      <c r="A10" s="1237"/>
      <c r="B10" s="1237"/>
      <c r="C10" s="82"/>
      <c r="D10" s="82"/>
      <c r="E10" s="82"/>
      <c r="F10" s="82"/>
      <c r="G10" s="64">
        <f>F7+F6+F5</f>
        <v>12587.5</v>
      </c>
    </row>
    <row r="11" spans="1:7" x14ac:dyDescent="0.25">
      <c r="A11" s="1234" t="s">
        <v>475</v>
      </c>
      <c r="B11" s="1235"/>
      <c r="C11" s="80" t="s">
        <v>32</v>
      </c>
      <c r="D11" s="80" t="s">
        <v>33</v>
      </c>
      <c r="E11" s="80" t="s">
        <v>34</v>
      </c>
      <c r="F11" s="80" t="s">
        <v>35</v>
      </c>
      <c r="G11" s="67"/>
    </row>
    <row r="12" spans="1:7" x14ac:dyDescent="0.25">
      <c r="A12" s="923" t="s">
        <v>2029</v>
      </c>
      <c r="B12" s="924"/>
      <c r="C12" s="924"/>
      <c r="D12" s="925"/>
      <c r="E12" s="118"/>
      <c r="F12" s="118"/>
      <c r="G12" s="69"/>
    </row>
    <row r="13" spans="1:7" x14ac:dyDescent="0.25">
      <c r="A13" s="923" t="s">
        <v>2030</v>
      </c>
      <c r="B13" s="924"/>
      <c r="C13" s="924"/>
      <c r="D13" s="925"/>
      <c r="E13" s="118"/>
      <c r="F13" s="118"/>
      <c r="G13" s="69"/>
    </row>
    <row r="14" spans="1:7" x14ac:dyDescent="0.25">
      <c r="A14" s="923" t="s">
        <v>2031</v>
      </c>
      <c r="B14" s="924"/>
      <c r="C14" s="924"/>
      <c r="D14" s="925"/>
      <c r="E14" s="118"/>
      <c r="F14" s="118"/>
      <c r="G14" s="69"/>
    </row>
    <row r="15" spans="1:7" x14ac:dyDescent="0.25">
      <c r="A15" s="923" t="s">
        <v>2032</v>
      </c>
      <c r="B15" s="924"/>
      <c r="C15" s="924"/>
      <c r="D15" s="925"/>
      <c r="E15" s="118"/>
      <c r="F15" s="118"/>
      <c r="G15" s="69"/>
    </row>
    <row r="16" spans="1:7" x14ac:dyDescent="0.25">
      <c r="A16" s="923" t="s">
        <v>2033</v>
      </c>
      <c r="B16" s="924"/>
      <c r="C16" s="924"/>
      <c r="D16" s="925"/>
      <c r="E16" s="118"/>
      <c r="F16" s="118"/>
      <c r="G16" s="69"/>
    </row>
    <row r="17" spans="1:7" x14ac:dyDescent="0.25">
      <c r="A17" s="923" t="s">
        <v>2034</v>
      </c>
      <c r="B17" s="924"/>
      <c r="C17" s="924"/>
      <c r="D17" s="925"/>
      <c r="E17" s="118"/>
      <c r="F17" s="118"/>
      <c r="G17" s="69"/>
    </row>
    <row r="18" spans="1:7" x14ac:dyDescent="0.25">
      <c r="A18" s="923" t="s">
        <v>2035</v>
      </c>
      <c r="B18" s="924"/>
      <c r="C18" s="924"/>
      <c r="D18" s="925"/>
      <c r="E18" s="118"/>
      <c r="F18" s="118"/>
      <c r="G18" s="69"/>
    </row>
    <row r="19" spans="1:7" x14ac:dyDescent="0.25">
      <c r="A19" s="923" t="s">
        <v>2036</v>
      </c>
      <c r="B19" s="924"/>
      <c r="C19" s="924"/>
      <c r="D19" s="925"/>
      <c r="E19" s="118"/>
      <c r="F19" s="118"/>
      <c r="G19" s="69"/>
    </row>
    <row r="20" spans="1:7" x14ac:dyDescent="0.25">
      <c r="A20" s="923" t="s">
        <v>2037</v>
      </c>
      <c r="B20" s="924"/>
      <c r="C20" s="924"/>
      <c r="D20" s="925"/>
      <c r="E20" s="118"/>
      <c r="F20" s="118"/>
      <c r="G20" s="69"/>
    </row>
    <row r="21" spans="1:7" x14ac:dyDescent="0.25">
      <c r="A21" s="923" t="s">
        <v>2038</v>
      </c>
      <c r="B21" s="924"/>
      <c r="C21" s="924"/>
      <c r="D21" s="925"/>
      <c r="E21" s="118"/>
      <c r="F21" s="118"/>
      <c r="G21" s="69"/>
    </row>
    <row r="22" spans="1:7" x14ac:dyDescent="0.25">
      <c r="A22" s="923" t="s">
        <v>2039</v>
      </c>
      <c r="B22" s="924"/>
      <c r="C22" s="924"/>
      <c r="D22" s="925"/>
      <c r="E22" s="118"/>
      <c r="F22" s="118"/>
      <c r="G22" s="69"/>
    </row>
    <row r="23" spans="1:7" x14ac:dyDescent="0.25">
      <c r="A23" s="1226" t="s">
        <v>2413</v>
      </c>
      <c r="B23" s="1227"/>
      <c r="C23" s="43" t="s">
        <v>13</v>
      </c>
      <c r="D23" s="97">
        <v>2974612.5</v>
      </c>
      <c r="E23" s="92">
        <v>1</v>
      </c>
      <c r="F23" s="85">
        <f>+D23*E23</f>
        <v>2974612.5</v>
      </c>
      <c r="G23" s="69"/>
    </row>
    <row r="24" spans="1:7" x14ac:dyDescent="0.25">
      <c r="A24" s="1228"/>
      <c r="B24" s="1229"/>
      <c r="C24" s="43"/>
      <c r="D24" s="97"/>
      <c r="E24" s="92"/>
      <c r="F24" s="85"/>
      <c r="G24" s="43" t="s">
        <v>31</v>
      </c>
    </row>
    <row r="25" spans="1:7" x14ac:dyDescent="0.25">
      <c r="A25" s="1228"/>
      <c r="B25" s="1229"/>
      <c r="C25" s="69"/>
      <c r="D25" s="69"/>
      <c r="E25" s="69"/>
      <c r="F25" s="69"/>
      <c r="G25" s="65">
        <f>+F23</f>
        <v>2974612.5</v>
      </c>
    </row>
    <row r="26" spans="1:7" ht="24" x14ac:dyDescent="0.25">
      <c r="A26" s="897" t="s">
        <v>329</v>
      </c>
      <c r="B26" s="89" t="s">
        <v>38</v>
      </c>
      <c r="C26" s="89" t="s">
        <v>39</v>
      </c>
      <c r="D26" s="80" t="s">
        <v>40</v>
      </c>
      <c r="E26" s="80" t="s">
        <v>34</v>
      </c>
      <c r="F26" s="80" t="s">
        <v>35</v>
      </c>
      <c r="G26" s="67"/>
    </row>
    <row r="27" spans="1:7" ht="24.75" x14ac:dyDescent="0.25">
      <c r="A27" s="899" t="s">
        <v>2006</v>
      </c>
      <c r="B27" s="43"/>
      <c r="C27" s="43" t="s">
        <v>1704</v>
      </c>
      <c r="D27" s="62">
        <v>2455.9899999999998</v>
      </c>
      <c r="E27" s="91">
        <v>10</v>
      </c>
      <c r="F27" s="62">
        <v>12000</v>
      </c>
      <c r="G27" s="69"/>
    </row>
    <row r="28" spans="1:7" x14ac:dyDescent="0.25">
      <c r="A28" s="90"/>
      <c r="B28" s="43"/>
      <c r="C28" s="43"/>
      <c r="D28" s="62"/>
      <c r="E28" s="91"/>
      <c r="F28" s="62"/>
      <c r="G28" s="69"/>
    </row>
    <row r="29" spans="1:7" x14ac:dyDescent="0.25">
      <c r="A29" s="90"/>
      <c r="B29" s="43"/>
      <c r="C29" s="43"/>
      <c r="D29" s="62"/>
      <c r="E29" s="92"/>
      <c r="F29" s="62"/>
      <c r="G29" s="69"/>
    </row>
    <row r="30" spans="1:7" x14ac:dyDescent="0.25">
      <c r="A30" s="90" t="s">
        <v>25</v>
      </c>
      <c r="B30" s="43" t="s">
        <v>25</v>
      </c>
      <c r="C30" s="43" t="s">
        <v>25</v>
      </c>
      <c r="D30" s="61" t="s">
        <v>25</v>
      </c>
      <c r="E30" s="92" t="s">
        <v>25</v>
      </c>
      <c r="F30" s="62" t="s">
        <v>25</v>
      </c>
      <c r="G30" s="43" t="s">
        <v>31</v>
      </c>
    </row>
    <row r="31" spans="1:7" x14ac:dyDescent="0.25">
      <c r="A31" s="90"/>
      <c r="B31" s="69"/>
      <c r="C31" s="69"/>
      <c r="D31" s="69"/>
      <c r="E31" s="69"/>
      <c r="F31" s="69"/>
      <c r="G31" s="64">
        <f>+F27*E27</f>
        <v>120000</v>
      </c>
    </row>
    <row r="32" spans="1:7" ht="24" x14ac:dyDescent="0.25">
      <c r="A32" s="897" t="s">
        <v>41</v>
      </c>
      <c r="B32" s="80" t="s">
        <v>42</v>
      </c>
      <c r="C32" s="80" t="s">
        <v>43</v>
      </c>
      <c r="D32" s="80" t="s">
        <v>44</v>
      </c>
      <c r="E32" s="89" t="s">
        <v>306</v>
      </c>
      <c r="F32" s="80" t="s">
        <v>35</v>
      </c>
      <c r="G32" s="67"/>
    </row>
    <row r="33" spans="1:7" x14ac:dyDescent="0.25">
      <c r="A33" s="81"/>
      <c r="B33" s="81"/>
      <c r="C33" s="81"/>
      <c r="D33" s="81"/>
      <c r="E33" s="81"/>
      <c r="F33" s="81"/>
      <c r="G33" s="81"/>
    </row>
    <row r="34" spans="1:7" x14ac:dyDescent="0.25">
      <c r="A34" s="69" t="s">
        <v>2372</v>
      </c>
      <c r="B34" s="85"/>
      <c r="C34" s="96"/>
      <c r="D34" s="62"/>
      <c r="E34" s="121"/>
      <c r="F34" s="62"/>
      <c r="G34" s="69"/>
    </row>
    <row r="35" spans="1:7" ht="63.75" customHeight="1" x14ac:dyDescent="0.25">
      <c r="A35" s="881" t="s">
        <v>2412</v>
      </c>
      <c r="B35" s="85">
        <v>265000</v>
      </c>
      <c r="C35" s="96">
        <v>0.9</v>
      </c>
      <c r="D35" s="62">
        <f>(B35*C35)+B35</f>
        <v>503500</v>
      </c>
      <c r="E35" s="121">
        <v>2</v>
      </c>
      <c r="F35" s="62">
        <f xml:space="preserve"> D35/E35</f>
        <v>251750</v>
      </c>
      <c r="G35" s="69" t="s">
        <v>25</v>
      </c>
    </row>
    <row r="36" spans="1:7" x14ac:dyDescent="0.25">
      <c r="A36" s="69"/>
      <c r="B36" s="85"/>
      <c r="C36" s="69"/>
      <c r="D36" s="62"/>
      <c r="E36" s="69"/>
      <c r="F36" s="62"/>
      <c r="G36" s="69"/>
    </row>
    <row r="37" spans="1:7" x14ac:dyDescent="0.25">
      <c r="A37" s="69"/>
      <c r="B37" s="69"/>
      <c r="C37" s="69"/>
      <c r="D37" s="69"/>
      <c r="E37" s="69"/>
      <c r="F37" s="69"/>
      <c r="G37" s="43" t="s">
        <v>31</v>
      </c>
    </row>
    <row r="38" spans="1:7" x14ac:dyDescent="0.25">
      <c r="A38" s="82"/>
      <c r="B38" s="82"/>
      <c r="C38" s="82"/>
      <c r="D38" s="82"/>
      <c r="E38" s="82"/>
      <c r="F38" s="82"/>
      <c r="G38" s="64">
        <f>F36+F35+F34</f>
        <v>251750</v>
      </c>
    </row>
    <row r="39" spans="1:7" x14ac:dyDescent="0.25">
      <c r="A39" s="1230" t="s">
        <v>25</v>
      </c>
      <c r="B39" s="1230"/>
      <c r="C39" s="1230"/>
      <c r="D39" s="1230"/>
      <c r="E39" s="1230"/>
      <c r="F39" s="1230"/>
      <c r="G39" s="1233"/>
    </row>
    <row r="40" spans="1:7" x14ac:dyDescent="0.25">
      <c r="A40" s="1248" t="s">
        <v>45</v>
      </c>
      <c r="B40" s="1248"/>
      <c r="C40" s="1248"/>
      <c r="D40" s="1248"/>
      <c r="E40" s="1231"/>
      <c r="F40" s="93"/>
      <c r="G40" s="70">
        <f xml:space="preserve"> G38+G31+G25+G10</f>
        <v>3358950</v>
      </c>
    </row>
    <row r="41" spans="1:7" x14ac:dyDescent="0.25">
      <c r="A41" s="1232" t="s">
        <v>476</v>
      </c>
      <c r="B41" s="1232"/>
      <c r="C41" s="1222"/>
      <c r="D41" s="1222"/>
      <c r="E41" s="1222" t="s">
        <v>44</v>
      </c>
      <c r="F41" s="1222" t="s">
        <v>51</v>
      </c>
      <c r="G41" s="1222" t="s">
        <v>307</v>
      </c>
    </row>
    <row r="42" spans="1:7" x14ac:dyDescent="0.25">
      <c r="A42" s="1232"/>
      <c r="B42" s="1232"/>
      <c r="C42" s="1222"/>
      <c r="D42" s="1222"/>
      <c r="E42" s="1222"/>
      <c r="F42" s="1222"/>
      <c r="G42" s="1222"/>
    </row>
    <row r="43" spans="1:7" x14ac:dyDescent="0.25">
      <c r="A43" s="1244" t="s">
        <v>17</v>
      </c>
      <c r="B43" s="1244"/>
      <c r="C43" s="1244"/>
      <c r="D43" s="1244"/>
      <c r="E43" s="1244"/>
      <c r="F43" s="1221"/>
      <c r="G43" s="1222"/>
    </row>
    <row r="44" spans="1:7" x14ac:dyDescent="0.25">
      <c r="A44" s="1244" t="s">
        <v>308</v>
      </c>
      <c r="B44" s="1244"/>
      <c r="C44" s="1244"/>
      <c r="D44" s="1244"/>
      <c r="E44" s="1244"/>
      <c r="F44" s="1221"/>
      <c r="G44" s="1222"/>
    </row>
    <row r="45" spans="1:7" x14ac:dyDescent="0.25">
      <c r="A45" s="1244" t="s">
        <v>19</v>
      </c>
      <c r="B45" s="1244"/>
      <c r="C45" s="1244"/>
      <c r="D45" s="1244"/>
      <c r="E45" s="1244"/>
      <c r="F45" s="1221"/>
      <c r="G45" s="1222"/>
    </row>
    <row r="46" spans="1:7" x14ac:dyDescent="0.25">
      <c r="A46" s="1244" t="s">
        <v>309</v>
      </c>
      <c r="B46" s="1244"/>
      <c r="C46" s="1244"/>
      <c r="D46" s="1244"/>
      <c r="E46" s="1244"/>
      <c r="F46" s="1221"/>
      <c r="G46" s="1222"/>
    </row>
    <row r="47" spans="1:7" x14ac:dyDescent="0.25">
      <c r="A47" s="1245" t="s">
        <v>310</v>
      </c>
      <c r="B47" s="1245"/>
      <c r="C47" s="1245"/>
      <c r="D47" s="1245"/>
      <c r="E47" s="1245"/>
      <c r="F47" s="1222"/>
      <c r="G47" s="1222"/>
    </row>
    <row r="48" spans="1:7" x14ac:dyDescent="0.25">
      <c r="A48" s="68"/>
      <c r="B48" s="94"/>
      <c r="C48" s="94"/>
      <c r="D48" s="94"/>
      <c r="E48" s="94"/>
      <c r="F48" s="94"/>
      <c r="G48" s="94"/>
    </row>
    <row r="49" spans="1:7" x14ac:dyDescent="0.25">
      <c r="A49" s="68"/>
      <c r="B49" s="94"/>
      <c r="C49" s="94"/>
      <c r="D49" s="94"/>
      <c r="E49" s="94"/>
      <c r="F49" s="94"/>
      <c r="G49" s="94"/>
    </row>
    <row r="53" spans="1:7" x14ac:dyDescent="0.25">
      <c r="A53" s="95"/>
      <c r="B53" s="94"/>
      <c r="C53" s="94"/>
      <c r="D53" s="94"/>
      <c r="E53" s="94"/>
      <c r="F53" s="882" t="s">
        <v>300</v>
      </c>
      <c r="G53" s="882" t="s">
        <v>2415</v>
      </c>
    </row>
    <row r="54" spans="1:7" x14ac:dyDescent="0.25">
      <c r="A54" s="1238" t="s">
        <v>732</v>
      </c>
      <c r="B54" s="1246"/>
      <c r="C54" s="1246"/>
      <c r="D54" s="1246"/>
      <c r="E54" s="1247"/>
      <c r="F54" s="880" t="s">
        <v>24</v>
      </c>
      <c r="G54" s="880" t="s">
        <v>373</v>
      </c>
    </row>
    <row r="55" spans="1:7" x14ac:dyDescent="0.25">
      <c r="A55" s="1229" t="s">
        <v>25</v>
      </c>
      <c r="B55" s="1229"/>
      <c r="C55" s="1229"/>
      <c r="D55" s="1229"/>
      <c r="E55" s="1229"/>
      <c r="F55" s="1229"/>
      <c r="G55" s="1229"/>
    </row>
    <row r="56" spans="1:7" x14ac:dyDescent="0.25">
      <c r="A56" s="1234" t="s">
        <v>469</v>
      </c>
      <c r="B56" s="1235"/>
      <c r="C56" s="80" t="s">
        <v>26</v>
      </c>
      <c r="D56" s="80" t="s">
        <v>27</v>
      </c>
      <c r="E56" s="80" t="s">
        <v>28</v>
      </c>
      <c r="F56" s="80" t="s">
        <v>35</v>
      </c>
      <c r="G56" s="67"/>
    </row>
    <row r="57" spans="1:7" x14ac:dyDescent="0.25">
      <c r="A57" s="1236"/>
      <c r="B57" s="1236"/>
      <c r="C57" s="69"/>
      <c r="D57" s="62"/>
      <c r="E57" s="62"/>
      <c r="F57" s="62"/>
      <c r="G57" s="81"/>
    </row>
    <row r="58" spans="1:7" x14ac:dyDescent="0.25">
      <c r="A58" s="1236"/>
      <c r="B58" s="1236"/>
      <c r="C58" s="69"/>
      <c r="D58" s="62"/>
      <c r="E58" s="62"/>
      <c r="F58" s="62"/>
      <c r="G58" s="69"/>
    </row>
    <row r="59" spans="1:7" x14ac:dyDescent="0.25">
      <c r="A59" s="1236" t="s">
        <v>30</v>
      </c>
      <c r="B59" s="1236"/>
      <c r="C59" s="69"/>
      <c r="D59" s="69"/>
      <c r="E59" s="69"/>
      <c r="F59" s="62">
        <f>+F76*0.05</f>
        <v>62937.5</v>
      </c>
      <c r="G59" s="69"/>
    </row>
    <row r="60" spans="1:7" x14ac:dyDescent="0.25">
      <c r="A60" s="1236"/>
      <c r="B60" s="1236"/>
      <c r="C60" s="69"/>
      <c r="D60" s="69"/>
      <c r="E60" s="69"/>
      <c r="F60" s="69"/>
      <c r="G60" s="69"/>
    </row>
    <row r="61" spans="1:7" x14ac:dyDescent="0.25">
      <c r="A61" s="1236" t="s">
        <v>25</v>
      </c>
      <c r="B61" s="1236"/>
      <c r="C61" s="69"/>
      <c r="D61" s="69"/>
      <c r="E61" s="69"/>
      <c r="F61" s="69"/>
      <c r="G61" s="83" t="s">
        <v>31</v>
      </c>
    </row>
    <row r="62" spans="1:7" x14ac:dyDescent="0.25">
      <c r="A62" s="1237"/>
      <c r="B62" s="1237"/>
      <c r="C62" s="82"/>
      <c r="D62" s="82"/>
      <c r="E62" s="82"/>
      <c r="F62" s="82"/>
      <c r="G62" s="64">
        <f>F59+F58+F57</f>
        <v>62937.5</v>
      </c>
    </row>
    <row r="63" spans="1:7" x14ac:dyDescent="0.25">
      <c r="A63" s="1234" t="s">
        <v>475</v>
      </c>
      <c r="B63" s="1235"/>
      <c r="C63" s="80" t="s">
        <v>32</v>
      </c>
      <c r="D63" s="80" t="s">
        <v>33</v>
      </c>
      <c r="E63" s="80" t="s">
        <v>34</v>
      </c>
      <c r="F63" s="80" t="s">
        <v>35</v>
      </c>
      <c r="G63" s="67"/>
    </row>
    <row r="64" spans="1:7" x14ac:dyDescent="0.25">
      <c r="A64" s="1226" t="s">
        <v>2467</v>
      </c>
      <c r="B64" s="1227"/>
      <c r="C64" s="43" t="s">
        <v>13</v>
      </c>
      <c r="D64" s="97">
        <v>4002562.5</v>
      </c>
      <c r="E64" s="92">
        <v>1</v>
      </c>
      <c r="F64" s="85">
        <f>+D64*E64</f>
        <v>4002562.5</v>
      </c>
      <c r="G64" s="69"/>
    </row>
    <row r="65" spans="1:7" x14ac:dyDescent="0.25">
      <c r="A65" s="1228"/>
      <c r="B65" s="1229"/>
      <c r="C65" s="43"/>
      <c r="D65" s="97"/>
      <c r="E65" s="92"/>
      <c r="F65" s="85"/>
      <c r="G65" s="43" t="s">
        <v>31</v>
      </c>
    </row>
    <row r="66" spans="1:7" x14ac:dyDescent="0.25">
      <c r="A66" s="1228"/>
      <c r="B66" s="1229"/>
      <c r="C66" s="69"/>
      <c r="D66" s="69"/>
      <c r="E66" s="69"/>
      <c r="F66" s="69"/>
      <c r="G66" s="65">
        <f>+F64</f>
        <v>4002562.5</v>
      </c>
    </row>
    <row r="67" spans="1:7" ht="24" x14ac:dyDescent="0.25">
      <c r="A67" s="897" t="s">
        <v>329</v>
      </c>
      <c r="B67" s="89" t="s">
        <v>38</v>
      </c>
      <c r="C67" s="89" t="s">
        <v>39</v>
      </c>
      <c r="D67" s="80" t="s">
        <v>40</v>
      </c>
      <c r="E67" s="80" t="s">
        <v>34</v>
      </c>
      <c r="F67" s="80" t="s">
        <v>35</v>
      </c>
      <c r="G67" s="67"/>
    </row>
    <row r="68" spans="1:7" x14ac:dyDescent="0.25">
      <c r="A68" s="899" t="s">
        <v>2421</v>
      </c>
      <c r="B68" s="43"/>
      <c r="C68" s="43" t="s">
        <v>1704</v>
      </c>
      <c r="D68" s="62">
        <v>2455.9899999999998</v>
      </c>
      <c r="E68" s="91">
        <v>1</v>
      </c>
      <c r="F68" s="62">
        <v>12000</v>
      </c>
      <c r="G68" s="69"/>
    </row>
    <row r="69" spans="1:7" x14ac:dyDescent="0.25">
      <c r="A69" s="90"/>
      <c r="B69" s="43"/>
      <c r="C69" s="43"/>
      <c r="D69" s="62"/>
      <c r="E69" s="91"/>
      <c r="F69" s="62"/>
      <c r="G69" s="69"/>
    </row>
    <row r="70" spans="1:7" x14ac:dyDescent="0.25">
      <c r="A70" s="90"/>
      <c r="B70" s="43"/>
      <c r="C70" s="43"/>
      <c r="D70" s="62"/>
      <c r="E70" s="92"/>
      <c r="F70" s="62"/>
      <c r="G70" s="69"/>
    </row>
    <row r="71" spans="1:7" x14ac:dyDescent="0.25">
      <c r="A71" s="90" t="s">
        <v>25</v>
      </c>
      <c r="B71" s="43" t="s">
        <v>25</v>
      </c>
      <c r="C71" s="43" t="s">
        <v>25</v>
      </c>
      <c r="D71" s="61" t="s">
        <v>25</v>
      </c>
      <c r="E71" s="92" t="s">
        <v>25</v>
      </c>
      <c r="F71" s="62" t="s">
        <v>25</v>
      </c>
      <c r="G71" s="43" t="s">
        <v>31</v>
      </c>
    </row>
    <row r="72" spans="1:7" x14ac:dyDescent="0.25">
      <c r="A72" s="90"/>
      <c r="B72" s="69"/>
      <c r="C72" s="69"/>
      <c r="D72" s="69"/>
      <c r="E72" s="69"/>
      <c r="F72" s="69"/>
      <c r="G72" s="64">
        <f>+F68*E68</f>
        <v>12000</v>
      </c>
    </row>
    <row r="73" spans="1:7" ht="24" x14ac:dyDescent="0.25">
      <c r="A73" s="897" t="s">
        <v>41</v>
      </c>
      <c r="B73" s="80" t="s">
        <v>42</v>
      </c>
      <c r="C73" s="80" t="s">
        <v>43</v>
      </c>
      <c r="D73" s="80" t="s">
        <v>44</v>
      </c>
      <c r="E73" s="89" t="s">
        <v>306</v>
      </c>
      <c r="F73" s="80" t="s">
        <v>35</v>
      </c>
      <c r="G73" s="67"/>
    </row>
    <row r="74" spans="1:7" x14ac:dyDescent="0.25">
      <c r="A74" s="81"/>
      <c r="B74" s="81"/>
      <c r="C74" s="81"/>
      <c r="D74" s="81"/>
      <c r="E74" s="81"/>
      <c r="F74" s="81"/>
      <c r="G74" s="81"/>
    </row>
    <row r="75" spans="1:7" x14ac:dyDescent="0.25">
      <c r="A75" s="69" t="s">
        <v>2372</v>
      </c>
      <c r="B75" s="85"/>
      <c r="C75" s="96"/>
      <c r="D75" s="62"/>
      <c r="E75" s="121"/>
      <c r="F75" s="62"/>
      <c r="G75" s="69"/>
    </row>
    <row r="76" spans="1:7" ht="48.75" x14ac:dyDescent="0.25">
      <c r="A76" s="881" t="s">
        <v>2412</v>
      </c>
      <c r="B76" s="85">
        <v>265000</v>
      </c>
      <c r="C76" s="96">
        <v>0.9</v>
      </c>
      <c r="D76" s="62">
        <f>(B76*C76)+B76</f>
        <v>503500</v>
      </c>
      <c r="E76" s="101">
        <v>0.4</v>
      </c>
      <c r="F76" s="62">
        <f xml:space="preserve"> D76/E76</f>
        <v>1258750</v>
      </c>
      <c r="G76" s="69" t="s">
        <v>25</v>
      </c>
    </row>
    <row r="77" spans="1:7" x14ac:dyDescent="0.25">
      <c r="A77" s="69"/>
      <c r="B77" s="85"/>
      <c r="C77" s="69"/>
      <c r="D77" s="62"/>
      <c r="E77" s="69"/>
      <c r="F77" s="62"/>
      <c r="G77" s="69"/>
    </row>
    <row r="78" spans="1:7" x14ac:dyDescent="0.25">
      <c r="A78" s="69"/>
      <c r="B78" s="69"/>
      <c r="C78" s="69"/>
      <c r="D78" s="69"/>
      <c r="E78" s="69"/>
      <c r="F78" s="69"/>
      <c r="G78" s="43" t="s">
        <v>31</v>
      </c>
    </row>
    <row r="79" spans="1:7" x14ac:dyDescent="0.25">
      <c r="A79" s="82"/>
      <c r="B79" s="82"/>
      <c r="C79" s="82"/>
      <c r="D79" s="82"/>
      <c r="E79" s="82"/>
      <c r="F79" s="82"/>
      <c r="G79" s="64">
        <f>F77+F76+F75</f>
        <v>1258750</v>
      </c>
    </row>
    <row r="80" spans="1:7" x14ac:dyDescent="0.25">
      <c r="A80" s="1230" t="s">
        <v>25</v>
      </c>
      <c r="B80" s="1230"/>
      <c r="C80" s="1230"/>
      <c r="D80" s="1230"/>
      <c r="E80" s="1230"/>
      <c r="F80" s="1230"/>
      <c r="G80" s="1233"/>
    </row>
    <row r="81" spans="1:7" x14ac:dyDescent="0.25">
      <c r="A81" s="1248" t="s">
        <v>45</v>
      </c>
      <c r="B81" s="1248"/>
      <c r="C81" s="1248"/>
      <c r="D81" s="1248"/>
      <c r="E81" s="1231"/>
      <c r="F81" s="93"/>
      <c r="G81" s="70">
        <f xml:space="preserve"> G79+G72+G66+G62</f>
        <v>5336250</v>
      </c>
    </row>
    <row r="82" spans="1:7" x14ac:dyDescent="0.25">
      <c r="A82" s="1232" t="s">
        <v>476</v>
      </c>
      <c r="B82" s="1232"/>
      <c r="C82" s="1222"/>
      <c r="D82" s="1222"/>
      <c r="E82" s="1222" t="s">
        <v>44</v>
      </c>
      <c r="F82" s="1222" t="s">
        <v>51</v>
      </c>
      <c r="G82" s="1222" t="s">
        <v>307</v>
      </c>
    </row>
    <row r="83" spans="1:7" x14ac:dyDescent="0.25">
      <c r="A83" s="1232"/>
      <c r="B83" s="1232"/>
      <c r="C83" s="1222"/>
      <c r="D83" s="1222"/>
      <c r="E83" s="1222"/>
      <c r="F83" s="1222"/>
      <c r="G83" s="1222"/>
    </row>
    <row r="84" spans="1:7" x14ac:dyDescent="0.25">
      <c r="A84" s="1244" t="s">
        <v>17</v>
      </c>
      <c r="B84" s="1244"/>
      <c r="C84" s="1244"/>
      <c r="D84" s="1244"/>
      <c r="E84" s="1244"/>
      <c r="F84" s="1221"/>
      <c r="G84" s="1222"/>
    </row>
    <row r="85" spans="1:7" x14ac:dyDescent="0.25">
      <c r="A85" s="1244" t="s">
        <v>308</v>
      </c>
      <c r="B85" s="1244"/>
      <c r="C85" s="1244"/>
      <c r="D85" s="1244"/>
      <c r="E85" s="1244"/>
      <c r="F85" s="1221"/>
      <c r="G85" s="1222"/>
    </row>
    <row r="86" spans="1:7" x14ac:dyDescent="0.25">
      <c r="A86" s="1244" t="s">
        <v>19</v>
      </c>
      <c r="B86" s="1244"/>
      <c r="C86" s="1244"/>
      <c r="D86" s="1244"/>
      <c r="E86" s="1244"/>
      <c r="F86" s="1221"/>
      <c r="G86" s="1222"/>
    </row>
    <row r="87" spans="1:7" x14ac:dyDescent="0.25">
      <c r="A87" s="1244" t="s">
        <v>309</v>
      </c>
      <c r="B87" s="1244"/>
      <c r="C87" s="1244"/>
      <c r="D87" s="1244"/>
      <c r="E87" s="1244"/>
      <c r="F87" s="1221"/>
      <c r="G87" s="1222"/>
    </row>
    <row r="88" spans="1:7" x14ac:dyDescent="0.25">
      <c r="A88" s="1245" t="s">
        <v>310</v>
      </c>
      <c r="B88" s="1245"/>
      <c r="C88" s="1245"/>
      <c r="D88" s="1245"/>
      <c r="E88" s="1245"/>
      <c r="F88" s="1222"/>
      <c r="G88" s="1222"/>
    </row>
    <row r="89" spans="1:7" x14ac:dyDescent="0.25">
      <c r="A89" s="68"/>
      <c r="B89" s="94"/>
      <c r="C89" s="94"/>
      <c r="D89" s="94"/>
      <c r="E89" s="94"/>
      <c r="F89" s="94"/>
      <c r="G89" s="94"/>
    </row>
    <row r="90" spans="1:7" x14ac:dyDescent="0.25">
      <c r="A90" s="68"/>
      <c r="B90" s="94"/>
      <c r="C90" s="94"/>
      <c r="D90" s="94"/>
      <c r="E90" s="94"/>
      <c r="F90" s="94"/>
      <c r="G90" s="94"/>
    </row>
    <row r="96" spans="1:7" x14ac:dyDescent="0.25">
      <c r="A96" s="95"/>
      <c r="B96" s="94"/>
      <c r="C96" s="94"/>
      <c r="D96" s="94"/>
      <c r="E96" s="94"/>
      <c r="F96" s="882" t="s">
        <v>300</v>
      </c>
      <c r="G96" s="882" t="s">
        <v>2416</v>
      </c>
    </row>
    <row r="97" spans="1:7" ht="27" customHeight="1" x14ac:dyDescent="0.25">
      <c r="A97" s="1238" t="s">
        <v>1925</v>
      </c>
      <c r="B97" s="1246"/>
      <c r="C97" s="1246"/>
      <c r="D97" s="1246"/>
      <c r="E97" s="1247"/>
      <c r="F97" s="880" t="s">
        <v>24</v>
      </c>
      <c r="G97" s="880" t="s">
        <v>373</v>
      </c>
    </row>
    <row r="98" spans="1:7" x14ac:dyDescent="0.25">
      <c r="A98" s="1229" t="s">
        <v>25</v>
      </c>
      <c r="B98" s="1229"/>
      <c r="C98" s="1229"/>
      <c r="D98" s="1229"/>
      <c r="E98" s="1229"/>
      <c r="F98" s="1229"/>
      <c r="G98" s="1229"/>
    </row>
    <row r="99" spans="1:7" x14ac:dyDescent="0.25">
      <c r="A99" s="1234" t="s">
        <v>469</v>
      </c>
      <c r="B99" s="1235"/>
      <c r="C99" s="80" t="s">
        <v>26</v>
      </c>
      <c r="D99" s="80" t="s">
        <v>27</v>
      </c>
      <c r="E99" s="80" t="s">
        <v>28</v>
      </c>
      <c r="F99" s="80" t="s">
        <v>35</v>
      </c>
      <c r="G99" s="67"/>
    </row>
    <row r="100" spans="1:7" x14ac:dyDescent="0.25">
      <c r="A100" s="1236"/>
      <c r="B100" s="1236"/>
      <c r="C100" s="69"/>
      <c r="D100" s="62"/>
      <c r="E100" s="62"/>
      <c r="F100" s="62"/>
      <c r="G100" s="81"/>
    </row>
    <row r="101" spans="1:7" x14ac:dyDescent="0.25">
      <c r="A101" s="1236"/>
      <c r="B101" s="1236"/>
      <c r="C101" s="69"/>
      <c r="D101" s="62"/>
      <c r="E101" s="62"/>
      <c r="F101" s="62"/>
      <c r="G101" s="69"/>
    </row>
    <row r="102" spans="1:7" x14ac:dyDescent="0.25">
      <c r="A102" s="1236" t="s">
        <v>30</v>
      </c>
      <c r="B102" s="1236"/>
      <c r="C102" s="69"/>
      <c r="D102" s="69"/>
      <c r="E102" s="69"/>
      <c r="F102" s="62">
        <f>+F124*0.05</f>
        <v>10070</v>
      </c>
      <c r="G102" s="69"/>
    </row>
    <row r="103" spans="1:7" x14ac:dyDescent="0.25">
      <c r="A103" s="1236"/>
      <c r="B103" s="1236"/>
      <c r="C103" s="69"/>
      <c r="D103" s="69"/>
      <c r="E103" s="69"/>
      <c r="F103" s="69"/>
      <c r="G103" s="69"/>
    </row>
    <row r="104" spans="1:7" x14ac:dyDescent="0.25">
      <c r="A104" s="1236" t="s">
        <v>25</v>
      </c>
      <c r="B104" s="1236"/>
      <c r="C104" s="69"/>
      <c r="D104" s="69"/>
      <c r="E104" s="69"/>
      <c r="F104" s="69"/>
      <c r="G104" s="83" t="s">
        <v>31</v>
      </c>
    </row>
    <row r="105" spans="1:7" x14ac:dyDescent="0.25">
      <c r="A105" s="1237"/>
      <c r="B105" s="1237"/>
      <c r="C105" s="82"/>
      <c r="D105" s="82"/>
      <c r="E105" s="82"/>
      <c r="F105" s="82"/>
      <c r="G105" s="64">
        <f>F102+F101+F100</f>
        <v>10070</v>
      </c>
    </row>
    <row r="106" spans="1:7" x14ac:dyDescent="0.25">
      <c r="A106" s="1234" t="s">
        <v>475</v>
      </c>
      <c r="B106" s="1235"/>
      <c r="C106" s="80" t="s">
        <v>32</v>
      </c>
      <c r="D106" s="80" t="s">
        <v>33</v>
      </c>
      <c r="E106" s="80" t="s">
        <v>34</v>
      </c>
      <c r="F106" s="80" t="s">
        <v>35</v>
      </c>
      <c r="G106" s="67"/>
    </row>
    <row r="107" spans="1:7" x14ac:dyDescent="0.25">
      <c r="A107" s="923" t="s">
        <v>2468</v>
      </c>
      <c r="B107" s="924"/>
      <c r="C107" s="924"/>
      <c r="D107" s="925"/>
      <c r="E107" s="118"/>
      <c r="F107" s="118"/>
      <c r="G107" s="69"/>
    </row>
    <row r="108" spans="1:7" x14ac:dyDescent="0.25">
      <c r="A108" s="922" t="s">
        <v>660</v>
      </c>
      <c r="B108" s="922"/>
      <c r="C108" s="922"/>
      <c r="D108" s="922"/>
      <c r="E108" s="118"/>
      <c r="F108" s="118"/>
      <c r="G108" s="69"/>
    </row>
    <row r="109" spans="1:7" x14ac:dyDescent="0.25">
      <c r="A109" s="922" t="s">
        <v>2079</v>
      </c>
      <c r="B109" s="922"/>
      <c r="C109" s="922"/>
      <c r="D109" s="922"/>
      <c r="E109" s="118"/>
      <c r="F109" s="118"/>
      <c r="G109" s="69"/>
    </row>
    <row r="110" spans="1:7" x14ac:dyDescent="0.25">
      <c r="A110" s="922" t="s">
        <v>2080</v>
      </c>
      <c r="B110" s="922"/>
      <c r="C110" s="922"/>
      <c r="D110" s="922"/>
      <c r="E110" s="118"/>
      <c r="F110" s="118"/>
      <c r="G110" s="69"/>
    </row>
    <row r="111" spans="1:7" x14ac:dyDescent="0.25">
      <c r="A111" s="922" t="s">
        <v>2081</v>
      </c>
      <c r="B111" s="922"/>
      <c r="C111" s="922"/>
      <c r="D111" s="922"/>
      <c r="E111" s="118"/>
      <c r="F111" s="118"/>
      <c r="G111" s="69"/>
    </row>
    <row r="112" spans="1:7" x14ac:dyDescent="0.25">
      <c r="A112" s="1226"/>
      <c r="B112" s="1227"/>
      <c r="C112" s="43" t="s">
        <v>13</v>
      </c>
      <c r="D112" s="97">
        <v>608830.00000000012</v>
      </c>
      <c r="E112" s="92">
        <v>1</v>
      </c>
      <c r="F112" s="85">
        <f>+D112*E112</f>
        <v>608830.00000000012</v>
      </c>
      <c r="G112" s="69"/>
    </row>
    <row r="113" spans="1:7" x14ac:dyDescent="0.25">
      <c r="A113" s="1228"/>
      <c r="B113" s="1229"/>
      <c r="C113" s="43"/>
      <c r="D113" s="97"/>
      <c r="E113" s="92"/>
      <c r="F113" s="85"/>
      <c r="G113" s="43" t="s">
        <v>31</v>
      </c>
    </row>
    <row r="114" spans="1:7" x14ac:dyDescent="0.25">
      <c r="A114" s="1228"/>
      <c r="B114" s="1229"/>
      <c r="C114" s="69"/>
      <c r="D114" s="69"/>
      <c r="E114" s="69"/>
      <c r="F114" s="69"/>
      <c r="G114" s="65">
        <f>+F112</f>
        <v>608830.00000000012</v>
      </c>
    </row>
    <row r="115" spans="1:7" ht="24" x14ac:dyDescent="0.25">
      <c r="A115" s="897" t="s">
        <v>329</v>
      </c>
      <c r="B115" s="89" t="s">
        <v>38</v>
      </c>
      <c r="C115" s="89" t="s">
        <v>39</v>
      </c>
      <c r="D115" s="80" t="s">
        <v>40</v>
      </c>
      <c r="E115" s="80" t="s">
        <v>34</v>
      </c>
      <c r="F115" s="80" t="s">
        <v>35</v>
      </c>
      <c r="G115" s="67"/>
    </row>
    <row r="116" spans="1:7" x14ac:dyDescent="0.25">
      <c r="A116" s="899"/>
      <c r="B116" s="43"/>
      <c r="C116" s="43"/>
      <c r="D116" s="62"/>
      <c r="E116" s="91"/>
      <c r="F116" s="62"/>
      <c r="G116" s="69"/>
    </row>
    <row r="117" spans="1:7" x14ac:dyDescent="0.25">
      <c r="A117" s="90"/>
      <c r="B117" s="43"/>
      <c r="C117" s="43"/>
      <c r="D117" s="62"/>
      <c r="E117" s="91"/>
      <c r="F117" s="62"/>
      <c r="G117" s="69"/>
    </row>
    <row r="118" spans="1:7" x14ac:dyDescent="0.25">
      <c r="A118" s="90"/>
      <c r="B118" s="43"/>
      <c r="C118" s="43"/>
      <c r="D118" s="62"/>
      <c r="E118" s="92"/>
      <c r="F118" s="62"/>
      <c r="G118" s="69"/>
    </row>
    <row r="119" spans="1:7" x14ac:dyDescent="0.25">
      <c r="A119" s="90"/>
      <c r="B119" s="43"/>
      <c r="C119" s="43"/>
      <c r="D119" s="61"/>
      <c r="E119" s="92"/>
      <c r="F119" s="62"/>
      <c r="G119" s="43"/>
    </row>
    <row r="120" spans="1:7" x14ac:dyDescent="0.25">
      <c r="A120" s="90"/>
      <c r="B120" s="69"/>
      <c r="C120" s="69"/>
      <c r="D120" s="69"/>
      <c r="E120" s="69"/>
      <c r="F120" s="69"/>
      <c r="G120" s="64">
        <f>+F116*E116</f>
        <v>0</v>
      </c>
    </row>
    <row r="121" spans="1:7" ht="24" x14ac:dyDescent="0.25">
      <c r="A121" s="897" t="s">
        <v>41</v>
      </c>
      <c r="B121" s="80" t="s">
        <v>42</v>
      </c>
      <c r="C121" s="80" t="s">
        <v>43</v>
      </c>
      <c r="D121" s="80" t="s">
        <v>44</v>
      </c>
      <c r="E121" s="89" t="s">
        <v>306</v>
      </c>
      <c r="F121" s="80" t="s">
        <v>35</v>
      </c>
      <c r="G121" s="67"/>
    </row>
    <row r="122" spans="1:7" x14ac:dyDescent="0.25">
      <c r="A122" s="81"/>
      <c r="B122" s="81"/>
      <c r="C122" s="81"/>
      <c r="D122" s="81"/>
      <c r="E122" s="81"/>
      <c r="F122" s="81"/>
      <c r="G122" s="81"/>
    </row>
    <row r="123" spans="1:7" x14ac:dyDescent="0.25">
      <c r="A123" s="69" t="s">
        <v>2372</v>
      </c>
      <c r="B123" s="85"/>
      <c r="C123" s="96"/>
      <c r="D123" s="62"/>
      <c r="E123" s="121"/>
      <c r="F123" s="62"/>
      <c r="G123" s="69"/>
    </row>
    <row r="124" spans="1:7" ht="48.75" x14ac:dyDescent="0.25">
      <c r="A124" s="881" t="s">
        <v>2412</v>
      </c>
      <c r="B124" s="85">
        <v>265000</v>
      </c>
      <c r="C124" s="96">
        <v>0.9</v>
      </c>
      <c r="D124" s="62">
        <f>(B124*C124)+B124</f>
        <v>503500</v>
      </c>
      <c r="E124" s="101">
        <v>2.5</v>
      </c>
      <c r="F124" s="62">
        <f xml:space="preserve"> D124/E124</f>
        <v>201400</v>
      </c>
      <c r="G124" s="69" t="s">
        <v>25</v>
      </c>
    </row>
    <row r="125" spans="1:7" x14ac:dyDescent="0.25">
      <c r="A125" s="69"/>
      <c r="B125" s="85"/>
      <c r="C125" s="69"/>
      <c r="D125" s="62"/>
      <c r="E125" s="69"/>
      <c r="F125" s="62"/>
      <c r="G125" s="69"/>
    </row>
    <row r="126" spans="1:7" x14ac:dyDescent="0.25">
      <c r="A126" s="69"/>
      <c r="B126" s="69"/>
      <c r="C126" s="69"/>
      <c r="D126" s="69"/>
      <c r="E126" s="69"/>
      <c r="F126" s="69"/>
      <c r="G126" s="43" t="s">
        <v>31</v>
      </c>
    </row>
    <row r="127" spans="1:7" x14ac:dyDescent="0.25">
      <c r="A127" s="82"/>
      <c r="B127" s="82"/>
      <c r="C127" s="82"/>
      <c r="D127" s="82"/>
      <c r="E127" s="82"/>
      <c r="F127" s="82"/>
      <c r="G127" s="64">
        <f>F125+F124+F123</f>
        <v>201400</v>
      </c>
    </row>
    <row r="128" spans="1:7" x14ac:dyDescent="0.25">
      <c r="A128" s="1230" t="s">
        <v>25</v>
      </c>
      <c r="B128" s="1230"/>
      <c r="C128" s="1230"/>
      <c r="D128" s="1230"/>
      <c r="E128" s="1230"/>
      <c r="F128" s="1230"/>
      <c r="G128" s="1233"/>
    </row>
    <row r="129" spans="1:7" x14ac:dyDescent="0.25">
      <c r="A129" s="1248" t="s">
        <v>45</v>
      </c>
      <c r="B129" s="1248"/>
      <c r="C129" s="1248"/>
      <c r="D129" s="1248"/>
      <c r="E129" s="1231"/>
      <c r="F129" s="93"/>
      <c r="G129" s="70">
        <f xml:space="preserve"> G127+G120+G114+G105</f>
        <v>820300.00000000012</v>
      </c>
    </row>
    <row r="130" spans="1:7" x14ac:dyDescent="0.25">
      <c r="A130" s="1232" t="s">
        <v>476</v>
      </c>
      <c r="B130" s="1232"/>
      <c r="C130" s="1222"/>
      <c r="D130" s="1222"/>
      <c r="E130" s="1222" t="s">
        <v>44</v>
      </c>
      <c r="F130" s="1222" t="s">
        <v>51</v>
      </c>
      <c r="G130" s="1222" t="s">
        <v>307</v>
      </c>
    </row>
    <row r="131" spans="1:7" x14ac:dyDescent="0.25">
      <c r="A131" s="1232"/>
      <c r="B131" s="1232"/>
      <c r="C131" s="1222"/>
      <c r="D131" s="1222"/>
      <c r="E131" s="1222"/>
      <c r="F131" s="1222"/>
      <c r="G131" s="1222"/>
    </row>
    <row r="132" spans="1:7" x14ac:dyDescent="0.25">
      <c r="A132" s="1244" t="s">
        <v>17</v>
      </c>
      <c r="B132" s="1244"/>
      <c r="C132" s="1244"/>
      <c r="D132" s="1244"/>
      <c r="E132" s="1244"/>
      <c r="F132" s="1221"/>
      <c r="G132" s="1222"/>
    </row>
    <row r="133" spans="1:7" x14ac:dyDescent="0.25">
      <c r="A133" s="1244" t="s">
        <v>308</v>
      </c>
      <c r="B133" s="1244"/>
      <c r="C133" s="1244"/>
      <c r="D133" s="1244"/>
      <c r="E133" s="1244"/>
      <c r="F133" s="1221"/>
      <c r="G133" s="1222"/>
    </row>
    <row r="134" spans="1:7" x14ac:dyDescent="0.25">
      <c r="A134" s="1244" t="s">
        <v>19</v>
      </c>
      <c r="B134" s="1244"/>
      <c r="C134" s="1244"/>
      <c r="D134" s="1244"/>
      <c r="E134" s="1244"/>
      <c r="F134" s="1221"/>
      <c r="G134" s="1222"/>
    </row>
    <row r="135" spans="1:7" x14ac:dyDescent="0.25">
      <c r="A135" s="1244" t="s">
        <v>309</v>
      </c>
      <c r="B135" s="1244"/>
      <c r="C135" s="1244"/>
      <c r="D135" s="1244"/>
      <c r="E135" s="1244"/>
      <c r="F135" s="1221"/>
      <c r="G135" s="1222"/>
    </row>
    <row r="136" spans="1:7" x14ac:dyDescent="0.25">
      <c r="A136" s="1245" t="s">
        <v>310</v>
      </c>
      <c r="B136" s="1245"/>
      <c r="C136" s="1245"/>
      <c r="D136" s="1245"/>
      <c r="E136" s="1245"/>
      <c r="F136" s="1222"/>
      <c r="G136" s="1222"/>
    </row>
    <row r="137" spans="1:7" x14ac:dyDescent="0.25">
      <c r="A137" s="68"/>
      <c r="B137" s="94"/>
      <c r="C137" s="94"/>
      <c r="D137" s="94"/>
      <c r="E137" s="94"/>
      <c r="F137" s="94"/>
      <c r="G137" s="94"/>
    </row>
    <row r="138" spans="1:7" x14ac:dyDescent="0.25">
      <c r="A138" s="1244"/>
      <c r="B138" s="1244"/>
      <c r="C138" s="1244"/>
      <c r="D138" s="1244"/>
      <c r="E138" s="1244"/>
      <c r="F138" s="918"/>
      <c r="G138" s="919"/>
    </row>
    <row r="139" spans="1:7" x14ac:dyDescent="0.25">
      <c r="A139" s="95"/>
      <c r="B139" s="94"/>
      <c r="C139" s="94"/>
      <c r="D139" s="94"/>
      <c r="E139" s="94"/>
      <c r="F139" s="882" t="s">
        <v>300</v>
      </c>
      <c r="G139" s="882" t="s">
        <v>2417</v>
      </c>
    </row>
    <row r="140" spans="1:7" ht="29.25" customHeight="1" x14ac:dyDescent="0.25">
      <c r="A140" s="1238" t="s">
        <v>1926</v>
      </c>
      <c r="B140" s="1246"/>
      <c r="C140" s="1246"/>
      <c r="D140" s="1246"/>
      <c r="E140" s="1247"/>
      <c r="F140" s="880" t="s">
        <v>24</v>
      </c>
      <c r="G140" s="880" t="s">
        <v>373</v>
      </c>
    </row>
    <row r="141" spans="1:7" x14ac:dyDescent="0.25">
      <c r="A141" s="1229" t="s">
        <v>25</v>
      </c>
      <c r="B141" s="1229"/>
      <c r="C141" s="1229"/>
      <c r="D141" s="1229"/>
      <c r="E141" s="1229"/>
      <c r="F141" s="1229"/>
      <c r="G141" s="1229"/>
    </row>
    <row r="142" spans="1:7" x14ac:dyDescent="0.25">
      <c r="A142" s="1234" t="s">
        <v>469</v>
      </c>
      <c r="B142" s="1235"/>
      <c r="C142" s="80" t="s">
        <v>26</v>
      </c>
      <c r="D142" s="80" t="s">
        <v>27</v>
      </c>
      <c r="E142" s="80" t="s">
        <v>28</v>
      </c>
      <c r="F142" s="80" t="s">
        <v>35</v>
      </c>
      <c r="G142" s="67"/>
    </row>
    <row r="143" spans="1:7" x14ac:dyDescent="0.25">
      <c r="A143" s="1236"/>
      <c r="B143" s="1236"/>
      <c r="C143" s="69"/>
      <c r="D143" s="62"/>
      <c r="E143" s="62"/>
      <c r="F143" s="62"/>
      <c r="G143" s="81"/>
    </row>
    <row r="144" spans="1:7" x14ac:dyDescent="0.25">
      <c r="A144" s="1236"/>
      <c r="B144" s="1236"/>
      <c r="C144" s="69"/>
      <c r="D144" s="62"/>
      <c r="E144" s="62"/>
      <c r="F144" s="62"/>
      <c r="G144" s="69"/>
    </row>
    <row r="145" spans="1:7" x14ac:dyDescent="0.25">
      <c r="A145" s="1236" t="s">
        <v>30</v>
      </c>
      <c r="B145" s="1236"/>
      <c r="C145" s="69"/>
      <c r="D145" s="69"/>
      <c r="E145" s="69"/>
      <c r="F145" s="62">
        <f>+F167*0.05</f>
        <v>10070</v>
      </c>
      <c r="G145" s="69"/>
    </row>
    <row r="146" spans="1:7" x14ac:dyDescent="0.25">
      <c r="A146" s="1236"/>
      <c r="B146" s="1236"/>
      <c r="C146" s="69"/>
      <c r="D146" s="69"/>
      <c r="E146" s="69"/>
      <c r="F146" s="69"/>
      <c r="G146" s="69"/>
    </row>
    <row r="147" spans="1:7" x14ac:dyDescent="0.25">
      <c r="A147" s="1236" t="s">
        <v>25</v>
      </c>
      <c r="B147" s="1236"/>
      <c r="C147" s="69"/>
      <c r="D147" s="69"/>
      <c r="E147" s="69"/>
      <c r="F147" s="69"/>
      <c r="G147" s="83" t="s">
        <v>31</v>
      </c>
    </row>
    <row r="148" spans="1:7" x14ac:dyDescent="0.25">
      <c r="A148" s="1237"/>
      <c r="B148" s="1237"/>
      <c r="C148" s="82"/>
      <c r="D148" s="82"/>
      <c r="E148" s="82"/>
      <c r="F148" s="82"/>
      <c r="G148" s="64">
        <f>F145+F144+F143</f>
        <v>10070</v>
      </c>
    </row>
    <row r="149" spans="1:7" x14ac:dyDescent="0.25">
      <c r="A149" s="1234" t="s">
        <v>475</v>
      </c>
      <c r="B149" s="1235"/>
      <c r="C149" s="80" t="s">
        <v>32</v>
      </c>
      <c r="D149" s="80" t="s">
        <v>33</v>
      </c>
      <c r="E149" s="80" t="s">
        <v>34</v>
      </c>
      <c r="F149" s="80" t="s">
        <v>35</v>
      </c>
      <c r="G149" s="67"/>
    </row>
    <row r="150" spans="1:7" x14ac:dyDescent="0.25">
      <c r="A150" s="923" t="s">
        <v>2469</v>
      </c>
      <c r="B150" s="921"/>
      <c r="C150" s="118"/>
      <c r="D150" s="118"/>
      <c r="E150" s="118"/>
      <c r="F150" s="118"/>
      <c r="G150" s="69"/>
    </row>
    <row r="151" spans="1:7" x14ac:dyDescent="0.25">
      <c r="A151" s="922" t="s">
        <v>660</v>
      </c>
      <c r="B151" s="921"/>
      <c r="C151" s="118"/>
      <c r="D151" s="118"/>
      <c r="E151" s="118"/>
      <c r="F151" s="118"/>
      <c r="G151" s="69"/>
    </row>
    <row r="152" spans="1:7" x14ac:dyDescent="0.25">
      <c r="A152" s="922" t="s">
        <v>2079</v>
      </c>
      <c r="B152" s="921"/>
      <c r="C152" s="118"/>
      <c r="D152" s="118"/>
      <c r="E152" s="118"/>
      <c r="F152" s="118"/>
      <c r="G152" s="69"/>
    </row>
    <row r="153" spans="1:7" x14ac:dyDescent="0.25">
      <c r="A153" s="922" t="s">
        <v>2080</v>
      </c>
      <c r="B153" s="921"/>
      <c r="C153" s="118"/>
      <c r="D153" s="118"/>
      <c r="E153" s="118"/>
      <c r="F153" s="118"/>
      <c r="G153" s="69"/>
    </row>
    <row r="154" spans="1:7" x14ac:dyDescent="0.25">
      <c r="A154" s="922" t="s">
        <v>2081</v>
      </c>
      <c r="B154" s="921"/>
      <c r="C154" s="118"/>
      <c r="D154" s="118"/>
      <c r="E154" s="118"/>
      <c r="F154" s="118"/>
      <c r="G154" s="69"/>
    </row>
    <row r="155" spans="1:7" x14ac:dyDescent="0.25">
      <c r="A155" s="1226"/>
      <c r="B155" s="1227"/>
      <c r="C155" s="43" t="s">
        <v>13</v>
      </c>
      <c r="D155" s="97">
        <v>523530</v>
      </c>
      <c r="E155" s="92">
        <v>1</v>
      </c>
      <c r="F155" s="85">
        <f>+D155*E155</f>
        <v>523530</v>
      </c>
      <c r="G155" s="69"/>
    </row>
    <row r="156" spans="1:7" x14ac:dyDescent="0.25">
      <c r="A156" s="1228"/>
      <c r="B156" s="1229"/>
      <c r="C156" s="43"/>
      <c r="D156" s="97"/>
      <c r="E156" s="92"/>
      <c r="F156" s="85"/>
      <c r="G156" s="43" t="s">
        <v>31</v>
      </c>
    </row>
    <row r="157" spans="1:7" x14ac:dyDescent="0.25">
      <c r="A157" s="1228"/>
      <c r="B157" s="1229"/>
      <c r="C157" s="69"/>
      <c r="D157" s="69"/>
      <c r="E157" s="69"/>
      <c r="F157" s="69"/>
      <c r="G157" s="65">
        <f>+F155</f>
        <v>523530</v>
      </c>
    </row>
    <row r="158" spans="1:7" ht="24" x14ac:dyDescent="0.25">
      <c r="A158" s="897" t="s">
        <v>329</v>
      </c>
      <c r="B158" s="89" t="s">
        <v>38</v>
      </c>
      <c r="C158" s="89" t="s">
        <v>39</v>
      </c>
      <c r="D158" s="80" t="s">
        <v>40</v>
      </c>
      <c r="E158" s="80" t="s">
        <v>34</v>
      </c>
      <c r="F158" s="80" t="s">
        <v>35</v>
      </c>
      <c r="G158" s="67"/>
    </row>
    <row r="159" spans="1:7" x14ac:dyDescent="0.25">
      <c r="A159" s="899"/>
      <c r="B159" s="43"/>
      <c r="C159" s="43"/>
      <c r="D159" s="62"/>
      <c r="E159" s="91"/>
      <c r="F159" s="62"/>
      <c r="G159" s="69"/>
    </row>
    <row r="160" spans="1:7" x14ac:dyDescent="0.25">
      <c r="A160" s="90"/>
      <c r="B160" s="43"/>
      <c r="C160" s="43"/>
      <c r="D160" s="62"/>
      <c r="E160" s="91"/>
      <c r="F160" s="62"/>
      <c r="G160" s="69"/>
    </row>
    <row r="161" spans="1:7" x14ac:dyDescent="0.25">
      <c r="A161" s="90"/>
      <c r="B161" s="43"/>
      <c r="C161" s="43"/>
      <c r="D161" s="62"/>
      <c r="E161" s="92"/>
      <c r="F161" s="62"/>
      <c r="G161" s="69"/>
    </row>
    <row r="162" spans="1:7" x14ac:dyDescent="0.25">
      <c r="A162" s="90" t="s">
        <v>25</v>
      </c>
      <c r="B162" s="43" t="s">
        <v>25</v>
      </c>
      <c r="C162" s="43" t="s">
        <v>25</v>
      </c>
      <c r="D162" s="61" t="s">
        <v>25</v>
      </c>
      <c r="E162" s="92" t="s">
        <v>25</v>
      </c>
      <c r="F162" s="62" t="s">
        <v>25</v>
      </c>
      <c r="G162" s="43" t="s">
        <v>31</v>
      </c>
    </row>
    <row r="163" spans="1:7" x14ac:dyDescent="0.25">
      <c r="A163" s="90"/>
      <c r="B163" s="69"/>
      <c r="C163" s="69"/>
      <c r="D163" s="69"/>
      <c r="E163" s="69"/>
      <c r="F163" s="69"/>
      <c r="G163" s="64">
        <f>+F159*E159</f>
        <v>0</v>
      </c>
    </row>
    <row r="164" spans="1:7" ht="24" x14ac:dyDescent="0.25">
      <c r="A164" s="897" t="s">
        <v>41</v>
      </c>
      <c r="B164" s="80" t="s">
        <v>42</v>
      </c>
      <c r="C164" s="80" t="s">
        <v>43</v>
      </c>
      <c r="D164" s="80" t="s">
        <v>44</v>
      </c>
      <c r="E164" s="89" t="s">
        <v>306</v>
      </c>
      <c r="F164" s="80" t="s">
        <v>35</v>
      </c>
      <c r="G164" s="67"/>
    </row>
    <row r="165" spans="1:7" x14ac:dyDescent="0.25">
      <c r="A165" s="81"/>
      <c r="B165" s="81"/>
      <c r="C165" s="81"/>
      <c r="D165" s="81"/>
      <c r="E165" s="81"/>
      <c r="F165" s="81"/>
      <c r="G165" s="81"/>
    </row>
    <row r="166" spans="1:7" x14ac:dyDescent="0.25">
      <c r="A166" s="69" t="s">
        <v>2372</v>
      </c>
      <c r="B166" s="85"/>
      <c r="C166" s="96"/>
      <c r="D166" s="62"/>
      <c r="E166" s="121"/>
      <c r="F166" s="62"/>
      <c r="G166" s="69"/>
    </row>
    <row r="167" spans="1:7" ht="48.75" x14ac:dyDescent="0.25">
      <c r="A167" s="881" t="s">
        <v>2412</v>
      </c>
      <c r="B167" s="85">
        <v>265000</v>
      </c>
      <c r="C167" s="96">
        <v>0.9</v>
      </c>
      <c r="D167" s="62">
        <f>(B167*C167)+B167</f>
        <v>503500</v>
      </c>
      <c r="E167" s="101">
        <v>2.5</v>
      </c>
      <c r="F167" s="62">
        <f xml:space="preserve"> D167/E167</f>
        <v>201400</v>
      </c>
      <c r="G167" s="69" t="s">
        <v>25</v>
      </c>
    </row>
    <row r="168" spans="1:7" x14ac:dyDescent="0.25">
      <c r="A168" s="69"/>
      <c r="B168" s="85"/>
      <c r="C168" s="69"/>
      <c r="D168" s="62"/>
      <c r="E168" s="69"/>
      <c r="F168" s="62"/>
      <c r="G168" s="69"/>
    </row>
    <row r="169" spans="1:7" x14ac:dyDescent="0.25">
      <c r="A169" s="69"/>
      <c r="B169" s="69"/>
      <c r="C169" s="69"/>
      <c r="D169" s="69"/>
      <c r="E169" s="69"/>
      <c r="F169" s="69"/>
      <c r="G169" s="43" t="s">
        <v>31</v>
      </c>
    </row>
    <row r="170" spans="1:7" x14ac:dyDescent="0.25">
      <c r="A170" s="82"/>
      <c r="B170" s="82"/>
      <c r="C170" s="82"/>
      <c r="D170" s="82"/>
      <c r="E170" s="82"/>
      <c r="F170" s="82"/>
      <c r="G170" s="64">
        <f>F168+F167+F166</f>
        <v>201400</v>
      </c>
    </row>
    <row r="171" spans="1:7" x14ac:dyDescent="0.25">
      <c r="A171" s="1230" t="s">
        <v>25</v>
      </c>
      <c r="B171" s="1230"/>
      <c r="C171" s="1230"/>
      <c r="D171" s="1230"/>
      <c r="E171" s="1230"/>
      <c r="F171" s="1230"/>
      <c r="G171" s="1233"/>
    </row>
    <row r="172" spans="1:7" x14ac:dyDescent="0.25">
      <c r="A172" s="1248" t="s">
        <v>45</v>
      </c>
      <c r="B172" s="1248"/>
      <c r="C172" s="1248"/>
      <c r="D172" s="1248"/>
      <c r="E172" s="1231"/>
      <c r="F172" s="93"/>
      <c r="G172" s="70">
        <f xml:space="preserve"> G170+G163+G157+G148</f>
        <v>735000</v>
      </c>
    </row>
    <row r="173" spans="1:7" x14ac:dyDescent="0.25">
      <c r="A173" s="1232" t="s">
        <v>476</v>
      </c>
      <c r="B173" s="1232"/>
      <c r="C173" s="1222"/>
      <c r="D173" s="1222"/>
      <c r="E173" s="1222" t="s">
        <v>44</v>
      </c>
      <c r="F173" s="1222" t="s">
        <v>51</v>
      </c>
      <c r="G173" s="1222" t="s">
        <v>307</v>
      </c>
    </row>
    <row r="174" spans="1:7" x14ac:dyDescent="0.25">
      <c r="A174" s="1232"/>
      <c r="B174" s="1232"/>
      <c r="C174" s="1222"/>
      <c r="D174" s="1222"/>
      <c r="E174" s="1222"/>
      <c r="F174" s="1222"/>
      <c r="G174" s="1222"/>
    </row>
    <row r="175" spans="1:7" x14ac:dyDescent="0.25">
      <c r="A175" s="1244" t="s">
        <v>17</v>
      </c>
      <c r="B175" s="1244"/>
      <c r="C175" s="1244"/>
      <c r="D175" s="1244"/>
      <c r="E175" s="1244"/>
      <c r="F175" s="1221"/>
      <c r="G175" s="1222"/>
    </row>
    <row r="176" spans="1:7" x14ac:dyDescent="0.25">
      <c r="A176" s="1244" t="s">
        <v>308</v>
      </c>
      <c r="B176" s="1244"/>
      <c r="C176" s="1244"/>
      <c r="D176" s="1244"/>
      <c r="E176" s="1244"/>
      <c r="F176" s="1221"/>
      <c r="G176" s="1222"/>
    </row>
    <row r="177" spans="1:7" x14ac:dyDescent="0.25">
      <c r="A177" s="1244" t="s">
        <v>19</v>
      </c>
      <c r="B177" s="1244"/>
      <c r="C177" s="1244"/>
      <c r="D177" s="1244"/>
      <c r="E177" s="1244"/>
      <c r="F177" s="1221"/>
      <c r="G177" s="1222"/>
    </row>
    <row r="178" spans="1:7" x14ac:dyDescent="0.25">
      <c r="A178" s="1244" t="s">
        <v>309</v>
      </c>
      <c r="B178" s="1244"/>
      <c r="C178" s="1244"/>
      <c r="D178" s="1244"/>
      <c r="E178" s="1244"/>
      <c r="F178" s="1221"/>
      <c r="G178" s="1222"/>
    </row>
    <row r="179" spans="1:7" x14ac:dyDescent="0.25">
      <c r="A179" s="1245" t="s">
        <v>310</v>
      </c>
      <c r="B179" s="1245"/>
      <c r="C179" s="1245"/>
      <c r="D179" s="1245"/>
      <c r="E179" s="1245"/>
      <c r="F179" s="1222"/>
      <c r="G179" s="1222"/>
    </row>
    <row r="180" spans="1:7" x14ac:dyDescent="0.25">
      <c r="A180" s="68"/>
      <c r="B180" s="94"/>
      <c r="C180" s="94"/>
      <c r="D180" s="94"/>
      <c r="E180" s="94"/>
      <c r="F180" s="94"/>
      <c r="G180" s="94"/>
    </row>
    <row r="182" spans="1:7" x14ac:dyDescent="0.25">
      <c r="A182" s="95"/>
      <c r="B182" s="94"/>
      <c r="C182" s="94"/>
      <c r="D182" s="94"/>
      <c r="E182" s="94"/>
      <c r="F182" s="882" t="s">
        <v>300</v>
      </c>
      <c r="G182" s="882" t="s">
        <v>2418</v>
      </c>
    </row>
    <row r="183" spans="1:7" ht="30" customHeight="1" x14ac:dyDescent="0.25">
      <c r="A183" s="1238" t="s">
        <v>734</v>
      </c>
      <c r="B183" s="1246"/>
      <c r="C183" s="1246"/>
      <c r="D183" s="1246"/>
      <c r="E183" s="1247"/>
      <c r="F183" s="880" t="s">
        <v>24</v>
      </c>
      <c r="G183" s="880" t="s">
        <v>373</v>
      </c>
    </row>
    <row r="184" spans="1:7" x14ac:dyDescent="0.25">
      <c r="A184" s="1229" t="s">
        <v>25</v>
      </c>
      <c r="B184" s="1229"/>
      <c r="C184" s="1229"/>
      <c r="D184" s="1229"/>
      <c r="E184" s="1229"/>
      <c r="F184" s="1229"/>
      <c r="G184" s="1229"/>
    </row>
    <row r="185" spans="1:7" x14ac:dyDescent="0.25">
      <c r="A185" s="1234" t="s">
        <v>469</v>
      </c>
      <c r="B185" s="1235"/>
      <c r="C185" s="80" t="s">
        <v>26</v>
      </c>
      <c r="D185" s="80" t="s">
        <v>27</v>
      </c>
      <c r="E185" s="80" t="s">
        <v>28</v>
      </c>
      <c r="F185" s="80" t="s">
        <v>35</v>
      </c>
      <c r="G185" s="67"/>
    </row>
    <row r="186" spans="1:7" x14ac:dyDescent="0.25">
      <c r="A186" s="1236"/>
      <c r="B186" s="1236"/>
      <c r="C186" s="69"/>
      <c r="D186" s="62"/>
      <c r="E186" s="62"/>
      <c r="F186" s="62"/>
      <c r="G186" s="81"/>
    </row>
    <row r="187" spans="1:7" x14ac:dyDescent="0.25">
      <c r="A187" s="1236"/>
      <c r="B187" s="1236"/>
      <c r="C187" s="69"/>
      <c r="D187" s="62"/>
      <c r="E187" s="62"/>
      <c r="F187" s="62"/>
      <c r="G187" s="69"/>
    </row>
    <row r="188" spans="1:7" x14ac:dyDescent="0.25">
      <c r="A188" s="1236" t="s">
        <v>30</v>
      </c>
      <c r="B188" s="1236"/>
      <c r="C188" s="69"/>
      <c r="D188" s="69"/>
      <c r="E188" s="69"/>
      <c r="F188" s="62">
        <f>+F210*0.05</f>
        <v>10070</v>
      </c>
      <c r="G188" s="69"/>
    </row>
    <row r="189" spans="1:7" x14ac:dyDescent="0.25">
      <c r="A189" s="1236"/>
      <c r="B189" s="1236"/>
      <c r="C189" s="69"/>
      <c r="D189" s="69"/>
      <c r="E189" s="69"/>
      <c r="F189" s="69"/>
      <c r="G189" s="69"/>
    </row>
    <row r="190" spans="1:7" x14ac:dyDescent="0.25">
      <c r="A190" s="1236" t="s">
        <v>25</v>
      </c>
      <c r="B190" s="1236"/>
      <c r="C190" s="69"/>
      <c r="D190" s="69"/>
      <c r="E190" s="69"/>
      <c r="F190" s="69"/>
      <c r="G190" s="83" t="s">
        <v>31</v>
      </c>
    </row>
    <row r="191" spans="1:7" x14ac:dyDescent="0.25">
      <c r="A191" s="1237"/>
      <c r="B191" s="1237"/>
      <c r="C191" s="82"/>
      <c r="D191" s="82"/>
      <c r="E191" s="82"/>
      <c r="F191" s="82"/>
      <c r="G191" s="64">
        <f>F188+F187+F186</f>
        <v>10070</v>
      </c>
    </row>
    <row r="192" spans="1:7" x14ac:dyDescent="0.25">
      <c r="A192" s="1234" t="s">
        <v>475</v>
      </c>
      <c r="B192" s="1235"/>
      <c r="C192" s="80" t="s">
        <v>32</v>
      </c>
      <c r="D192" s="80" t="s">
        <v>33</v>
      </c>
      <c r="E192" s="80" t="s">
        <v>34</v>
      </c>
      <c r="F192" s="80" t="s">
        <v>35</v>
      </c>
      <c r="G192" s="67"/>
    </row>
    <row r="193" spans="1:7" x14ac:dyDescent="0.25">
      <c r="A193" s="923" t="s">
        <v>2470</v>
      </c>
      <c r="B193" s="921"/>
      <c r="C193" s="118"/>
      <c r="D193" s="118"/>
      <c r="E193" s="118"/>
      <c r="F193" s="118"/>
      <c r="G193" s="69"/>
    </row>
    <row r="194" spans="1:7" x14ac:dyDescent="0.25">
      <c r="A194" s="922" t="s">
        <v>660</v>
      </c>
      <c r="B194" s="921"/>
      <c r="C194" s="118"/>
      <c r="D194" s="118"/>
      <c r="E194" s="118"/>
      <c r="F194" s="118"/>
      <c r="G194" s="69"/>
    </row>
    <row r="195" spans="1:7" x14ac:dyDescent="0.25">
      <c r="A195" s="922" t="s">
        <v>2079</v>
      </c>
      <c r="B195" s="921"/>
      <c r="C195" s="118"/>
      <c r="D195" s="118"/>
      <c r="E195" s="118"/>
      <c r="F195" s="118"/>
      <c r="G195" s="69"/>
    </row>
    <row r="196" spans="1:7" x14ac:dyDescent="0.25">
      <c r="A196" s="922" t="s">
        <v>2080</v>
      </c>
      <c r="B196" s="921"/>
      <c r="C196" s="118"/>
      <c r="D196" s="118"/>
      <c r="E196" s="118"/>
      <c r="F196" s="118"/>
      <c r="G196" s="69"/>
    </row>
    <row r="197" spans="1:7" x14ac:dyDescent="0.25">
      <c r="A197" s="922" t="s">
        <v>2081</v>
      </c>
      <c r="B197" s="921"/>
      <c r="C197" s="118"/>
      <c r="D197" s="118"/>
      <c r="E197" s="118"/>
      <c r="F197" s="118"/>
      <c r="G197" s="69"/>
    </row>
    <row r="198" spans="1:7" x14ac:dyDescent="0.25">
      <c r="A198" s="1226"/>
      <c r="B198" s="1227"/>
      <c r="C198" s="43" t="s">
        <v>13</v>
      </c>
      <c r="D198" s="97">
        <v>419629.99999999994</v>
      </c>
      <c r="E198" s="92">
        <v>1</v>
      </c>
      <c r="F198" s="85">
        <f>+D198*E198</f>
        <v>419629.99999999994</v>
      </c>
      <c r="G198" s="69"/>
    </row>
    <row r="199" spans="1:7" x14ac:dyDescent="0.25">
      <c r="A199" s="1228"/>
      <c r="B199" s="1229"/>
      <c r="C199" s="43"/>
      <c r="D199" s="97"/>
      <c r="E199" s="92"/>
      <c r="F199" s="85"/>
      <c r="G199" s="43" t="s">
        <v>31</v>
      </c>
    </row>
    <row r="200" spans="1:7" x14ac:dyDescent="0.25">
      <c r="A200" s="1228"/>
      <c r="B200" s="1229"/>
      <c r="C200" s="69"/>
      <c r="D200" s="69"/>
      <c r="E200" s="69"/>
      <c r="F200" s="69"/>
      <c r="G200" s="65">
        <f>+F198</f>
        <v>419629.99999999994</v>
      </c>
    </row>
    <row r="201" spans="1:7" ht="24" x14ac:dyDescent="0.25">
      <c r="A201" s="897" t="s">
        <v>329</v>
      </c>
      <c r="B201" s="89" t="s">
        <v>38</v>
      </c>
      <c r="C201" s="89" t="s">
        <v>39</v>
      </c>
      <c r="D201" s="80" t="s">
        <v>40</v>
      </c>
      <c r="E201" s="80" t="s">
        <v>34</v>
      </c>
      <c r="F201" s="80" t="s">
        <v>35</v>
      </c>
      <c r="G201" s="67"/>
    </row>
    <row r="202" spans="1:7" x14ac:dyDescent="0.25">
      <c r="A202" s="899"/>
      <c r="B202" s="43"/>
      <c r="C202" s="43"/>
      <c r="D202" s="62"/>
      <c r="E202" s="91"/>
      <c r="F202" s="62"/>
      <c r="G202" s="69"/>
    </row>
    <row r="203" spans="1:7" x14ac:dyDescent="0.25">
      <c r="A203" s="90"/>
      <c r="B203" s="43"/>
      <c r="C203" s="43"/>
      <c r="D203" s="62"/>
      <c r="E203" s="91"/>
      <c r="F203" s="62"/>
      <c r="G203" s="69"/>
    </row>
    <row r="204" spans="1:7" x14ac:dyDescent="0.25">
      <c r="A204" s="90"/>
      <c r="B204" s="43"/>
      <c r="C204" s="43"/>
      <c r="D204" s="62"/>
      <c r="E204" s="92"/>
      <c r="F204" s="62"/>
      <c r="G204" s="69"/>
    </row>
    <row r="205" spans="1:7" x14ac:dyDescent="0.25">
      <c r="A205" s="90" t="s">
        <v>25</v>
      </c>
      <c r="B205" s="43" t="s">
        <v>25</v>
      </c>
      <c r="C205" s="43" t="s">
        <v>25</v>
      </c>
      <c r="D205" s="61" t="s">
        <v>25</v>
      </c>
      <c r="E205" s="92" t="s">
        <v>25</v>
      </c>
      <c r="F205" s="62" t="s">
        <v>25</v>
      </c>
      <c r="G205" s="43" t="s">
        <v>31</v>
      </c>
    </row>
    <row r="206" spans="1:7" x14ac:dyDescent="0.25">
      <c r="A206" s="90"/>
      <c r="B206" s="69"/>
      <c r="C206" s="69"/>
      <c r="D206" s="69"/>
      <c r="E206" s="69"/>
      <c r="F206" s="69"/>
      <c r="G206" s="64">
        <f>+F202*E202</f>
        <v>0</v>
      </c>
    </row>
    <row r="207" spans="1:7" ht="24" x14ac:dyDescent="0.25">
      <c r="A207" s="897" t="s">
        <v>41</v>
      </c>
      <c r="B207" s="80" t="s">
        <v>42</v>
      </c>
      <c r="C207" s="80" t="s">
        <v>43</v>
      </c>
      <c r="D207" s="80" t="s">
        <v>44</v>
      </c>
      <c r="E207" s="89" t="s">
        <v>306</v>
      </c>
      <c r="F207" s="80" t="s">
        <v>35</v>
      </c>
      <c r="G207" s="67"/>
    </row>
    <row r="208" spans="1:7" x14ac:dyDescent="0.25">
      <c r="A208" s="81"/>
      <c r="B208" s="81"/>
      <c r="C208" s="81"/>
      <c r="D208" s="81"/>
      <c r="E208" s="81"/>
      <c r="F208" s="81"/>
      <c r="G208" s="81"/>
    </row>
    <row r="209" spans="1:7" x14ac:dyDescent="0.25">
      <c r="A209" s="69" t="s">
        <v>2372</v>
      </c>
      <c r="B209" s="85"/>
      <c r="C209" s="96"/>
      <c r="D209" s="62"/>
      <c r="E209" s="121"/>
      <c r="F209" s="62"/>
      <c r="G209" s="69"/>
    </row>
    <row r="210" spans="1:7" ht="48.75" x14ac:dyDescent="0.25">
      <c r="A210" s="881" t="s">
        <v>2412</v>
      </c>
      <c r="B210" s="85">
        <v>265000</v>
      </c>
      <c r="C210" s="96">
        <v>0.9</v>
      </c>
      <c r="D210" s="62">
        <f>(B210*C210)+B210</f>
        <v>503500</v>
      </c>
      <c r="E210" s="101">
        <v>2.5</v>
      </c>
      <c r="F210" s="62">
        <f xml:space="preserve"> D210/E210</f>
        <v>201400</v>
      </c>
      <c r="G210" s="69" t="s">
        <v>25</v>
      </c>
    </row>
    <row r="211" spans="1:7" x14ac:dyDescent="0.25">
      <c r="A211" s="69"/>
      <c r="B211" s="85"/>
      <c r="C211" s="69"/>
      <c r="D211" s="62"/>
      <c r="E211" s="69"/>
      <c r="F211" s="62"/>
      <c r="G211" s="69"/>
    </row>
    <row r="212" spans="1:7" x14ac:dyDescent="0.25">
      <c r="A212" s="69"/>
      <c r="B212" s="69"/>
      <c r="C212" s="69"/>
      <c r="D212" s="69"/>
      <c r="E212" s="69"/>
      <c r="F212" s="69"/>
      <c r="G212" s="43" t="s">
        <v>31</v>
      </c>
    </row>
    <row r="213" spans="1:7" x14ac:dyDescent="0.25">
      <c r="A213" s="82"/>
      <c r="B213" s="82"/>
      <c r="C213" s="82"/>
      <c r="D213" s="82"/>
      <c r="E213" s="82"/>
      <c r="F213" s="82"/>
      <c r="G213" s="64">
        <f>F211+F210+F209</f>
        <v>201400</v>
      </c>
    </row>
    <row r="214" spans="1:7" x14ac:dyDescent="0.25">
      <c r="A214" s="1230" t="s">
        <v>25</v>
      </c>
      <c r="B214" s="1230"/>
      <c r="C214" s="1230"/>
      <c r="D214" s="1230"/>
      <c r="E214" s="1230"/>
      <c r="F214" s="1230"/>
      <c r="G214" s="1233"/>
    </row>
    <row r="215" spans="1:7" x14ac:dyDescent="0.25">
      <c r="A215" s="1248" t="s">
        <v>45</v>
      </c>
      <c r="B215" s="1248"/>
      <c r="C215" s="1248"/>
      <c r="D215" s="1248"/>
      <c r="E215" s="1231"/>
      <c r="F215" s="93"/>
      <c r="G215" s="70">
        <f xml:space="preserve"> G213+G206+G200+G191</f>
        <v>631100</v>
      </c>
    </row>
    <row r="216" spans="1:7" x14ac:dyDescent="0.25">
      <c r="A216" s="1232" t="s">
        <v>476</v>
      </c>
      <c r="B216" s="1232"/>
      <c r="C216" s="1222"/>
      <c r="D216" s="1222"/>
      <c r="E216" s="1222" t="s">
        <v>44</v>
      </c>
      <c r="F216" s="1222" t="s">
        <v>51</v>
      </c>
      <c r="G216" s="1222" t="s">
        <v>307</v>
      </c>
    </row>
    <row r="217" spans="1:7" x14ac:dyDescent="0.25">
      <c r="A217" s="1232"/>
      <c r="B217" s="1232"/>
      <c r="C217" s="1222"/>
      <c r="D217" s="1222"/>
      <c r="E217" s="1222"/>
      <c r="F217" s="1222"/>
      <c r="G217" s="1222"/>
    </row>
    <row r="218" spans="1:7" x14ac:dyDescent="0.25">
      <c r="A218" s="1244" t="s">
        <v>17</v>
      </c>
      <c r="B218" s="1244"/>
      <c r="C218" s="1244"/>
      <c r="D218" s="1244"/>
      <c r="E218" s="1244"/>
      <c r="F218" s="1221"/>
      <c r="G218" s="1222"/>
    </row>
    <row r="219" spans="1:7" x14ac:dyDescent="0.25">
      <c r="A219" s="1244" t="s">
        <v>308</v>
      </c>
      <c r="B219" s="1244"/>
      <c r="C219" s="1244"/>
      <c r="D219" s="1244"/>
      <c r="E219" s="1244"/>
      <c r="F219" s="1221"/>
      <c r="G219" s="1222"/>
    </row>
    <row r="220" spans="1:7" x14ac:dyDescent="0.25">
      <c r="A220" s="1244" t="s">
        <v>19</v>
      </c>
      <c r="B220" s="1244"/>
      <c r="C220" s="1244"/>
      <c r="D220" s="1244"/>
      <c r="E220" s="1244"/>
      <c r="F220" s="1221"/>
      <c r="G220" s="1222"/>
    </row>
    <row r="221" spans="1:7" x14ac:dyDescent="0.25">
      <c r="A221" s="1244" t="s">
        <v>309</v>
      </c>
      <c r="B221" s="1244"/>
      <c r="C221" s="1244"/>
      <c r="D221" s="1244"/>
      <c r="E221" s="1244"/>
      <c r="F221" s="1221"/>
      <c r="G221" s="1222"/>
    </row>
    <row r="222" spans="1:7" x14ac:dyDescent="0.25">
      <c r="A222" s="1245" t="s">
        <v>310</v>
      </c>
      <c r="B222" s="1245"/>
      <c r="C222" s="1245"/>
      <c r="D222" s="1245"/>
      <c r="E222" s="1245"/>
      <c r="F222" s="1222"/>
      <c r="G222" s="1222"/>
    </row>
    <row r="223" spans="1:7" x14ac:dyDescent="0.25">
      <c r="A223" s="1232"/>
      <c r="B223" s="1232"/>
      <c r="C223" s="1222"/>
      <c r="D223" s="1222"/>
      <c r="E223" s="1222"/>
      <c r="F223" s="1222"/>
      <c r="G223" s="1222"/>
    </row>
    <row r="224" spans="1:7" ht="42" customHeight="1" x14ac:dyDescent="0.25">
      <c r="A224" s="1232"/>
      <c r="B224" s="1232"/>
      <c r="C224" s="1222"/>
      <c r="D224" s="1222"/>
      <c r="E224" s="1222"/>
      <c r="F224" s="1222"/>
      <c r="G224" s="1222"/>
    </row>
    <row r="225" spans="1:7" x14ac:dyDescent="0.25">
      <c r="A225" s="1244"/>
      <c r="B225" s="1244"/>
      <c r="C225" s="1244"/>
      <c r="D225" s="1244"/>
      <c r="E225" s="1244"/>
      <c r="F225" s="1221"/>
      <c r="G225" s="1222"/>
    </row>
    <row r="226" spans="1:7" x14ac:dyDescent="0.25">
      <c r="A226" s="1244"/>
      <c r="B226" s="1244"/>
      <c r="C226" s="1244"/>
      <c r="D226" s="1244"/>
      <c r="E226" s="1244"/>
      <c r="F226" s="1221"/>
      <c r="G226" s="1222"/>
    </row>
    <row r="227" spans="1:7" x14ac:dyDescent="0.25">
      <c r="A227" s="95"/>
      <c r="B227" s="94"/>
      <c r="C227" s="94"/>
      <c r="D227" s="94"/>
      <c r="E227" s="94"/>
      <c r="F227" s="882" t="s">
        <v>300</v>
      </c>
      <c r="G227" s="882" t="s">
        <v>2419</v>
      </c>
    </row>
    <row r="228" spans="1:7" x14ac:dyDescent="0.25">
      <c r="A228" s="1238" t="s">
        <v>736</v>
      </c>
      <c r="B228" s="1246"/>
      <c r="C228" s="1246"/>
      <c r="D228" s="1246"/>
      <c r="E228" s="1247"/>
      <c r="F228" s="880" t="s">
        <v>24</v>
      </c>
      <c r="G228" s="880" t="s">
        <v>373</v>
      </c>
    </row>
    <row r="229" spans="1:7" x14ac:dyDescent="0.25">
      <c r="A229" s="1229" t="s">
        <v>25</v>
      </c>
      <c r="B229" s="1229"/>
      <c r="C229" s="1229"/>
      <c r="D229" s="1229"/>
      <c r="E229" s="1229"/>
      <c r="F229" s="1229"/>
      <c r="G229" s="1229"/>
    </row>
    <row r="230" spans="1:7" x14ac:dyDescent="0.25">
      <c r="A230" s="1234" t="s">
        <v>469</v>
      </c>
      <c r="B230" s="1235"/>
      <c r="C230" s="80" t="s">
        <v>26</v>
      </c>
      <c r="D230" s="80" t="s">
        <v>27</v>
      </c>
      <c r="E230" s="80" t="s">
        <v>28</v>
      </c>
      <c r="F230" s="80" t="s">
        <v>35</v>
      </c>
      <c r="G230" s="67"/>
    </row>
    <row r="231" spans="1:7" x14ac:dyDescent="0.25">
      <c r="A231" s="1236"/>
      <c r="B231" s="1236"/>
      <c r="C231" s="69"/>
      <c r="D231" s="62"/>
      <c r="E231" s="62"/>
      <c r="F231" s="62"/>
      <c r="G231" s="81"/>
    </row>
    <row r="232" spans="1:7" x14ac:dyDescent="0.25">
      <c r="A232" s="1236"/>
      <c r="B232" s="1236"/>
      <c r="C232" s="69"/>
      <c r="D232" s="62"/>
      <c r="E232" s="62"/>
      <c r="F232" s="62"/>
      <c r="G232" s="69"/>
    </row>
    <row r="233" spans="1:7" x14ac:dyDescent="0.25">
      <c r="A233" s="1236" t="s">
        <v>30</v>
      </c>
      <c r="B233" s="1236"/>
      <c r="C233" s="69"/>
      <c r="D233" s="69"/>
      <c r="E233" s="69"/>
      <c r="F233" s="62">
        <f>+F255*0.05</f>
        <v>8391.6666666666679</v>
      </c>
      <c r="G233" s="69"/>
    </row>
    <row r="234" spans="1:7" x14ac:dyDescent="0.25">
      <c r="A234" s="1236"/>
      <c r="B234" s="1236"/>
      <c r="C234" s="69"/>
      <c r="D234" s="69"/>
      <c r="E234" s="69"/>
      <c r="F234" s="69"/>
      <c r="G234" s="69"/>
    </row>
    <row r="235" spans="1:7" x14ac:dyDescent="0.25">
      <c r="A235" s="1236" t="s">
        <v>25</v>
      </c>
      <c r="B235" s="1236"/>
      <c r="C235" s="69"/>
      <c r="D235" s="69"/>
      <c r="E235" s="69"/>
      <c r="F235" s="69"/>
      <c r="G235" s="83" t="s">
        <v>31</v>
      </c>
    </row>
    <row r="236" spans="1:7" x14ac:dyDescent="0.25">
      <c r="A236" s="1237"/>
      <c r="B236" s="1237"/>
      <c r="C236" s="82"/>
      <c r="D236" s="82"/>
      <c r="E236" s="82"/>
      <c r="F236" s="82"/>
      <c r="G236" s="64">
        <f>F233+F232+F231</f>
        <v>8391.6666666666679</v>
      </c>
    </row>
    <row r="237" spans="1:7" x14ac:dyDescent="0.25">
      <c r="A237" s="1234" t="s">
        <v>475</v>
      </c>
      <c r="B237" s="1235"/>
      <c r="C237" s="80" t="s">
        <v>32</v>
      </c>
      <c r="D237" s="80" t="s">
        <v>33</v>
      </c>
      <c r="E237" s="80" t="s">
        <v>34</v>
      </c>
      <c r="F237" s="80" t="s">
        <v>35</v>
      </c>
      <c r="G237" s="67"/>
    </row>
    <row r="238" spans="1:7" x14ac:dyDescent="0.25">
      <c r="A238" s="923" t="s">
        <v>2471</v>
      </c>
      <c r="B238" s="921"/>
      <c r="C238" s="118"/>
      <c r="D238" s="118"/>
      <c r="E238" s="118"/>
      <c r="F238" s="118"/>
      <c r="G238" s="69"/>
    </row>
    <row r="239" spans="1:7" x14ac:dyDescent="0.25">
      <c r="A239" s="922" t="s">
        <v>660</v>
      </c>
      <c r="B239" s="921"/>
      <c r="C239" s="118"/>
      <c r="D239" s="118"/>
      <c r="E239" s="118"/>
      <c r="F239" s="118"/>
      <c r="G239" s="69"/>
    </row>
    <row r="240" spans="1:7" x14ac:dyDescent="0.25">
      <c r="A240" s="922" t="s">
        <v>2079</v>
      </c>
      <c r="B240" s="921"/>
      <c r="C240" s="118"/>
      <c r="D240" s="118"/>
      <c r="E240" s="118"/>
      <c r="F240" s="118"/>
      <c r="G240" s="69"/>
    </row>
    <row r="241" spans="1:7" x14ac:dyDescent="0.25">
      <c r="A241" s="922" t="s">
        <v>2080</v>
      </c>
      <c r="B241" s="921"/>
      <c r="C241" s="118"/>
      <c r="D241" s="118"/>
      <c r="E241" s="118"/>
      <c r="F241" s="118"/>
      <c r="G241" s="69"/>
    </row>
    <row r="242" spans="1:7" x14ac:dyDescent="0.25">
      <c r="A242" s="922" t="s">
        <v>2081</v>
      </c>
      <c r="B242" s="921"/>
      <c r="C242" s="118"/>
      <c r="D242" s="118"/>
      <c r="E242" s="118"/>
      <c r="F242" s="118"/>
      <c r="G242" s="69"/>
    </row>
    <row r="243" spans="1:7" x14ac:dyDescent="0.25">
      <c r="A243" s="1226"/>
      <c r="B243" s="1227"/>
      <c r="C243" s="43" t="s">
        <v>13</v>
      </c>
      <c r="D243" s="97">
        <v>392775.00000000006</v>
      </c>
      <c r="E243" s="92">
        <v>1</v>
      </c>
      <c r="F243" s="85">
        <f>+D243*E243</f>
        <v>392775.00000000006</v>
      </c>
      <c r="G243" s="69"/>
    </row>
    <row r="244" spans="1:7" x14ac:dyDescent="0.25">
      <c r="A244" s="1228"/>
      <c r="B244" s="1229"/>
      <c r="C244" s="43"/>
      <c r="D244" s="97"/>
      <c r="E244" s="92"/>
      <c r="F244" s="85"/>
      <c r="G244" s="43" t="s">
        <v>31</v>
      </c>
    </row>
    <row r="245" spans="1:7" x14ac:dyDescent="0.25">
      <c r="A245" s="1228"/>
      <c r="B245" s="1229"/>
      <c r="C245" s="69"/>
      <c r="D245" s="69"/>
      <c r="E245" s="69"/>
      <c r="F245" s="69"/>
      <c r="G245" s="65">
        <f>+F243</f>
        <v>392775.00000000006</v>
      </c>
    </row>
    <row r="246" spans="1:7" ht="24" x14ac:dyDescent="0.25">
      <c r="A246" s="897" t="s">
        <v>329</v>
      </c>
      <c r="B246" s="89" t="s">
        <v>38</v>
      </c>
      <c r="C246" s="89" t="s">
        <v>39</v>
      </c>
      <c r="D246" s="80" t="s">
        <v>40</v>
      </c>
      <c r="E246" s="80" t="s">
        <v>34</v>
      </c>
      <c r="F246" s="80" t="s">
        <v>35</v>
      </c>
      <c r="G246" s="67"/>
    </row>
    <row r="247" spans="1:7" x14ac:dyDescent="0.25">
      <c r="A247" s="899"/>
      <c r="B247" s="43"/>
      <c r="C247" s="43"/>
      <c r="D247" s="62"/>
      <c r="E247" s="91"/>
      <c r="F247" s="62"/>
      <c r="G247" s="69"/>
    </row>
    <row r="248" spans="1:7" x14ac:dyDescent="0.25">
      <c r="A248" s="90"/>
      <c r="B248" s="43"/>
      <c r="C248" s="43"/>
      <c r="D248" s="62"/>
      <c r="E248" s="91"/>
      <c r="F248" s="62"/>
      <c r="G248" s="69"/>
    </row>
    <row r="249" spans="1:7" x14ac:dyDescent="0.25">
      <c r="A249" s="90"/>
      <c r="B249" s="43"/>
      <c r="C249" s="43"/>
      <c r="D249" s="62"/>
      <c r="E249" s="92"/>
      <c r="F249" s="62"/>
      <c r="G249" s="69"/>
    </row>
    <row r="250" spans="1:7" x14ac:dyDescent="0.25">
      <c r="A250" s="90" t="s">
        <v>25</v>
      </c>
      <c r="B250" s="43" t="s">
        <v>25</v>
      </c>
      <c r="C250" s="43" t="s">
        <v>25</v>
      </c>
      <c r="D250" s="61" t="s">
        <v>25</v>
      </c>
      <c r="E250" s="92" t="s">
        <v>25</v>
      </c>
      <c r="F250" s="62" t="s">
        <v>25</v>
      </c>
      <c r="G250" s="43" t="s">
        <v>31</v>
      </c>
    </row>
    <row r="251" spans="1:7" x14ac:dyDescent="0.25">
      <c r="A251" s="90"/>
      <c r="B251" s="69"/>
      <c r="C251" s="69"/>
      <c r="D251" s="69"/>
      <c r="E251" s="69"/>
      <c r="F251" s="69"/>
      <c r="G251" s="64">
        <f>+F247*E247</f>
        <v>0</v>
      </c>
    </row>
    <row r="252" spans="1:7" ht="24" x14ac:dyDescent="0.25">
      <c r="A252" s="897" t="s">
        <v>41</v>
      </c>
      <c r="B252" s="80" t="s">
        <v>42</v>
      </c>
      <c r="C252" s="80" t="s">
        <v>43</v>
      </c>
      <c r="D252" s="80" t="s">
        <v>44</v>
      </c>
      <c r="E252" s="89" t="s">
        <v>306</v>
      </c>
      <c r="F252" s="80" t="s">
        <v>35</v>
      </c>
      <c r="G252" s="67"/>
    </row>
    <row r="253" spans="1:7" x14ac:dyDescent="0.25">
      <c r="A253" s="81"/>
      <c r="B253" s="81"/>
      <c r="C253" s="81"/>
      <c r="D253" s="81"/>
      <c r="E253" s="81"/>
      <c r="F253" s="81"/>
      <c r="G253" s="81"/>
    </row>
    <row r="254" spans="1:7" x14ac:dyDescent="0.25">
      <c r="A254" s="69" t="s">
        <v>2372</v>
      </c>
      <c r="B254" s="85"/>
      <c r="C254" s="96"/>
      <c r="D254" s="62"/>
      <c r="E254" s="121"/>
      <c r="F254" s="62"/>
      <c r="G254" s="69"/>
    </row>
    <row r="255" spans="1:7" ht="48.75" x14ac:dyDescent="0.25">
      <c r="A255" s="881" t="s">
        <v>2412</v>
      </c>
      <c r="B255" s="85">
        <v>265000</v>
      </c>
      <c r="C255" s="96">
        <v>0.9</v>
      </c>
      <c r="D255" s="62">
        <f>(B255*C255)+B255</f>
        <v>503500</v>
      </c>
      <c r="E255" s="101">
        <v>3</v>
      </c>
      <c r="F255" s="62">
        <f xml:space="preserve"> D255/E255</f>
        <v>167833.33333333334</v>
      </c>
      <c r="G255" s="69" t="s">
        <v>25</v>
      </c>
    </row>
    <row r="256" spans="1:7" x14ac:dyDescent="0.25">
      <c r="A256" s="69"/>
      <c r="B256" s="85"/>
      <c r="C256" s="69"/>
      <c r="D256" s="62"/>
      <c r="E256" s="69"/>
      <c r="F256" s="62"/>
      <c r="G256" s="69"/>
    </row>
    <row r="257" spans="1:7" x14ac:dyDescent="0.25">
      <c r="A257" s="69"/>
      <c r="B257" s="69"/>
      <c r="C257" s="69"/>
      <c r="D257" s="69"/>
      <c r="E257" s="69"/>
      <c r="F257" s="69"/>
      <c r="G257" s="43" t="s">
        <v>31</v>
      </c>
    </row>
    <row r="258" spans="1:7" x14ac:dyDescent="0.25">
      <c r="A258" s="82"/>
      <c r="B258" s="82"/>
      <c r="C258" s="82"/>
      <c r="D258" s="82"/>
      <c r="E258" s="82"/>
      <c r="F258" s="82"/>
      <c r="G258" s="64">
        <f>F256+F255+F254</f>
        <v>167833.33333333334</v>
      </c>
    </row>
    <row r="259" spans="1:7" x14ac:dyDescent="0.25">
      <c r="A259" s="1230" t="s">
        <v>25</v>
      </c>
      <c r="B259" s="1230"/>
      <c r="C259" s="1230"/>
      <c r="D259" s="1230"/>
      <c r="E259" s="1230"/>
      <c r="F259" s="1230"/>
      <c r="G259" s="1233"/>
    </row>
    <row r="260" spans="1:7" x14ac:dyDescent="0.25">
      <c r="A260" s="1248" t="s">
        <v>45</v>
      </c>
      <c r="B260" s="1248"/>
      <c r="C260" s="1248"/>
      <c r="D260" s="1248"/>
      <c r="E260" s="1231"/>
      <c r="F260" s="93"/>
      <c r="G260" s="70">
        <f xml:space="preserve"> G258+G251+G245+G236</f>
        <v>569000</v>
      </c>
    </row>
    <row r="261" spans="1:7" x14ac:dyDescent="0.25">
      <c r="A261" s="1232" t="s">
        <v>476</v>
      </c>
      <c r="B261" s="1232"/>
      <c r="C261" s="1222"/>
      <c r="D261" s="1222"/>
      <c r="E261" s="1222" t="s">
        <v>44</v>
      </c>
      <c r="F261" s="1222" t="s">
        <v>51</v>
      </c>
      <c r="G261" s="1222" t="s">
        <v>307</v>
      </c>
    </row>
    <row r="262" spans="1:7" x14ac:dyDescent="0.25">
      <c r="A262" s="1232"/>
      <c r="B262" s="1232"/>
      <c r="C262" s="1222"/>
      <c r="D262" s="1222"/>
      <c r="E262" s="1222"/>
      <c r="F262" s="1222"/>
      <c r="G262" s="1222"/>
    </row>
    <row r="263" spans="1:7" x14ac:dyDescent="0.25">
      <c r="A263" s="1244" t="s">
        <v>17</v>
      </c>
      <c r="B263" s="1244"/>
      <c r="C263" s="1244"/>
      <c r="D263" s="1244"/>
      <c r="E263" s="1244"/>
      <c r="F263" s="1221"/>
      <c r="G263" s="1222"/>
    </row>
    <row r="264" spans="1:7" x14ac:dyDescent="0.25">
      <c r="A264" s="1244" t="s">
        <v>308</v>
      </c>
      <c r="B264" s="1244"/>
      <c r="C264" s="1244"/>
      <c r="D264" s="1244"/>
      <c r="E264" s="1244"/>
      <c r="F264" s="1221"/>
      <c r="G264" s="1222"/>
    </row>
    <row r="265" spans="1:7" x14ac:dyDescent="0.25">
      <c r="A265" s="1244" t="s">
        <v>19</v>
      </c>
      <c r="B265" s="1244"/>
      <c r="C265" s="1244"/>
      <c r="D265" s="1244"/>
      <c r="E265" s="1244"/>
      <c r="F265" s="1221"/>
      <c r="G265" s="1222"/>
    </row>
    <row r="266" spans="1:7" x14ac:dyDescent="0.25">
      <c r="A266" s="1244" t="s">
        <v>309</v>
      </c>
      <c r="B266" s="1244"/>
      <c r="C266" s="1244"/>
      <c r="D266" s="1244"/>
      <c r="E266" s="1244"/>
      <c r="F266" s="1221"/>
      <c r="G266" s="1222"/>
    </row>
    <row r="267" spans="1:7" x14ac:dyDescent="0.25">
      <c r="A267" s="1245" t="s">
        <v>310</v>
      </c>
      <c r="B267" s="1245"/>
      <c r="C267" s="1245"/>
      <c r="D267" s="1245"/>
      <c r="E267" s="1245"/>
      <c r="F267" s="1222"/>
      <c r="G267" s="1222"/>
    </row>
    <row r="268" spans="1:7" x14ac:dyDescent="0.25">
      <c r="A268" s="1230"/>
      <c r="B268" s="1230"/>
      <c r="C268" s="1230"/>
      <c r="D268" s="1230"/>
      <c r="E268" s="1230"/>
      <c r="F268" s="1230"/>
      <c r="G268" s="1233"/>
    </row>
    <row r="269" spans="1:7" x14ac:dyDescent="0.25">
      <c r="A269" s="1248"/>
      <c r="B269" s="1248"/>
      <c r="C269" s="1248"/>
      <c r="D269" s="1248"/>
      <c r="E269" s="1231"/>
      <c r="F269" s="93"/>
      <c r="G269" s="70"/>
    </row>
    <row r="270" spans="1:7" x14ac:dyDescent="0.25">
      <c r="A270" s="1244"/>
      <c r="B270" s="1244"/>
      <c r="C270" s="1244"/>
      <c r="D270" s="1244"/>
      <c r="E270" s="1244"/>
      <c r="F270" s="1221"/>
      <c r="G270" s="1222"/>
    </row>
    <row r="271" spans="1:7" x14ac:dyDescent="0.25">
      <c r="A271" s="1244"/>
      <c r="B271" s="1244"/>
      <c r="C271" s="1244"/>
      <c r="D271" s="1244"/>
      <c r="E271" s="1244"/>
      <c r="F271" s="1221"/>
      <c r="G271" s="1222"/>
    </row>
    <row r="272" spans="1:7" x14ac:dyDescent="0.25">
      <c r="A272" s="95"/>
      <c r="B272" s="94"/>
      <c r="C272" s="94"/>
      <c r="D272" s="94"/>
      <c r="E272" s="94"/>
      <c r="F272" s="882" t="s">
        <v>300</v>
      </c>
      <c r="G272" s="882" t="s">
        <v>2420</v>
      </c>
    </row>
    <row r="273" spans="1:7" ht="30" customHeight="1" x14ac:dyDescent="0.25">
      <c r="A273" s="1238" t="s">
        <v>2422</v>
      </c>
      <c r="B273" s="1246"/>
      <c r="C273" s="1246"/>
      <c r="D273" s="1246"/>
      <c r="E273" s="1247"/>
      <c r="F273" s="880" t="s">
        <v>24</v>
      </c>
      <c r="G273" s="880" t="s">
        <v>373</v>
      </c>
    </row>
    <row r="274" spans="1:7" x14ac:dyDescent="0.25">
      <c r="A274" s="1229" t="s">
        <v>25</v>
      </c>
      <c r="B274" s="1229"/>
      <c r="C274" s="1229"/>
      <c r="D274" s="1229"/>
      <c r="E274" s="1229"/>
      <c r="F274" s="1229"/>
      <c r="G274" s="1229"/>
    </row>
    <row r="275" spans="1:7" x14ac:dyDescent="0.25">
      <c r="A275" s="1234" t="s">
        <v>469</v>
      </c>
      <c r="B275" s="1235"/>
      <c r="C275" s="80" t="s">
        <v>26</v>
      </c>
      <c r="D275" s="80" t="s">
        <v>27</v>
      </c>
      <c r="E275" s="80" t="s">
        <v>28</v>
      </c>
      <c r="F275" s="80" t="s">
        <v>35</v>
      </c>
      <c r="G275" s="67"/>
    </row>
    <row r="276" spans="1:7" x14ac:dyDescent="0.25">
      <c r="A276" s="1236"/>
      <c r="B276" s="1236"/>
      <c r="C276" s="69"/>
      <c r="D276" s="62"/>
      <c r="E276" s="62"/>
      <c r="F276" s="62"/>
      <c r="G276" s="81"/>
    </row>
    <row r="277" spans="1:7" x14ac:dyDescent="0.25">
      <c r="A277" s="1236"/>
      <c r="B277" s="1236"/>
      <c r="C277" s="69"/>
      <c r="D277" s="62"/>
      <c r="E277" s="62"/>
      <c r="F277" s="62"/>
      <c r="G277" s="69"/>
    </row>
    <row r="278" spans="1:7" x14ac:dyDescent="0.25">
      <c r="A278" s="1236" t="s">
        <v>30</v>
      </c>
      <c r="B278" s="1236"/>
      <c r="C278" s="69"/>
      <c r="D278" s="69"/>
      <c r="E278" s="69"/>
      <c r="F278" s="62">
        <f>+F302*0.05</f>
        <v>1678.3333333333333</v>
      </c>
      <c r="G278" s="69"/>
    </row>
    <row r="279" spans="1:7" x14ac:dyDescent="0.25">
      <c r="A279" s="1236"/>
      <c r="B279" s="1236"/>
      <c r="C279" s="69"/>
      <c r="D279" s="69"/>
      <c r="E279" s="69"/>
      <c r="F279" s="69"/>
      <c r="G279" s="69"/>
    </row>
    <row r="280" spans="1:7" x14ac:dyDescent="0.25">
      <c r="A280" s="1236" t="s">
        <v>25</v>
      </c>
      <c r="B280" s="1236"/>
      <c r="C280" s="69"/>
      <c r="D280" s="69"/>
      <c r="E280" s="69"/>
      <c r="F280" s="69"/>
      <c r="G280" s="83" t="s">
        <v>31</v>
      </c>
    </row>
    <row r="281" spans="1:7" x14ac:dyDescent="0.25">
      <c r="A281" s="1237"/>
      <c r="B281" s="1237"/>
      <c r="C281" s="82"/>
      <c r="D281" s="82"/>
      <c r="E281" s="82"/>
      <c r="F281" s="82"/>
      <c r="G281" s="64">
        <f>F278+F277+F276</f>
        <v>1678.3333333333333</v>
      </c>
    </row>
    <row r="282" spans="1:7" x14ac:dyDescent="0.25">
      <c r="A282" s="1234" t="s">
        <v>475</v>
      </c>
      <c r="B282" s="1235"/>
      <c r="C282" s="80" t="s">
        <v>32</v>
      </c>
      <c r="D282" s="80" t="s">
        <v>33</v>
      </c>
      <c r="E282" s="80" t="s">
        <v>34</v>
      </c>
      <c r="F282" s="80" t="s">
        <v>35</v>
      </c>
      <c r="G282" s="67"/>
    </row>
    <row r="283" spans="1:7" x14ac:dyDescent="0.25">
      <c r="A283" s="923" t="s">
        <v>2084</v>
      </c>
      <c r="B283" s="924"/>
      <c r="C283" s="503" t="s">
        <v>15</v>
      </c>
      <c r="D283" s="925"/>
      <c r="E283" s="522">
        <v>1</v>
      </c>
      <c r="F283" s="118"/>
      <c r="G283" s="69"/>
    </row>
    <row r="284" spans="1:7" x14ac:dyDescent="0.25">
      <c r="A284" s="922" t="s">
        <v>2085</v>
      </c>
      <c r="B284" s="922"/>
      <c r="C284" s="503" t="s">
        <v>24</v>
      </c>
      <c r="D284" s="922"/>
      <c r="E284" s="522">
        <v>2</v>
      </c>
      <c r="F284" s="118"/>
      <c r="G284" s="69"/>
    </row>
    <row r="285" spans="1:7" x14ac:dyDescent="0.25">
      <c r="A285" s="922" t="s">
        <v>2086</v>
      </c>
      <c r="B285" s="922"/>
      <c r="C285" s="503" t="s">
        <v>24</v>
      </c>
      <c r="D285" s="922"/>
      <c r="E285" s="522">
        <v>2</v>
      </c>
      <c r="F285" s="118"/>
      <c r="G285" s="69"/>
    </row>
    <row r="286" spans="1:7" x14ac:dyDescent="0.25">
      <c r="A286" s="922" t="s">
        <v>2087</v>
      </c>
      <c r="B286" s="922"/>
      <c r="C286" s="503" t="s">
        <v>24</v>
      </c>
      <c r="D286" s="922"/>
      <c r="E286" s="522">
        <v>1</v>
      </c>
      <c r="F286" s="118"/>
      <c r="G286" s="69"/>
    </row>
    <row r="287" spans="1:7" x14ac:dyDescent="0.25">
      <c r="A287" s="922" t="s">
        <v>2088</v>
      </c>
      <c r="B287" s="922"/>
      <c r="C287" s="503" t="s">
        <v>15</v>
      </c>
      <c r="D287" s="922"/>
      <c r="E287" s="522">
        <v>18</v>
      </c>
      <c r="F287" s="118"/>
      <c r="G287" s="69"/>
    </row>
    <row r="288" spans="1:7" x14ac:dyDescent="0.25">
      <c r="A288" s="922" t="s">
        <v>2089</v>
      </c>
      <c r="B288" s="922"/>
      <c r="C288" s="503" t="s">
        <v>24</v>
      </c>
      <c r="D288" s="922"/>
      <c r="E288" s="522">
        <v>3</v>
      </c>
      <c r="F288" s="118"/>
      <c r="G288" s="69"/>
    </row>
    <row r="289" spans="1:7" x14ac:dyDescent="0.25">
      <c r="A289" s="923" t="s">
        <v>2473</v>
      </c>
      <c r="B289" s="924"/>
      <c r="C289" s="544" t="s">
        <v>24</v>
      </c>
      <c r="D289" s="924"/>
      <c r="E289" s="545">
        <v>1</v>
      </c>
      <c r="F289" s="118"/>
      <c r="G289" s="69"/>
    </row>
    <row r="290" spans="1:7" x14ac:dyDescent="0.25">
      <c r="A290" s="1226"/>
      <c r="B290" s="1227"/>
      <c r="C290" s="43" t="s">
        <v>13</v>
      </c>
      <c r="D290" s="97">
        <v>238438</v>
      </c>
      <c r="E290" s="92">
        <v>1</v>
      </c>
      <c r="F290" s="85">
        <f>+D290*E290</f>
        <v>238438</v>
      </c>
      <c r="G290" s="69"/>
    </row>
    <row r="291" spans="1:7" x14ac:dyDescent="0.25">
      <c r="A291" s="1228"/>
      <c r="B291" s="1229"/>
      <c r="C291" s="43"/>
      <c r="D291" s="97"/>
      <c r="E291" s="92"/>
      <c r="F291" s="85"/>
      <c r="G291" s="43" t="s">
        <v>31</v>
      </c>
    </row>
    <row r="292" spans="1:7" x14ac:dyDescent="0.25">
      <c r="A292" s="1228"/>
      <c r="B292" s="1229"/>
      <c r="C292" s="69"/>
      <c r="D292" s="69"/>
      <c r="E292" s="69"/>
      <c r="F292" s="69"/>
      <c r="G292" s="65">
        <f>+F290</f>
        <v>238438</v>
      </c>
    </row>
    <row r="293" spans="1:7" ht="24" x14ac:dyDescent="0.25">
      <c r="A293" s="897" t="s">
        <v>329</v>
      </c>
      <c r="B293" s="89" t="s">
        <v>38</v>
      </c>
      <c r="C293" s="89" t="s">
        <v>39</v>
      </c>
      <c r="D293" s="80" t="s">
        <v>40</v>
      </c>
      <c r="E293" s="80" t="s">
        <v>34</v>
      </c>
      <c r="F293" s="80" t="s">
        <v>35</v>
      </c>
      <c r="G293" s="67"/>
    </row>
    <row r="294" spans="1:7" x14ac:dyDescent="0.25">
      <c r="A294" s="899"/>
      <c r="B294" s="43"/>
      <c r="C294" s="43"/>
      <c r="D294" s="62"/>
      <c r="E294" s="91"/>
      <c r="F294" s="62"/>
      <c r="G294" s="69"/>
    </row>
    <row r="295" spans="1:7" x14ac:dyDescent="0.25">
      <c r="A295" s="90"/>
      <c r="B295" s="43"/>
      <c r="C295" s="43"/>
      <c r="D295" s="62"/>
      <c r="E295" s="91"/>
      <c r="F295" s="62"/>
      <c r="G295" s="69"/>
    </row>
    <row r="296" spans="1:7" x14ac:dyDescent="0.25">
      <c r="A296" s="90"/>
      <c r="B296" s="43"/>
      <c r="C296" s="43"/>
      <c r="D296" s="62"/>
      <c r="E296" s="92"/>
      <c r="F296" s="62"/>
      <c r="G296" s="69"/>
    </row>
    <row r="297" spans="1:7" x14ac:dyDescent="0.25">
      <c r="A297" s="90" t="s">
        <v>25</v>
      </c>
      <c r="B297" s="43" t="s">
        <v>25</v>
      </c>
      <c r="C297" s="43" t="s">
        <v>25</v>
      </c>
      <c r="D297" s="61" t="s">
        <v>25</v>
      </c>
      <c r="E297" s="92" t="s">
        <v>25</v>
      </c>
      <c r="F297" s="62" t="s">
        <v>25</v>
      </c>
      <c r="G297" s="43" t="s">
        <v>31</v>
      </c>
    </row>
    <row r="298" spans="1:7" x14ac:dyDescent="0.25">
      <c r="A298" s="90"/>
      <c r="B298" s="69"/>
      <c r="C298" s="69"/>
      <c r="D298" s="69"/>
      <c r="E298" s="69"/>
      <c r="F298" s="69"/>
      <c r="G298" s="64">
        <f>+F294*E294</f>
        <v>0</v>
      </c>
    </row>
    <row r="299" spans="1:7" ht="24" x14ac:dyDescent="0.25">
      <c r="A299" s="897" t="s">
        <v>41</v>
      </c>
      <c r="B299" s="80" t="s">
        <v>42</v>
      </c>
      <c r="C299" s="80" t="s">
        <v>43</v>
      </c>
      <c r="D299" s="80" t="s">
        <v>44</v>
      </c>
      <c r="E299" s="89" t="s">
        <v>306</v>
      </c>
      <c r="F299" s="80" t="s">
        <v>35</v>
      </c>
      <c r="G299" s="67"/>
    </row>
    <row r="300" spans="1:7" x14ac:dyDescent="0.25">
      <c r="A300" s="81"/>
      <c r="B300" s="81"/>
      <c r="C300" s="81"/>
      <c r="D300" s="81"/>
      <c r="E300" s="81"/>
      <c r="F300" s="81"/>
      <c r="G300" s="81"/>
    </row>
    <row r="301" spans="1:7" x14ac:dyDescent="0.25">
      <c r="A301" s="69" t="s">
        <v>2372</v>
      </c>
      <c r="B301" s="85"/>
      <c r="C301" s="96"/>
      <c r="D301" s="62"/>
      <c r="E301" s="121"/>
      <c r="F301" s="62"/>
      <c r="G301" s="69"/>
    </row>
    <row r="302" spans="1:7" ht="48.75" x14ac:dyDescent="0.25">
      <c r="A302" s="881" t="s">
        <v>2412</v>
      </c>
      <c r="B302" s="85">
        <v>265000</v>
      </c>
      <c r="C302" s="96">
        <v>0.9</v>
      </c>
      <c r="D302" s="62">
        <f>(B302*C302)+B302</f>
        <v>503500</v>
      </c>
      <c r="E302" s="101">
        <v>15</v>
      </c>
      <c r="F302" s="62">
        <f xml:space="preserve"> D302/E302</f>
        <v>33566.666666666664</v>
      </c>
      <c r="G302" s="69" t="s">
        <v>25</v>
      </c>
    </row>
    <row r="303" spans="1:7" x14ac:dyDescent="0.25">
      <c r="A303" s="69"/>
      <c r="B303" s="85"/>
      <c r="C303" s="69"/>
      <c r="D303" s="62"/>
      <c r="E303" s="69"/>
      <c r="F303" s="62"/>
      <c r="G303" s="69"/>
    </row>
    <row r="304" spans="1:7" x14ac:dyDescent="0.25">
      <c r="A304" s="69"/>
      <c r="B304" s="69"/>
      <c r="C304" s="69"/>
      <c r="D304" s="69"/>
      <c r="E304" s="69"/>
      <c r="F304" s="69"/>
      <c r="G304" s="43" t="s">
        <v>31</v>
      </c>
    </row>
    <row r="305" spans="1:7" x14ac:dyDescent="0.25">
      <c r="A305" s="82"/>
      <c r="B305" s="82"/>
      <c r="C305" s="82"/>
      <c r="D305" s="82"/>
      <c r="E305" s="82"/>
      <c r="F305" s="82"/>
      <c r="G305" s="64">
        <f>F303+F302+F301</f>
        <v>33566.666666666664</v>
      </c>
    </row>
    <row r="306" spans="1:7" x14ac:dyDescent="0.25">
      <c r="A306" s="1230" t="s">
        <v>25</v>
      </c>
      <c r="B306" s="1230"/>
      <c r="C306" s="1230"/>
      <c r="D306" s="1230"/>
      <c r="E306" s="1230"/>
      <c r="F306" s="1230"/>
      <c r="G306" s="1233"/>
    </row>
    <row r="307" spans="1:7" x14ac:dyDescent="0.25">
      <c r="A307" s="1248" t="s">
        <v>45</v>
      </c>
      <c r="B307" s="1248"/>
      <c r="C307" s="1248"/>
      <c r="D307" s="1248"/>
      <c r="E307" s="1231"/>
      <c r="F307" s="93"/>
      <c r="G307" s="70">
        <f xml:space="preserve"> G305+G298+G292+G281</f>
        <v>273683</v>
      </c>
    </row>
    <row r="308" spans="1:7" x14ac:dyDescent="0.25">
      <c r="A308" s="1232" t="s">
        <v>476</v>
      </c>
      <c r="B308" s="1232"/>
      <c r="C308" s="1222"/>
      <c r="D308" s="1222"/>
      <c r="E308" s="1222" t="s">
        <v>44</v>
      </c>
      <c r="F308" s="1222" t="s">
        <v>51</v>
      </c>
      <c r="G308" s="1222" t="s">
        <v>307</v>
      </c>
    </row>
    <row r="309" spans="1:7" x14ac:dyDescent="0.25">
      <c r="A309" s="1232"/>
      <c r="B309" s="1232"/>
      <c r="C309" s="1222"/>
      <c r="D309" s="1222"/>
      <c r="E309" s="1222"/>
      <c r="F309" s="1222"/>
      <c r="G309" s="1222"/>
    </row>
    <row r="310" spans="1:7" x14ac:dyDescent="0.25">
      <c r="A310" s="1244" t="s">
        <v>17</v>
      </c>
      <c r="B310" s="1244"/>
      <c r="C310" s="1244"/>
      <c r="D310" s="1244"/>
      <c r="E310" s="1244"/>
      <c r="F310" s="1221"/>
      <c r="G310" s="1222"/>
    </row>
    <row r="311" spans="1:7" x14ac:dyDescent="0.25">
      <c r="A311" s="1244" t="s">
        <v>308</v>
      </c>
      <c r="B311" s="1244"/>
      <c r="C311" s="1244"/>
      <c r="D311" s="1244"/>
      <c r="E311" s="1244"/>
      <c r="F311" s="1221"/>
      <c r="G311" s="1222"/>
    </row>
    <row r="312" spans="1:7" x14ac:dyDescent="0.25">
      <c r="A312" s="1244" t="s">
        <v>19</v>
      </c>
      <c r="B312" s="1244"/>
      <c r="C312" s="1244"/>
      <c r="D312" s="1244"/>
      <c r="E312" s="1244"/>
      <c r="F312" s="1221"/>
      <c r="G312" s="1222"/>
    </row>
    <row r="313" spans="1:7" x14ac:dyDescent="0.25">
      <c r="A313" s="1244" t="s">
        <v>309</v>
      </c>
      <c r="B313" s="1244"/>
      <c r="C313" s="1244"/>
      <c r="D313" s="1244"/>
      <c r="E313" s="1244"/>
      <c r="F313" s="1221"/>
      <c r="G313" s="1222"/>
    </row>
    <row r="314" spans="1:7" x14ac:dyDescent="0.25">
      <c r="A314" s="1245" t="s">
        <v>310</v>
      </c>
      <c r="B314" s="1245"/>
      <c r="C314" s="1245"/>
      <c r="D314" s="1245"/>
      <c r="E314" s="1245"/>
      <c r="F314" s="1222"/>
      <c r="G314" s="1222"/>
    </row>
    <row r="315" spans="1:7" x14ac:dyDescent="0.25">
      <c r="A315" s="1230"/>
      <c r="B315" s="1230"/>
      <c r="C315" s="1230"/>
      <c r="D315" s="1230"/>
      <c r="E315" s="1230"/>
      <c r="F315" s="1230"/>
      <c r="G315" s="1233"/>
    </row>
    <row r="316" spans="1:7" x14ac:dyDescent="0.25">
      <c r="A316" s="1248"/>
      <c r="B316" s="1248"/>
      <c r="C316" s="1248"/>
      <c r="D316" s="1248"/>
      <c r="E316" s="1231"/>
      <c r="F316" s="93"/>
      <c r="G316" s="70"/>
    </row>
    <row r="317" spans="1:7" x14ac:dyDescent="0.25">
      <c r="A317" s="1232"/>
      <c r="B317" s="1232"/>
      <c r="C317" s="1222"/>
      <c r="D317" s="1222"/>
      <c r="E317" s="1222"/>
      <c r="F317" s="1222"/>
      <c r="G317" s="1222"/>
    </row>
    <row r="318" spans="1:7" x14ac:dyDescent="0.25">
      <c r="A318" s="1232"/>
      <c r="B318" s="1232"/>
      <c r="C318" s="1222"/>
      <c r="D318" s="1222"/>
      <c r="E318" s="1222"/>
      <c r="F318" s="1222"/>
      <c r="G318" s="1222"/>
    </row>
    <row r="319" spans="1:7" x14ac:dyDescent="0.25">
      <c r="A319" s="1244"/>
      <c r="B319" s="1244"/>
      <c r="C319" s="1244"/>
      <c r="D319" s="1244"/>
      <c r="E319" s="1244"/>
      <c r="F319" s="1221"/>
      <c r="G319" s="1222"/>
    </row>
    <row r="320" spans="1:7" x14ac:dyDescent="0.25">
      <c r="A320" s="1244"/>
      <c r="B320" s="1244"/>
      <c r="C320" s="1244"/>
      <c r="D320" s="1244"/>
      <c r="E320" s="1244"/>
      <c r="F320" s="1221"/>
      <c r="G320" s="1222"/>
    </row>
    <row r="321" spans="1:7" ht="21.75" customHeight="1" x14ac:dyDescent="0.25">
      <c r="A321" s="95"/>
      <c r="B321" s="94"/>
      <c r="C321" s="94"/>
      <c r="D321" s="94"/>
      <c r="E321" s="94"/>
      <c r="F321" s="882" t="s">
        <v>300</v>
      </c>
      <c r="G321" s="882" t="s">
        <v>2423</v>
      </c>
    </row>
    <row r="322" spans="1:7" ht="21.75" customHeight="1" x14ac:dyDescent="0.25">
      <c r="A322" s="1238" t="s">
        <v>2424</v>
      </c>
      <c r="B322" s="1246"/>
      <c r="C322" s="1246"/>
      <c r="D322" s="1246"/>
      <c r="E322" s="1247"/>
      <c r="F322" s="880" t="s">
        <v>24</v>
      </c>
      <c r="G322" s="880" t="s">
        <v>373</v>
      </c>
    </row>
    <row r="323" spans="1:7" ht="21.75" customHeight="1" x14ac:dyDescent="0.25">
      <c r="A323" s="1229" t="s">
        <v>25</v>
      </c>
      <c r="B323" s="1229"/>
      <c r="C323" s="1229"/>
      <c r="D323" s="1229"/>
      <c r="E323" s="1229"/>
      <c r="F323" s="1229"/>
      <c r="G323" s="1229"/>
    </row>
    <row r="324" spans="1:7" x14ac:dyDescent="0.25">
      <c r="A324" s="1234" t="s">
        <v>469</v>
      </c>
      <c r="B324" s="1235"/>
      <c r="C324" s="80" t="s">
        <v>26</v>
      </c>
      <c r="D324" s="80" t="s">
        <v>27</v>
      </c>
      <c r="E324" s="80" t="s">
        <v>28</v>
      </c>
      <c r="F324" s="80" t="s">
        <v>35</v>
      </c>
      <c r="G324" s="67"/>
    </row>
    <row r="325" spans="1:7" x14ac:dyDescent="0.25">
      <c r="A325" s="1236"/>
      <c r="B325" s="1236"/>
      <c r="C325" s="69"/>
      <c r="D325" s="62"/>
      <c r="E325" s="62"/>
      <c r="F325" s="62"/>
      <c r="G325" s="81"/>
    </row>
    <row r="326" spans="1:7" x14ac:dyDescent="0.25">
      <c r="A326" s="1236"/>
      <c r="B326" s="1236"/>
      <c r="C326" s="69"/>
      <c r="D326" s="62"/>
      <c r="E326" s="62"/>
      <c r="F326" s="62"/>
      <c r="G326" s="69"/>
    </row>
    <row r="327" spans="1:7" x14ac:dyDescent="0.25">
      <c r="A327" s="1236" t="s">
        <v>30</v>
      </c>
      <c r="B327" s="1236"/>
      <c r="C327" s="69"/>
      <c r="D327" s="69"/>
      <c r="E327" s="69"/>
      <c r="F327" s="62">
        <f>+F351*0.05</f>
        <v>1678.3333333333333</v>
      </c>
      <c r="G327" s="69"/>
    </row>
    <row r="328" spans="1:7" x14ac:dyDescent="0.25">
      <c r="A328" s="1236"/>
      <c r="B328" s="1236"/>
      <c r="C328" s="69"/>
      <c r="D328" s="69"/>
      <c r="E328" s="69"/>
      <c r="F328" s="69"/>
      <c r="G328" s="69"/>
    </row>
    <row r="329" spans="1:7" x14ac:dyDescent="0.25">
      <c r="A329" s="1236" t="s">
        <v>25</v>
      </c>
      <c r="B329" s="1236"/>
      <c r="C329" s="69"/>
      <c r="D329" s="69"/>
      <c r="E329" s="69"/>
      <c r="F329" s="69"/>
      <c r="G329" s="83" t="s">
        <v>31</v>
      </c>
    </row>
    <row r="330" spans="1:7" x14ac:dyDescent="0.25">
      <c r="A330" s="1237"/>
      <c r="B330" s="1237"/>
      <c r="C330" s="82"/>
      <c r="D330" s="82"/>
      <c r="E330" s="82"/>
      <c r="F330" s="82"/>
      <c r="G330" s="64">
        <f>F327+F326+F325</f>
        <v>1678.3333333333333</v>
      </c>
    </row>
    <row r="331" spans="1:7" x14ac:dyDescent="0.25">
      <c r="A331" s="1234" t="s">
        <v>475</v>
      </c>
      <c r="B331" s="1235"/>
      <c r="C331" s="80" t="s">
        <v>32</v>
      </c>
      <c r="D331" s="80" t="s">
        <v>33</v>
      </c>
      <c r="E331" s="80" t="s">
        <v>34</v>
      </c>
      <c r="F331" s="80" t="s">
        <v>35</v>
      </c>
      <c r="G331" s="67"/>
    </row>
    <row r="332" spans="1:7" x14ac:dyDescent="0.25">
      <c r="A332" s="923" t="s">
        <v>2084</v>
      </c>
      <c r="B332" s="924"/>
      <c r="C332" s="503" t="s">
        <v>15</v>
      </c>
      <c r="D332" s="925"/>
      <c r="E332" s="522">
        <v>1</v>
      </c>
      <c r="F332" s="118"/>
      <c r="G332" s="69"/>
    </row>
    <row r="333" spans="1:7" x14ac:dyDescent="0.25">
      <c r="A333" s="922" t="s">
        <v>2085</v>
      </c>
      <c r="B333" s="922"/>
      <c r="C333" s="503" t="s">
        <v>24</v>
      </c>
      <c r="D333" s="922"/>
      <c r="E333" s="522">
        <v>2</v>
      </c>
      <c r="F333" s="118"/>
      <c r="G333" s="69"/>
    </row>
    <row r="334" spans="1:7" x14ac:dyDescent="0.25">
      <c r="A334" s="922" t="s">
        <v>2086</v>
      </c>
      <c r="B334" s="922"/>
      <c r="C334" s="503" t="s">
        <v>24</v>
      </c>
      <c r="D334" s="922"/>
      <c r="E334" s="522">
        <v>2</v>
      </c>
      <c r="F334" s="118"/>
      <c r="G334" s="69"/>
    </row>
    <row r="335" spans="1:7" x14ac:dyDescent="0.25">
      <c r="A335" s="922" t="s">
        <v>2087</v>
      </c>
      <c r="B335" s="922"/>
      <c r="C335" s="503" t="s">
        <v>24</v>
      </c>
      <c r="D335" s="922"/>
      <c r="E335" s="522">
        <v>1</v>
      </c>
      <c r="F335" s="118"/>
      <c r="G335" s="69"/>
    </row>
    <row r="336" spans="1:7" x14ac:dyDescent="0.25">
      <c r="A336" s="922" t="s">
        <v>2088</v>
      </c>
      <c r="B336" s="922"/>
      <c r="C336" s="503" t="s">
        <v>15</v>
      </c>
      <c r="D336" s="922"/>
      <c r="E336" s="522">
        <v>18</v>
      </c>
      <c r="F336" s="118"/>
      <c r="G336" s="69"/>
    </row>
    <row r="337" spans="1:7" x14ac:dyDescent="0.25">
      <c r="A337" s="922" t="s">
        <v>2089</v>
      </c>
      <c r="B337" s="922"/>
      <c r="C337" s="503" t="s">
        <v>24</v>
      </c>
      <c r="D337" s="922"/>
      <c r="E337" s="522">
        <v>3</v>
      </c>
      <c r="F337" s="118"/>
      <c r="G337" s="69"/>
    </row>
    <row r="338" spans="1:7" x14ac:dyDescent="0.25">
      <c r="A338" s="923" t="s">
        <v>2472</v>
      </c>
      <c r="B338" s="924"/>
      <c r="C338" s="544" t="s">
        <v>24</v>
      </c>
      <c r="D338" s="924"/>
      <c r="E338" s="545">
        <v>1</v>
      </c>
      <c r="F338" s="118"/>
      <c r="G338" s="69"/>
    </row>
    <row r="339" spans="1:7" x14ac:dyDescent="0.25">
      <c r="A339" s="1226"/>
      <c r="B339" s="1227"/>
      <c r="C339" s="43" t="s">
        <v>13</v>
      </c>
      <c r="D339" s="97">
        <v>186755</v>
      </c>
      <c r="E339" s="92">
        <v>1</v>
      </c>
      <c r="F339" s="85">
        <f>+D339*E339</f>
        <v>186755</v>
      </c>
      <c r="G339" s="69"/>
    </row>
    <row r="340" spans="1:7" x14ac:dyDescent="0.25">
      <c r="A340" s="1228"/>
      <c r="B340" s="1229"/>
      <c r="C340" s="43"/>
      <c r="D340" s="97"/>
      <c r="E340" s="92"/>
      <c r="F340" s="85"/>
      <c r="G340" s="43" t="s">
        <v>31</v>
      </c>
    </row>
    <row r="341" spans="1:7" x14ac:dyDescent="0.25">
      <c r="A341" s="1228"/>
      <c r="B341" s="1229"/>
      <c r="C341" s="69"/>
      <c r="D341" s="69"/>
      <c r="E341" s="69"/>
      <c r="F341" s="69"/>
      <c r="G341" s="65">
        <f>+F339</f>
        <v>186755</v>
      </c>
    </row>
    <row r="342" spans="1:7" ht="24" x14ac:dyDescent="0.25">
      <c r="A342" s="897" t="s">
        <v>329</v>
      </c>
      <c r="B342" s="89" t="s">
        <v>38</v>
      </c>
      <c r="C342" s="89" t="s">
        <v>39</v>
      </c>
      <c r="D342" s="80" t="s">
        <v>40</v>
      </c>
      <c r="E342" s="80" t="s">
        <v>34</v>
      </c>
      <c r="F342" s="80" t="s">
        <v>35</v>
      </c>
      <c r="G342" s="67"/>
    </row>
    <row r="343" spans="1:7" x14ac:dyDescent="0.25">
      <c r="A343" s="899"/>
      <c r="B343" s="43"/>
      <c r="C343" s="43"/>
      <c r="D343" s="62"/>
      <c r="E343" s="91"/>
      <c r="F343" s="62"/>
      <c r="G343" s="69"/>
    </row>
    <row r="344" spans="1:7" x14ac:dyDescent="0.25">
      <c r="A344" s="90"/>
      <c r="B344" s="43"/>
      <c r="C344" s="43"/>
      <c r="D344" s="62"/>
      <c r="E344" s="91"/>
      <c r="F344" s="62"/>
      <c r="G344" s="69"/>
    </row>
    <row r="345" spans="1:7" x14ac:dyDescent="0.25">
      <c r="A345" s="90"/>
      <c r="B345" s="43"/>
      <c r="C345" s="43"/>
      <c r="D345" s="62"/>
      <c r="E345" s="92"/>
      <c r="F345" s="62"/>
      <c r="G345" s="69"/>
    </row>
    <row r="346" spans="1:7" x14ac:dyDescent="0.25">
      <c r="A346" s="90" t="s">
        <v>25</v>
      </c>
      <c r="B346" s="43" t="s">
        <v>25</v>
      </c>
      <c r="C346" s="43" t="s">
        <v>25</v>
      </c>
      <c r="D346" s="61" t="s">
        <v>25</v>
      </c>
      <c r="E346" s="92" t="s">
        <v>25</v>
      </c>
      <c r="F346" s="62" t="s">
        <v>25</v>
      </c>
      <c r="G346" s="43" t="s">
        <v>31</v>
      </c>
    </row>
    <row r="347" spans="1:7" x14ac:dyDescent="0.25">
      <c r="A347" s="90"/>
      <c r="B347" s="69"/>
      <c r="C347" s="69"/>
      <c r="D347" s="69"/>
      <c r="E347" s="69"/>
      <c r="F347" s="69"/>
      <c r="G347" s="64">
        <f>+F343*E343</f>
        <v>0</v>
      </c>
    </row>
    <row r="348" spans="1:7" ht="24" x14ac:dyDescent="0.25">
      <c r="A348" s="897" t="s">
        <v>41</v>
      </c>
      <c r="B348" s="80" t="s">
        <v>42</v>
      </c>
      <c r="C348" s="80" t="s">
        <v>43</v>
      </c>
      <c r="D348" s="80" t="s">
        <v>44</v>
      </c>
      <c r="E348" s="89" t="s">
        <v>306</v>
      </c>
      <c r="F348" s="80" t="s">
        <v>35</v>
      </c>
      <c r="G348" s="67"/>
    </row>
    <row r="349" spans="1:7" x14ac:dyDescent="0.25">
      <c r="A349" s="81"/>
      <c r="B349" s="81"/>
      <c r="C349" s="81"/>
      <c r="D349" s="81"/>
      <c r="E349" s="81"/>
      <c r="F349" s="81"/>
      <c r="G349" s="81"/>
    </row>
    <row r="350" spans="1:7" x14ac:dyDescent="0.25">
      <c r="A350" s="69" t="s">
        <v>2372</v>
      </c>
      <c r="B350" s="85"/>
      <c r="C350" s="96"/>
      <c r="D350" s="62"/>
      <c r="E350" s="121"/>
      <c r="F350" s="62"/>
      <c r="G350" s="69"/>
    </row>
    <row r="351" spans="1:7" ht="48.75" x14ac:dyDescent="0.25">
      <c r="A351" s="881" t="s">
        <v>2412</v>
      </c>
      <c r="B351" s="85">
        <v>265000</v>
      </c>
      <c r="C351" s="96">
        <v>0.9</v>
      </c>
      <c r="D351" s="62">
        <f>(B351*C351)+B351</f>
        <v>503500</v>
      </c>
      <c r="E351" s="101">
        <v>15</v>
      </c>
      <c r="F351" s="62">
        <f xml:space="preserve"> D351/E351</f>
        <v>33566.666666666664</v>
      </c>
      <c r="G351" s="69" t="s">
        <v>25</v>
      </c>
    </row>
    <row r="352" spans="1:7" x14ac:dyDescent="0.25">
      <c r="A352" s="69"/>
      <c r="B352" s="85"/>
      <c r="C352" s="69"/>
      <c r="D352" s="62"/>
      <c r="E352" s="69"/>
      <c r="F352" s="62"/>
      <c r="G352" s="69"/>
    </row>
    <row r="353" spans="1:7" x14ac:dyDescent="0.25">
      <c r="A353" s="69"/>
      <c r="B353" s="69"/>
      <c r="C353" s="69"/>
      <c r="D353" s="69"/>
      <c r="E353" s="69"/>
      <c r="F353" s="69"/>
      <c r="G353" s="43" t="s">
        <v>31</v>
      </c>
    </row>
    <row r="354" spans="1:7" x14ac:dyDescent="0.25">
      <c r="A354" s="82"/>
      <c r="B354" s="82"/>
      <c r="C354" s="82"/>
      <c r="D354" s="82"/>
      <c r="E354" s="82"/>
      <c r="F354" s="82"/>
      <c r="G354" s="64">
        <f>F352+F351+F350</f>
        <v>33566.666666666664</v>
      </c>
    </row>
    <row r="355" spans="1:7" x14ac:dyDescent="0.25">
      <c r="A355" s="1230" t="s">
        <v>25</v>
      </c>
      <c r="B355" s="1230"/>
      <c r="C355" s="1230"/>
      <c r="D355" s="1230"/>
      <c r="E355" s="1230"/>
      <c r="F355" s="1230"/>
      <c r="G355" s="1233"/>
    </row>
    <row r="356" spans="1:7" x14ac:dyDescent="0.25">
      <c r="A356" s="1248" t="s">
        <v>45</v>
      </c>
      <c r="B356" s="1248"/>
      <c r="C356" s="1248"/>
      <c r="D356" s="1248"/>
      <c r="E356" s="1231"/>
      <c r="F356" s="93"/>
      <c r="G356" s="70">
        <f xml:space="preserve"> G354+G347+G341+G330</f>
        <v>222000</v>
      </c>
    </row>
    <row r="357" spans="1:7" x14ac:dyDescent="0.25">
      <c r="A357" s="1232" t="s">
        <v>476</v>
      </c>
      <c r="B357" s="1232"/>
      <c r="C357" s="1222"/>
      <c r="D357" s="1222"/>
      <c r="E357" s="1222" t="s">
        <v>44</v>
      </c>
      <c r="F357" s="1222" t="s">
        <v>51</v>
      </c>
      <c r="G357" s="1222" t="s">
        <v>307</v>
      </c>
    </row>
    <row r="358" spans="1:7" x14ac:dyDescent="0.25">
      <c r="A358" s="1232"/>
      <c r="B358" s="1232"/>
      <c r="C358" s="1222"/>
      <c r="D358" s="1222"/>
      <c r="E358" s="1222"/>
      <c r="F358" s="1222"/>
      <c r="G358" s="1222"/>
    </row>
    <row r="359" spans="1:7" x14ac:dyDescent="0.25">
      <c r="A359" s="1244" t="s">
        <v>17</v>
      </c>
      <c r="B359" s="1244"/>
      <c r="C359" s="1244"/>
      <c r="D359" s="1244"/>
      <c r="E359" s="1244"/>
      <c r="F359" s="1221"/>
      <c r="G359" s="1222"/>
    </row>
    <row r="360" spans="1:7" x14ac:dyDescent="0.25">
      <c r="A360" s="1244" t="s">
        <v>308</v>
      </c>
      <c r="B360" s="1244"/>
      <c r="C360" s="1244"/>
      <c r="D360" s="1244"/>
      <c r="E360" s="1244"/>
      <c r="F360" s="1221"/>
      <c r="G360" s="1222"/>
    </row>
    <row r="361" spans="1:7" x14ac:dyDescent="0.25">
      <c r="A361" s="1244" t="s">
        <v>19</v>
      </c>
      <c r="B361" s="1244"/>
      <c r="C361" s="1244"/>
      <c r="D361" s="1244"/>
      <c r="E361" s="1244"/>
      <c r="F361" s="1221"/>
      <c r="G361" s="1222"/>
    </row>
    <row r="362" spans="1:7" x14ac:dyDescent="0.25">
      <c r="A362" s="1244" t="s">
        <v>309</v>
      </c>
      <c r="B362" s="1244"/>
      <c r="C362" s="1244"/>
      <c r="D362" s="1244"/>
      <c r="E362" s="1244"/>
      <c r="F362" s="1221"/>
      <c r="G362" s="1222"/>
    </row>
    <row r="363" spans="1:7" x14ac:dyDescent="0.25">
      <c r="A363" s="1245" t="s">
        <v>310</v>
      </c>
      <c r="B363" s="1245"/>
      <c r="C363" s="1245"/>
      <c r="D363" s="1245"/>
      <c r="E363" s="1245"/>
      <c r="F363" s="1222"/>
      <c r="G363" s="1222"/>
    </row>
    <row r="364" spans="1:7" x14ac:dyDescent="0.25">
      <c r="A364" s="1230"/>
      <c r="B364" s="1230"/>
      <c r="C364" s="1230"/>
      <c r="D364" s="1230"/>
      <c r="E364" s="1230"/>
      <c r="F364" s="1230"/>
      <c r="G364" s="1233"/>
    </row>
    <row r="365" spans="1:7" x14ac:dyDescent="0.25">
      <c r="A365" s="1248"/>
      <c r="B365" s="1248"/>
      <c r="C365" s="1248"/>
      <c r="D365" s="1248"/>
      <c r="E365" s="1231"/>
      <c r="F365" s="93"/>
      <c r="G365" s="70"/>
    </row>
    <row r="366" spans="1:7" x14ac:dyDescent="0.25">
      <c r="A366" s="1244"/>
      <c r="B366" s="1244"/>
      <c r="C366" s="1244"/>
      <c r="D366" s="1244"/>
      <c r="E366" s="1244"/>
      <c r="F366" s="918"/>
      <c r="G366" s="919"/>
    </row>
    <row r="367" spans="1:7" x14ac:dyDescent="0.25">
      <c r="A367" s="95"/>
      <c r="B367" s="94"/>
      <c r="C367" s="94"/>
      <c r="D367" s="94"/>
      <c r="E367" s="94"/>
      <c r="F367" s="882" t="s">
        <v>300</v>
      </c>
      <c r="G367" s="882" t="s">
        <v>2425</v>
      </c>
    </row>
    <row r="368" spans="1:7" ht="32.25" customHeight="1" x14ac:dyDescent="0.25">
      <c r="A368" s="1238" t="s">
        <v>2426</v>
      </c>
      <c r="B368" s="1246"/>
      <c r="C368" s="1246"/>
      <c r="D368" s="1246"/>
      <c r="E368" s="1247"/>
      <c r="F368" s="880" t="s">
        <v>24</v>
      </c>
      <c r="G368" s="880" t="s">
        <v>373</v>
      </c>
    </row>
    <row r="369" spans="1:7" x14ac:dyDescent="0.25">
      <c r="A369" s="1229" t="s">
        <v>25</v>
      </c>
      <c r="B369" s="1229"/>
      <c r="C369" s="1229"/>
      <c r="D369" s="1229"/>
      <c r="E369" s="1229"/>
      <c r="F369" s="1229"/>
      <c r="G369" s="1229"/>
    </row>
    <row r="370" spans="1:7" x14ac:dyDescent="0.25">
      <c r="A370" s="1234" t="s">
        <v>469</v>
      </c>
      <c r="B370" s="1235"/>
      <c r="C370" s="80" t="s">
        <v>26</v>
      </c>
      <c r="D370" s="80" t="s">
        <v>27</v>
      </c>
      <c r="E370" s="80" t="s">
        <v>28</v>
      </c>
      <c r="F370" s="80" t="s">
        <v>35</v>
      </c>
      <c r="G370" s="67"/>
    </row>
    <row r="371" spans="1:7" x14ac:dyDescent="0.25">
      <c r="A371" s="1236"/>
      <c r="B371" s="1236"/>
      <c r="C371" s="69"/>
      <c r="D371" s="62"/>
      <c r="E371" s="62"/>
      <c r="F371" s="62"/>
      <c r="G371" s="81"/>
    </row>
    <row r="372" spans="1:7" x14ac:dyDescent="0.25">
      <c r="A372" s="1236"/>
      <c r="B372" s="1236"/>
      <c r="C372" s="69"/>
      <c r="D372" s="62"/>
      <c r="E372" s="62"/>
      <c r="F372" s="62"/>
      <c r="G372" s="69"/>
    </row>
    <row r="373" spans="1:7" x14ac:dyDescent="0.25">
      <c r="A373" s="1236" t="s">
        <v>30</v>
      </c>
      <c r="B373" s="1236"/>
      <c r="C373" s="69"/>
      <c r="D373" s="69"/>
      <c r="E373" s="69"/>
      <c r="F373" s="62">
        <f>+F397*0.05</f>
        <v>1678.3333333333333</v>
      </c>
      <c r="G373" s="69"/>
    </row>
    <row r="374" spans="1:7" x14ac:dyDescent="0.25">
      <c r="A374" s="1236"/>
      <c r="B374" s="1236"/>
      <c r="C374" s="69"/>
      <c r="D374" s="69"/>
      <c r="E374" s="69"/>
      <c r="F374" s="69"/>
      <c r="G374" s="69"/>
    </row>
    <row r="375" spans="1:7" x14ac:dyDescent="0.25">
      <c r="A375" s="1236" t="s">
        <v>25</v>
      </c>
      <c r="B375" s="1236"/>
      <c r="C375" s="69"/>
      <c r="D375" s="69"/>
      <c r="E375" s="69"/>
      <c r="F375" s="69"/>
      <c r="G375" s="83" t="s">
        <v>31</v>
      </c>
    </row>
    <row r="376" spans="1:7" x14ac:dyDescent="0.25">
      <c r="A376" s="1237"/>
      <c r="B376" s="1237"/>
      <c r="C376" s="82"/>
      <c r="D376" s="82"/>
      <c r="E376" s="82"/>
      <c r="F376" s="82"/>
      <c r="G376" s="64">
        <f>F373+F372+F371</f>
        <v>1678.3333333333333</v>
      </c>
    </row>
    <row r="377" spans="1:7" x14ac:dyDescent="0.25">
      <c r="A377" s="1234" t="s">
        <v>475</v>
      </c>
      <c r="B377" s="1235"/>
      <c r="C377" s="80" t="s">
        <v>32</v>
      </c>
      <c r="D377" s="80" t="s">
        <v>33</v>
      </c>
      <c r="E377" s="80" t="s">
        <v>34</v>
      </c>
      <c r="F377" s="80" t="s">
        <v>35</v>
      </c>
      <c r="G377" s="67"/>
    </row>
    <row r="378" spans="1:7" x14ac:dyDescent="0.25">
      <c r="A378" s="923" t="s">
        <v>2084</v>
      </c>
      <c r="B378" s="924"/>
      <c r="C378" s="503" t="s">
        <v>15</v>
      </c>
      <c r="D378" s="925"/>
      <c r="E378" s="522">
        <v>1</v>
      </c>
      <c r="F378" s="118"/>
      <c r="G378" s="69"/>
    </row>
    <row r="379" spans="1:7" x14ac:dyDescent="0.25">
      <c r="A379" s="922" t="s">
        <v>2085</v>
      </c>
      <c r="B379" s="922"/>
      <c r="C379" s="503" t="s">
        <v>24</v>
      </c>
      <c r="D379" s="922"/>
      <c r="E379" s="522">
        <v>2</v>
      </c>
      <c r="F379" s="118"/>
      <c r="G379" s="69"/>
    </row>
    <row r="380" spans="1:7" x14ac:dyDescent="0.25">
      <c r="A380" s="922" t="s">
        <v>2086</v>
      </c>
      <c r="B380" s="922"/>
      <c r="C380" s="503" t="s">
        <v>24</v>
      </c>
      <c r="D380" s="922"/>
      <c r="E380" s="522">
        <v>2</v>
      </c>
      <c r="F380" s="118"/>
      <c r="G380" s="69"/>
    </row>
    <row r="381" spans="1:7" x14ac:dyDescent="0.25">
      <c r="A381" s="922" t="s">
        <v>2087</v>
      </c>
      <c r="B381" s="922"/>
      <c r="C381" s="503" t="s">
        <v>24</v>
      </c>
      <c r="D381" s="922"/>
      <c r="E381" s="522">
        <v>1</v>
      </c>
      <c r="F381" s="118"/>
      <c r="G381" s="69"/>
    </row>
    <row r="382" spans="1:7" x14ac:dyDescent="0.25">
      <c r="A382" s="922" t="s">
        <v>2088</v>
      </c>
      <c r="B382" s="922"/>
      <c r="C382" s="503" t="s">
        <v>15</v>
      </c>
      <c r="D382" s="922"/>
      <c r="E382" s="522">
        <v>18</v>
      </c>
      <c r="F382" s="118"/>
      <c r="G382" s="69"/>
    </row>
    <row r="383" spans="1:7" x14ac:dyDescent="0.25">
      <c r="A383" s="922" t="s">
        <v>2089</v>
      </c>
      <c r="B383" s="922"/>
      <c r="C383" s="503" t="s">
        <v>24</v>
      </c>
      <c r="D383" s="922"/>
      <c r="E383" s="522">
        <v>3</v>
      </c>
      <c r="F383" s="118"/>
      <c r="G383" s="69"/>
    </row>
    <row r="384" spans="1:7" x14ac:dyDescent="0.25">
      <c r="A384" s="923" t="s">
        <v>2474</v>
      </c>
      <c r="B384" s="924"/>
      <c r="C384" s="544" t="s">
        <v>24</v>
      </c>
      <c r="D384" s="924"/>
      <c r="E384" s="545">
        <v>1</v>
      </c>
      <c r="F384" s="118"/>
      <c r="G384" s="69"/>
    </row>
    <row r="385" spans="1:7" x14ac:dyDescent="0.25">
      <c r="A385" s="1226"/>
      <c r="B385" s="1227"/>
      <c r="C385" s="43" t="s">
        <v>13</v>
      </c>
      <c r="D385" s="97">
        <v>132630</v>
      </c>
      <c r="E385" s="92">
        <v>1</v>
      </c>
      <c r="F385" s="85">
        <f>+D385*E385</f>
        <v>132630</v>
      </c>
      <c r="G385" s="69"/>
    </row>
    <row r="386" spans="1:7" x14ac:dyDescent="0.25">
      <c r="A386" s="1228"/>
      <c r="B386" s="1229"/>
      <c r="C386" s="43"/>
      <c r="D386" s="97"/>
      <c r="E386" s="92"/>
      <c r="F386" s="85"/>
      <c r="G386" s="43" t="s">
        <v>31</v>
      </c>
    </row>
    <row r="387" spans="1:7" x14ac:dyDescent="0.25">
      <c r="A387" s="1228"/>
      <c r="B387" s="1229"/>
      <c r="C387" s="69"/>
      <c r="D387" s="69"/>
      <c r="E387" s="69"/>
      <c r="F387" s="69"/>
      <c r="G387" s="65">
        <f>+F385</f>
        <v>132630</v>
      </c>
    </row>
    <row r="388" spans="1:7" ht="24" x14ac:dyDescent="0.25">
      <c r="A388" s="900" t="s">
        <v>329</v>
      </c>
      <c r="B388" s="89" t="s">
        <v>38</v>
      </c>
      <c r="C388" s="89" t="s">
        <v>39</v>
      </c>
      <c r="D388" s="80" t="s">
        <v>40</v>
      </c>
      <c r="E388" s="80" t="s">
        <v>34</v>
      </c>
      <c r="F388" s="80" t="s">
        <v>35</v>
      </c>
      <c r="G388" s="67"/>
    </row>
    <row r="389" spans="1:7" x14ac:dyDescent="0.25">
      <c r="A389" s="899"/>
      <c r="B389" s="43"/>
      <c r="C389" s="43"/>
      <c r="D389" s="62"/>
      <c r="E389" s="91"/>
      <c r="F389" s="62"/>
      <c r="G389" s="69"/>
    </row>
    <row r="390" spans="1:7" x14ac:dyDescent="0.25">
      <c r="A390" s="90"/>
      <c r="B390" s="43"/>
      <c r="C390" s="43"/>
      <c r="D390" s="62"/>
      <c r="E390" s="91"/>
      <c r="F390" s="62"/>
      <c r="G390" s="69"/>
    </row>
    <row r="391" spans="1:7" x14ac:dyDescent="0.25">
      <c r="A391" s="90"/>
      <c r="B391" s="43"/>
      <c r="C391" s="43"/>
      <c r="D391" s="62"/>
      <c r="E391" s="92"/>
      <c r="F391" s="62"/>
      <c r="G391" s="69"/>
    </row>
    <row r="392" spans="1:7" x14ac:dyDescent="0.25">
      <c r="A392" s="90" t="s">
        <v>25</v>
      </c>
      <c r="B392" s="43" t="s">
        <v>25</v>
      </c>
      <c r="C392" s="43" t="s">
        <v>25</v>
      </c>
      <c r="D392" s="61" t="s">
        <v>25</v>
      </c>
      <c r="E392" s="92" t="s">
        <v>25</v>
      </c>
      <c r="F392" s="62" t="s">
        <v>25</v>
      </c>
      <c r="G392" s="43" t="s">
        <v>31</v>
      </c>
    </row>
    <row r="393" spans="1:7" x14ac:dyDescent="0.25">
      <c r="A393" s="90"/>
      <c r="B393" s="69"/>
      <c r="C393" s="69"/>
      <c r="D393" s="69"/>
      <c r="E393" s="69"/>
      <c r="F393" s="69"/>
      <c r="G393" s="64">
        <f>+F389*E389</f>
        <v>0</v>
      </c>
    </row>
    <row r="394" spans="1:7" ht="24" x14ac:dyDescent="0.25">
      <c r="A394" s="900" t="s">
        <v>41</v>
      </c>
      <c r="B394" s="80" t="s">
        <v>42</v>
      </c>
      <c r="C394" s="80" t="s">
        <v>43</v>
      </c>
      <c r="D394" s="80" t="s">
        <v>44</v>
      </c>
      <c r="E394" s="89" t="s">
        <v>306</v>
      </c>
      <c r="F394" s="80" t="s">
        <v>35</v>
      </c>
      <c r="G394" s="67"/>
    </row>
    <row r="395" spans="1:7" x14ac:dyDescent="0.25">
      <c r="A395" s="81"/>
      <c r="B395" s="81"/>
      <c r="C395" s="81"/>
      <c r="D395" s="81"/>
      <c r="E395" s="81"/>
      <c r="F395" s="81"/>
      <c r="G395" s="81"/>
    </row>
    <row r="396" spans="1:7" x14ac:dyDescent="0.25">
      <c r="A396" s="69" t="s">
        <v>2372</v>
      </c>
      <c r="B396" s="85"/>
      <c r="C396" s="96"/>
      <c r="D396" s="62"/>
      <c r="E396" s="121"/>
      <c r="F396" s="62"/>
      <c r="G396" s="69"/>
    </row>
    <row r="397" spans="1:7" ht="48.75" x14ac:dyDescent="0.25">
      <c r="A397" s="881" t="s">
        <v>2412</v>
      </c>
      <c r="B397" s="85">
        <v>265000</v>
      </c>
      <c r="C397" s="96">
        <v>0.9</v>
      </c>
      <c r="D397" s="62">
        <f>(B397*C397)+B397</f>
        <v>503500</v>
      </c>
      <c r="E397" s="101">
        <v>15</v>
      </c>
      <c r="F397" s="62">
        <f xml:space="preserve"> D397/E397</f>
        <v>33566.666666666664</v>
      </c>
      <c r="G397" s="69" t="s">
        <v>25</v>
      </c>
    </row>
    <row r="398" spans="1:7" x14ac:dyDescent="0.25">
      <c r="A398" s="69"/>
      <c r="B398" s="85"/>
      <c r="C398" s="69"/>
      <c r="D398" s="62"/>
      <c r="E398" s="69"/>
      <c r="F398" s="62"/>
      <c r="G398" s="69"/>
    </row>
    <row r="399" spans="1:7" x14ac:dyDescent="0.25">
      <c r="A399" s="69"/>
      <c r="B399" s="69"/>
      <c r="C399" s="69"/>
      <c r="D399" s="69"/>
      <c r="E399" s="69"/>
      <c r="F399" s="69"/>
      <c r="G399" s="43" t="s">
        <v>31</v>
      </c>
    </row>
    <row r="400" spans="1:7" x14ac:dyDescent="0.25">
      <c r="A400" s="82"/>
      <c r="B400" s="82"/>
      <c r="C400" s="82"/>
      <c r="D400" s="82"/>
      <c r="E400" s="82"/>
      <c r="F400" s="82"/>
      <c r="G400" s="64">
        <f>F398+F397+F396</f>
        <v>33566.666666666664</v>
      </c>
    </row>
    <row r="401" spans="1:7" x14ac:dyDescent="0.25">
      <c r="A401" s="1230" t="s">
        <v>25</v>
      </c>
      <c r="B401" s="1230"/>
      <c r="C401" s="1230"/>
      <c r="D401" s="1230"/>
      <c r="E401" s="1230"/>
      <c r="F401" s="1230"/>
      <c r="G401" s="1233"/>
    </row>
    <row r="402" spans="1:7" x14ac:dyDescent="0.25">
      <c r="A402" s="1248" t="s">
        <v>45</v>
      </c>
      <c r="B402" s="1248"/>
      <c r="C402" s="1248"/>
      <c r="D402" s="1248"/>
      <c r="E402" s="1231"/>
      <c r="F402" s="93"/>
      <c r="G402" s="70">
        <f xml:space="preserve"> G400+G393+G387+G376</f>
        <v>167875</v>
      </c>
    </row>
    <row r="403" spans="1:7" x14ac:dyDescent="0.25">
      <c r="A403" s="1232" t="s">
        <v>476</v>
      </c>
      <c r="B403" s="1232"/>
      <c r="C403" s="1222"/>
      <c r="D403" s="1222"/>
      <c r="E403" s="1222" t="s">
        <v>44</v>
      </c>
      <c r="F403" s="1222" t="s">
        <v>51</v>
      </c>
      <c r="G403" s="1222" t="s">
        <v>307</v>
      </c>
    </row>
    <row r="404" spans="1:7" x14ac:dyDescent="0.25">
      <c r="A404" s="1232"/>
      <c r="B404" s="1232"/>
      <c r="C404" s="1222"/>
      <c r="D404" s="1222"/>
      <c r="E404" s="1222"/>
      <c r="F404" s="1222"/>
      <c r="G404" s="1222"/>
    </row>
    <row r="405" spans="1:7" x14ac:dyDescent="0.25">
      <c r="A405" s="1244" t="s">
        <v>17</v>
      </c>
      <c r="B405" s="1244"/>
      <c r="C405" s="1244"/>
      <c r="D405" s="1244"/>
      <c r="E405" s="1244"/>
      <c r="F405" s="1221"/>
      <c r="G405" s="1222"/>
    </row>
    <row r="406" spans="1:7" x14ac:dyDescent="0.25">
      <c r="A406" s="1244" t="s">
        <v>308</v>
      </c>
      <c r="B406" s="1244"/>
      <c r="C406" s="1244"/>
      <c r="D406" s="1244"/>
      <c r="E406" s="1244"/>
      <c r="F406" s="1221"/>
      <c r="G406" s="1222"/>
    </row>
    <row r="407" spans="1:7" x14ac:dyDescent="0.25">
      <c r="A407" s="1244" t="s">
        <v>19</v>
      </c>
      <c r="B407" s="1244"/>
      <c r="C407" s="1244"/>
      <c r="D407" s="1244"/>
      <c r="E407" s="1244"/>
      <c r="F407" s="1221"/>
      <c r="G407" s="1222"/>
    </row>
    <row r="408" spans="1:7" x14ac:dyDescent="0.25">
      <c r="A408" s="1244" t="s">
        <v>309</v>
      </c>
      <c r="B408" s="1244"/>
      <c r="C408" s="1244"/>
      <c r="D408" s="1244"/>
      <c r="E408" s="1244"/>
      <c r="F408" s="1221"/>
      <c r="G408" s="1222"/>
    </row>
    <row r="409" spans="1:7" x14ac:dyDescent="0.25">
      <c r="A409" s="1245" t="s">
        <v>310</v>
      </c>
      <c r="B409" s="1245"/>
      <c r="C409" s="1245"/>
      <c r="D409" s="1245"/>
      <c r="E409" s="1245"/>
      <c r="F409" s="1222"/>
      <c r="G409" s="1222"/>
    </row>
    <row r="410" spans="1:7" x14ac:dyDescent="0.25">
      <c r="A410" s="1230"/>
      <c r="B410" s="1230"/>
      <c r="C410" s="1230"/>
      <c r="D410" s="1230"/>
      <c r="E410" s="1230"/>
      <c r="F410" s="1230"/>
      <c r="G410" s="1233"/>
    </row>
    <row r="411" spans="1:7" x14ac:dyDescent="0.25">
      <c r="A411" s="1248"/>
      <c r="B411" s="1248"/>
      <c r="C411" s="1248"/>
      <c r="D411" s="1248"/>
      <c r="E411" s="1231"/>
      <c r="F411" s="93"/>
      <c r="G411" s="70"/>
    </row>
    <row r="412" spans="1:7" x14ac:dyDescent="0.25">
      <c r="A412" s="1232"/>
      <c r="B412" s="1232"/>
      <c r="C412" s="1222"/>
      <c r="D412" s="1222"/>
      <c r="E412" s="1222"/>
      <c r="F412" s="1222"/>
      <c r="G412" s="1222"/>
    </row>
    <row r="413" spans="1:7" x14ac:dyDescent="0.25">
      <c r="A413" s="1232"/>
      <c r="B413" s="1232"/>
      <c r="C413" s="1222"/>
      <c r="D413" s="1222"/>
      <c r="E413" s="1222"/>
      <c r="F413" s="1222"/>
      <c r="G413" s="1222"/>
    </row>
    <row r="414" spans="1:7" x14ac:dyDescent="0.25">
      <c r="A414" s="95"/>
      <c r="B414" s="94"/>
      <c r="C414" s="94"/>
      <c r="D414" s="94"/>
      <c r="E414" s="94"/>
      <c r="F414" s="882" t="s">
        <v>300</v>
      </c>
      <c r="G414" s="882" t="s">
        <v>2427</v>
      </c>
    </row>
    <row r="415" spans="1:7" ht="27" customHeight="1" x14ac:dyDescent="0.25">
      <c r="A415" s="1238" t="s">
        <v>1930</v>
      </c>
      <c r="B415" s="1246"/>
      <c r="C415" s="1246"/>
      <c r="D415" s="1246"/>
      <c r="E415" s="1247"/>
      <c r="F415" s="880" t="s">
        <v>24</v>
      </c>
      <c r="G415" s="880" t="s">
        <v>373</v>
      </c>
    </row>
    <row r="416" spans="1:7" x14ac:dyDescent="0.25">
      <c r="A416" s="1229" t="s">
        <v>25</v>
      </c>
      <c r="B416" s="1229"/>
      <c r="C416" s="1229"/>
      <c r="D416" s="1229"/>
      <c r="E416" s="1229"/>
      <c r="F416" s="1229"/>
      <c r="G416" s="1229"/>
    </row>
    <row r="417" spans="1:7" x14ac:dyDescent="0.25">
      <c r="A417" s="1234" t="s">
        <v>469</v>
      </c>
      <c r="B417" s="1235"/>
      <c r="C417" s="80" t="s">
        <v>26</v>
      </c>
      <c r="D417" s="80" t="s">
        <v>27</v>
      </c>
      <c r="E417" s="80" t="s">
        <v>28</v>
      </c>
      <c r="F417" s="80" t="s">
        <v>35</v>
      </c>
      <c r="G417" s="67"/>
    </row>
    <row r="418" spans="1:7" x14ac:dyDescent="0.25">
      <c r="A418" s="1236"/>
      <c r="B418" s="1236"/>
      <c r="C418" s="69"/>
      <c r="D418" s="62"/>
      <c r="E418" s="62"/>
      <c r="F418" s="62"/>
      <c r="G418" s="81"/>
    </row>
    <row r="419" spans="1:7" x14ac:dyDescent="0.25">
      <c r="A419" s="1236"/>
      <c r="B419" s="1236"/>
      <c r="C419" s="69"/>
      <c r="D419" s="62"/>
      <c r="E419" s="62"/>
      <c r="F419" s="62"/>
      <c r="G419" s="69"/>
    </row>
    <row r="420" spans="1:7" x14ac:dyDescent="0.25">
      <c r="A420" s="1236" t="s">
        <v>30</v>
      </c>
      <c r="B420" s="1236"/>
      <c r="C420" s="69"/>
      <c r="D420" s="69"/>
      <c r="E420" s="69"/>
      <c r="F420" s="62">
        <f>+F444*0.05</f>
        <v>2589.1529830329873</v>
      </c>
      <c r="G420" s="69"/>
    </row>
    <row r="421" spans="1:7" x14ac:dyDescent="0.25">
      <c r="A421" s="1236"/>
      <c r="B421" s="1236"/>
      <c r="C421" s="69"/>
      <c r="D421" s="69"/>
      <c r="E421" s="69"/>
      <c r="F421" s="69"/>
      <c r="G421" s="69"/>
    </row>
    <row r="422" spans="1:7" x14ac:dyDescent="0.25">
      <c r="A422" s="1236" t="s">
        <v>25</v>
      </c>
      <c r="B422" s="1236"/>
      <c r="C422" s="69"/>
      <c r="D422" s="69"/>
      <c r="E422" s="69"/>
      <c r="F422" s="69"/>
      <c r="G422" s="83" t="s">
        <v>31</v>
      </c>
    </row>
    <row r="423" spans="1:7" x14ac:dyDescent="0.25">
      <c r="A423" s="1237"/>
      <c r="B423" s="1237"/>
      <c r="C423" s="82"/>
      <c r="D423" s="82"/>
      <c r="E423" s="82"/>
      <c r="F423" s="82"/>
      <c r="G423" s="64">
        <f>F420+F419+F418</f>
        <v>2589.1529830329873</v>
      </c>
    </row>
    <row r="424" spans="1:7" x14ac:dyDescent="0.25">
      <c r="A424" s="1234" t="s">
        <v>475</v>
      </c>
      <c r="B424" s="1235"/>
      <c r="C424" s="80" t="s">
        <v>32</v>
      </c>
      <c r="D424" s="80" t="s">
        <v>33</v>
      </c>
      <c r="E424" s="80" t="s">
        <v>34</v>
      </c>
      <c r="F424" s="80" t="s">
        <v>35</v>
      </c>
      <c r="G424" s="67"/>
    </row>
    <row r="425" spans="1:7" x14ac:dyDescent="0.25">
      <c r="A425" s="923" t="s">
        <v>2094</v>
      </c>
      <c r="B425" s="924"/>
      <c r="C425" s="503" t="s">
        <v>1987</v>
      </c>
      <c r="D425" s="522"/>
      <c r="E425" s="522">
        <v>1</v>
      </c>
      <c r="F425" s="118"/>
      <c r="G425" s="69"/>
    </row>
    <row r="426" spans="1:7" x14ac:dyDescent="0.25">
      <c r="A426" s="923" t="s">
        <v>2084</v>
      </c>
      <c r="B426" s="924"/>
      <c r="C426" s="503" t="s">
        <v>15</v>
      </c>
      <c r="D426" s="522"/>
      <c r="E426" s="522">
        <v>1</v>
      </c>
      <c r="F426" s="118"/>
      <c r="G426" s="69"/>
    </row>
    <row r="427" spans="1:7" x14ac:dyDescent="0.25">
      <c r="A427" s="923" t="s">
        <v>2085</v>
      </c>
      <c r="B427" s="924"/>
      <c r="C427" s="503" t="s">
        <v>24</v>
      </c>
      <c r="D427" s="522"/>
      <c r="E427" s="522">
        <v>2</v>
      </c>
      <c r="F427" s="118"/>
      <c r="G427" s="69"/>
    </row>
    <row r="428" spans="1:7" x14ac:dyDescent="0.25">
      <c r="A428" s="923" t="s">
        <v>2086</v>
      </c>
      <c r="B428" s="924"/>
      <c r="C428" s="503" t="s">
        <v>24</v>
      </c>
      <c r="D428" s="522"/>
      <c r="E428" s="522">
        <v>2</v>
      </c>
      <c r="F428" s="118"/>
      <c r="G428" s="69"/>
    </row>
    <row r="429" spans="1:7" x14ac:dyDescent="0.25">
      <c r="A429" s="923" t="s">
        <v>2087</v>
      </c>
      <c r="B429" s="924"/>
      <c r="C429" s="503" t="s">
        <v>24</v>
      </c>
      <c r="D429" s="522"/>
      <c r="E429" s="522">
        <v>1</v>
      </c>
      <c r="F429" s="118"/>
      <c r="G429" s="69"/>
    </row>
    <row r="430" spans="1:7" x14ac:dyDescent="0.25">
      <c r="A430" s="923" t="s">
        <v>2088</v>
      </c>
      <c r="B430" s="924"/>
      <c r="C430" s="503" t="s">
        <v>15</v>
      </c>
      <c r="D430" s="522"/>
      <c r="E430" s="522">
        <v>18</v>
      </c>
      <c r="F430" s="118"/>
      <c r="G430" s="69"/>
    </row>
    <row r="431" spans="1:7" x14ac:dyDescent="0.25">
      <c r="A431" s="923" t="s">
        <v>2089</v>
      </c>
      <c r="B431" s="924"/>
      <c r="C431" s="503" t="s">
        <v>24</v>
      </c>
      <c r="D431" s="522"/>
      <c r="E431" s="522">
        <v>3</v>
      </c>
      <c r="F431" s="118"/>
      <c r="G431" s="69"/>
    </row>
    <row r="432" spans="1:7" x14ac:dyDescent="0.25">
      <c r="A432" s="1226"/>
      <c r="B432" s="1227"/>
      <c r="C432" s="43" t="s">
        <v>13</v>
      </c>
      <c r="D432" s="97">
        <v>53407.5</v>
      </c>
      <c r="E432" s="92">
        <v>1</v>
      </c>
      <c r="F432" s="85">
        <f>+D432*E432</f>
        <v>53407.5</v>
      </c>
      <c r="G432" s="69"/>
    </row>
    <row r="433" spans="1:7" x14ac:dyDescent="0.25">
      <c r="A433" s="1228"/>
      <c r="B433" s="1229"/>
      <c r="C433" s="43"/>
      <c r="D433" s="97"/>
      <c r="E433" s="92"/>
      <c r="F433" s="85">
        <v>50407.5</v>
      </c>
      <c r="G433" s="43" t="s">
        <v>31</v>
      </c>
    </row>
    <row r="434" spans="1:7" x14ac:dyDescent="0.25">
      <c r="A434" s="1228"/>
      <c r="B434" s="1229"/>
      <c r="C434" s="69"/>
      <c r="D434" s="69"/>
      <c r="E434" s="69"/>
      <c r="F434" s="69"/>
      <c r="G434" s="65">
        <f>+F432</f>
        <v>53407.5</v>
      </c>
    </row>
    <row r="435" spans="1:7" ht="24" x14ac:dyDescent="0.25">
      <c r="A435" s="900" t="s">
        <v>329</v>
      </c>
      <c r="B435" s="89" t="s">
        <v>38</v>
      </c>
      <c r="C435" s="89" t="s">
        <v>39</v>
      </c>
      <c r="D435" s="80" t="s">
        <v>40</v>
      </c>
      <c r="E435" s="80" t="s">
        <v>34</v>
      </c>
      <c r="F435" s="80" t="s">
        <v>35</v>
      </c>
      <c r="G435" s="67"/>
    </row>
    <row r="436" spans="1:7" x14ac:dyDescent="0.25">
      <c r="A436" s="899"/>
      <c r="B436" s="43"/>
      <c r="C436" s="43"/>
      <c r="D436" s="62"/>
      <c r="E436" s="91"/>
      <c r="F436" s="62"/>
      <c r="G436" s="69"/>
    </row>
    <row r="437" spans="1:7" x14ac:dyDescent="0.25">
      <c r="A437" s="90"/>
      <c r="B437" s="43"/>
      <c r="C437" s="43"/>
      <c r="D437" s="62"/>
      <c r="E437" s="91"/>
      <c r="F437" s="62"/>
      <c r="G437" s="69"/>
    </row>
    <row r="438" spans="1:7" x14ac:dyDescent="0.25">
      <c r="A438" s="90"/>
      <c r="B438" s="43"/>
      <c r="C438" s="43"/>
      <c r="D438" s="62"/>
      <c r="E438" s="92"/>
      <c r="F438" s="62"/>
      <c r="G438" s="69"/>
    </row>
    <row r="439" spans="1:7" x14ac:dyDescent="0.25">
      <c r="A439" s="90" t="s">
        <v>25</v>
      </c>
      <c r="B439" s="43" t="s">
        <v>25</v>
      </c>
      <c r="C439" s="43" t="s">
        <v>25</v>
      </c>
      <c r="D439" s="61" t="s">
        <v>25</v>
      </c>
      <c r="E439" s="92" t="s">
        <v>25</v>
      </c>
      <c r="F439" s="62" t="s">
        <v>25</v>
      </c>
      <c r="G439" s="43" t="s">
        <v>31</v>
      </c>
    </row>
    <row r="440" spans="1:7" x14ac:dyDescent="0.25">
      <c r="A440" s="90"/>
      <c r="B440" s="69"/>
      <c r="C440" s="69"/>
      <c r="D440" s="69"/>
      <c r="E440" s="69"/>
      <c r="F440" s="69"/>
      <c r="G440" s="64">
        <f>+F436*E436</f>
        <v>0</v>
      </c>
    </row>
    <row r="441" spans="1:7" ht="24" x14ac:dyDescent="0.25">
      <c r="A441" s="900" t="s">
        <v>41</v>
      </c>
      <c r="B441" s="80" t="s">
        <v>42</v>
      </c>
      <c r="C441" s="80" t="s">
        <v>43</v>
      </c>
      <c r="D441" s="80" t="s">
        <v>44</v>
      </c>
      <c r="E441" s="89" t="s">
        <v>306</v>
      </c>
      <c r="F441" s="80" t="s">
        <v>35</v>
      </c>
      <c r="G441" s="67"/>
    </row>
    <row r="442" spans="1:7" x14ac:dyDescent="0.25">
      <c r="A442" s="81"/>
      <c r="B442" s="81"/>
      <c r="C442" s="81"/>
      <c r="D442" s="81"/>
      <c r="E442" s="81"/>
      <c r="F442" s="81"/>
      <c r="G442" s="81"/>
    </row>
    <row r="443" spans="1:7" x14ac:dyDescent="0.25">
      <c r="A443" s="69" t="s">
        <v>2372</v>
      </c>
      <c r="B443" s="85"/>
      <c r="C443" s="96"/>
      <c r="D443" s="62"/>
      <c r="E443" s="121"/>
      <c r="F443" s="62"/>
      <c r="G443" s="69"/>
    </row>
    <row r="444" spans="1:7" ht="48.75" x14ac:dyDescent="0.25">
      <c r="A444" s="881" t="s">
        <v>2412</v>
      </c>
      <c r="B444" s="85">
        <v>265000</v>
      </c>
      <c r="C444" s="96">
        <v>0.9</v>
      </c>
      <c r="D444" s="62">
        <f>(B444*C444)+B444</f>
        <v>503500</v>
      </c>
      <c r="E444" s="101">
        <v>9.7232570516205996</v>
      </c>
      <c r="F444" s="62">
        <f xml:space="preserve"> D444/E444</f>
        <v>51783.059660659739</v>
      </c>
      <c r="G444" s="69" t="s">
        <v>25</v>
      </c>
    </row>
    <row r="445" spans="1:7" x14ac:dyDescent="0.25">
      <c r="A445" s="69"/>
      <c r="B445" s="85"/>
      <c r="C445" s="69"/>
      <c r="D445" s="62"/>
      <c r="E445" s="69"/>
      <c r="F445" s="62"/>
      <c r="G445" s="69"/>
    </row>
    <row r="446" spans="1:7" x14ac:dyDescent="0.25">
      <c r="A446" s="69"/>
      <c r="B446" s="69"/>
      <c r="C446" s="69"/>
      <c r="D446" s="69"/>
      <c r="E446" s="69"/>
      <c r="F446" s="69"/>
      <c r="G446" s="43" t="s">
        <v>31</v>
      </c>
    </row>
    <row r="447" spans="1:7" x14ac:dyDescent="0.25">
      <c r="A447" s="82"/>
      <c r="B447" s="82"/>
      <c r="C447" s="82"/>
      <c r="D447" s="82"/>
      <c r="E447" s="82"/>
      <c r="F447" s="82"/>
      <c r="G447" s="64">
        <f>F445+F444+F443</f>
        <v>51783.059660659739</v>
      </c>
    </row>
    <row r="448" spans="1:7" x14ac:dyDescent="0.25">
      <c r="A448" s="1230" t="s">
        <v>25</v>
      </c>
      <c r="B448" s="1230"/>
      <c r="C448" s="1230"/>
      <c r="D448" s="1230"/>
      <c r="E448" s="1230"/>
      <c r="F448" s="1230"/>
      <c r="G448" s="1233"/>
    </row>
    <row r="449" spans="1:11" x14ac:dyDescent="0.25">
      <c r="A449" s="1248" t="s">
        <v>45</v>
      </c>
      <c r="B449" s="1248"/>
      <c r="C449" s="1248"/>
      <c r="D449" s="1248"/>
      <c r="E449" s="1231"/>
      <c r="F449" s="93"/>
      <c r="G449" s="70">
        <f xml:space="preserve"> G447+G440+G434+G423</f>
        <v>107779.71264369272</v>
      </c>
      <c r="I449">
        <v>87</v>
      </c>
      <c r="J449" s="936">
        <v>106275</v>
      </c>
      <c r="K449" s="936">
        <f>I449*J449</f>
        <v>9245925</v>
      </c>
    </row>
    <row r="450" spans="1:11" x14ac:dyDescent="0.25">
      <c r="A450" s="1232" t="s">
        <v>476</v>
      </c>
      <c r="B450" s="1232"/>
      <c r="C450" s="1222"/>
      <c r="D450" s="1222"/>
      <c r="E450" s="1222" t="s">
        <v>44</v>
      </c>
      <c r="F450" s="1222" t="s">
        <v>51</v>
      </c>
      <c r="G450" s="1222" t="s">
        <v>307</v>
      </c>
      <c r="I450">
        <v>52</v>
      </c>
      <c r="J450" s="936">
        <v>106275</v>
      </c>
      <c r="K450" s="936">
        <f>I450*J450</f>
        <v>5526300</v>
      </c>
    </row>
    <row r="451" spans="1:11" x14ac:dyDescent="0.25">
      <c r="A451" s="1232"/>
      <c r="B451" s="1232"/>
      <c r="C451" s="1222"/>
      <c r="D451" s="1222"/>
      <c r="E451" s="1222"/>
      <c r="F451" s="1222"/>
      <c r="G451" s="1222"/>
      <c r="K451" s="937">
        <f>+K449+K450</f>
        <v>14772225</v>
      </c>
    </row>
    <row r="452" spans="1:11" x14ac:dyDescent="0.25">
      <c r="A452" s="1244" t="s">
        <v>17</v>
      </c>
      <c r="B452" s="1244"/>
      <c r="C452" s="1244"/>
      <c r="D452" s="1244"/>
      <c r="E452" s="1244"/>
      <c r="F452" s="1221"/>
      <c r="G452" s="1222"/>
      <c r="J452" s="938">
        <f>+G449</f>
        <v>107779.71264369272</v>
      </c>
      <c r="K452" s="936">
        <f>J452*I449</f>
        <v>9376835.0000012666</v>
      </c>
    </row>
    <row r="453" spans="1:11" x14ac:dyDescent="0.25">
      <c r="A453" s="1244" t="s">
        <v>308</v>
      </c>
      <c r="B453" s="1244"/>
      <c r="C453" s="1244"/>
      <c r="D453" s="1244"/>
      <c r="E453" s="1244"/>
      <c r="F453" s="1221"/>
      <c r="G453" s="1222"/>
      <c r="J453" s="938">
        <f>+G495</f>
        <v>103757.5</v>
      </c>
      <c r="K453" s="936">
        <f>J453*I450</f>
        <v>5395390</v>
      </c>
    </row>
    <row r="454" spans="1:11" x14ac:dyDescent="0.25">
      <c r="A454" s="1244" t="s">
        <v>19</v>
      </c>
      <c r="B454" s="1244"/>
      <c r="C454" s="1244"/>
      <c r="D454" s="1244"/>
      <c r="E454" s="1244"/>
      <c r="F454" s="1221"/>
      <c r="G454" s="1222"/>
      <c r="K454" s="937">
        <f>+K452+K453</f>
        <v>14772225.000001267</v>
      </c>
    </row>
    <row r="455" spans="1:11" x14ac:dyDescent="0.25">
      <c r="A455" s="1244" t="s">
        <v>309</v>
      </c>
      <c r="B455" s="1244"/>
      <c r="C455" s="1244"/>
      <c r="D455" s="1244"/>
      <c r="E455" s="1244"/>
      <c r="F455" s="1221"/>
      <c r="G455" s="1222"/>
    </row>
    <row r="456" spans="1:11" x14ac:dyDescent="0.25">
      <c r="A456" s="1245" t="s">
        <v>310</v>
      </c>
      <c r="B456" s="1245"/>
      <c r="C456" s="1245"/>
      <c r="D456" s="1245"/>
      <c r="E456" s="1245"/>
      <c r="F456" s="1222"/>
      <c r="G456" s="1222"/>
    </row>
    <row r="460" spans="1:11" x14ac:dyDescent="0.25">
      <c r="A460" s="95"/>
      <c r="B460" s="94"/>
      <c r="C460" s="94"/>
      <c r="D460" s="94"/>
      <c r="E460" s="94"/>
      <c r="F460" s="882" t="s">
        <v>300</v>
      </c>
      <c r="G460" s="882" t="s">
        <v>2428</v>
      </c>
    </row>
    <row r="461" spans="1:11" ht="27" customHeight="1" x14ac:dyDescent="0.25">
      <c r="A461" s="1238" t="s">
        <v>1931</v>
      </c>
      <c r="B461" s="1246"/>
      <c r="C461" s="1246"/>
      <c r="D461" s="1246"/>
      <c r="E461" s="1247"/>
      <c r="F461" s="880" t="s">
        <v>24</v>
      </c>
      <c r="G461" s="880" t="s">
        <v>373</v>
      </c>
    </row>
    <row r="462" spans="1:11" x14ac:dyDescent="0.25">
      <c r="A462" s="1229" t="s">
        <v>25</v>
      </c>
      <c r="B462" s="1229"/>
      <c r="C462" s="1229"/>
      <c r="D462" s="1229"/>
      <c r="E462" s="1229"/>
      <c r="F462" s="1229"/>
      <c r="G462" s="1229"/>
    </row>
    <row r="463" spans="1:11" x14ac:dyDescent="0.25">
      <c r="A463" s="1234" t="s">
        <v>469</v>
      </c>
      <c r="B463" s="1235"/>
      <c r="C463" s="80" t="s">
        <v>26</v>
      </c>
      <c r="D463" s="80" t="s">
        <v>27</v>
      </c>
      <c r="E463" s="80" t="s">
        <v>28</v>
      </c>
      <c r="F463" s="80" t="s">
        <v>35</v>
      </c>
      <c r="G463" s="67"/>
    </row>
    <row r="464" spans="1:11" x14ac:dyDescent="0.25">
      <c r="A464" s="1236"/>
      <c r="B464" s="1236"/>
      <c r="C464" s="69"/>
      <c r="D464" s="62"/>
      <c r="E464" s="62"/>
      <c r="F464" s="62"/>
      <c r="G464" s="81"/>
    </row>
    <row r="465" spans="1:8" x14ac:dyDescent="0.25">
      <c r="A465" s="1236"/>
      <c r="B465" s="1236"/>
      <c r="C465" s="69"/>
      <c r="D465" s="62"/>
      <c r="E465" s="62"/>
      <c r="F465" s="62"/>
      <c r="G465" s="69"/>
    </row>
    <row r="466" spans="1:8" x14ac:dyDescent="0.25">
      <c r="A466" s="1236" t="s">
        <v>30</v>
      </c>
      <c r="B466" s="1236"/>
      <c r="C466" s="69"/>
      <c r="D466" s="69"/>
      <c r="E466" s="69"/>
      <c r="F466" s="62">
        <f>+F490*0.05</f>
        <v>2397.6190476190477</v>
      </c>
      <c r="G466" s="69"/>
    </row>
    <row r="467" spans="1:8" x14ac:dyDescent="0.25">
      <c r="A467" s="1236"/>
      <c r="B467" s="1236"/>
      <c r="C467" s="69"/>
      <c r="D467" s="69"/>
      <c r="E467" s="69"/>
      <c r="F467" s="69"/>
      <c r="G467" s="69"/>
    </row>
    <row r="468" spans="1:8" x14ac:dyDescent="0.25">
      <c r="A468" s="1236" t="s">
        <v>25</v>
      </c>
      <c r="B468" s="1236"/>
      <c r="C468" s="69"/>
      <c r="D468" s="69"/>
      <c r="E468" s="69"/>
      <c r="F468" s="69"/>
      <c r="G468" s="83" t="s">
        <v>31</v>
      </c>
    </row>
    <row r="469" spans="1:8" x14ac:dyDescent="0.25">
      <c r="A469" s="1237"/>
      <c r="B469" s="1237"/>
      <c r="C469" s="82"/>
      <c r="D469" s="82"/>
      <c r="E469" s="82"/>
      <c r="F469" s="82"/>
      <c r="G469" s="64">
        <f>F466+F465+F464</f>
        <v>2397.6190476190477</v>
      </c>
    </row>
    <row r="470" spans="1:8" x14ac:dyDescent="0.25">
      <c r="A470" s="1234" t="s">
        <v>475</v>
      </c>
      <c r="B470" s="1235"/>
      <c r="C470" s="80" t="s">
        <v>32</v>
      </c>
      <c r="D470" s="80" t="s">
        <v>33</v>
      </c>
      <c r="E470" s="80" t="s">
        <v>34</v>
      </c>
      <c r="F470" s="80" t="s">
        <v>35</v>
      </c>
      <c r="G470" s="67"/>
    </row>
    <row r="471" spans="1:8" x14ac:dyDescent="0.25">
      <c r="A471" s="923" t="s">
        <v>2094</v>
      </c>
      <c r="B471" s="921"/>
      <c r="C471" s="503" t="s">
        <v>1987</v>
      </c>
      <c r="D471" s="522"/>
      <c r="E471" s="522">
        <v>1</v>
      </c>
      <c r="F471" s="118"/>
      <c r="G471" s="69"/>
    </row>
    <row r="472" spans="1:8" x14ac:dyDescent="0.25">
      <c r="A472" s="923" t="s">
        <v>2084</v>
      </c>
      <c r="B472" s="921"/>
      <c r="C472" s="503" t="s">
        <v>15</v>
      </c>
      <c r="D472" s="522"/>
      <c r="E472" s="522">
        <v>1</v>
      </c>
      <c r="F472" s="118"/>
      <c r="G472" s="69"/>
    </row>
    <row r="473" spans="1:8" x14ac:dyDescent="0.25">
      <c r="A473" s="923" t="s">
        <v>2085</v>
      </c>
      <c r="B473" s="921"/>
      <c r="C473" s="503" t="s">
        <v>24</v>
      </c>
      <c r="D473" s="522"/>
      <c r="E473" s="522">
        <v>2</v>
      </c>
      <c r="F473" s="118"/>
      <c r="G473" s="69"/>
    </row>
    <row r="474" spans="1:8" x14ac:dyDescent="0.25">
      <c r="A474" s="923" t="s">
        <v>2086</v>
      </c>
      <c r="B474" s="921"/>
      <c r="C474" s="503" t="s">
        <v>24</v>
      </c>
      <c r="D474" s="522"/>
      <c r="E474" s="522">
        <v>2</v>
      </c>
      <c r="F474" s="118"/>
      <c r="G474" s="69"/>
    </row>
    <row r="475" spans="1:8" x14ac:dyDescent="0.25">
      <c r="A475" s="923" t="s">
        <v>2087</v>
      </c>
      <c r="B475" s="921"/>
      <c r="C475" s="503" t="s">
        <v>24</v>
      </c>
      <c r="D475" s="522"/>
      <c r="E475" s="522">
        <v>1</v>
      </c>
      <c r="F475" s="118"/>
      <c r="G475" s="69"/>
    </row>
    <row r="476" spans="1:8" x14ac:dyDescent="0.25">
      <c r="A476" s="923" t="s">
        <v>2088</v>
      </c>
      <c r="B476" s="921"/>
      <c r="C476" s="503" t="s">
        <v>15</v>
      </c>
      <c r="D476" s="522"/>
      <c r="E476" s="522">
        <v>18</v>
      </c>
      <c r="F476" s="118"/>
      <c r="G476" s="69"/>
    </row>
    <row r="477" spans="1:8" x14ac:dyDescent="0.25">
      <c r="A477" s="923" t="s">
        <v>2089</v>
      </c>
      <c r="B477" s="921"/>
      <c r="C477" s="503" t="s">
        <v>24</v>
      </c>
      <c r="D477" s="522"/>
      <c r="E477" s="522">
        <v>3</v>
      </c>
      <c r="F477" s="118"/>
      <c r="G477" s="69"/>
    </row>
    <row r="478" spans="1:8" x14ac:dyDescent="0.25">
      <c r="A478" s="1226"/>
      <c r="B478" s="1227"/>
      <c r="C478" s="43" t="s">
        <v>13</v>
      </c>
      <c r="D478" s="97">
        <v>53407.5</v>
      </c>
      <c r="E478" s="92">
        <v>1</v>
      </c>
      <c r="F478" s="85">
        <v>53407.5</v>
      </c>
      <c r="G478" s="69"/>
      <c r="H478" s="936">
        <v>53407.5</v>
      </c>
    </row>
    <row r="479" spans="1:8" x14ac:dyDescent="0.25">
      <c r="A479" s="1228"/>
      <c r="B479" s="1229"/>
      <c r="C479" s="43"/>
      <c r="D479" s="97"/>
      <c r="E479" s="92"/>
      <c r="F479" s="85">
        <v>56000</v>
      </c>
      <c r="G479" s="43" t="s">
        <v>31</v>
      </c>
    </row>
    <row r="480" spans="1:8" x14ac:dyDescent="0.25">
      <c r="A480" s="1228"/>
      <c r="B480" s="1229"/>
      <c r="C480" s="69"/>
      <c r="D480" s="69"/>
      <c r="E480" s="69"/>
      <c r="F480" s="69"/>
      <c r="G480" s="65">
        <f>+F478</f>
        <v>53407.5</v>
      </c>
    </row>
    <row r="481" spans="1:11" ht="24" x14ac:dyDescent="0.25">
      <c r="A481" s="900" t="s">
        <v>329</v>
      </c>
      <c r="B481" s="89" t="s">
        <v>38</v>
      </c>
      <c r="C481" s="89" t="s">
        <v>39</v>
      </c>
      <c r="D481" s="80" t="s">
        <v>40</v>
      </c>
      <c r="E481" s="80" t="s">
        <v>34</v>
      </c>
      <c r="F481" s="80" t="s">
        <v>35</v>
      </c>
      <c r="G481" s="67"/>
    </row>
    <row r="482" spans="1:11" x14ac:dyDescent="0.25">
      <c r="A482" s="899"/>
      <c r="B482" s="43"/>
      <c r="C482" s="43"/>
      <c r="D482" s="62"/>
      <c r="E482" s="91"/>
      <c r="F482" s="62"/>
      <c r="G482" s="69"/>
    </row>
    <row r="483" spans="1:11" x14ac:dyDescent="0.25">
      <c r="A483" s="90"/>
      <c r="B483" s="43"/>
      <c r="C483" s="43"/>
      <c r="D483" s="62"/>
      <c r="E483" s="91"/>
      <c r="F483" s="62"/>
      <c r="G483" s="69"/>
    </row>
    <row r="484" spans="1:11" x14ac:dyDescent="0.25">
      <c r="A484" s="90"/>
      <c r="B484" s="43"/>
      <c r="C484" s="43"/>
      <c r="D484" s="62"/>
      <c r="E484" s="92"/>
      <c r="F484" s="62"/>
      <c r="G484" s="69"/>
    </row>
    <row r="485" spans="1:11" x14ac:dyDescent="0.25">
      <c r="A485" s="90" t="s">
        <v>25</v>
      </c>
      <c r="B485" s="43" t="s">
        <v>25</v>
      </c>
      <c r="C485" s="43" t="s">
        <v>25</v>
      </c>
      <c r="D485" s="61" t="s">
        <v>25</v>
      </c>
      <c r="E485" s="92" t="s">
        <v>25</v>
      </c>
      <c r="F485" s="62" t="s">
        <v>25</v>
      </c>
      <c r="G485" s="43" t="s">
        <v>31</v>
      </c>
    </row>
    <row r="486" spans="1:11" x14ac:dyDescent="0.25">
      <c r="A486" s="90"/>
      <c r="B486" s="69"/>
      <c r="C486" s="69"/>
      <c r="D486" s="69"/>
      <c r="E486" s="69"/>
      <c r="F486" s="69"/>
      <c r="G486" s="64">
        <f>+F482*E482</f>
        <v>0</v>
      </c>
    </row>
    <row r="487" spans="1:11" ht="24" x14ac:dyDescent="0.25">
      <c r="A487" s="900" t="s">
        <v>41</v>
      </c>
      <c r="B487" s="80" t="s">
        <v>42</v>
      </c>
      <c r="C487" s="80" t="s">
        <v>43</v>
      </c>
      <c r="D487" s="80" t="s">
        <v>44</v>
      </c>
      <c r="E487" s="89" t="s">
        <v>306</v>
      </c>
      <c r="F487" s="80" t="s">
        <v>35</v>
      </c>
      <c r="G487" s="67"/>
    </row>
    <row r="488" spans="1:11" x14ac:dyDescent="0.25">
      <c r="A488" s="81"/>
      <c r="B488" s="81"/>
      <c r="C488" s="81"/>
      <c r="D488" s="81"/>
      <c r="E488" s="81"/>
      <c r="F488" s="81"/>
      <c r="G488" s="81"/>
    </row>
    <row r="489" spans="1:11" x14ac:dyDescent="0.25">
      <c r="A489" s="69" t="s">
        <v>2372</v>
      </c>
      <c r="B489" s="85"/>
      <c r="C489" s="96"/>
      <c r="D489" s="62"/>
      <c r="E489" s="121"/>
      <c r="F489" s="62"/>
      <c r="G489" s="69"/>
    </row>
    <row r="490" spans="1:11" ht="48.75" x14ac:dyDescent="0.25">
      <c r="A490" s="881" t="s">
        <v>2412</v>
      </c>
      <c r="B490" s="85">
        <v>265000</v>
      </c>
      <c r="C490" s="96">
        <v>0.9</v>
      </c>
      <c r="D490" s="62">
        <f>(B490*C490)+B490</f>
        <v>503500</v>
      </c>
      <c r="E490" s="101">
        <v>10.5</v>
      </c>
      <c r="F490" s="62">
        <f xml:space="preserve"> D490/E490</f>
        <v>47952.380952380954</v>
      </c>
      <c r="G490" s="69" t="s">
        <v>25</v>
      </c>
      <c r="H490" s="599"/>
      <c r="I490" s="599"/>
      <c r="K490" s="936"/>
    </row>
    <row r="491" spans="1:11" x14ac:dyDescent="0.25">
      <c r="A491" s="69"/>
      <c r="B491" s="85"/>
      <c r="C491" s="69"/>
      <c r="D491" s="62"/>
      <c r="E491" s="69"/>
      <c r="F491" s="62"/>
      <c r="G491" s="69"/>
      <c r="H491" s="599"/>
      <c r="I491" s="599"/>
      <c r="K491" s="937"/>
    </row>
    <row r="492" spans="1:11" x14ac:dyDescent="0.25">
      <c r="A492" s="69"/>
      <c r="B492" s="69"/>
      <c r="C492" s="69"/>
      <c r="D492" s="69"/>
      <c r="E492" s="69"/>
      <c r="F492" s="69"/>
      <c r="G492" s="43" t="s">
        <v>31</v>
      </c>
      <c r="H492" s="599"/>
      <c r="I492" s="599"/>
    </row>
    <row r="493" spans="1:11" x14ac:dyDescent="0.25">
      <c r="A493" s="82"/>
      <c r="B493" s="82"/>
      <c r="C493" s="82"/>
      <c r="D493" s="82"/>
      <c r="E493" s="82"/>
      <c r="F493" s="82"/>
      <c r="G493" s="64">
        <f>F491+F490+F489</f>
        <v>47952.380952380954</v>
      </c>
      <c r="H493" s="599"/>
      <c r="I493" s="599"/>
    </row>
    <row r="494" spans="1:11" x14ac:dyDescent="0.25">
      <c r="A494" s="1230" t="s">
        <v>25</v>
      </c>
      <c r="B494" s="1230"/>
      <c r="C494" s="1230"/>
      <c r="D494" s="1230"/>
      <c r="E494" s="1230"/>
      <c r="F494" s="1230"/>
      <c r="G494" s="1233"/>
      <c r="H494" s="599"/>
      <c r="I494" s="599"/>
    </row>
    <row r="495" spans="1:11" x14ac:dyDescent="0.25">
      <c r="A495" s="1248" t="s">
        <v>45</v>
      </c>
      <c r="B495" s="1248"/>
      <c r="C495" s="1248"/>
      <c r="D495" s="1248"/>
      <c r="E495" s="1231"/>
      <c r="F495" s="93"/>
      <c r="G495" s="70">
        <f xml:space="preserve"> G493+G486+G480+G469</f>
        <v>103757.5</v>
      </c>
      <c r="H495" s="599"/>
      <c r="I495" s="599"/>
    </row>
    <row r="496" spans="1:11" x14ac:dyDescent="0.25">
      <c r="A496" s="1232" t="s">
        <v>476</v>
      </c>
      <c r="B496" s="1232"/>
      <c r="C496" s="1222"/>
      <c r="D496" s="1222"/>
      <c r="E496" s="1222" t="s">
        <v>44</v>
      </c>
      <c r="F496" s="1222" t="s">
        <v>51</v>
      </c>
      <c r="G496" s="1222" t="s">
        <v>307</v>
      </c>
    </row>
    <row r="497" spans="1:7" x14ac:dyDescent="0.25">
      <c r="A497" s="1232"/>
      <c r="B497" s="1232"/>
      <c r="C497" s="1222"/>
      <c r="D497" s="1222"/>
      <c r="E497" s="1222"/>
      <c r="F497" s="1222"/>
      <c r="G497" s="1222"/>
    </row>
    <row r="498" spans="1:7" x14ac:dyDescent="0.25">
      <c r="A498" s="1244" t="s">
        <v>17</v>
      </c>
      <c r="B498" s="1244"/>
      <c r="C498" s="1244"/>
      <c r="D498" s="1244"/>
      <c r="E498" s="1244"/>
      <c r="F498" s="1221"/>
      <c r="G498" s="1222"/>
    </row>
    <row r="499" spans="1:7" x14ac:dyDescent="0.25">
      <c r="A499" s="1244" t="s">
        <v>308</v>
      </c>
      <c r="B499" s="1244"/>
      <c r="C499" s="1244"/>
      <c r="D499" s="1244"/>
      <c r="E499" s="1244"/>
      <c r="F499" s="1221"/>
      <c r="G499" s="1222"/>
    </row>
    <row r="500" spans="1:7" x14ac:dyDescent="0.25">
      <c r="A500" s="1244" t="s">
        <v>19</v>
      </c>
      <c r="B500" s="1244"/>
      <c r="C500" s="1244"/>
      <c r="D500" s="1244"/>
      <c r="E500" s="1244"/>
      <c r="F500" s="1221"/>
      <c r="G500" s="1222"/>
    </row>
    <row r="501" spans="1:7" x14ac:dyDescent="0.25">
      <c r="A501" s="1244" t="s">
        <v>309</v>
      </c>
      <c r="B501" s="1244"/>
      <c r="C501" s="1244"/>
      <c r="D501" s="1244"/>
      <c r="E501" s="1244"/>
      <c r="F501" s="1221"/>
      <c r="G501" s="1222"/>
    </row>
    <row r="502" spans="1:7" x14ac:dyDescent="0.25">
      <c r="A502" s="1245" t="s">
        <v>310</v>
      </c>
      <c r="B502" s="1245"/>
      <c r="C502" s="1245"/>
      <c r="D502" s="1245"/>
      <c r="E502" s="1245"/>
      <c r="F502" s="1222"/>
      <c r="G502" s="1222"/>
    </row>
    <row r="503" spans="1:7" x14ac:dyDescent="0.25">
      <c r="A503" s="95"/>
      <c r="B503" s="94"/>
      <c r="C503" s="94"/>
      <c r="D503" s="94"/>
      <c r="E503" s="94"/>
      <c r="F503" s="882" t="s">
        <v>300</v>
      </c>
      <c r="G503" s="882" t="s">
        <v>2429</v>
      </c>
    </row>
    <row r="504" spans="1:7" ht="28.5" customHeight="1" x14ac:dyDescent="0.25">
      <c r="A504" s="1238" t="s">
        <v>1932</v>
      </c>
      <c r="B504" s="1246"/>
      <c r="C504" s="1246"/>
      <c r="D504" s="1246"/>
      <c r="E504" s="1247"/>
      <c r="F504" s="880" t="s">
        <v>24</v>
      </c>
      <c r="G504" s="880" t="s">
        <v>373</v>
      </c>
    </row>
    <row r="505" spans="1:7" x14ac:dyDescent="0.25">
      <c r="A505" s="1229" t="s">
        <v>25</v>
      </c>
      <c r="B505" s="1229"/>
      <c r="C505" s="1229"/>
      <c r="D505" s="1229"/>
      <c r="E505" s="1229"/>
      <c r="F505" s="1229"/>
      <c r="G505" s="1229"/>
    </row>
    <row r="506" spans="1:7" x14ac:dyDescent="0.25">
      <c r="A506" s="1234" t="s">
        <v>469</v>
      </c>
      <c r="B506" s="1235"/>
      <c r="C506" s="80" t="s">
        <v>26</v>
      </c>
      <c r="D506" s="80" t="s">
        <v>27</v>
      </c>
      <c r="E506" s="80" t="s">
        <v>28</v>
      </c>
      <c r="F506" s="80" t="s">
        <v>35</v>
      </c>
      <c r="G506" s="67"/>
    </row>
    <row r="507" spans="1:7" x14ac:dyDescent="0.25">
      <c r="A507" s="1236"/>
      <c r="B507" s="1236"/>
      <c r="C507" s="69"/>
      <c r="D507" s="62"/>
      <c r="E507" s="62"/>
      <c r="F507" s="62"/>
      <c r="G507" s="81"/>
    </row>
    <row r="508" spans="1:7" x14ac:dyDescent="0.25">
      <c r="A508" s="1236"/>
      <c r="B508" s="1236"/>
      <c r="C508" s="69"/>
      <c r="D508" s="62"/>
      <c r="E508" s="62"/>
      <c r="F508" s="62"/>
      <c r="G508" s="69"/>
    </row>
    <row r="509" spans="1:7" x14ac:dyDescent="0.25">
      <c r="A509" s="1236" t="s">
        <v>30</v>
      </c>
      <c r="B509" s="1236"/>
      <c r="C509" s="69"/>
      <c r="D509" s="69"/>
      <c r="E509" s="69"/>
      <c r="F509" s="62">
        <f>+F533*0.05</f>
        <v>2593.5782967035211</v>
      </c>
      <c r="G509" s="69"/>
    </row>
    <row r="510" spans="1:7" x14ac:dyDescent="0.25">
      <c r="A510" s="1236"/>
      <c r="B510" s="1236"/>
      <c r="C510" s="69"/>
      <c r="D510" s="69"/>
      <c r="E510" s="69"/>
      <c r="F510" s="69"/>
      <c r="G510" s="69"/>
    </row>
    <row r="511" spans="1:7" x14ac:dyDescent="0.25">
      <c r="A511" s="1236" t="s">
        <v>25</v>
      </c>
      <c r="B511" s="1236"/>
      <c r="C511" s="69"/>
      <c r="D511" s="69"/>
      <c r="E511" s="69"/>
      <c r="F511" s="69"/>
      <c r="G511" s="83" t="s">
        <v>31</v>
      </c>
    </row>
    <row r="512" spans="1:7" x14ac:dyDescent="0.25">
      <c r="A512" s="1237"/>
      <c r="B512" s="1237"/>
      <c r="C512" s="82"/>
      <c r="D512" s="82"/>
      <c r="E512" s="82"/>
      <c r="F512" s="82"/>
      <c r="G512" s="64">
        <f>F509+F508+F507</f>
        <v>2593.5782967035211</v>
      </c>
    </row>
    <row r="513" spans="1:7" x14ac:dyDescent="0.25">
      <c r="A513" s="1234" t="s">
        <v>475</v>
      </c>
      <c r="B513" s="1235"/>
      <c r="C513" s="80" t="s">
        <v>32</v>
      </c>
      <c r="D513" s="80" t="s">
        <v>33</v>
      </c>
      <c r="E513" s="80" t="s">
        <v>34</v>
      </c>
      <c r="F513" s="80" t="s">
        <v>35</v>
      </c>
      <c r="G513" s="67"/>
    </row>
    <row r="514" spans="1:7" x14ac:dyDescent="0.25">
      <c r="A514" s="923" t="s">
        <v>2095</v>
      </c>
      <c r="B514" s="924"/>
      <c r="C514" s="503" t="s">
        <v>1987</v>
      </c>
      <c r="D514" s="925"/>
      <c r="E514" s="522">
        <v>1</v>
      </c>
      <c r="F514" s="118"/>
      <c r="G514" s="69"/>
    </row>
    <row r="515" spans="1:7" x14ac:dyDescent="0.25">
      <c r="A515" s="923" t="s">
        <v>2084</v>
      </c>
      <c r="B515" s="924"/>
      <c r="C515" s="503" t="s">
        <v>15</v>
      </c>
      <c r="D515" s="925"/>
      <c r="E515" s="522">
        <v>1</v>
      </c>
      <c r="F515" s="118"/>
      <c r="G515" s="69"/>
    </row>
    <row r="516" spans="1:7" x14ac:dyDescent="0.25">
      <c r="A516" s="922" t="s">
        <v>2085</v>
      </c>
      <c r="B516" s="922"/>
      <c r="C516" s="503" t="s">
        <v>24</v>
      </c>
      <c r="D516" s="922"/>
      <c r="E516" s="522">
        <v>2</v>
      </c>
      <c r="F516" s="118"/>
      <c r="G516" s="69"/>
    </row>
    <row r="517" spans="1:7" x14ac:dyDescent="0.25">
      <c r="A517" s="922" t="s">
        <v>2086</v>
      </c>
      <c r="B517" s="922"/>
      <c r="C517" s="503" t="s">
        <v>24</v>
      </c>
      <c r="D517" s="922"/>
      <c r="E517" s="522">
        <v>2</v>
      </c>
      <c r="F517" s="118"/>
      <c r="G517" s="69"/>
    </row>
    <row r="518" spans="1:7" x14ac:dyDescent="0.25">
      <c r="A518" s="922" t="s">
        <v>2087</v>
      </c>
      <c r="B518" s="922"/>
      <c r="C518" s="503" t="s">
        <v>24</v>
      </c>
      <c r="D518" s="922"/>
      <c r="E518" s="522">
        <v>1</v>
      </c>
      <c r="F518" s="118"/>
      <c r="G518" s="69"/>
    </row>
    <row r="519" spans="1:7" x14ac:dyDescent="0.25">
      <c r="A519" s="922" t="s">
        <v>2088</v>
      </c>
      <c r="B519" s="922"/>
      <c r="C519" s="503" t="s">
        <v>15</v>
      </c>
      <c r="D519" s="922"/>
      <c r="E519" s="522">
        <v>18</v>
      </c>
      <c r="F519" s="118"/>
      <c r="G519" s="69"/>
    </row>
    <row r="520" spans="1:7" x14ac:dyDescent="0.25">
      <c r="A520" s="922" t="s">
        <v>2089</v>
      </c>
      <c r="B520" s="922"/>
      <c r="C520" s="503" t="s">
        <v>24</v>
      </c>
      <c r="D520" s="922"/>
      <c r="E520" s="522">
        <v>3</v>
      </c>
      <c r="F520" s="118"/>
      <c r="G520" s="69"/>
    </row>
    <row r="521" spans="1:7" x14ac:dyDescent="0.25">
      <c r="A521" s="1226"/>
      <c r="B521" s="1227"/>
      <c r="C521" s="43" t="s">
        <v>373</v>
      </c>
      <c r="D521" s="97">
        <v>84032.5</v>
      </c>
      <c r="E521" s="92">
        <v>1</v>
      </c>
      <c r="F521" s="85">
        <f>+D521*E521</f>
        <v>84032.5</v>
      </c>
      <c r="G521" s="69"/>
    </row>
    <row r="522" spans="1:7" x14ac:dyDescent="0.25">
      <c r="A522" s="1228"/>
      <c r="B522" s="1229"/>
      <c r="C522" s="43"/>
      <c r="D522" s="97"/>
      <c r="E522" s="92"/>
      <c r="F522" s="85"/>
      <c r="G522" s="43" t="s">
        <v>31</v>
      </c>
    </row>
    <row r="523" spans="1:7" x14ac:dyDescent="0.25">
      <c r="A523" s="1228"/>
      <c r="B523" s="1229"/>
      <c r="C523" s="69"/>
      <c r="D523" s="69"/>
      <c r="E523" s="69"/>
      <c r="F523" s="69"/>
      <c r="G523" s="65">
        <f>+F521</f>
        <v>84032.5</v>
      </c>
    </row>
    <row r="524" spans="1:7" ht="24" x14ac:dyDescent="0.25">
      <c r="A524" s="900" t="s">
        <v>329</v>
      </c>
      <c r="B524" s="89" t="s">
        <v>38</v>
      </c>
      <c r="C524" s="89" t="s">
        <v>39</v>
      </c>
      <c r="D524" s="80" t="s">
        <v>40</v>
      </c>
      <c r="E524" s="80" t="s">
        <v>34</v>
      </c>
      <c r="F524" s="80" t="s">
        <v>35</v>
      </c>
      <c r="G524" s="67"/>
    </row>
    <row r="525" spans="1:7" x14ac:dyDescent="0.25">
      <c r="A525" s="899"/>
      <c r="B525" s="43"/>
      <c r="C525" s="43"/>
      <c r="D525" s="62"/>
      <c r="E525" s="91"/>
      <c r="F525" s="62"/>
      <c r="G525" s="69"/>
    </row>
    <row r="526" spans="1:7" x14ac:dyDescent="0.25">
      <c r="A526" s="90"/>
      <c r="B526" s="43"/>
      <c r="C526" s="43"/>
      <c r="D526" s="62"/>
      <c r="E526" s="91"/>
      <c r="F526" s="62"/>
      <c r="G526" s="69"/>
    </row>
    <row r="527" spans="1:7" x14ac:dyDescent="0.25">
      <c r="A527" s="90"/>
      <c r="B527" s="43"/>
      <c r="C527" s="43"/>
      <c r="D527" s="62"/>
      <c r="E527" s="92"/>
      <c r="F527" s="62"/>
      <c r="G527" s="69"/>
    </row>
    <row r="528" spans="1:7" x14ac:dyDescent="0.25">
      <c r="A528" s="90" t="s">
        <v>25</v>
      </c>
      <c r="B528" s="43" t="s">
        <v>25</v>
      </c>
      <c r="C528" s="43" t="s">
        <v>25</v>
      </c>
      <c r="D528" s="61" t="s">
        <v>25</v>
      </c>
      <c r="E528" s="92" t="s">
        <v>25</v>
      </c>
      <c r="F528" s="62" t="s">
        <v>25</v>
      </c>
      <c r="G528" s="43" t="s">
        <v>31</v>
      </c>
    </row>
    <row r="529" spans="1:11" x14ac:dyDescent="0.25">
      <c r="A529" s="90"/>
      <c r="B529" s="69"/>
      <c r="C529" s="69"/>
      <c r="D529" s="69"/>
      <c r="E529" s="69"/>
      <c r="F529" s="69"/>
      <c r="G529" s="64">
        <f>+F525*E525</f>
        <v>0</v>
      </c>
    </row>
    <row r="530" spans="1:11" ht="24" x14ac:dyDescent="0.25">
      <c r="A530" s="900" t="s">
        <v>41</v>
      </c>
      <c r="B530" s="80" t="s">
        <v>42</v>
      </c>
      <c r="C530" s="80" t="s">
        <v>43</v>
      </c>
      <c r="D530" s="80" t="s">
        <v>44</v>
      </c>
      <c r="E530" s="89" t="s">
        <v>306</v>
      </c>
      <c r="F530" s="80" t="s">
        <v>35</v>
      </c>
      <c r="G530" s="67"/>
    </row>
    <row r="531" spans="1:11" x14ac:dyDescent="0.25">
      <c r="A531" s="81"/>
      <c r="B531" s="81"/>
      <c r="C531" s="81"/>
      <c r="D531" s="81"/>
      <c r="E531" s="81"/>
      <c r="F531" s="81"/>
      <c r="G531" s="81"/>
    </row>
    <row r="532" spans="1:11" x14ac:dyDescent="0.25">
      <c r="A532" s="69" t="s">
        <v>2372</v>
      </c>
      <c r="B532" s="85"/>
      <c r="C532" s="96"/>
      <c r="D532" s="62"/>
      <c r="E532" s="121"/>
      <c r="F532" s="62"/>
      <c r="G532" s="69"/>
    </row>
    <row r="533" spans="1:11" ht="48.75" x14ac:dyDescent="0.25">
      <c r="A533" s="881" t="s">
        <v>2412</v>
      </c>
      <c r="B533" s="85">
        <v>265000</v>
      </c>
      <c r="C533" s="96">
        <v>0.9</v>
      </c>
      <c r="D533" s="62">
        <f>(B533*C533)+B533</f>
        <v>503500</v>
      </c>
      <c r="E533" s="101">
        <v>9.7066666666658286</v>
      </c>
      <c r="F533" s="62">
        <f xml:space="preserve"> D533/E533</f>
        <v>51871.565934070415</v>
      </c>
      <c r="G533" s="69" t="s">
        <v>25</v>
      </c>
    </row>
    <row r="534" spans="1:11" x14ac:dyDescent="0.25">
      <c r="A534" s="69"/>
      <c r="B534" s="85"/>
      <c r="C534" s="69"/>
      <c r="D534" s="62"/>
      <c r="E534" s="69"/>
      <c r="F534" s="62"/>
      <c r="G534" s="69"/>
    </row>
    <row r="535" spans="1:11" x14ac:dyDescent="0.25">
      <c r="A535" s="69"/>
      <c r="B535" s="69"/>
      <c r="C535" s="69"/>
      <c r="D535" s="69"/>
      <c r="E535" s="69"/>
      <c r="F535" s="69"/>
      <c r="G535" s="43" t="s">
        <v>31</v>
      </c>
    </row>
    <row r="536" spans="1:11" x14ac:dyDescent="0.25">
      <c r="A536" s="82"/>
      <c r="B536" s="82"/>
      <c r="C536" s="82"/>
      <c r="D536" s="82"/>
      <c r="E536" s="82"/>
      <c r="F536" s="82"/>
      <c r="G536" s="64">
        <f>F534+F533+F532</f>
        <v>51871.565934070415</v>
      </c>
      <c r="I536">
        <v>52</v>
      </c>
      <c r="J536" s="936">
        <v>136900</v>
      </c>
      <c r="K536" s="936">
        <f>I536*J536</f>
        <v>7118800</v>
      </c>
    </row>
    <row r="537" spans="1:11" x14ac:dyDescent="0.25">
      <c r="A537" s="1230" t="s">
        <v>25</v>
      </c>
      <c r="B537" s="1230"/>
      <c r="C537" s="1230"/>
      <c r="D537" s="1230"/>
      <c r="E537" s="1230"/>
      <c r="F537" s="1230"/>
      <c r="G537" s="1233"/>
      <c r="I537">
        <v>33</v>
      </c>
      <c r="J537" s="936">
        <v>136900</v>
      </c>
      <c r="K537" s="936">
        <f>I537*J537</f>
        <v>4517700</v>
      </c>
    </row>
    <row r="538" spans="1:11" x14ac:dyDescent="0.25">
      <c r="A538" s="1248" t="s">
        <v>45</v>
      </c>
      <c r="B538" s="1248"/>
      <c r="C538" s="1248"/>
      <c r="D538" s="1248"/>
      <c r="E538" s="1231"/>
      <c r="F538" s="93"/>
      <c r="G538" s="70">
        <f xml:space="preserve"> G536+G529+G523+G512</f>
        <v>138497.64423077393</v>
      </c>
      <c r="J538" s="936"/>
      <c r="K538" s="936">
        <f>SUM(K536:K537)</f>
        <v>11636500</v>
      </c>
    </row>
    <row r="539" spans="1:11" x14ac:dyDescent="0.25">
      <c r="A539" s="1232" t="s">
        <v>476</v>
      </c>
      <c r="B539" s="1232"/>
      <c r="C539" s="1222"/>
      <c r="D539" s="1222"/>
      <c r="E539" s="1222" t="s">
        <v>44</v>
      </c>
      <c r="F539" s="1222" t="s">
        <v>51</v>
      </c>
      <c r="G539" s="1222" t="s">
        <v>307</v>
      </c>
      <c r="J539" s="938">
        <f>+G538</f>
        <v>138497.64423077393</v>
      </c>
      <c r="K539" s="936">
        <f>I536*J539</f>
        <v>7201877.5000002449</v>
      </c>
    </row>
    <row r="540" spans="1:11" x14ac:dyDescent="0.25">
      <c r="A540" s="1232"/>
      <c r="B540" s="1232"/>
      <c r="C540" s="1222"/>
      <c r="D540" s="1222"/>
      <c r="E540" s="1222"/>
      <c r="F540" s="1222"/>
      <c r="G540" s="1222"/>
      <c r="J540" s="938">
        <f>+G586</f>
        <v>134382.5</v>
      </c>
      <c r="K540" s="936">
        <f>I537*J540</f>
        <v>4434622.5</v>
      </c>
    </row>
    <row r="541" spans="1:11" x14ac:dyDescent="0.25">
      <c r="A541" s="1244" t="s">
        <v>17</v>
      </c>
      <c r="B541" s="1244"/>
      <c r="C541" s="1244"/>
      <c r="D541" s="1244"/>
      <c r="E541" s="1244"/>
      <c r="F541" s="1221"/>
      <c r="G541" s="1222"/>
      <c r="K541" s="937">
        <f>+K540+K539</f>
        <v>11636500.000000246</v>
      </c>
    </row>
    <row r="542" spans="1:11" x14ac:dyDescent="0.25">
      <c r="A542" s="1244" t="s">
        <v>308</v>
      </c>
      <c r="B542" s="1244"/>
      <c r="C542" s="1244"/>
      <c r="D542" s="1244"/>
      <c r="E542" s="1244"/>
      <c r="F542" s="1221"/>
      <c r="G542" s="1222"/>
    </row>
    <row r="543" spans="1:11" x14ac:dyDescent="0.25">
      <c r="A543" s="1244" t="s">
        <v>19</v>
      </c>
      <c r="B543" s="1244"/>
      <c r="C543" s="1244"/>
      <c r="D543" s="1244"/>
      <c r="E543" s="1244"/>
      <c r="F543" s="1221"/>
      <c r="G543" s="1222"/>
    </row>
    <row r="544" spans="1:11" x14ac:dyDescent="0.25">
      <c r="A544" s="1244" t="s">
        <v>309</v>
      </c>
      <c r="B544" s="1244"/>
      <c r="C544" s="1244"/>
      <c r="D544" s="1244"/>
      <c r="E544" s="1244"/>
      <c r="F544" s="1221"/>
      <c r="G544" s="1222"/>
    </row>
    <row r="545" spans="1:7" x14ac:dyDescent="0.25">
      <c r="A545" s="1245" t="s">
        <v>310</v>
      </c>
      <c r="B545" s="1245"/>
      <c r="C545" s="1245"/>
      <c r="D545" s="1245"/>
      <c r="E545" s="1245"/>
      <c r="F545" s="1222"/>
      <c r="G545" s="1222"/>
    </row>
    <row r="551" spans="1:7" x14ac:dyDescent="0.25">
      <c r="A551" s="95"/>
      <c r="B551" s="94"/>
      <c r="C551" s="94"/>
      <c r="D551" s="94"/>
      <c r="E551" s="94"/>
      <c r="F551" s="882" t="s">
        <v>300</v>
      </c>
      <c r="G551" s="882" t="s">
        <v>2430</v>
      </c>
    </row>
    <row r="552" spans="1:7" x14ac:dyDescent="0.25">
      <c r="A552" s="1238" t="s">
        <v>1933</v>
      </c>
      <c r="B552" s="1246"/>
      <c r="C552" s="1246"/>
      <c r="D552" s="1246"/>
      <c r="E552" s="1247"/>
      <c r="F552" s="880" t="s">
        <v>24</v>
      </c>
      <c r="G552" s="880" t="s">
        <v>373</v>
      </c>
    </row>
    <row r="553" spans="1:7" x14ac:dyDescent="0.25">
      <c r="A553" s="1229" t="s">
        <v>25</v>
      </c>
      <c r="B553" s="1229"/>
      <c r="C553" s="1229"/>
      <c r="D553" s="1229"/>
      <c r="E553" s="1229"/>
      <c r="F553" s="1229"/>
      <c r="G553" s="1229"/>
    </row>
    <row r="554" spans="1:7" x14ac:dyDescent="0.25">
      <c r="A554" s="1234" t="s">
        <v>469</v>
      </c>
      <c r="B554" s="1235"/>
      <c r="C554" s="80" t="s">
        <v>26</v>
      </c>
      <c r="D554" s="80" t="s">
        <v>27</v>
      </c>
      <c r="E554" s="80" t="s">
        <v>28</v>
      </c>
      <c r="F554" s="80" t="s">
        <v>35</v>
      </c>
      <c r="G554" s="67"/>
    </row>
    <row r="555" spans="1:7" x14ac:dyDescent="0.25">
      <c r="A555" s="1236"/>
      <c r="B555" s="1236"/>
      <c r="C555" s="69"/>
      <c r="D555" s="62"/>
      <c r="E555" s="62"/>
      <c r="F555" s="62"/>
      <c r="G555" s="81"/>
    </row>
    <row r="556" spans="1:7" x14ac:dyDescent="0.25">
      <c r="A556" s="1236"/>
      <c r="B556" s="1236"/>
      <c r="C556" s="69"/>
      <c r="D556" s="62"/>
      <c r="E556" s="62"/>
      <c r="F556" s="62"/>
      <c r="G556" s="69"/>
    </row>
    <row r="557" spans="1:7" x14ac:dyDescent="0.25">
      <c r="A557" s="1236" t="s">
        <v>30</v>
      </c>
      <c r="B557" s="1236"/>
      <c r="C557" s="69"/>
      <c r="D557" s="69"/>
      <c r="E557" s="69"/>
      <c r="F557" s="62">
        <f>+F581*0.05</f>
        <v>2397.6190476190477</v>
      </c>
      <c r="G557" s="69"/>
    </row>
    <row r="558" spans="1:7" x14ac:dyDescent="0.25">
      <c r="A558" s="1236"/>
      <c r="B558" s="1236"/>
      <c r="C558" s="69"/>
      <c r="D558" s="69"/>
      <c r="E558" s="69"/>
      <c r="F558" s="69"/>
      <c r="G558" s="69"/>
    </row>
    <row r="559" spans="1:7" x14ac:dyDescent="0.25">
      <c r="A559" s="1236" t="s">
        <v>25</v>
      </c>
      <c r="B559" s="1236"/>
      <c r="C559" s="69"/>
      <c r="D559" s="69"/>
      <c r="E559" s="69"/>
      <c r="F559" s="69"/>
      <c r="G559" s="83" t="s">
        <v>31</v>
      </c>
    </row>
    <row r="560" spans="1:7" x14ac:dyDescent="0.25">
      <c r="A560" s="1237"/>
      <c r="B560" s="1237"/>
      <c r="C560" s="82"/>
      <c r="D560" s="82"/>
      <c r="E560" s="82"/>
      <c r="F560" s="82"/>
      <c r="G560" s="64">
        <f>F557+F556+F555</f>
        <v>2397.6190476190477</v>
      </c>
    </row>
    <row r="561" spans="1:7" x14ac:dyDescent="0.25">
      <c r="A561" s="1234" t="s">
        <v>475</v>
      </c>
      <c r="B561" s="1235"/>
      <c r="C561" s="80" t="s">
        <v>32</v>
      </c>
      <c r="D561" s="80" t="s">
        <v>33</v>
      </c>
      <c r="E561" s="80" t="s">
        <v>34</v>
      </c>
      <c r="F561" s="80" t="s">
        <v>35</v>
      </c>
      <c r="G561" s="67"/>
    </row>
    <row r="562" spans="1:7" x14ac:dyDescent="0.25">
      <c r="A562" s="923" t="s">
        <v>2095</v>
      </c>
      <c r="B562" s="924"/>
      <c r="C562" s="503" t="s">
        <v>1987</v>
      </c>
      <c r="D562" s="925"/>
      <c r="E562" s="522">
        <v>1</v>
      </c>
      <c r="F562" s="118"/>
      <c r="G562" s="69"/>
    </row>
    <row r="563" spans="1:7" x14ac:dyDescent="0.25">
      <c r="A563" s="923" t="s">
        <v>2084</v>
      </c>
      <c r="B563" s="924"/>
      <c r="C563" s="503" t="s">
        <v>15</v>
      </c>
      <c r="D563" s="925"/>
      <c r="E563" s="522">
        <v>1</v>
      </c>
      <c r="F563" s="118"/>
      <c r="G563" s="69"/>
    </row>
    <row r="564" spans="1:7" x14ac:dyDescent="0.25">
      <c r="A564" s="922" t="s">
        <v>2085</v>
      </c>
      <c r="B564" s="922"/>
      <c r="C564" s="503" t="s">
        <v>24</v>
      </c>
      <c r="D564" s="922"/>
      <c r="E564" s="522">
        <v>2</v>
      </c>
      <c r="F564" s="118"/>
      <c r="G564" s="69"/>
    </row>
    <row r="565" spans="1:7" x14ac:dyDescent="0.25">
      <c r="A565" s="922" t="s">
        <v>2086</v>
      </c>
      <c r="B565" s="922"/>
      <c r="C565" s="503" t="s">
        <v>24</v>
      </c>
      <c r="D565" s="922"/>
      <c r="E565" s="522">
        <v>2</v>
      </c>
      <c r="F565" s="118"/>
      <c r="G565" s="69"/>
    </row>
    <row r="566" spans="1:7" x14ac:dyDescent="0.25">
      <c r="A566" s="922" t="s">
        <v>2087</v>
      </c>
      <c r="B566" s="922"/>
      <c r="C566" s="503" t="s">
        <v>24</v>
      </c>
      <c r="D566" s="922"/>
      <c r="E566" s="522">
        <v>1</v>
      </c>
      <c r="F566" s="118"/>
      <c r="G566" s="69"/>
    </row>
    <row r="567" spans="1:7" x14ac:dyDescent="0.25">
      <c r="A567" s="922" t="s">
        <v>2088</v>
      </c>
      <c r="B567" s="922"/>
      <c r="C567" s="503" t="s">
        <v>15</v>
      </c>
      <c r="D567" s="922"/>
      <c r="E567" s="522">
        <v>18</v>
      </c>
      <c r="F567" s="118"/>
      <c r="G567" s="69"/>
    </row>
    <row r="568" spans="1:7" x14ac:dyDescent="0.25">
      <c r="A568" s="922" t="s">
        <v>2089</v>
      </c>
      <c r="B568" s="922"/>
      <c r="C568" s="503" t="s">
        <v>24</v>
      </c>
      <c r="D568" s="922"/>
      <c r="E568" s="522">
        <v>3</v>
      </c>
      <c r="F568" s="118"/>
      <c r="G568" s="69"/>
    </row>
    <row r="569" spans="1:7" x14ac:dyDescent="0.25">
      <c r="A569" s="1226" t="s">
        <v>2413</v>
      </c>
      <c r="B569" s="1227"/>
      <c r="C569" s="43" t="s">
        <v>2414</v>
      </c>
      <c r="D569" s="97">
        <v>84032.5</v>
      </c>
      <c r="E569" s="92">
        <v>1</v>
      </c>
      <c r="F569" s="85">
        <f>+D569*E569</f>
        <v>84032.5</v>
      </c>
      <c r="G569" s="69"/>
    </row>
    <row r="570" spans="1:7" x14ac:dyDescent="0.25">
      <c r="A570" s="1228"/>
      <c r="B570" s="1229"/>
      <c r="C570" s="43"/>
      <c r="D570" s="97"/>
      <c r="E570" s="92"/>
      <c r="F570" s="85"/>
      <c r="G570" s="43" t="s">
        <v>31</v>
      </c>
    </row>
    <row r="571" spans="1:7" x14ac:dyDescent="0.25">
      <c r="A571" s="1228"/>
      <c r="B571" s="1229"/>
      <c r="C571" s="69"/>
      <c r="D571" s="69"/>
      <c r="E571" s="69"/>
      <c r="F571" s="69"/>
      <c r="G571" s="65">
        <f>+F569</f>
        <v>84032.5</v>
      </c>
    </row>
    <row r="572" spans="1:7" ht="24" x14ac:dyDescent="0.25">
      <c r="A572" s="900" t="s">
        <v>329</v>
      </c>
      <c r="B572" s="89" t="s">
        <v>38</v>
      </c>
      <c r="C572" s="89" t="s">
        <v>39</v>
      </c>
      <c r="D572" s="80" t="s">
        <v>40</v>
      </c>
      <c r="E572" s="80" t="s">
        <v>34</v>
      </c>
      <c r="F572" s="80" t="s">
        <v>35</v>
      </c>
      <c r="G572" s="67"/>
    </row>
    <row r="573" spans="1:7" x14ac:dyDescent="0.25">
      <c r="A573" s="899"/>
      <c r="B573" s="43"/>
      <c r="C573" s="43"/>
      <c r="D573" s="62"/>
      <c r="E573" s="91"/>
      <c r="F573" s="62"/>
      <c r="G573" s="69"/>
    </row>
    <row r="574" spans="1:7" x14ac:dyDescent="0.25">
      <c r="A574" s="90"/>
      <c r="B574" s="43"/>
      <c r="C574" s="43"/>
      <c r="D574" s="62"/>
      <c r="E574" s="91"/>
      <c r="F574" s="62"/>
      <c r="G574" s="69"/>
    </row>
    <row r="575" spans="1:7" x14ac:dyDescent="0.25">
      <c r="A575" s="90"/>
      <c r="B575" s="43"/>
      <c r="C575" s="43"/>
      <c r="D575" s="62"/>
      <c r="E575" s="92"/>
      <c r="F575" s="62"/>
      <c r="G575" s="69"/>
    </row>
    <row r="576" spans="1:7" x14ac:dyDescent="0.25">
      <c r="A576" s="90" t="s">
        <v>25</v>
      </c>
      <c r="B576" s="43" t="s">
        <v>25</v>
      </c>
      <c r="C576" s="43" t="s">
        <v>25</v>
      </c>
      <c r="D576" s="61" t="s">
        <v>25</v>
      </c>
      <c r="E576" s="92" t="s">
        <v>25</v>
      </c>
      <c r="F576" s="62" t="s">
        <v>25</v>
      </c>
      <c r="G576" s="43" t="s">
        <v>31</v>
      </c>
    </row>
    <row r="577" spans="1:7" x14ac:dyDescent="0.25">
      <c r="A577" s="90"/>
      <c r="B577" s="69"/>
      <c r="C577" s="69"/>
      <c r="D577" s="69"/>
      <c r="E577" s="69"/>
      <c r="F577" s="69"/>
      <c r="G577" s="64">
        <f>+F573*E573</f>
        <v>0</v>
      </c>
    </row>
    <row r="578" spans="1:7" ht="24" x14ac:dyDescent="0.25">
      <c r="A578" s="900" t="s">
        <v>41</v>
      </c>
      <c r="B578" s="80" t="s">
        <v>42</v>
      </c>
      <c r="C578" s="80" t="s">
        <v>43</v>
      </c>
      <c r="D578" s="80" t="s">
        <v>44</v>
      </c>
      <c r="E578" s="89" t="s">
        <v>306</v>
      </c>
      <c r="F578" s="80" t="s">
        <v>35</v>
      </c>
      <c r="G578" s="67"/>
    </row>
    <row r="579" spans="1:7" x14ac:dyDescent="0.25">
      <c r="A579" s="81"/>
      <c r="B579" s="81"/>
      <c r="C579" s="81"/>
      <c r="D579" s="81"/>
      <c r="E579" s="81"/>
      <c r="F579" s="81"/>
      <c r="G579" s="81"/>
    </row>
    <row r="580" spans="1:7" x14ac:dyDescent="0.25">
      <c r="A580" s="69" t="s">
        <v>2372</v>
      </c>
      <c r="B580" s="85"/>
      <c r="C580" s="96"/>
      <c r="D580" s="62"/>
      <c r="E580" s="121"/>
      <c r="F580" s="62"/>
      <c r="G580" s="69"/>
    </row>
    <row r="581" spans="1:7" ht="48.75" x14ac:dyDescent="0.25">
      <c r="A581" s="881" t="s">
        <v>2412</v>
      </c>
      <c r="B581" s="85">
        <v>265000</v>
      </c>
      <c r="C581" s="96">
        <v>0.9</v>
      </c>
      <c r="D581" s="62">
        <f>(B581*C581)+B581</f>
        <v>503500</v>
      </c>
      <c r="E581" s="101">
        <v>10.5</v>
      </c>
      <c r="F581" s="62">
        <f xml:space="preserve"> D581/E581</f>
        <v>47952.380952380954</v>
      </c>
      <c r="G581" s="69" t="s">
        <v>25</v>
      </c>
    </row>
    <row r="582" spans="1:7" x14ac:dyDescent="0.25">
      <c r="A582" s="69"/>
      <c r="B582" s="85"/>
      <c r="C582" s="69"/>
      <c r="D582" s="62"/>
      <c r="E582" s="69"/>
      <c r="F582" s="62"/>
      <c r="G582" s="69"/>
    </row>
    <row r="583" spans="1:7" x14ac:dyDescent="0.25">
      <c r="A583" s="69"/>
      <c r="B583" s="69"/>
      <c r="C583" s="69"/>
      <c r="D583" s="69"/>
      <c r="E583" s="69"/>
      <c r="F583" s="69"/>
      <c r="G583" s="43" t="s">
        <v>31</v>
      </c>
    </row>
    <row r="584" spans="1:7" x14ac:dyDescent="0.25">
      <c r="A584" s="82"/>
      <c r="B584" s="82"/>
      <c r="C584" s="82"/>
      <c r="D584" s="82"/>
      <c r="E584" s="82"/>
      <c r="F584" s="82"/>
      <c r="G584" s="64">
        <f>F582+F581+F580</f>
        <v>47952.380952380954</v>
      </c>
    </row>
    <row r="585" spans="1:7" x14ac:dyDescent="0.25">
      <c r="A585" s="1230" t="s">
        <v>25</v>
      </c>
      <c r="B585" s="1230"/>
      <c r="C585" s="1230"/>
      <c r="D585" s="1230"/>
      <c r="E585" s="1230"/>
      <c r="F585" s="1230"/>
      <c r="G585" s="1233"/>
    </row>
    <row r="586" spans="1:7" x14ac:dyDescent="0.25">
      <c r="A586" s="1248" t="s">
        <v>45</v>
      </c>
      <c r="B586" s="1248"/>
      <c r="C586" s="1248"/>
      <c r="D586" s="1248"/>
      <c r="E586" s="1231"/>
      <c r="F586" s="93"/>
      <c r="G586" s="70">
        <f xml:space="preserve"> G584+G577+G571+G560</f>
        <v>134382.5</v>
      </c>
    </row>
    <row r="587" spans="1:7" x14ac:dyDescent="0.25">
      <c r="A587" s="1232" t="s">
        <v>476</v>
      </c>
      <c r="B587" s="1232"/>
      <c r="C587" s="1222"/>
      <c r="D587" s="1222"/>
      <c r="E587" s="1222" t="s">
        <v>44</v>
      </c>
      <c r="F587" s="1222" t="s">
        <v>51</v>
      </c>
      <c r="G587" s="1222" t="s">
        <v>307</v>
      </c>
    </row>
    <row r="588" spans="1:7" x14ac:dyDescent="0.25">
      <c r="A588" s="1232"/>
      <c r="B588" s="1232"/>
      <c r="C588" s="1222"/>
      <c r="D588" s="1222"/>
      <c r="E588" s="1222"/>
      <c r="F588" s="1222"/>
      <c r="G588" s="1222"/>
    </row>
    <row r="589" spans="1:7" x14ac:dyDescent="0.25">
      <c r="A589" s="1244" t="s">
        <v>17</v>
      </c>
      <c r="B589" s="1244"/>
      <c r="C589" s="1244"/>
      <c r="D589" s="1244"/>
      <c r="E589" s="1244"/>
      <c r="F589" s="1221"/>
      <c r="G589" s="1222"/>
    </row>
    <row r="590" spans="1:7" x14ac:dyDescent="0.25">
      <c r="A590" s="1244" t="s">
        <v>308</v>
      </c>
      <c r="B590" s="1244"/>
      <c r="C590" s="1244"/>
      <c r="D590" s="1244"/>
      <c r="E590" s="1244"/>
      <c r="F590" s="1221"/>
      <c r="G590" s="1222"/>
    </row>
    <row r="591" spans="1:7" x14ac:dyDescent="0.25">
      <c r="A591" s="1244" t="s">
        <v>19</v>
      </c>
      <c r="B591" s="1244"/>
      <c r="C591" s="1244"/>
      <c r="D591" s="1244"/>
      <c r="E591" s="1244"/>
      <c r="F591" s="1221"/>
      <c r="G591" s="1222"/>
    </row>
    <row r="592" spans="1:7" x14ac:dyDescent="0.25">
      <c r="A592" s="1244" t="s">
        <v>309</v>
      </c>
      <c r="B592" s="1244"/>
      <c r="C592" s="1244"/>
      <c r="D592" s="1244"/>
      <c r="E592" s="1244"/>
      <c r="F592" s="1221"/>
      <c r="G592" s="1222"/>
    </row>
    <row r="593" spans="1:7" x14ac:dyDescent="0.25">
      <c r="A593" s="1245" t="s">
        <v>310</v>
      </c>
      <c r="B593" s="1245"/>
      <c r="C593" s="1245"/>
      <c r="D593" s="1245"/>
      <c r="E593" s="1245"/>
      <c r="F593" s="1222"/>
      <c r="G593" s="1222"/>
    </row>
    <row r="601" spans="1:7" x14ac:dyDescent="0.25">
      <c r="A601" s="95"/>
      <c r="B601" s="94"/>
      <c r="C601" s="94"/>
      <c r="D601" s="94"/>
      <c r="E601" s="94"/>
      <c r="F601" s="882" t="s">
        <v>300</v>
      </c>
      <c r="G601" s="882" t="s">
        <v>2431</v>
      </c>
    </row>
    <row r="602" spans="1:7" ht="27" customHeight="1" x14ac:dyDescent="0.25">
      <c r="A602" s="1238" t="s">
        <v>1934</v>
      </c>
      <c r="B602" s="1246"/>
      <c r="C602" s="1246"/>
      <c r="D602" s="1246"/>
      <c r="E602" s="1247"/>
      <c r="F602" s="880" t="s">
        <v>24</v>
      </c>
      <c r="G602" s="880" t="s">
        <v>373</v>
      </c>
    </row>
    <row r="603" spans="1:7" x14ac:dyDescent="0.25">
      <c r="A603" s="1229" t="s">
        <v>25</v>
      </c>
      <c r="B603" s="1229"/>
      <c r="C603" s="1229"/>
      <c r="D603" s="1229"/>
      <c r="E603" s="1229"/>
      <c r="F603" s="1229"/>
      <c r="G603" s="1229"/>
    </row>
    <row r="604" spans="1:7" x14ac:dyDescent="0.25">
      <c r="A604" s="1234" t="s">
        <v>469</v>
      </c>
      <c r="B604" s="1235"/>
      <c r="C604" s="80" t="s">
        <v>26</v>
      </c>
      <c r="D604" s="80" t="s">
        <v>27</v>
      </c>
      <c r="E604" s="80" t="s">
        <v>28</v>
      </c>
      <c r="F604" s="80" t="s">
        <v>35</v>
      </c>
      <c r="G604" s="67"/>
    </row>
    <row r="605" spans="1:7" x14ac:dyDescent="0.25">
      <c r="A605" s="1236"/>
      <c r="B605" s="1236"/>
      <c r="C605" s="69"/>
      <c r="D605" s="62"/>
      <c r="E605" s="62"/>
      <c r="F605" s="62"/>
      <c r="G605" s="81"/>
    </row>
    <row r="606" spans="1:7" x14ac:dyDescent="0.25">
      <c r="A606" s="1236"/>
      <c r="B606" s="1236"/>
      <c r="C606" s="69"/>
      <c r="D606" s="62"/>
      <c r="E606" s="62"/>
      <c r="F606" s="62"/>
      <c r="G606" s="69"/>
    </row>
    <row r="607" spans="1:7" x14ac:dyDescent="0.25">
      <c r="A607" s="1236" t="s">
        <v>30</v>
      </c>
      <c r="B607" s="1236"/>
      <c r="C607" s="69"/>
      <c r="D607" s="69"/>
      <c r="E607" s="69"/>
      <c r="F607" s="62">
        <f>+F631*0.05</f>
        <v>2517.5</v>
      </c>
      <c r="G607" s="69"/>
    </row>
    <row r="608" spans="1:7" x14ac:dyDescent="0.25">
      <c r="A608" s="1236"/>
      <c r="B608" s="1236"/>
      <c r="C608" s="69"/>
      <c r="D608" s="69"/>
      <c r="E608" s="69"/>
      <c r="F608" s="69"/>
      <c r="G608" s="69"/>
    </row>
    <row r="609" spans="1:7" x14ac:dyDescent="0.25">
      <c r="A609" s="1236" t="s">
        <v>25</v>
      </c>
      <c r="B609" s="1236"/>
      <c r="C609" s="69"/>
      <c r="D609" s="69"/>
      <c r="E609" s="69"/>
      <c r="F609" s="69"/>
      <c r="G609" s="83" t="s">
        <v>31</v>
      </c>
    </row>
    <row r="610" spans="1:7" x14ac:dyDescent="0.25">
      <c r="A610" s="1237"/>
      <c r="B610" s="1237"/>
      <c r="C610" s="82"/>
      <c r="D610" s="82"/>
      <c r="E610" s="82"/>
      <c r="F610" s="82"/>
      <c r="G610" s="64">
        <f>F607+F606+F605</f>
        <v>2517.5</v>
      </c>
    </row>
    <row r="611" spans="1:7" x14ac:dyDescent="0.25">
      <c r="A611" s="1234" t="s">
        <v>475</v>
      </c>
      <c r="B611" s="1235"/>
      <c r="C611" s="80" t="s">
        <v>32</v>
      </c>
      <c r="D611" s="80" t="s">
        <v>33</v>
      </c>
      <c r="E611" s="80" t="s">
        <v>34</v>
      </c>
      <c r="F611" s="80" t="s">
        <v>35</v>
      </c>
      <c r="G611" s="67"/>
    </row>
    <row r="612" spans="1:7" x14ac:dyDescent="0.25">
      <c r="A612" s="923" t="s">
        <v>2095</v>
      </c>
      <c r="B612" s="924"/>
      <c r="C612" s="503" t="s">
        <v>1987</v>
      </c>
      <c r="D612" s="925"/>
      <c r="E612" s="522">
        <v>1</v>
      </c>
      <c r="F612" s="118"/>
      <c r="G612" s="69"/>
    </row>
    <row r="613" spans="1:7" x14ac:dyDescent="0.25">
      <c r="A613" s="923" t="s">
        <v>2084</v>
      </c>
      <c r="B613" s="924"/>
      <c r="C613" s="503" t="s">
        <v>15</v>
      </c>
      <c r="D613" s="925"/>
      <c r="E613" s="522">
        <v>1</v>
      </c>
      <c r="F613" s="118"/>
      <c r="G613" s="69"/>
    </row>
    <row r="614" spans="1:7" x14ac:dyDescent="0.25">
      <c r="A614" s="922" t="s">
        <v>2085</v>
      </c>
      <c r="B614" s="922"/>
      <c r="C614" s="503" t="s">
        <v>24</v>
      </c>
      <c r="D614" s="922"/>
      <c r="E614" s="522">
        <v>2</v>
      </c>
      <c r="F614" s="118"/>
      <c r="G614" s="69"/>
    </row>
    <row r="615" spans="1:7" x14ac:dyDescent="0.25">
      <c r="A615" s="922" t="s">
        <v>2086</v>
      </c>
      <c r="B615" s="922"/>
      <c r="C615" s="503" t="s">
        <v>24</v>
      </c>
      <c r="D615" s="922"/>
      <c r="E615" s="522">
        <v>2</v>
      </c>
      <c r="F615" s="118"/>
      <c r="G615" s="69"/>
    </row>
    <row r="616" spans="1:7" x14ac:dyDescent="0.25">
      <c r="A616" s="922" t="s">
        <v>2087</v>
      </c>
      <c r="B616" s="922"/>
      <c r="C616" s="503" t="s">
        <v>24</v>
      </c>
      <c r="D616" s="922"/>
      <c r="E616" s="522">
        <v>1</v>
      </c>
      <c r="F616" s="118"/>
      <c r="G616" s="69"/>
    </row>
    <row r="617" spans="1:7" x14ac:dyDescent="0.25">
      <c r="A617" s="922" t="s">
        <v>2088</v>
      </c>
      <c r="B617" s="922"/>
      <c r="C617" s="503" t="s">
        <v>15</v>
      </c>
      <c r="D617" s="922"/>
      <c r="E617" s="522">
        <v>18</v>
      </c>
      <c r="F617" s="118"/>
      <c r="G617" s="69"/>
    </row>
    <row r="618" spans="1:7" x14ac:dyDescent="0.25">
      <c r="A618" s="922" t="s">
        <v>2089</v>
      </c>
      <c r="B618" s="922"/>
      <c r="C618" s="503" t="s">
        <v>24</v>
      </c>
      <c r="D618" s="922"/>
      <c r="E618" s="522">
        <v>3</v>
      </c>
      <c r="F618" s="118"/>
      <c r="G618" s="69"/>
    </row>
    <row r="619" spans="1:7" x14ac:dyDescent="0.25">
      <c r="A619" s="1226"/>
      <c r="B619" s="1227"/>
      <c r="C619" s="43" t="s">
        <v>373</v>
      </c>
      <c r="D619" s="97">
        <v>97722.499999999985</v>
      </c>
      <c r="E619" s="92">
        <v>1</v>
      </c>
      <c r="F619" s="85">
        <f>+D619*E619</f>
        <v>97722.499999999985</v>
      </c>
      <c r="G619" s="69"/>
    </row>
    <row r="620" spans="1:7" x14ac:dyDescent="0.25">
      <c r="A620" s="1228"/>
      <c r="B620" s="1229"/>
      <c r="C620" s="43"/>
      <c r="D620" s="97"/>
      <c r="E620" s="92"/>
      <c r="F620" s="85"/>
      <c r="G620" s="43" t="s">
        <v>31</v>
      </c>
    </row>
    <row r="621" spans="1:7" x14ac:dyDescent="0.25">
      <c r="A621" s="1228"/>
      <c r="B621" s="1229"/>
      <c r="C621" s="69"/>
      <c r="D621" s="69"/>
      <c r="E621" s="69"/>
      <c r="F621" s="69"/>
      <c r="G621" s="65">
        <f>+F619</f>
        <v>97722.499999999985</v>
      </c>
    </row>
    <row r="622" spans="1:7" ht="24" x14ac:dyDescent="0.25">
      <c r="A622" s="900" t="s">
        <v>329</v>
      </c>
      <c r="B622" s="89" t="s">
        <v>38</v>
      </c>
      <c r="C622" s="89" t="s">
        <v>39</v>
      </c>
      <c r="D622" s="80" t="s">
        <v>40</v>
      </c>
      <c r="E622" s="80" t="s">
        <v>34</v>
      </c>
      <c r="F622" s="80" t="s">
        <v>35</v>
      </c>
      <c r="G622" s="67"/>
    </row>
    <row r="623" spans="1:7" x14ac:dyDescent="0.25">
      <c r="A623" s="899"/>
      <c r="B623" s="43"/>
      <c r="C623" s="43"/>
      <c r="D623" s="62"/>
      <c r="E623" s="91"/>
      <c r="F623" s="62"/>
      <c r="G623" s="69"/>
    </row>
    <row r="624" spans="1:7" x14ac:dyDescent="0.25">
      <c r="A624" s="90"/>
      <c r="B624" s="43"/>
      <c r="C624" s="43"/>
      <c r="D624" s="62"/>
      <c r="E624" s="91"/>
      <c r="F624" s="62"/>
      <c r="G624" s="69"/>
    </row>
    <row r="625" spans="1:7" x14ac:dyDescent="0.25">
      <c r="A625" s="90"/>
      <c r="B625" s="43"/>
      <c r="C625" s="43"/>
      <c r="D625" s="62"/>
      <c r="E625" s="92"/>
      <c r="F625" s="62"/>
      <c r="G625" s="69"/>
    </row>
    <row r="626" spans="1:7" x14ac:dyDescent="0.25">
      <c r="A626" s="90" t="s">
        <v>25</v>
      </c>
      <c r="B626" s="43" t="s">
        <v>25</v>
      </c>
      <c r="C626" s="43" t="s">
        <v>25</v>
      </c>
      <c r="D626" s="61" t="s">
        <v>25</v>
      </c>
      <c r="E626" s="92" t="s">
        <v>25</v>
      </c>
      <c r="F626" s="62" t="s">
        <v>25</v>
      </c>
      <c r="G626" s="43" t="s">
        <v>31</v>
      </c>
    </row>
    <row r="627" spans="1:7" x14ac:dyDescent="0.25">
      <c r="A627" s="90"/>
      <c r="B627" s="69"/>
      <c r="C627" s="69"/>
      <c r="D627" s="69"/>
      <c r="E627" s="69"/>
      <c r="F627" s="69"/>
      <c r="G627" s="64">
        <f>+F623*E623</f>
        <v>0</v>
      </c>
    </row>
    <row r="628" spans="1:7" ht="24" x14ac:dyDescent="0.25">
      <c r="A628" s="900" t="s">
        <v>41</v>
      </c>
      <c r="B628" s="80" t="s">
        <v>42</v>
      </c>
      <c r="C628" s="80" t="s">
        <v>43</v>
      </c>
      <c r="D628" s="80" t="s">
        <v>44</v>
      </c>
      <c r="E628" s="89" t="s">
        <v>306</v>
      </c>
      <c r="F628" s="80" t="s">
        <v>35</v>
      </c>
      <c r="G628" s="67"/>
    </row>
    <row r="629" spans="1:7" x14ac:dyDescent="0.25">
      <c r="A629" s="81"/>
      <c r="B629" s="81"/>
      <c r="C629" s="81"/>
      <c r="D629" s="81"/>
      <c r="E629" s="81"/>
      <c r="F629" s="81"/>
      <c r="G629" s="81"/>
    </row>
    <row r="630" spans="1:7" x14ac:dyDescent="0.25">
      <c r="A630" s="69" t="s">
        <v>2372</v>
      </c>
      <c r="B630" s="85"/>
      <c r="C630" s="96"/>
      <c r="D630" s="62"/>
      <c r="E630" s="121"/>
      <c r="F630" s="62"/>
      <c r="G630" s="69"/>
    </row>
    <row r="631" spans="1:7" ht="48.75" x14ac:dyDescent="0.25">
      <c r="A631" s="881" t="s">
        <v>2412</v>
      </c>
      <c r="B631" s="85">
        <v>265000</v>
      </c>
      <c r="C631" s="96">
        <v>0.9</v>
      </c>
      <c r="D631" s="62">
        <f>(B631*C631)+B631</f>
        <v>503500</v>
      </c>
      <c r="E631" s="101">
        <v>10</v>
      </c>
      <c r="F631" s="62">
        <f xml:space="preserve"> D631/E631</f>
        <v>50350</v>
      </c>
      <c r="G631" s="69" t="s">
        <v>25</v>
      </c>
    </row>
    <row r="632" spans="1:7" x14ac:dyDescent="0.25">
      <c r="A632" s="69"/>
      <c r="B632" s="85"/>
      <c r="C632" s="69"/>
      <c r="D632" s="62"/>
      <c r="E632" s="69"/>
      <c r="F632" s="62"/>
      <c r="G632" s="69"/>
    </row>
    <row r="633" spans="1:7" x14ac:dyDescent="0.25">
      <c r="A633" s="69"/>
      <c r="B633" s="69"/>
      <c r="C633" s="69"/>
      <c r="D633" s="69"/>
      <c r="E633" s="69"/>
      <c r="F633" s="69"/>
      <c r="G633" s="43" t="s">
        <v>31</v>
      </c>
    </row>
    <row r="634" spans="1:7" x14ac:dyDescent="0.25">
      <c r="A634" s="82"/>
      <c r="B634" s="82"/>
      <c r="C634" s="82"/>
      <c r="D634" s="82"/>
      <c r="E634" s="82"/>
      <c r="F634" s="82"/>
      <c r="G634" s="64">
        <f>F632+F631+F630</f>
        <v>50350</v>
      </c>
    </row>
    <row r="635" spans="1:7" x14ac:dyDescent="0.25">
      <c r="A635" s="1230" t="s">
        <v>25</v>
      </c>
      <c r="B635" s="1230"/>
      <c r="C635" s="1230"/>
      <c r="D635" s="1230"/>
      <c r="E635" s="1230"/>
      <c r="F635" s="1230"/>
      <c r="G635" s="1233"/>
    </row>
    <row r="636" spans="1:7" x14ac:dyDescent="0.25">
      <c r="A636" s="1248" t="s">
        <v>45</v>
      </c>
      <c r="B636" s="1248"/>
      <c r="C636" s="1248"/>
      <c r="D636" s="1248"/>
      <c r="E636" s="1231"/>
      <c r="F636" s="93"/>
      <c r="G636" s="70">
        <f xml:space="preserve"> G634+G627+G621+G610</f>
        <v>150590</v>
      </c>
    </row>
    <row r="637" spans="1:7" x14ac:dyDescent="0.25">
      <c r="A637" s="1232" t="s">
        <v>476</v>
      </c>
      <c r="B637" s="1232"/>
      <c r="C637" s="1222"/>
      <c r="D637" s="1222"/>
      <c r="E637" s="1222" t="s">
        <v>44</v>
      </c>
      <c r="F637" s="1222" t="s">
        <v>51</v>
      </c>
      <c r="G637" s="1222" t="s">
        <v>307</v>
      </c>
    </row>
    <row r="638" spans="1:7" x14ac:dyDescent="0.25">
      <c r="A638" s="1232"/>
      <c r="B638" s="1232"/>
      <c r="C638" s="1222"/>
      <c r="D638" s="1222"/>
      <c r="E638" s="1222"/>
      <c r="F638" s="1222"/>
      <c r="G638" s="1222"/>
    </row>
    <row r="639" spans="1:7" x14ac:dyDescent="0.25">
      <c r="A639" s="1244" t="s">
        <v>17</v>
      </c>
      <c r="B639" s="1244"/>
      <c r="C639" s="1244"/>
      <c r="D639" s="1244"/>
      <c r="E639" s="1244"/>
      <c r="F639" s="1221"/>
      <c r="G639" s="1222"/>
    </row>
    <row r="640" spans="1:7" x14ac:dyDescent="0.25">
      <c r="A640" s="1244" t="s">
        <v>308</v>
      </c>
      <c r="B640" s="1244"/>
      <c r="C640" s="1244"/>
      <c r="D640" s="1244"/>
      <c r="E640" s="1244"/>
      <c r="F640" s="1221"/>
      <c r="G640" s="1222"/>
    </row>
    <row r="641" spans="1:7" x14ac:dyDescent="0.25">
      <c r="A641" s="1244" t="s">
        <v>19</v>
      </c>
      <c r="B641" s="1244"/>
      <c r="C641" s="1244"/>
      <c r="D641" s="1244"/>
      <c r="E641" s="1244"/>
      <c r="F641" s="1221"/>
      <c r="G641" s="1222"/>
    </row>
    <row r="642" spans="1:7" x14ac:dyDescent="0.25">
      <c r="A642" s="1244" t="s">
        <v>309</v>
      </c>
      <c r="B642" s="1244"/>
      <c r="C642" s="1244"/>
      <c r="D642" s="1244"/>
      <c r="E642" s="1244"/>
      <c r="F642" s="1221"/>
      <c r="G642" s="1222"/>
    </row>
    <row r="643" spans="1:7" x14ac:dyDescent="0.25">
      <c r="A643" s="1245" t="s">
        <v>310</v>
      </c>
      <c r="B643" s="1245"/>
      <c r="C643" s="1245"/>
      <c r="D643" s="1245"/>
      <c r="E643" s="1245"/>
      <c r="F643" s="1222"/>
      <c r="G643" s="1222"/>
    </row>
    <row r="650" spans="1:7" x14ac:dyDescent="0.25">
      <c r="A650" s="95"/>
      <c r="B650" s="94"/>
      <c r="C650" s="94"/>
      <c r="D650" s="94"/>
      <c r="E650" s="94"/>
      <c r="F650" s="882" t="s">
        <v>300</v>
      </c>
      <c r="G650" s="882" t="s">
        <v>2432</v>
      </c>
    </row>
    <row r="651" spans="1:7" ht="27" customHeight="1" x14ac:dyDescent="0.25">
      <c r="A651" s="1238" t="s">
        <v>744</v>
      </c>
      <c r="B651" s="1246"/>
      <c r="C651" s="1246"/>
      <c r="D651" s="1246"/>
      <c r="E651" s="1247"/>
      <c r="F651" s="880" t="s">
        <v>24</v>
      </c>
      <c r="G651" s="880" t="s">
        <v>373</v>
      </c>
    </row>
    <row r="652" spans="1:7" x14ac:dyDescent="0.25">
      <c r="A652" s="1229" t="s">
        <v>25</v>
      </c>
      <c r="B652" s="1229"/>
      <c r="C652" s="1229"/>
      <c r="D652" s="1229"/>
      <c r="E652" s="1229"/>
      <c r="F652" s="1229"/>
      <c r="G652" s="1229"/>
    </row>
    <row r="653" spans="1:7" x14ac:dyDescent="0.25">
      <c r="A653" s="1234" t="s">
        <v>469</v>
      </c>
      <c r="B653" s="1235"/>
      <c r="C653" s="80" t="s">
        <v>26</v>
      </c>
      <c r="D653" s="80" t="s">
        <v>27</v>
      </c>
      <c r="E653" s="80" t="s">
        <v>28</v>
      </c>
      <c r="F653" s="80" t="s">
        <v>35</v>
      </c>
      <c r="G653" s="67"/>
    </row>
    <row r="654" spans="1:7" x14ac:dyDescent="0.25">
      <c r="A654" s="1236"/>
      <c r="B654" s="1236"/>
      <c r="C654" s="69"/>
      <c r="D654" s="62"/>
      <c r="E654" s="62"/>
      <c r="F654" s="62"/>
      <c r="G654" s="81"/>
    </row>
    <row r="655" spans="1:7" x14ac:dyDescent="0.25">
      <c r="A655" s="1236"/>
      <c r="B655" s="1236"/>
      <c r="C655" s="69"/>
      <c r="D655" s="62"/>
      <c r="E655" s="62"/>
      <c r="F655" s="62"/>
      <c r="G655" s="69"/>
    </row>
    <row r="656" spans="1:7" x14ac:dyDescent="0.25">
      <c r="A656" s="1236" t="s">
        <v>30</v>
      </c>
      <c r="B656" s="1236"/>
      <c r="C656" s="69"/>
      <c r="D656" s="69"/>
      <c r="E656" s="69"/>
      <c r="F656" s="62">
        <f>+F678*0.05</f>
        <v>8391.6666666666679</v>
      </c>
      <c r="G656" s="69"/>
    </row>
    <row r="657" spans="1:7" x14ac:dyDescent="0.25">
      <c r="A657" s="1236"/>
      <c r="B657" s="1236"/>
      <c r="C657" s="69"/>
      <c r="D657" s="69"/>
      <c r="E657" s="69"/>
      <c r="F657" s="69"/>
      <c r="G657" s="69"/>
    </row>
    <row r="658" spans="1:7" x14ac:dyDescent="0.25">
      <c r="A658" s="1236" t="s">
        <v>25</v>
      </c>
      <c r="B658" s="1236"/>
      <c r="C658" s="69"/>
      <c r="D658" s="69"/>
      <c r="E658" s="69"/>
      <c r="F658" s="69"/>
      <c r="G658" s="83" t="s">
        <v>31</v>
      </c>
    </row>
    <row r="659" spans="1:7" x14ac:dyDescent="0.25">
      <c r="A659" s="1237"/>
      <c r="B659" s="1237"/>
      <c r="C659" s="82"/>
      <c r="D659" s="82"/>
      <c r="E659" s="82"/>
      <c r="F659" s="82"/>
      <c r="G659" s="64">
        <f>F656+F655+F654</f>
        <v>8391.6666666666679</v>
      </c>
    </row>
    <row r="660" spans="1:7" x14ac:dyDescent="0.25">
      <c r="A660" s="1234" t="s">
        <v>475</v>
      </c>
      <c r="B660" s="1235"/>
      <c r="C660" s="80" t="s">
        <v>32</v>
      </c>
      <c r="D660" s="80" t="s">
        <v>33</v>
      </c>
      <c r="E660" s="80" t="s">
        <v>34</v>
      </c>
      <c r="F660" s="80" t="s">
        <v>35</v>
      </c>
      <c r="G660" s="67"/>
    </row>
    <row r="661" spans="1:7" x14ac:dyDescent="0.25">
      <c r="A661" s="923" t="s">
        <v>678</v>
      </c>
      <c r="B661" s="924"/>
      <c r="C661" s="503" t="s">
        <v>15</v>
      </c>
      <c r="D661" s="925"/>
      <c r="E661" s="522">
        <v>12</v>
      </c>
      <c r="F661" s="118"/>
      <c r="G661" s="69"/>
    </row>
    <row r="662" spans="1:7" x14ac:dyDescent="0.25">
      <c r="A662" s="922" t="s">
        <v>676</v>
      </c>
      <c r="B662" s="922"/>
      <c r="C662" s="503" t="s">
        <v>24</v>
      </c>
      <c r="D662" s="922"/>
      <c r="E662" s="522">
        <v>3</v>
      </c>
      <c r="F662" s="118"/>
      <c r="G662" s="69"/>
    </row>
    <row r="663" spans="1:7" x14ac:dyDescent="0.25">
      <c r="A663" s="922" t="s">
        <v>677</v>
      </c>
      <c r="B663" s="922"/>
      <c r="C663" s="503" t="s">
        <v>24</v>
      </c>
      <c r="D663" s="922"/>
      <c r="E663" s="522">
        <v>3</v>
      </c>
      <c r="F663" s="118"/>
      <c r="G663" s="69"/>
    </row>
    <row r="664" spans="1:7" x14ac:dyDescent="0.25">
      <c r="A664" s="922" t="s">
        <v>2096</v>
      </c>
      <c r="B664" s="922"/>
      <c r="C664" s="503" t="s">
        <v>24</v>
      </c>
      <c r="D664" s="922"/>
      <c r="E664" s="522">
        <v>1</v>
      </c>
      <c r="F664" s="118"/>
      <c r="G664" s="69"/>
    </row>
    <row r="665" spans="1:7" x14ac:dyDescent="0.25">
      <c r="A665" s="922" t="s">
        <v>2097</v>
      </c>
      <c r="B665" s="922"/>
      <c r="C665" s="503" t="s">
        <v>15</v>
      </c>
      <c r="D665" s="922"/>
      <c r="E665" s="522">
        <v>45</v>
      </c>
      <c r="F665" s="118"/>
      <c r="G665" s="69"/>
    </row>
    <row r="666" spans="1:7" x14ac:dyDescent="0.25">
      <c r="A666" s="1226"/>
      <c r="B666" s="1227"/>
      <c r="C666" s="43" t="s">
        <v>373</v>
      </c>
      <c r="D666" s="97">
        <v>490532</v>
      </c>
      <c r="E666" s="92">
        <v>1</v>
      </c>
      <c r="F666" s="85">
        <f>+D666*E666</f>
        <v>490532</v>
      </c>
      <c r="G666" s="69"/>
    </row>
    <row r="667" spans="1:7" x14ac:dyDescent="0.25">
      <c r="A667" s="1228"/>
      <c r="B667" s="1229"/>
      <c r="C667" s="43"/>
      <c r="D667" s="97"/>
      <c r="E667" s="92"/>
      <c r="F667" s="85"/>
      <c r="G667" s="43" t="s">
        <v>31</v>
      </c>
    </row>
    <row r="668" spans="1:7" x14ac:dyDescent="0.25">
      <c r="A668" s="1228"/>
      <c r="B668" s="1229"/>
      <c r="C668" s="69"/>
      <c r="D668" s="69"/>
      <c r="E668" s="69"/>
      <c r="F668" s="69"/>
      <c r="G668" s="65">
        <f>+F666</f>
        <v>490532</v>
      </c>
    </row>
    <row r="669" spans="1:7" ht="24" x14ac:dyDescent="0.25">
      <c r="A669" s="900" t="s">
        <v>329</v>
      </c>
      <c r="B669" s="89" t="s">
        <v>38</v>
      </c>
      <c r="C669" s="89" t="s">
        <v>39</v>
      </c>
      <c r="D669" s="80" t="s">
        <v>40</v>
      </c>
      <c r="E669" s="80" t="s">
        <v>34</v>
      </c>
      <c r="F669" s="80" t="s">
        <v>35</v>
      </c>
      <c r="G669" s="67"/>
    </row>
    <row r="670" spans="1:7" x14ac:dyDescent="0.25">
      <c r="A670" s="899"/>
      <c r="B670" s="43"/>
      <c r="C670" s="43"/>
      <c r="D670" s="62"/>
      <c r="E670" s="91"/>
      <c r="F670" s="62"/>
      <c r="G670" s="69"/>
    </row>
    <row r="671" spans="1:7" x14ac:dyDescent="0.25">
      <c r="A671" s="90"/>
      <c r="B671" s="43"/>
      <c r="C671" s="43"/>
      <c r="D671" s="62"/>
      <c r="E671" s="91"/>
      <c r="F671" s="62"/>
      <c r="G671" s="69"/>
    </row>
    <row r="672" spans="1:7" x14ac:dyDescent="0.25">
      <c r="A672" s="90"/>
      <c r="B672" s="43"/>
      <c r="C672" s="43"/>
      <c r="D672" s="62"/>
      <c r="E672" s="92"/>
      <c r="F672" s="62"/>
      <c r="G672" s="69"/>
    </row>
    <row r="673" spans="1:7" x14ac:dyDescent="0.25">
      <c r="A673" s="90" t="s">
        <v>25</v>
      </c>
      <c r="B673" s="43" t="s">
        <v>25</v>
      </c>
      <c r="C673" s="43" t="s">
        <v>25</v>
      </c>
      <c r="D673" s="61" t="s">
        <v>25</v>
      </c>
      <c r="E673" s="92" t="s">
        <v>25</v>
      </c>
      <c r="F673" s="62" t="s">
        <v>25</v>
      </c>
      <c r="G673" s="43" t="s">
        <v>31</v>
      </c>
    </row>
    <row r="674" spans="1:7" x14ac:dyDescent="0.25">
      <c r="A674" s="90"/>
      <c r="B674" s="69"/>
      <c r="C674" s="69"/>
      <c r="D674" s="69"/>
      <c r="E674" s="69"/>
      <c r="F674" s="69"/>
      <c r="G674" s="64">
        <f>+F670*E670</f>
        <v>0</v>
      </c>
    </row>
    <row r="675" spans="1:7" ht="24" x14ac:dyDescent="0.25">
      <c r="A675" s="900" t="s">
        <v>41</v>
      </c>
      <c r="B675" s="80" t="s">
        <v>42</v>
      </c>
      <c r="C675" s="80" t="s">
        <v>43</v>
      </c>
      <c r="D675" s="80" t="s">
        <v>44</v>
      </c>
      <c r="E675" s="89" t="s">
        <v>306</v>
      </c>
      <c r="F675" s="80" t="s">
        <v>35</v>
      </c>
      <c r="G675" s="67"/>
    </row>
    <row r="676" spans="1:7" x14ac:dyDescent="0.25">
      <c r="A676" s="81"/>
      <c r="B676" s="81"/>
      <c r="C676" s="81"/>
      <c r="D676" s="81"/>
      <c r="E676" s="81"/>
      <c r="F676" s="81"/>
      <c r="G676" s="81"/>
    </row>
    <row r="677" spans="1:7" x14ac:dyDescent="0.25">
      <c r="A677" s="69" t="s">
        <v>2372</v>
      </c>
      <c r="B677" s="85"/>
      <c r="C677" s="96"/>
      <c r="D677" s="62"/>
      <c r="E677" s="121"/>
      <c r="F677" s="62"/>
      <c r="G677" s="69"/>
    </row>
    <row r="678" spans="1:7" ht="48.75" x14ac:dyDescent="0.25">
      <c r="A678" s="881" t="s">
        <v>2412</v>
      </c>
      <c r="B678" s="85">
        <v>265000</v>
      </c>
      <c r="C678" s="96">
        <v>0.9</v>
      </c>
      <c r="D678" s="62">
        <f>(B678*C678)+B678</f>
        <v>503500</v>
      </c>
      <c r="E678" s="101">
        <v>3</v>
      </c>
      <c r="F678" s="62">
        <f xml:space="preserve"> D678/E678</f>
        <v>167833.33333333334</v>
      </c>
      <c r="G678" s="69" t="s">
        <v>25</v>
      </c>
    </row>
    <row r="679" spans="1:7" x14ac:dyDescent="0.25">
      <c r="A679" s="69"/>
      <c r="B679" s="85"/>
      <c r="C679" s="69"/>
      <c r="D679" s="62"/>
      <c r="E679" s="69"/>
      <c r="F679" s="62"/>
      <c r="G679" s="69"/>
    </row>
    <row r="680" spans="1:7" x14ac:dyDescent="0.25">
      <c r="A680" s="69"/>
      <c r="B680" s="69"/>
      <c r="C680" s="69"/>
      <c r="D680" s="69"/>
      <c r="E680" s="69"/>
      <c r="F680" s="69"/>
      <c r="G680" s="43" t="s">
        <v>31</v>
      </c>
    </row>
    <row r="681" spans="1:7" x14ac:dyDescent="0.25">
      <c r="A681" s="82"/>
      <c r="B681" s="82"/>
      <c r="C681" s="82"/>
      <c r="D681" s="82"/>
      <c r="E681" s="82"/>
      <c r="F681" s="82"/>
      <c r="G681" s="64">
        <f>F679+F678+F677</f>
        <v>167833.33333333334</v>
      </c>
    </row>
    <row r="682" spans="1:7" x14ac:dyDescent="0.25">
      <c r="A682" s="1230" t="s">
        <v>25</v>
      </c>
      <c r="B682" s="1230"/>
      <c r="C682" s="1230"/>
      <c r="D682" s="1230"/>
      <c r="E682" s="1230"/>
      <c r="F682" s="1230"/>
      <c r="G682" s="1233"/>
    </row>
    <row r="683" spans="1:7" x14ac:dyDescent="0.25">
      <c r="A683" s="1248" t="s">
        <v>45</v>
      </c>
      <c r="B683" s="1248"/>
      <c r="C683" s="1248"/>
      <c r="D683" s="1248"/>
      <c r="E683" s="1231"/>
      <c r="F683" s="93"/>
      <c r="G683" s="70">
        <f xml:space="preserve"> G681+G674+G668+G659</f>
        <v>666757</v>
      </c>
    </row>
    <row r="684" spans="1:7" x14ac:dyDescent="0.25">
      <c r="A684" s="1232" t="s">
        <v>476</v>
      </c>
      <c r="B684" s="1232"/>
      <c r="C684" s="1222"/>
      <c r="D684" s="1222"/>
      <c r="E684" s="1222" t="s">
        <v>44</v>
      </c>
      <c r="F684" s="1222" t="s">
        <v>51</v>
      </c>
      <c r="G684" s="1222" t="s">
        <v>307</v>
      </c>
    </row>
    <row r="685" spans="1:7" x14ac:dyDescent="0.25">
      <c r="A685" s="1232"/>
      <c r="B685" s="1232"/>
      <c r="C685" s="1222"/>
      <c r="D685" s="1222"/>
      <c r="E685" s="1222"/>
      <c r="F685" s="1222"/>
      <c r="G685" s="1222"/>
    </row>
    <row r="686" spans="1:7" x14ac:dyDescent="0.25">
      <c r="A686" s="1244" t="s">
        <v>17</v>
      </c>
      <c r="B686" s="1244"/>
      <c r="C686" s="1244"/>
      <c r="D686" s="1244"/>
      <c r="E686" s="1244"/>
      <c r="F686" s="1221"/>
      <c r="G686" s="1222"/>
    </row>
    <row r="687" spans="1:7" x14ac:dyDescent="0.25">
      <c r="A687" s="1244" t="s">
        <v>308</v>
      </c>
      <c r="B687" s="1244"/>
      <c r="C687" s="1244"/>
      <c r="D687" s="1244"/>
      <c r="E687" s="1244"/>
      <c r="F687" s="1221"/>
      <c r="G687" s="1222"/>
    </row>
    <row r="688" spans="1:7" x14ac:dyDescent="0.25">
      <c r="A688" s="1244" t="s">
        <v>19</v>
      </c>
      <c r="B688" s="1244"/>
      <c r="C688" s="1244"/>
      <c r="D688" s="1244"/>
      <c r="E688" s="1244"/>
      <c r="F688" s="1221"/>
      <c r="G688" s="1222"/>
    </row>
    <row r="689" spans="1:7" x14ac:dyDescent="0.25">
      <c r="A689" s="1244" t="s">
        <v>309</v>
      </c>
      <c r="B689" s="1244"/>
      <c r="C689" s="1244"/>
      <c r="D689" s="1244"/>
      <c r="E689" s="1244"/>
      <c r="F689" s="1221"/>
      <c r="G689" s="1222"/>
    </row>
    <row r="690" spans="1:7" x14ac:dyDescent="0.25">
      <c r="A690" s="1245" t="s">
        <v>310</v>
      </c>
      <c r="B690" s="1245"/>
      <c r="C690" s="1245"/>
      <c r="D690" s="1245"/>
      <c r="E690" s="1245"/>
      <c r="F690" s="1222"/>
      <c r="G690" s="1222"/>
    </row>
    <row r="697" spans="1:7" x14ac:dyDescent="0.25">
      <c r="A697" s="95"/>
      <c r="B697" s="94"/>
      <c r="C697" s="94"/>
      <c r="D697" s="94"/>
      <c r="E697" s="94"/>
      <c r="F697" s="882" t="s">
        <v>300</v>
      </c>
      <c r="G697" s="882" t="s">
        <v>2433</v>
      </c>
    </row>
    <row r="698" spans="1:7" x14ac:dyDescent="0.25">
      <c r="A698" s="1238" t="s">
        <v>1935</v>
      </c>
      <c r="B698" s="1246"/>
      <c r="C698" s="1246"/>
      <c r="D698" s="1246"/>
      <c r="E698" s="1247"/>
      <c r="F698" s="880" t="s">
        <v>24</v>
      </c>
      <c r="G698" s="880" t="s">
        <v>373</v>
      </c>
    </row>
    <row r="699" spans="1:7" x14ac:dyDescent="0.25">
      <c r="A699" s="1229" t="s">
        <v>25</v>
      </c>
      <c r="B699" s="1229"/>
      <c r="C699" s="1229"/>
      <c r="D699" s="1229"/>
      <c r="E699" s="1229"/>
      <c r="F699" s="1229"/>
      <c r="G699" s="1229"/>
    </row>
    <row r="700" spans="1:7" x14ac:dyDescent="0.25">
      <c r="A700" s="1234" t="s">
        <v>469</v>
      </c>
      <c r="B700" s="1235"/>
      <c r="C700" s="80" t="s">
        <v>26</v>
      </c>
      <c r="D700" s="80" t="s">
        <v>27</v>
      </c>
      <c r="E700" s="80" t="s">
        <v>28</v>
      </c>
      <c r="F700" s="80" t="s">
        <v>35</v>
      </c>
      <c r="G700" s="67"/>
    </row>
    <row r="701" spans="1:7" x14ac:dyDescent="0.25">
      <c r="A701" s="1236"/>
      <c r="B701" s="1236"/>
      <c r="C701" s="69"/>
      <c r="D701" s="62"/>
      <c r="E701" s="62"/>
      <c r="F701" s="62"/>
      <c r="G701" s="81"/>
    </row>
    <row r="702" spans="1:7" x14ac:dyDescent="0.25">
      <c r="A702" s="1236"/>
      <c r="B702" s="1236"/>
      <c r="C702" s="69"/>
      <c r="D702" s="62"/>
      <c r="E702" s="62"/>
      <c r="F702" s="62"/>
      <c r="G702" s="69"/>
    </row>
    <row r="703" spans="1:7" x14ac:dyDescent="0.25">
      <c r="A703" s="1236" t="s">
        <v>30</v>
      </c>
      <c r="B703" s="1236"/>
      <c r="C703" s="69"/>
      <c r="D703" s="69"/>
      <c r="E703" s="69"/>
      <c r="F703" s="62">
        <f>+F727*0.05</f>
        <v>2097.916666666667</v>
      </c>
      <c r="G703" s="69"/>
    </row>
    <row r="704" spans="1:7" x14ac:dyDescent="0.25">
      <c r="A704" s="1236"/>
      <c r="B704" s="1236"/>
      <c r="C704" s="69"/>
      <c r="D704" s="69"/>
      <c r="E704" s="69"/>
      <c r="F704" s="69"/>
      <c r="G704" s="69"/>
    </row>
    <row r="705" spans="1:7" x14ac:dyDescent="0.25">
      <c r="A705" s="1236" t="s">
        <v>25</v>
      </c>
      <c r="B705" s="1236"/>
      <c r="C705" s="69"/>
      <c r="D705" s="69"/>
      <c r="E705" s="69"/>
      <c r="F705" s="69"/>
      <c r="G705" s="83" t="s">
        <v>31</v>
      </c>
    </row>
    <row r="706" spans="1:7" x14ac:dyDescent="0.25">
      <c r="A706" s="1237"/>
      <c r="B706" s="1237"/>
      <c r="C706" s="82"/>
      <c r="D706" s="82"/>
      <c r="E706" s="82"/>
      <c r="F706" s="82"/>
      <c r="G706" s="64">
        <f>F703+F702+F701</f>
        <v>2097.916666666667</v>
      </c>
    </row>
    <row r="707" spans="1:7" x14ac:dyDescent="0.25">
      <c r="A707" s="1234" t="s">
        <v>475</v>
      </c>
      <c r="B707" s="1235"/>
      <c r="C707" s="80" t="s">
        <v>32</v>
      </c>
      <c r="D707" s="80" t="s">
        <v>33</v>
      </c>
      <c r="E707" s="80" t="s">
        <v>34</v>
      </c>
      <c r="F707" s="80" t="s">
        <v>35</v>
      </c>
      <c r="G707" s="67"/>
    </row>
    <row r="708" spans="1:7" x14ac:dyDescent="0.25">
      <c r="A708" s="923" t="s">
        <v>678</v>
      </c>
      <c r="B708" s="503"/>
      <c r="C708" s="503" t="s">
        <v>15</v>
      </c>
      <c r="D708" s="118"/>
      <c r="E708" s="522">
        <v>1</v>
      </c>
      <c r="F708" s="118"/>
      <c r="G708" s="69"/>
    </row>
    <row r="709" spans="1:7" x14ac:dyDescent="0.25">
      <c r="A709" s="922" t="s">
        <v>2101</v>
      </c>
      <c r="B709" s="503"/>
      <c r="C709" s="503" t="s">
        <v>24</v>
      </c>
      <c r="D709" s="118"/>
      <c r="E709" s="522">
        <v>2</v>
      </c>
      <c r="F709" s="118"/>
      <c r="G709" s="69"/>
    </row>
    <row r="710" spans="1:7" x14ac:dyDescent="0.25">
      <c r="A710" s="922" t="s">
        <v>2102</v>
      </c>
      <c r="B710" s="503"/>
      <c r="C710" s="503" t="s">
        <v>24</v>
      </c>
      <c r="D710" s="118"/>
      <c r="E710" s="522">
        <v>2</v>
      </c>
      <c r="F710" s="118"/>
      <c r="G710" s="69"/>
    </row>
    <row r="711" spans="1:7" x14ac:dyDescent="0.25">
      <c r="A711" s="922" t="s">
        <v>679</v>
      </c>
      <c r="B711" s="503"/>
      <c r="C711" s="503" t="s">
        <v>24</v>
      </c>
      <c r="D711" s="118"/>
      <c r="E711" s="522">
        <v>1</v>
      </c>
      <c r="F711" s="118"/>
      <c r="G711" s="69"/>
    </row>
    <row r="712" spans="1:7" x14ac:dyDescent="0.25">
      <c r="A712" s="922" t="s">
        <v>2088</v>
      </c>
      <c r="B712" s="503"/>
      <c r="C712" s="503" t="s">
        <v>15</v>
      </c>
      <c r="D712" s="118"/>
      <c r="E712" s="522">
        <v>18</v>
      </c>
      <c r="F712" s="118"/>
      <c r="G712" s="69"/>
    </row>
    <row r="713" spans="1:7" x14ac:dyDescent="0.25">
      <c r="A713" s="923" t="s">
        <v>2103</v>
      </c>
      <c r="B713" s="503"/>
      <c r="C713" s="503" t="s">
        <v>24</v>
      </c>
      <c r="D713" s="118"/>
      <c r="E713" s="522">
        <v>1</v>
      </c>
      <c r="F713" s="118"/>
      <c r="G713" s="69"/>
    </row>
    <row r="714" spans="1:7" x14ac:dyDescent="0.25">
      <c r="A714" s="922" t="s">
        <v>677</v>
      </c>
      <c r="B714" s="503"/>
      <c r="C714" s="503" t="s">
        <v>24</v>
      </c>
      <c r="D714" s="118"/>
      <c r="E714" s="522">
        <v>3</v>
      </c>
      <c r="F714" s="118"/>
      <c r="G714" s="69"/>
    </row>
    <row r="715" spans="1:7" x14ac:dyDescent="0.25">
      <c r="A715" s="1226"/>
      <c r="B715" s="1227"/>
      <c r="C715" s="43" t="s">
        <v>13</v>
      </c>
      <c r="D715" s="97">
        <v>82626.75</v>
      </c>
      <c r="E715" s="92">
        <v>1</v>
      </c>
      <c r="F715" s="85">
        <f>+D715*E715</f>
        <v>82626.75</v>
      </c>
      <c r="G715" s="69"/>
    </row>
    <row r="716" spans="1:7" x14ac:dyDescent="0.25">
      <c r="A716" s="1228"/>
      <c r="B716" s="1229"/>
      <c r="C716" s="43"/>
      <c r="D716" s="97"/>
      <c r="E716" s="92"/>
      <c r="F716" s="85"/>
      <c r="G716" s="43" t="s">
        <v>31</v>
      </c>
    </row>
    <row r="717" spans="1:7" x14ac:dyDescent="0.25">
      <c r="A717" s="1228"/>
      <c r="B717" s="1229"/>
      <c r="C717" s="69"/>
      <c r="D717" s="69"/>
      <c r="E717" s="69"/>
      <c r="F717" s="69"/>
      <c r="G717" s="65">
        <f>+F715</f>
        <v>82626.75</v>
      </c>
    </row>
    <row r="718" spans="1:7" ht="24" x14ac:dyDescent="0.25">
      <c r="A718" s="900" t="s">
        <v>329</v>
      </c>
      <c r="B718" s="89" t="s">
        <v>38</v>
      </c>
      <c r="C718" s="89" t="s">
        <v>39</v>
      </c>
      <c r="D718" s="80" t="s">
        <v>40</v>
      </c>
      <c r="E718" s="80" t="s">
        <v>34</v>
      </c>
      <c r="F718" s="80" t="s">
        <v>35</v>
      </c>
      <c r="G718" s="67"/>
    </row>
    <row r="719" spans="1:7" x14ac:dyDescent="0.25">
      <c r="A719" s="922"/>
      <c r="B719" s="503"/>
      <c r="C719" s="922"/>
      <c r="D719" s="922"/>
      <c r="E719" s="522"/>
      <c r="F719" s="62"/>
      <c r="G719" s="69"/>
    </row>
    <row r="720" spans="1:7" x14ac:dyDescent="0.25">
      <c r="A720" s="923"/>
      <c r="B720" s="503"/>
      <c r="C720" s="924"/>
      <c r="D720" s="925"/>
      <c r="E720" s="522"/>
      <c r="F720" s="62"/>
      <c r="G720" s="69"/>
    </row>
    <row r="721" spans="1:7" x14ac:dyDescent="0.25">
      <c r="A721" s="922"/>
      <c r="B721" s="503"/>
      <c r="C721" s="922"/>
      <c r="D721" s="922"/>
      <c r="E721" s="522"/>
      <c r="F721" s="62"/>
      <c r="G721" s="69"/>
    </row>
    <row r="722" spans="1:7" x14ac:dyDescent="0.25">
      <c r="A722" s="90" t="s">
        <v>25</v>
      </c>
      <c r="B722" s="43" t="s">
        <v>25</v>
      </c>
      <c r="C722" s="43" t="s">
        <v>25</v>
      </c>
      <c r="D722" s="61" t="s">
        <v>25</v>
      </c>
      <c r="E722" s="92" t="s">
        <v>25</v>
      </c>
      <c r="F722" s="62" t="s">
        <v>25</v>
      </c>
      <c r="G722" s="43" t="s">
        <v>31</v>
      </c>
    </row>
    <row r="723" spans="1:7" x14ac:dyDescent="0.25">
      <c r="A723" s="90"/>
      <c r="B723" s="69"/>
      <c r="C723" s="69"/>
      <c r="D723" s="69"/>
      <c r="E723" s="69"/>
      <c r="F723" s="69"/>
      <c r="G723" s="64">
        <f>+F719*E719</f>
        <v>0</v>
      </c>
    </row>
    <row r="724" spans="1:7" ht="24" x14ac:dyDescent="0.25">
      <c r="A724" s="900" t="s">
        <v>41</v>
      </c>
      <c r="B724" s="80" t="s">
        <v>42</v>
      </c>
      <c r="C724" s="80" t="s">
        <v>43</v>
      </c>
      <c r="D724" s="80" t="s">
        <v>44</v>
      </c>
      <c r="E724" s="89" t="s">
        <v>306</v>
      </c>
      <c r="F724" s="80" t="s">
        <v>35</v>
      </c>
      <c r="G724" s="67"/>
    </row>
    <row r="725" spans="1:7" x14ac:dyDescent="0.25">
      <c r="A725" s="81"/>
      <c r="B725" s="81"/>
      <c r="C725" s="81"/>
      <c r="D725" s="81"/>
      <c r="E725" s="81"/>
      <c r="F725" s="81"/>
      <c r="G725" s="81"/>
    </row>
    <row r="726" spans="1:7" x14ac:dyDescent="0.25">
      <c r="A726" s="69" t="s">
        <v>2372</v>
      </c>
      <c r="B726" s="85"/>
      <c r="C726" s="96"/>
      <c r="D726" s="62"/>
      <c r="E726" s="121"/>
      <c r="F726" s="62"/>
      <c r="G726" s="69"/>
    </row>
    <row r="727" spans="1:7" ht="48.75" x14ac:dyDescent="0.25">
      <c r="A727" s="881" t="s">
        <v>2412</v>
      </c>
      <c r="B727" s="85">
        <v>265000</v>
      </c>
      <c r="C727" s="96">
        <v>0.9</v>
      </c>
      <c r="D727" s="62">
        <f>(B727*C727)+B727</f>
        <v>503500</v>
      </c>
      <c r="E727" s="101">
        <v>12</v>
      </c>
      <c r="F727" s="62">
        <f xml:space="preserve"> D727/E727</f>
        <v>41958.333333333336</v>
      </c>
      <c r="G727" s="69" t="s">
        <v>25</v>
      </c>
    </row>
    <row r="728" spans="1:7" x14ac:dyDescent="0.25">
      <c r="A728" s="69"/>
      <c r="B728" s="85"/>
      <c r="C728" s="69"/>
      <c r="D728" s="62"/>
      <c r="E728" s="69"/>
      <c r="F728" s="62"/>
      <c r="G728" s="69"/>
    </row>
    <row r="729" spans="1:7" x14ac:dyDescent="0.25">
      <c r="A729" s="69"/>
      <c r="B729" s="69"/>
      <c r="C729" s="69"/>
      <c r="D729" s="69"/>
      <c r="E729" s="69"/>
      <c r="F729" s="69"/>
      <c r="G729" s="43" t="s">
        <v>31</v>
      </c>
    </row>
    <row r="730" spans="1:7" x14ac:dyDescent="0.25">
      <c r="A730" s="82"/>
      <c r="B730" s="82"/>
      <c r="C730" s="82"/>
      <c r="D730" s="82"/>
      <c r="E730" s="82"/>
      <c r="F730" s="82"/>
      <c r="G730" s="64">
        <f>F728+F727+F726</f>
        <v>41958.333333333336</v>
      </c>
    </row>
    <row r="731" spans="1:7" x14ac:dyDescent="0.25">
      <c r="A731" s="1230" t="s">
        <v>25</v>
      </c>
      <c r="B731" s="1230"/>
      <c r="C731" s="1230"/>
      <c r="D731" s="1230"/>
      <c r="E731" s="1230"/>
      <c r="F731" s="1230"/>
      <c r="G731" s="1233"/>
    </row>
    <row r="732" spans="1:7" x14ac:dyDescent="0.25">
      <c r="A732" s="1248" t="s">
        <v>45</v>
      </c>
      <c r="B732" s="1248"/>
      <c r="C732" s="1248"/>
      <c r="D732" s="1248"/>
      <c r="E732" s="1231"/>
      <c r="F732" s="93"/>
      <c r="G732" s="70">
        <f xml:space="preserve"> G730+G723+G717+G706</f>
        <v>126683.00000000001</v>
      </c>
    </row>
    <row r="733" spans="1:7" x14ac:dyDescent="0.25">
      <c r="A733" s="1232" t="s">
        <v>476</v>
      </c>
      <c r="B733" s="1232"/>
      <c r="C733" s="1222"/>
      <c r="D733" s="1222"/>
      <c r="E733" s="1222" t="s">
        <v>44</v>
      </c>
      <c r="F733" s="1222" t="s">
        <v>51</v>
      </c>
      <c r="G733" s="1222" t="s">
        <v>307</v>
      </c>
    </row>
    <row r="734" spans="1:7" x14ac:dyDescent="0.25">
      <c r="A734" s="1232"/>
      <c r="B734" s="1232"/>
      <c r="C734" s="1222"/>
      <c r="D734" s="1222"/>
      <c r="E734" s="1222"/>
      <c r="F734" s="1222"/>
      <c r="G734" s="1222"/>
    </row>
    <row r="735" spans="1:7" x14ac:dyDescent="0.25">
      <c r="A735" s="1244" t="s">
        <v>17</v>
      </c>
      <c r="B735" s="1244"/>
      <c r="C735" s="1244"/>
      <c r="D735" s="1244"/>
      <c r="E735" s="1244"/>
      <c r="F735" s="1221"/>
      <c r="G735" s="1222"/>
    </row>
    <row r="736" spans="1:7" x14ac:dyDescent="0.25">
      <c r="A736" s="1244" t="s">
        <v>308</v>
      </c>
      <c r="B736" s="1244"/>
      <c r="C736" s="1244"/>
      <c r="D736" s="1244"/>
      <c r="E736" s="1244"/>
      <c r="F736" s="1221"/>
      <c r="G736" s="1222"/>
    </row>
    <row r="737" spans="1:7" x14ac:dyDescent="0.25">
      <c r="A737" s="1244" t="s">
        <v>19</v>
      </c>
      <c r="B737" s="1244"/>
      <c r="C737" s="1244"/>
      <c r="D737" s="1244"/>
      <c r="E737" s="1244"/>
      <c r="F737" s="1221"/>
      <c r="G737" s="1222"/>
    </row>
    <row r="738" spans="1:7" x14ac:dyDescent="0.25">
      <c r="A738" s="1244" t="s">
        <v>309</v>
      </c>
      <c r="B738" s="1244"/>
      <c r="C738" s="1244"/>
      <c r="D738" s="1244"/>
      <c r="E738" s="1244"/>
      <c r="F738" s="1221"/>
      <c r="G738" s="1222"/>
    </row>
    <row r="739" spans="1:7" x14ac:dyDescent="0.25">
      <c r="A739" s="1245" t="s">
        <v>310</v>
      </c>
      <c r="B739" s="1245"/>
      <c r="C739" s="1245"/>
      <c r="D739" s="1245"/>
      <c r="E739" s="1245"/>
      <c r="F739" s="1222"/>
      <c r="G739" s="1222"/>
    </row>
    <row r="747" spans="1:7" x14ac:dyDescent="0.25">
      <c r="A747" s="95"/>
      <c r="B747" s="94"/>
      <c r="C747" s="94"/>
      <c r="D747" s="94"/>
      <c r="E747" s="94"/>
      <c r="F747" s="882" t="s">
        <v>300</v>
      </c>
      <c r="G747" s="882" t="s">
        <v>2434</v>
      </c>
    </row>
    <row r="748" spans="1:7" x14ac:dyDescent="0.25">
      <c r="A748" s="1238" t="s">
        <v>1936</v>
      </c>
      <c r="B748" s="1246"/>
      <c r="C748" s="1246"/>
      <c r="D748" s="1246"/>
      <c r="E748" s="1247"/>
      <c r="F748" s="880" t="s">
        <v>24</v>
      </c>
      <c r="G748" s="880" t="s">
        <v>15</v>
      </c>
    </row>
    <row r="749" spans="1:7" x14ac:dyDescent="0.25">
      <c r="A749" s="1229" t="s">
        <v>25</v>
      </c>
      <c r="B749" s="1229"/>
      <c r="C749" s="1229"/>
      <c r="D749" s="1229"/>
      <c r="E749" s="1229"/>
      <c r="F749" s="1229"/>
      <c r="G749" s="1229"/>
    </row>
    <row r="750" spans="1:7" x14ac:dyDescent="0.25">
      <c r="A750" s="1234" t="s">
        <v>469</v>
      </c>
      <c r="B750" s="1235"/>
      <c r="C750" s="80" t="s">
        <v>26</v>
      </c>
      <c r="D750" s="80" t="s">
        <v>27</v>
      </c>
      <c r="E750" s="80" t="s">
        <v>28</v>
      </c>
      <c r="F750" s="80" t="s">
        <v>35</v>
      </c>
      <c r="G750" s="67"/>
    </row>
    <row r="751" spans="1:7" x14ac:dyDescent="0.25">
      <c r="A751" s="1236"/>
      <c r="B751" s="1236"/>
      <c r="C751" s="69"/>
      <c r="D751" s="62"/>
      <c r="E751" s="62"/>
      <c r="F751" s="62"/>
      <c r="G751" s="81"/>
    </row>
    <row r="752" spans="1:7" x14ac:dyDescent="0.25">
      <c r="A752" s="1236"/>
      <c r="B752" s="1236"/>
      <c r="C752" s="69"/>
      <c r="D752" s="62"/>
      <c r="E752" s="62"/>
      <c r="F752" s="62"/>
      <c r="G752" s="69"/>
    </row>
    <row r="753" spans="1:7" x14ac:dyDescent="0.25">
      <c r="A753" s="1236" t="s">
        <v>30</v>
      </c>
      <c r="B753" s="1236"/>
      <c r="C753" s="69"/>
      <c r="D753" s="69"/>
      <c r="E753" s="69"/>
      <c r="F753" s="62">
        <f>+F775*0.05</f>
        <v>6293.75</v>
      </c>
      <c r="G753" s="69"/>
    </row>
    <row r="754" spans="1:7" x14ac:dyDescent="0.25">
      <c r="A754" s="1236"/>
      <c r="B754" s="1236"/>
      <c r="C754" s="69"/>
      <c r="D754" s="69"/>
      <c r="E754" s="69"/>
      <c r="F754" s="69"/>
      <c r="G754" s="69"/>
    </row>
    <row r="755" spans="1:7" x14ac:dyDescent="0.25">
      <c r="A755" s="1236" t="s">
        <v>25</v>
      </c>
      <c r="B755" s="1236"/>
      <c r="C755" s="69"/>
      <c r="D755" s="69"/>
      <c r="E755" s="69"/>
      <c r="F755" s="69"/>
      <c r="G755" s="83" t="s">
        <v>31</v>
      </c>
    </row>
    <row r="756" spans="1:7" x14ac:dyDescent="0.25">
      <c r="A756" s="1237"/>
      <c r="B756" s="1237"/>
      <c r="C756" s="82"/>
      <c r="D756" s="82"/>
      <c r="E756" s="82"/>
      <c r="F756" s="82"/>
      <c r="G756" s="64">
        <f>F753+F752+F751</f>
        <v>6293.75</v>
      </c>
    </row>
    <row r="757" spans="1:7" x14ac:dyDescent="0.25">
      <c r="A757" s="1234" t="s">
        <v>475</v>
      </c>
      <c r="B757" s="1235"/>
      <c r="C757" s="80" t="s">
        <v>32</v>
      </c>
      <c r="D757" s="80" t="s">
        <v>33</v>
      </c>
      <c r="E757" s="80" t="s">
        <v>34</v>
      </c>
      <c r="F757" s="80" t="s">
        <v>35</v>
      </c>
      <c r="G757" s="67"/>
    </row>
    <row r="758" spans="1:7" x14ac:dyDescent="0.25">
      <c r="A758" s="923" t="s">
        <v>660</v>
      </c>
      <c r="B758" s="924"/>
      <c r="C758" s="503" t="s">
        <v>15</v>
      </c>
      <c r="D758" s="925"/>
      <c r="E758" s="504">
        <v>1</v>
      </c>
      <c r="F758" s="118"/>
      <c r="G758" s="69"/>
    </row>
    <row r="759" spans="1:7" x14ac:dyDescent="0.25">
      <c r="A759" s="923" t="s">
        <v>2079</v>
      </c>
      <c r="B759" s="924"/>
      <c r="C759" s="503" t="s">
        <v>344</v>
      </c>
      <c r="D759" s="925"/>
      <c r="E759" s="504">
        <v>2.5000000000000001E-2</v>
      </c>
      <c r="F759" s="118"/>
      <c r="G759" s="69"/>
    </row>
    <row r="760" spans="1:7" x14ac:dyDescent="0.25">
      <c r="A760" s="923" t="s">
        <v>2080</v>
      </c>
      <c r="B760" s="924"/>
      <c r="C760" s="503" t="s">
        <v>344</v>
      </c>
      <c r="D760" s="925"/>
      <c r="E760" s="504">
        <v>7.4999999999999997E-2</v>
      </c>
      <c r="F760" s="118"/>
      <c r="G760" s="69"/>
    </row>
    <row r="761" spans="1:7" x14ac:dyDescent="0.25">
      <c r="A761" s="923" t="s">
        <v>2475</v>
      </c>
      <c r="B761" s="924"/>
      <c r="C761" s="503" t="s">
        <v>13</v>
      </c>
      <c r="D761" s="925"/>
      <c r="E761" s="504">
        <v>1</v>
      </c>
      <c r="F761" s="118"/>
      <c r="G761" s="69"/>
    </row>
    <row r="762" spans="1:7" x14ac:dyDescent="0.25">
      <c r="A762" s="922" t="s">
        <v>2081</v>
      </c>
      <c r="B762" s="922"/>
      <c r="C762" s="503" t="s">
        <v>15</v>
      </c>
      <c r="D762" s="922"/>
      <c r="E762" s="504">
        <v>4</v>
      </c>
      <c r="F762" s="118"/>
      <c r="G762" s="69"/>
    </row>
    <row r="763" spans="1:7" x14ac:dyDescent="0.25">
      <c r="A763" s="1226"/>
      <c r="B763" s="1227"/>
      <c r="C763" s="43" t="s">
        <v>13</v>
      </c>
      <c r="D763" s="97">
        <v>293744.10000000003</v>
      </c>
      <c r="E763" s="92">
        <v>1</v>
      </c>
      <c r="F763" s="85">
        <f>+D763*E763</f>
        <v>293744.10000000003</v>
      </c>
      <c r="G763" s="69"/>
    </row>
    <row r="764" spans="1:7" x14ac:dyDescent="0.25">
      <c r="A764" s="1228"/>
      <c r="B764" s="1229"/>
      <c r="C764" s="43"/>
      <c r="D764" s="97"/>
      <c r="E764" s="92"/>
      <c r="F764" s="85"/>
      <c r="G764" s="43" t="s">
        <v>31</v>
      </c>
    </row>
    <row r="765" spans="1:7" x14ac:dyDescent="0.25">
      <c r="A765" s="1228"/>
      <c r="B765" s="1229"/>
      <c r="C765" s="69"/>
      <c r="D765" s="69"/>
      <c r="E765" s="69"/>
      <c r="F765" s="69"/>
      <c r="G765" s="65">
        <f>+F763</f>
        <v>293744.10000000003</v>
      </c>
    </row>
    <row r="766" spans="1:7" ht="24" x14ac:dyDescent="0.25">
      <c r="A766" s="900" t="s">
        <v>329</v>
      </c>
      <c r="B766" s="89" t="s">
        <v>38</v>
      </c>
      <c r="C766" s="89" t="s">
        <v>39</v>
      </c>
      <c r="D766" s="80" t="s">
        <v>40</v>
      </c>
      <c r="E766" s="80" t="s">
        <v>34</v>
      </c>
      <c r="F766" s="80" t="s">
        <v>35</v>
      </c>
      <c r="G766" s="67"/>
    </row>
    <row r="767" spans="1:7" x14ac:dyDescent="0.25">
      <c r="A767" s="899"/>
      <c r="B767" s="43"/>
      <c r="C767" s="43"/>
      <c r="D767" s="62"/>
      <c r="E767" s="91"/>
      <c r="F767" s="62"/>
      <c r="G767" s="69"/>
    </row>
    <row r="768" spans="1:7" x14ac:dyDescent="0.25">
      <c r="A768" s="90"/>
      <c r="B768" s="43"/>
      <c r="C768" s="43"/>
      <c r="D768" s="62"/>
      <c r="E768" s="91"/>
      <c r="F768" s="62"/>
      <c r="G768" s="69"/>
    </row>
    <row r="769" spans="1:7" x14ac:dyDescent="0.25">
      <c r="A769" s="90"/>
      <c r="B769" s="43"/>
      <c r="C769" s="43"/>
      <c r="D769" s="62"/>
      <c r="E769" s="92"/>
      <c r="F769" s="62"/>
      <c r="G769" s="69"/>
    </row>
    <row r="770" spans="1:7" x14ac:dyDescent="0.25">
      <c r="A770" s="90" t="s">
        <v>25</v>
      </c>
      <c r="B770" s="43" t="s">
        <v>25</v>
      </c>
      <c r="C770" s="43" t="s">
        <v>25</v>
      </c>
      <c r="D770" s="61" t="s">
        <v>25</v>
      </c>
      <c r="E770" s="92" t="s">
        <v>25</v>
      </c>
      <c r="F770" s="62" t="s">
        <v>25</v>
      </c>
      <c r="G770" s="43" t="s">
        <v>31</v>
      </c>
    </row>
    <row r="771" spans="1:7" x14ac:dyDescent="0.25">
      <c r="A771" s="90"/>
      <c r="B771" s="69"/>
      <c r="C771" s="69"/>
      <c r="D771" s="69"/>
      <c r="E771" s="69"/>
      <c r="F771" s="69"/>
      <c r="G771" s="64">
        <f>+F767*E767</f>
        <v>0</v>
      </c>
    </row>
    <row r="772" spans="1:7" ht="24" x14ac:dyDescent="0.25">
      <c r="A772" s="900" t="s">
        <v>41</v>
      </c>
      <c r="B772" s="80" t="s">
        <v>42</v>
      </c>
      <c r="C772" s="80" t="s">
        <v>43</v>
      </c>
      <c r="D772" s="80" t="s">
        <v>44</v>
      </c>
      <c r="E772" s="89" t="s">
        <v>306</v>
      </c>
      <c r="F772" s="80" t="s">
        <v>35</v>
      </c>
      <c r="G772" s="67"/>
    </row>
    <row r="773" spans="1:7" x14ac:dyDescent="0.25">
      <c r="A773" s="81"/>
      <c r="B773" s="81"/>
      <c r="C773" s="81"/>
      <c r="D773" s="81"/>
      <c r="E773" s="81"/>
      <c r="F773" s="81"/>
      <c r="G773" s="81"/>
    </row>
    <row r="774" spans="1:7" x14ac:dyDescent="0.25">
      <c r="A774" s="69" t="s">
        <v>2372</v>
      </c>
      <c r="B774" s="85"/>
      <c r="C774" s="96"/>
      <c r="D774" s="62"/>
      <c r="E774" s="121"/>
      <c r="F774" s="62"/>
      <c r="G774" s="69"/>
    </row>
    <row r="775" spans="1:7" ht="48.75" x14ac:dyDescent="0.25">
      <c r="A775" s="881" t="s">
        <v>2412</v>
      </c>
      <c r="B775" s="85">
        <v>265000</v>
      </c>
      <c r="C775" s="96">
        <v>0.9</v>
      </c>
      <c r="D775" s="62">
        <f>(B775*C775)+B775</f>
        <v>503500</v>
      </c>
      <c r="E775" s="101">
        <v>4</v>
      </c>
      <c r="F775" s="62">
        <f xml:space="preserve"> D775/E775</f>
        <v>125875</v>
      </c>
      <c r="G775" s="69" t="s">
        <v>25</v>
      </c>
    </row>
    <row r="776" spans="1:7" x14ac:dyDescent="0.25">
      <c r="A776" s="69"/>
      <c r="B776" s="85"/>
      <c r="C776" s="69"/>
      <c r="D776" s="62"/>
      <c r="E776" s="69"/>
      <c r="F776" s="62"/>
      <c r="G776" s="69"/>
    </row>
    <row r="777" spans="1:7" x14ac:dyDescent="0.25">
      <c r="A777" s="69"/>
      <c r="B777" s="69"/>
      <c r="C777" s="69"/>
      <c r="D777" s="69"/>
      <c r="E777" s="69"/>
      <c r="F777" s="69"/>
      <c r="G777" s="43" t="s">
        <v>31</v>
      </c>
    </row>
    <row r="778" spans="1:7" x14ac:dyDescent="0.25">
      <c r="A778" s="82"/>
      <c r="B778" s="82"/>
      <c r="C778" s="82"/>
      <c r="D778" s="82"/>
      <c r="E778" s="82"/>
      <c r="F778" s="82"/>
      <c r="G778" s="64">
        <f>F776+F775+F774</f>
        <v>125875</v>
      </c>
    </row>
    <row r="779" spans="1:7" x14ac:dyDescent="0.25">
      <c r="A779" s="1230" t="s">
        <v>25</v>
      </c>
      <c r="B779" s="1230"/>
      <c r="C779" s="1230"/>
      <c r="D779" s="1230"/>
      <c r="E779" s="1230"/>
      <c r="F779" s="1230"/>
      <c r="G779" s="1233"/>
    </row>
    <row r="780" spans="1:7" x14ac:dyDescent="0.25">
      <c r="A780" s="1248" t="s">
        <v>45</v>
      </c>
      <c r="B780" s="1248"/>
      <c r="C780" s="1248"/>
      <c r="D780" s="1248"/>
      <c r="E780" s="1231"/>
      <c r="F780" s="93"/>
      <c r="G780" s="70">
        <f xml:space="preserve"> G778+G771+G765+G756</f>
        <v>425912.85000000003</v>
      </c>
    </row>
    <row r="781" spans="1:7" x14ac:dyDescent="0.25">
      <c r="A781" s="1232" t="s">
        <v>476</v>
      </c>
      <c r="B781" s="1232"/>
      <c r="C781" s="1222"/>
      <c r="D781" s="1222"/>
      <c r="E781" s="1222" t="s">
        <v>44</v>
      </c>
      <c r="F781" s="1222" t="s">
        <v>51</v>
      </c>
      <c r="G781" s="1222" t="s">
        <v>307</v>
      </c>
    </row>
    <row r="782" spans="1:7" x14ac:dyDescent="0.25">
      <c r="A782" s="1232"/>
      <c r="B782" s="1232"/>
      <c r="C782" s="1222"/>
      <c r="D782" s="1222"/>
      <c r="E782" s="1222"/>
      <c r="F782" s="1222"/>
      <c r="G782" s="1222"/>
    </row>
    <row r="783" spans="1:7" x14ac:dyDescent="0.25">
      <c r="A783" s="1244" t="s">
        <v>17</v>
      </c>
      <c r="B783" s="1244"/>
      <c r="C783" s="1244"/>
      <c r="D783" s="1244"/>
      <c r="E783" s="1244"/>
      <c r="F783" s="1221"/>
      <c r="G783" s="1222"/>
    </row>
    <row r="784" spans="1:7" x14ac:dyDescent="0.25">
      <c r="A784" s="1244" t="s">
        <v>308</v>
      </c>
      <c r="B784" s="1244"/>
      <c r="C784" s="1244"/>
      <c r="D784" s="1244"/>
      <c r="E784" s="1244"/>
      <c r="F784" s="1221"/>
      <c r="G784" s="1222"/>
    </row>
    <row r="785" spans="1:7" x14ac:dyDescent="0.25">
      <c r="A785" s="1244" t="s">
        <v>19</v>
      </c>
      <c r="B785" s="1244"/>
      <c r="C785" s="1244"/>
      <c r="D785" s="1244"/>
      <c r="E785" s="1244"/>
      <c r="F785" s="1221"/>
      <c r="G785" s="1222"/>
    </row>
    <row r="786" spans="1:7" x14ac:dyDescent="0.25">
      <c r="A786" s="1244" t="s">
        <v>309</v>
      </c>
      <c r="B786" s="1244"/>
      <c r="C786" s="1244"/>
      <c r="D786" s="1244"/>
      <c r="E786" s="1244"/>
      <c r="F786" s="1221"/>
      <c r="G786" s="1222"/>
    </row>
    <row r="787" spans="1:7" x14ac:dyDescent="0.25">
      <c r="A787" s="1245" t="s">
        <v>310</v>
      </c>
      <c r="B787" s="1245"/>
      <c r="C787" s="1245"/>
      <c r="D787" s="1245"/>
      <c r="E787" s="1245"/>
      <c r="F787" s="1222"/>
      <c r="G787" s="1222"/>
    </row>
    <row r="795" spans="1:7" x14ac:dyDescent="0.25">
      <c r="A795" s="95"/>
      <c r="B795" s="94"/>
      <c r="C795" s="94"/>
      <c r="D795" s="94"/>
      <c r="E795" s="94"/>
      <c r="F795" s="882" t="s">
        <v>300</v>
      </c>
      <c r="G795" s="882" t="s">
        <v>2436</v>
      </c>
    </row>
    <row r="796" spans="1:7" x14ac:dyDescent="0.25">
      <c r="A796" s="1238" t="s">
        <v>2435</v>
      </c>
      <c r="B796" s="1246"/>
      <c r="C796" s="1246"/>
      <c r="D796" s="1246"/>
      <c r="E796" s="1247"/>
      <c r="F796" s="880" t="s">
        <v>24</v>
      </c>
      <c r="G796" s="880" t="s">
        <v>15</v>
      </c>
    </row>
    <row r="797" spans="1:7" x14ac:dyDescent="0.25">
      <c r="A797" s="1229" t="s">
        <v>25</v>
      </c>
      <c r="B797" s="1229"/>
      <c r="C797" s="1229"/>
      <c r="D797" s="1229"/>
      <c r="E797" s="1229"/>
      <c r="F797" s="1229"/>
      <c r="G797" s="1229"/>
    </row>
    <row r="798" spans="1:7" x14ac:dyDescent="0.25">
      <c r="A798" s="1234" t="s">
        <v>469</v>
      </c>
      <c r="B798" s="1235"/>
      <c r="C798" s="80" t="s">
        <v>26</v>
      </c>
      <c r="D798" s="80" t="s">
        <v>27</v>
      </c>
      <c r="E798" s="80" t="s">
        <v>28</v>
      </c>
      <c r="F798" s="80" t="s">
        <v>35</v>
      </c>
      <c r="G798" s="67"/>
    </row>
    <row r="799" spans="1:7" x14ac:dyDescent="0.25">
      <c r="A799" s="1236"/>
      <c r="B799" s="1236"/>
      <c r="C799" s="69"/>
      <c r="D799" s="62"/>
      <c r="E799" s="62"/>
      <c r="F799" s="62"/>
      <c r="G799" s="81"/>
    </row>
    <row r="800" spans="1:7" x14ac:dyDescent="0.25">
      <c r="A800" s="1236"/>
      <c r="B800" s="1236"/>
      <c r="C800" s="69"/>
      <c r="D800" s="62"/>
      <c r="E800" s="62"/>
      <c r="F800" s="62"/>
      <c r="G800" s="69"/>
    </row>
    <row r="801" spans="1:7" x14ac:dyDescent="0.25">
      <c r="A801" s="1236" t="s">
        <v>30</v>
      </c>
      <c r="B801" s="1236"/>
      <c r="C801" s="69"/>
      <c r="D801" s="69"/>
      <c r="E801" s="69"/>
      <c r="F801" s="62">
        <f>+F823*0.05</f>
        <v>6293.75</v>
      </c>
      <c r="G801" s="69"/>
    </row>
    <row r="802" spans="1:7" x14ac:dyDescent="0.25">
      <c r="A802" s="1236"/>
      <c r="B802" s="1236"/>
      <c r="C802" s="69"/>
      <c r="D802" s="69"/>
      <c r="E802" s="69"/>
      <c r="F802" s="69"/>
      <c r="G802" s="69"/>
    </row>
    <row r="803" spans="1:7" x14ac:dyDescent="0.25">
      <c r="A803" s="1236" t="s">
        <v>25</v>
      </c>
      <c r="B803" s="1236"/>
      <c r="C803" s="69"/>
      <c r="D803" s="69"/>
      <c r="E803" s="69"/>
      <c r="F803" s="69"/>
      <c r="G803" s="83" t="s">
        <v>31</v>
      </c>
    </row>
    <row r="804" spans="1:7" x14ac:dyDescent="0.25">
      <c r="A804" s="1237"/>
      <c r="B804" s="1237"/>
      <c r="C804" s="82"/>
      <c r="D804" s="82"/>
      <c r="E804" s="82"/>
      <c r="F804" s="82"/>
      <c r="G804" s="64">
        <f>F801+F800+F799</f>
        <v>6293.75</v>
      </c>
    </row>
    <row r="805" spans="1:7" x14ac:dyDescent="0.25">
      <c r="A805" s="1234" t="s">
        <v>475</v>
      </c>
      <c r="B805" s="1235"/>
      <c r="C805" s="80" t="s">
        <v>32</v>
      </c>
      <c r="D805" s="80" t="s">
        <v>33</v>
      </c>
      <c r="E805" s="80" t="s">
        <v>34</v>
      </c>
      <c r="F805" s="80" t="s">
        <v>35</v>
      </c>
      <c r="G805" s="67"/>
    </row>
    <row r="806" spans="1:7" x14ac:dyDescent="0.25">
      <c r="A806" s="923" t="s">
        <v>660</v>
      </c>
      <c r="B806" s="924"/>
      <c r="C806" s="503" t="s">
        <v>15</v>
      </c>
      <c r="D806" s="925"/>
      <c r="E806" s="504">
        <v>1</v>
      </c>
      <c r="F806" s="118"/>
      <c r="G806" s="69"/>
    </row>
    <row r="807" spans="1:7" x14ac:dyDescent="0.25">
      <c r="A807" s="923" t="s">
        <v>2079</v>
      </c>
      <c r="B807" s="924"/>
      <c r="C807" s="503" t="s">
        <v>344</v>
      </c>
      <c r="D807" s="925"/>
      <c r="E807" s="504">
        <v>2.5000000000000001E-2</v>
      </c>
      <c r="F807" s="118"/>
      <c r="G807" s="69"/>
    </row>
    <row r="808" spans="1:7" x14ac:dyDescent="0.25">
      <c r="A808" s="923" t="s">
        <v>2080</v>
      </c>
      <c r="B808" s="924"/>
      <c r="C808" s="503" t="s">
        <v>344</v>
      </c>
      <c r="D808" s="925"/>
      <c r="E808" s="504">
        <v>7.4999999999999997E-2</v>
      </c>
      <c r="F808" s="118"/>
      <c r="G808" s="69"/>
    </row>
    <row r="809" spans="1:7" x14ac:dyDescent="0.25">
      <c r="A809" s="922" t="s">
        <v>2081</v>
      </c>
      <c r="B809" s="922"/>
      <c r="C809" s="503" t="s">
        <v>15</v>
      </c>
      <c r="D809" s="922"/>
      <c r="E809" s="504">
        <v>4</v>
      </c>
      <c r="F809" s="118"/>
      <c r="G809" s="69"/>
    </row>
    <row r="810" spans="1:7" x14ac:dyDescent="0.25">
      <c r="A810" s="920" t="s">
        <v>2477</v>
      </c>
      <c r="B810" s="921"/>
      <c r="C810" s="118" t="s">
        <v>13</v>
      </c>
      <c r="D810" s="118"/>
      <c r="E810" s="118">
        <v>1</v>
      </c>
      <c r="F810" s="118"/>
      <c r="G810" s="69"/>
    </row>
    <row r="811" spans="1:7" x14ac:dyDescent="0.25">
      <c r="A811" s="1226" t="s">
        <v>2413</v>
      </c>
      <c r="B811" s="1227"/>
      <c r="C811" s="43" t="s">
        <v>2414</v>
      </c>
      <c r="D811" s="97">
        <v>256708.19999999998</v>
      </c>
      <c r="E811" s="92">
        <v>1</v>
      </c>
      <c r="F811" s="85">
        <f>+D811*E811</f>
        <v>256708.19999999998</v>
      </c>
      <c r="G811" s="69"/>
    </row>
    <row r="812" spans="1:7" x14ac:dyDescent="0.25">
      <c r="A812" s="1228"/>
      <c r="B812" s="1229"/>
      <c r="C812" s="43"/>
      <c r="D812" s="97"/>
      <c r="E812" s="92"/>
      <c r="F812" s="85"/>
      <c r="G812" s="43" t="s">
        <v>31</v>
      </c>
    </row>
    <row r="813" spans="1:7" x14ac:dyDescent="0.25">
      <c r="A813" s="1228"/>
      <c r="B813" s="1229"/>
      <c r="C813" s="69"/>
      <c r="D813" s="69"/>
      <c r="E813" s="69"/>
      <c r="F813" s="69"/>
      <c r="G813" s="65">
        <f>+F811</f>
        <v>256708.19999999998</v>
      </c>
    </row>
    <row r="814" spans="1:7" ht="24" x14ac:dyDescent="0.25">
      <c r="A814" s="900" t="s">
        <v>329</v>
      </c>
      <c r="B814" s="89" t="s">
        <v>38</v>
      </c>
      <c r="C814" s="89" t="s">
        <v>39</v>
      </c>
      <c r="D814" s="80" t="s">
        <v>40</v>
      </c>
      <c r="E814" s="80" t="s">
        <v>34</v>
      </c>
      <c r="F814" s="80" t="s">
        <v>35</v>
      </c>
      <c r="G814" s="67"/>
    </row>
    <row r="815" spans="1:7" x14ac:dyDescent="0.25">
      <c r="A815" s="899"/>
      <c r="B815" s="43"/>
      <c r="C815" s="43"/>
      <c r="D815" s="62"/>
      <c r="E815" s="91"/>
      <c r="F815" s="62"/>
      <c r="G815" s="69"/>
    </row>
    <row r="816" spans="1:7" x14ac:dyDescent="0.25">
      <c r="A816" s="90"/>
      <c r="B816" s="43"/>
      <c r="C816" s="43"/>
      <c r="D816" s="62"/>
      <c r="E816" s="91"/>
      <c r="F816" s="62"/>
      <c r="G816" s="69"/>
    </row>
    <row r="817" spans="1:7" x14ac:dyDescent="0.25">
      <c r="A817" s="90"/>
      <c r="B817" s="43"/>
      <c r="C817" s="43"/>
      <c r="D817" s="62"/>
      <c r="E817" s="92"/>
      <c r="F817" s="62"/>
      <c r="G817" s="69"/>
    </row>
    <row r="818" spans="1:7" x14ac:dyDescent="0.25">
      <c r="A818" s="90" t="s">
        <v>25</v>
      </c>
      <c r="B818" s="43" t="s">
        <v>25</v>
      </c>
      <c r="C818" s="43" t="s">
        <v>25</v>
      </c>
      <c r="D818" s="61" t="s">
        <v>25</v>
      </c>
      <c r="E818" s="92" t="s">
        <v>25</v>
      </c>
      <c r="F818" s="62" t="s">
        <v>25</v>
      </c>
      <c r="G818" s="43" t="s">
        <v>31</v>
      </c>
    </row>
    <row r="819" spans="1:7" x14ac:dyDescent="0.25">
      <c r="A819" s="90"/>
      <c r="B819" s="69"/>
      <c r="C819" s="69"/>
      <c r="D819" s="69"/>
      <c r="E819" s="69"/>
      <c r="F819" s="69"/>
      <c r="G819" s="64">
        <f>+F815*E815</f>
        <v>0</v>
      </c>
    </row>
    <row r="820" spans="1:7" ht="24" x14ac:dyDescent="0.25">
      <c r="A820" s="900" t="s">
        <v>41</v>
      </c>
      <c r="B820" s="80" t="s">
        <v>42</v>
      </c>
      <c r="C820" s="80" t="s">
        <v>43</v>
      </c>
      <c r="D820" s="80" t="s">
        <v>44</v>
      </c>
      <c r="E820" s="89" t="s">
        <v>306</v>
      </c>
      <c r="F820" s="80" t="s">
        <v>35</v>
      </c>
      <c r="G820" s="67"/>
    </row>
    <row r="821" spans="1:7" x14ac:dyDescent="0.25">
      <c r="A821" s="81"/>
      <c r="B821" s="81"/>
      <c r="C821" s="81"/>
      <c r="D821" s="81"/>
      <c r="E821" s="81"/>
      <c r="F821" s="81"/>
      <c r="G821" s="81"/>
    </row>
    <row r="822" spans="1:7" x14ac:dyDescent="0.25">
      <c r="A822" s="69" t="s">
        <v>2372</v>
      </c>
      <c r="B822" s="85"/>
      <c r="C822" s="96"/>
      <c r="D822" s="62"/>
      <c r="E822" s="121"/>
      <c r="F822" s="62"/>
      <c r="G822" s="69"/>
    </row>
    <row r="823" spans="1:7" ht="48.75" x14ac:dyDescent="0.25">
      <c r="A823" s="881" t="s">
        <v>2412</v>
      </c>
      <c r="B823" s="85">
        <v>265000</v>
      </c>
      <c r="C823" s="96">
        <v>0.9</v>
      </c>
      <c r="D823" s="62">
        <f>(B823*C823)+B823</f>
        <v>503500</v>
      </c>
      <c r="E823" s="101">
        <v>4</v>
      </c>
      <c r="F823" s="62">
        <f xml:space="preserve"> D823/E823</f>
        <v>125875</v>
      </c>
      <c r="G823" s="69" t="s">
        <v>25</v>
      </c>
    </row>
    <row r="824" spans="1:7" x14ac:dyDescent="0.25">
      <c r="A824" s="69"/>
      <c r="B824" s="85"/>
      <c r="C824" s="69"/>
      <c r="D824" s="62"/>
      <c r="E824" s="69"/>
      <c r="F824" s="62"/>
      <c r="G824" s="69"/>
    </row>
    <row r="825" spans="1:7" x14ac:dyDescent="0.25">
      <c r="A825" s="69"/>
      <c r="B825" s="69"/>
      <c r="C825" s="69"/>
      <c r="D825" s="69"/>
      <c r="E825" s="69"/>
      <c r="F825" s="69"/>
      <c r="G825" s="43" t="s">
        <v>31</v>
      </c>
    </row>
    <row r="826" spans="1:7" x14ac:dyDescent="0.25">
      <c r="A826" s="82"/>
      <c r="B826" s="82"/>
      <c r="C826" s="82"/>
      <c r="D826" s="82"/>
      <c r="E826" s="82"/>
      <c r="F826" s="82"/>
      <c r="G826" s="64">
        <f>F824+F823+F822</f>
        <v>125875</v>
      </c>
    </row>
    <row r="827" spans="1:7" x14ac:dyDescent="0.25">
      <c r="A827" s="1230" t="s">
        <v>25</v>
      </c>
      <c r="B827" s="1230"/>
      <c r="C827" s="1230"/>
      <c r="D827" s="1230"/>
      <c r="E827" s="1230"/>
      <c r="F827" s="1230"/>
      <c r="G827" s="1233"/>
    </row>
    <row r="828" spans="1:7" x14ac:dyDescent="0.25">
      <c r="A828" s="1248" t="s">
        <v>45</v>
      </c>
      <c r="B828" s="1248"/>
      <c r="C828" s="1248"/>
      <c r="D828" s="1248"/>
      <c r="E828" s="1231"/>
      <c r="F828" s="93"/>
      <c r="G828" s="70">
        <f xml:space="preserve"> G826+G819+G813+G804</f>
        <v>388876.94999999995</v>
      </c>
    </row>
    <row r="829" spans="1:7" x14ac:dyDescent="0.25">
      <c r="A829" s="1232" t="s">
        <v>476</v>
      </c>
      <c r="B829" s="1232"/>
      <c r="C829" s="1222"/>
      <c r="D829" s="1222"/>
      <c r="E829" s="1222" t="s">
        <v>44</v>
      </c>
      <c r="F829" s="1222" t="s">
        <v>51</v>
      </c>
      <c r="G829" s="1222" t="s">
        <v>307</v>
      </c>
    </row>
    <row r="830" spans="1:7" x14ac:dyDescent="0.25">
      <c r="A830" s="1232"/>
      <c r="B830" s="1232"/>
      <c r="C830" s="1222"/>
      <c r="D830" s="1222"/>
      <c r="E830" s="1222"/>
      <c r="F830" s="1222"/>
      <c r="G830" s="1222"/>
    </row>
    <row r="831" spans="1:7" x14ac:dyDescent="0.25">
      <c r="A831" s="1244" t="s">
        <v>17</v>
      </c>
      <c r="B831" s="1244"/>
      <c r="C831" s="1244"/>
      <c r="D831" s="1244"/>
      <c r="E831" s="1244"/>
      <c r="F831" s="1221"/>
      <c r="G831" s="1222"/>
    </row>
    <row r="832" spans="1:7" x14ac:dyDescent="0.25">
      <c r="A832" s="1244" t="s">
        <v>308</v>
      </c>
      <c r="B832" s="1244"/>
      <c r="C832" s="1244"/>
      <c r="D832" s="1244"/>
      <c r="E832" s="1244"/>
      <c r="F832" s="1221"/>
      <c r="G832" s="1222"/>
    </row>
    <row r="833" spans="1:7" x14ac:dyDescent="0.25">
      <c r="A833" s="1244" t="s">
        <v>19</v>
      </c>
      <c r="B833" s="1244"/>
      <c r="C833" s="1244"/>
      <c r="D833" s="1244"/>
      <c r="E833" s="1244"/>
      <c r="F833" s="1221"/>
      <c r="G833" s="1222"/>
    </row>
    <row r="834" spans="1:7" x14ac:dyDescent="0.25">
      <c r="A834" s="1244" t="s">
        <v>309</v>
      </c>
      <c r="B834" s="1244"/>
      <c r="C834" s="1244"/>
      <c r="D834" s="1244"/>
      <c r="E834" s="1244"/>
      <c r="F834" s="1221"/>
      <c r="G834" s="1222"/>
    </row>
    <row r="835" spans="1:7" x14ac:dyDescent="0.25">
      <c r="A835" s="1245" t="s">
        <v>310</v>
      </c>
      <c r="B835" s="1245"/>
      <c r="C835" s="1245"/>
      <c r="D835" s="1245"/>
      <c r="E835" s="1245"/>
      <c r="F835" s="1222"/>
      <c r="G835" s="1222"/>
    </row>
    <row r="836" spans="1:7" x14ac:dyDescent="0.25">
      <c r="A836" s="95"/>
      <c r="B836" s="94"/>
      <c r="C836" s="94"/>
      <c r="D836" s="94"/>
      <c r="E836" s="94"/>
      <c r="F836" s="882" t="s">
        <v>300</v>
      </c>
      <c r="G836" s="882" t="s">
        <v>2437</v>
      </c>
    </row>
    <row r="837" spans="1:7" x14ac:dyDescent="0.25">
      <c r="A837" s="1238" t="s">
        <v>745</v>
      </c>
      <c r="B837" s="1246"/>
      <c r="C837" s="1246"/>
      <c r="D837" s="1246"/>
      <c r="E837" s="1247"/>
      <c r="F837" s="880" t="s">
        <v>24</v>
      </c>
      <c r="G837" s="880" t="s">
        <v>15</v>
      </c>
    </row>
    <row r="838" spans="1:7" x14ac:dyDescent="0.25">
      <c r="A838" s="1229" t="s">
        <v>25</v>
      </c>
      <c r="B838" s="1229"/>
      <c r="C838" s="1229"/>
      <c r="D838" s="1229"/>
      <c r="E838" s="1229"/>
      <c r="F838" s="1229"/>
      <c r="G838" s="1229"/>
    </row>
    <row r="839" spans="1:7" x14ac:dyDescent="0.25">
      <c r="A839" s="1234" t="s">
        <v>469</v>
      </c>
      <c r="B839" s="1235"/>
      <c r="C839" s="80" t="s">
        <v>26</v>
      </c>
      <c r="D839" s="80" t="s">
        <v>27</v>
      </c>
      <c r="E839" s="80" t="s">
        <v>28</v>
      </c>
      <c r="F839" s="80" t="s">
        <v>35</v>
      </c>
      <c r="G839" s="67"/>
    </row>
    <row r="840" spans="1:7" x14ac:dyDescent="0.25">
      <c r="A840" s="1236"/>
      <c r="B840" s="1236"/>
      <c r="C840" s="69"/>
      <c r="D840" s="62"/>
      <c r="E840" s="62"/>
      <c r="F840" s="62"/>
      <c r="G840" s="81"/>
    </row>
    <row r="841" spans="1:7" x14ac:dyDescent="0.25">
      <c r="A841" s="1236"/>
      <c r="B841" s="1236"/>
      <c r="C841" s="69"/>
      <c r="D841" s="62"/>
      <c r="E841" s="62"/>
      <c r="F841" s="62"/>
      <c r="G841" s="69"/>
    </row>
    <row r="842" spans="1:7" x14ac:dyDescent="0.25">
      <c r="A842" s="1236" t="s">
        <v>30</v>
      </c>
      <c r="B842" s="1236"/>
      <c r="C842" s="69"/>
      <c r="D842" s="69"/>
      <c r="E842" s="69"/>
      <c r="F842" s="62">
        <f>+F864*0.05</f>
        <v>6293.75</v>
      </c>
      <c r="G842" s="69"/>
    </row>
    <row r="843" spans="1:7" x14ac:dyDescent="0.25">
      <c r="A843" s="1236"/>
      <c r="B843" s="1236"/>
      <c r="C843" s="69"/>
      <c r="D843" s="69"/>
      <c r="E843" s="69"/>
      <c r="F843" s="69"/>
      <c r="G843" s="69"/>
    </row>
    <row r="844" spans="1:7" x14ac:dyDescent="0.25">
      <c r="A844" s="1236" t="s">
        <v>25</v>
      </c>
      <c r="B844" s="1236"/>
      <c r="C844" s="69"/>
      <c r="D844" s="69"/>
      <c r="E844" s="69"/>
      <c r="F844" s="69"/>
      <c r="G844" s="83" t="s">
        <v>31</v>
      </c>
    </row>
    <row r="845" spans="1:7" x14ac:dyDescent="0.25">
      <c r="A845" s="1237"/>
      <c r="B845" s="1237"/>
      <c r="C845" s="82"/>
      <c r="D845" s="82"/>
      <c r="E845" s="82"/>
      <c r="F845" s="82"/>
      <c r="G845" s="64">
        <f>F842+F841+F840</f>
        <v>6293.75</v>
      </c>
    </row>
    <row r="846" spans="1:7" x14ac:dyDescent="0.25">
      <c r="A846" s="1234" t="s">
        <v>475</v>
      </c>
      <c r="B846" s="1235"/>
      <c r="C846" s="80" t="s">
        <v>32</v>
      </c>
      <c r="D846" s="80" t="s">
        <v>33</v>
      </c>
      <c r="E846" s="80" t="s">
        <v>34</v>
      </c>
      <c r="F846" s="80" t="s">
        <v>35</v>
      </c>
      <c r="G846" s="67"/>
    </row>
    <row r="847" spans="1:7" x14ac:dyDescent="0.25">
      <c r="A847" s="929" t="s">
        <v>660</v>
      </c>
      <c r="B847" s="927"/>
      <c r="C847" s="503" t="s">
        <v>15</v>
      </c>
      <c r="D847" s="931"/>
      <c r="E847" s="504">
        <v>1</v>
      </c>
      <c r="F847" s="118"/>
      <c r="G847" s="69"/>
    </row>
    <row r="848" spans="1:7" x14ac:dyDescent="0.25">
      <c r="A848" s="929" t="s">
        <v>2079</v>
      </c>
      <c r="B848" s="927"/>
      <c r="C848" s="503" t="s">
        <v>344</v>
      </c>
      <c r="D848" s="931"/>
      <c r="E848" s="504">
        <v>2.5000000000000001E-2</v>
      </c>
      <c r="F848" s="118"/>
      <c r="G848" s="69"/>
    </row>
    <row r="849" spans="1:7" x14ac:dyDescent="0.25">
      <c r="A849" s="929" t="s">
        <v>2080</v>
      </c>
      <c r="B849" s="927"/>
      <c r="C849" s="503" t="s">
        <v>344</v>
      </c>
      <c r="D849" s="931"/>
      <c r="E849" s="504">
        <v>7.4999999999999997E-2</v>
      </c>
      <c r="F849" s="118"/>
      <c r="G849" s="69"/>
    </row>
    <row r="850" spans="1:7" x14ac:dyDescent="0.25">
      <c r="A850" s="928" t="s">
        <v>2081</v>
      </c>
      <c r="B850" s="927"/>
      <c r="C850" s="503" t="s">
        <v>15</v>
      </c>
      <c r="D850" s="928"/>
      <c r="E850" s="504">
        <v>4</v>
      </c>
      <c r="F850" s="118"/>
      <c r="G850" s="69"/>
    </row>
    <row r="851" spans="1:7" x14ac:dyDescent="0.25">
      <c r="A851" s="926" t="s">
        <v>2476</v>
      </c>
      <c r="B851" s="927"/>
      <c r="C851" s="118" t="s">
        <v>13</v>
      </c>
      <c r="D851" s="118"/>
      <c r="E851" s="118">
        <v>1</v>
      </c>
      <c r="F851" s="118"/>
      <c r="G851" s="69"/>
    </row>
    <row r="852" spans="1:7" x14ac:dyDescent="0.25">
      <c r="A852" s="1226" t="s">
        <v>2413</v>
      </c>
      <c r="B852" s="1227"/>
      <c r="C852" s="43" t="s">
        <v>2414</v>
      </c>
      <c r="D852" s="97">
        <v>238190.24999999962</v>
      </c>
      <c r="E852" s="92">
        <v>1</v>
      </c>
      <c r="F852" s="85">
        <f>+D852*E852</f>
        <v>238190.24999999962</v>
      </c>
      <c r="G852" s="69"/>
    </row>
    <row r="853" spans="1:7" x14ac:dyDescent="0.25">
      <c r="A853" s="1228"/>
      <c r="B853" s="1229"/>
      <c r="C853" s="43"/>
      <c r="D853" s="97"/>
      <c r="E853" s="92"/>
      <c r="F853" s="85"/>
      <c r="G853" s="43" t="s">
        <v>31</v>
      </c>
    </row>
    <row r="854" spans="1:7" x14ac:dyDescent="0.25">
      <c r="A854" s="1228"/>
      <c r="B854" s="1229"/>
      <c r="C854" s="69"/>
      <c r="D854" s="69"/>
      <c r="E854" s="69"/>
      <c r="F854" s="69"/>
      <c r="G854" s="65">
        <f>+F852</f>
        <v>238190.24999999962</v>
      </c>
    </row>
    <row r="855" spans="1:7" ht="24" x14ac:dyDescent="0.25">
      <c r="A855" s="901" t="s">
        <v>329</v>
      </c>
      <c r="B855" s="89" t="s">
        <v>38</v>
      </c>
      <c r="C855" s="89" t="s">
        <v>39</v>
      </c>
      <c r="D855" s="80" t="s">
        <v>40</v>
      </c>
      <c r="E855" s="80" t="s">
        <v>34</v>
      </c>
      <c r="F855" s="80" t="s">
        <v>35</v>
      </c>
      <c r="G855" s="67"/>
    </row>
    <row r="856" spans="1:7" x14ac:dyDescent="0.25">
      <c r="A856" s="899"/>
      <c r="B856" s="43"/>
      <c r="C856" s="43"/>
      <c r="D856" s="62"/>
      <c r="E856" s="91"/>
      <c r="F856" s="62"/>
      <c r="G856" s="69"/>
    </row>
    <row r="857" spans="1:7" x14ac:dyDescent="0.25">
      <c r="A857" s="90"/>
      <c r="B857" s="43"/>
      <c r="C857" s="43"/>
      <c r="D857" s="62"/>
      <c r="E857" s="91"/>
      <c r="F857" s="62"/>
      <c r="G857" s="69"/>
    </row>
    <row r="858" spans="1:7" x14ac:dyDescent="0.25">
      <c r="A858" s="90"/>
      <c r="B858" s="43"/>
      <c r="C858" s="43"/>
      <c r="D858" s="62"/>
      <c r="E858" s="92"/>
      <c r="F858" s="62"/>
      <c r="G858" s="69"/>
    </row>
    <row r="859" spans="1:7" x14ac:dyDescent="0.25">
      <c r="A859" s="90" t="s">
        <v>25</v>
      </c>
      <c r="B859" s="43" t="s">
        <v>25</v>
      </c>
      <c r="C859" s="43" t="s">
        <v>25</v>
      </c>
      <c r="D859" s="61" t="s">
        <v>25</v>
      </c>
      <c r="E859" s="92" t="s">
        <v>25</v>
      </c>
      <c r="F859" s="62" t="s">
        <v>25</v>
      </c>
      <c r="G859" s="43" t="s">
        <v>31</v>
      </c>
    </row>
    <row r="860" spans="1:7" x14ac:dyDescent="0.25">
      <c r="A860" s="90"/>
      <c r="B860" s="69"/>
      <c r="C860" s="69"/>
      <c r="D860" s="69"/>
      <c r="E860" s="69"/>
      <c r="F860" s="69"/>
      <c r="G860" s="64">
        <f>+F856*E856</f>
        <v>0</v>
      </c>
    </row>
    <row r="861" spans="1:7" ht="24" x14ac:dyDescent="0.25">
      <c r="A861" s="901" t="s">
        <v>41</v>
      </c>
      <c r="B861" s="80" t="s">
        <v>42</v>
      </c>
      <c r="C861" s="80" t="s">
        <v>43</v>
      </c>
      <c r="D861" s="80" t="s">
        <v>44</v>
      </c>
      <c r="E861" s="89" t="s">
        <v>306</v>
      </c>
      <c r="F861" s="80" t="s">
        <v>35</v>
      </c>
      <c r="G861" s="67"/>
    </row>
    <row r="862" spans="1:7" x14ac:dyDescent="0.25">
      <c r="A862" s="81"/>
      <c r="B862" s="81"/>
      <c r="C862" s="81"/>
      <c r="D862" s="81"/>
      <c r="E862" s="81"/>
      <c r="F862" s="81"/>
      <c r="G862" s="81"/>
    </row>
    <row r="863" spans="1:7" x14ac:dyDescent="0.25">
      <c r="A863" s="69" t="s">
        <v>2372</v>
      </c>
      <c r="B863" s="85"/>
      <c r="C863" s="96"/>
      <c r="D863" s="62"/>
      <c r="E863" s="121"/>
      <c r="F863" s="62"/>
      <c r="G863" s="69"/>
    </row>
    <row r="864" spans="1:7" ht="48.75" x14ac:dyDescent="0.25">
      <c r="A864" s="881" t="s">
        <v>2412</v>
      </c>
      <c r="B864" s="85">
        <v>265000</v>
      </c>
      <c r="C864" s="96">
        <v>0.9</v>
      </c>
      <c r="D864" s="62">
        <f>(B864*C864)+B864</f>
        <v>503500</v>
      </c>
      <c r="E864" s="101">
        <v>4</v>
      </c>
      <c r="F864" s="62">
        <f xml:space="preserve"> D864/E864</f>
        <v>125875</v>
      </c>
      <c r="G864" s="69" t="s">
        <v>25</v>
      </c>
    </row>
    <row r="865" spans="1:7" x14ac:dyDescent="0.25">
      <c r="A865" s="69"/>
      <c r="B865" s="85"/>
      <c r="C865" s="69"/>
      <c r="D865" s="62"/>
      <c r="E865" s="69"/>
      <c r="F865" s="62"/>
      <c r="G865" s="69"/>
    </row>
    <row r="866" spans="1:7" x14ac:dyDescent="0.25">
      <c r="A866" s="69"/>
      <c r="B866" s="69"/>
      <c r="C866" s="69"/>
      <c r="D866" s="69"/>
      <c r="E866" s="69"/>
      <c r="F866" s="69"/>
      <c r="G866" s="43" t="s">
        <v>31</v>
      </c>
    </row>
    <row r="867" spans="1:7" x14ac:dyDescent="0.25">
      <c r="A867" s="82"/>
      <c r="B867" s="82"/>
      <c r="C867" s="82"/>
      <c r="D867" s="82"/>
      <c r="E867" s="82"/>
      <c r="F867" s="82"/>
      <c r="G867" s="64">
        <f>F865+F864+F863</f>
        <v>125875</v>
      </c>
    </row>
    <row r="868" spans="1:7" x14ac:dyDescent="0.25">
      <c r="A868" s="1230" t="s">
        <v>25</v>
      </c>
      <c r="B868" s="1230"/>
      <c r="C868" s="1230"/>
      <c r="D868" s="1230"/>
      <c r="E868" s="1230"/>
      <c r="F868" s="1230"/>
      <c r="G868" s="1230"/>
    </row>
    <row r="869" spans="1:7" x14ac:dyDescent="0.25">
      <c r="A869" s="1248" t="s">
        <v>45</v>
      </c>
      <c r="B869" s="1248"/>
      <c r="C869" s="1248"/>
      <c r="D869" s="1248"/>
      <c r="E869" s="1231"/>
      <c r="F869" s="93"/>
      <c r="G869" s="70">
        <f xml:space="preserve"> G867+G860+G854+G845</f>
        <v>370358.99999999965</v>
      </c>
    </row>
    <row r="870" spans="1:7" x14ac:dyDescent="0.25">
      <c r="A870" s="1232" t="s">
        <v>476</v>
      </c>
      <c r="B870" s="1232"/>
      <c r="C870" s="1222"/>
      <c r="D870" s="1222"/>
      <c r="E870" s="1222" t="s">
        <v>44</v>
      </c>
      <c r="F870" s="1222" t="s">
        <v>51</v>
      </c>
      <c r="G870" s="1222" t="s">
        <v>307</v>
      </c>
    </row>
    <row r="871" spans="1:7" x14ac:dyDescent="0.25">
      <c r="A871" s="1232"/>
      <c r="B871" s="1232"/>
      <c r="C871" s="1222"/>
      <c r="D871" s="1222"/>
      <c r="E871" s="1222"/>
      <c r="F871" s="1222"/>
      <c r="G871" s="1222"/>
    </row>
    <row r="872" spans="1:7" x14ac:dyDescent="0.25">
      <c r="A872" s="1244" t="s">
        <v>17</v>
      </c>
      <c r="B872" s="1244"/>
      <c r="C872" s="1244"/>
      <c r="D872" s="1244"/>
      <c r="E872" s="1244"/>
      <c r="F872" s="1221"/>
      <c r="G872" s="1222"/>
    </row>
    <row r="873" spans="1:7" x14ac:dyDescent="0.25">
      <c r="A873" s="1244" t="s">
        <v>308</v>
      </c>
      <c r="B873" s="1244"/>
      <c r="C873" s="1244"/>
      <c r="D873" s="1244"/>
      <c r="E873" s="1244"/>
      <c r="F873" s="1221"/>
      <c r="G873" s="1222"/>
    </row>
    <row r="874" spans="1:7" x14ac:dyDescent="0.25">
      <c r="A874" s="1244" t="s">
        <v>19</v>
      </c>
      <c r="B874" s="1244"/>
      <c r="C874" s="1244"/>
      <c r="D874" s="1244"/>
      <c r="E874" s="1244"/>
      <c r="F874" s="1221"/>
      <c r="G874" s="1222"/>
    </row>
    <row r="875" spans="1:7" x14ac:dyDescent="0.25">
      <c r="A875" s="1244" t="s">
        <v>309</v>
      </c>
      <c r="B875" s="1244"/>
      <c r="C875" s="1244"/>
      <c r="D875" s="1244"/>
      <c r="E875" s="1244"/>
      <c r="F875" s="1221"/>
      <c r="G875" s="1222"/>
    </row>
    <row r="876" spans="1:7" x14ac:dyDescent="0.25">
      <c r="A876" s="1245" t="s">
        <v>310</v>
      </c>
      <c r="B876" s="1245"/>
      <c r="C876" s="1245"/>
      <c r="D876" s="1245"/>
      <c r="E876" s="1245"/>
      <c r="F876" s="1222"/>
      <c r="G876" s="1222"/>
    </row>
    <row r="879" spans="1:7" x14ac:dyDescent="0.25">
      <c r="A879" s="95"/>
      <c r="B879" s="94"/>
      <c r="C879" s="94"/>
      <c r="D879" s="94"/>
      <c r="E879" s="94"/>
      <c r="F879" s="882" t="s">
        <v>300</v>
      </c>
      <c r="G879" s="882" t="s">
        <v>2438</v>
      </c>
    </row>
    <row r="880" spans="1:7" x14ac:dyDescent="0.25">
      <c r="A880" s="1238" t="s">
        <v>746</v>
      </c>
      <c r="B880" s="1246"/>
      <c r="C880" s="1246"/>
      <c r="D880" s="1246"/>
      <c r="E880" s="1247"/>
      <c r="F880" s="880" t="s">
        <v>24</v>
      </c>
      <c r="G880" s="880" t="s">
        <v>15</v>
      </c>
    </row>
    <row r="881" spans="1:7" x14ac:dyDescent="0.25">
      <c r="A881" s="1233" t="s">
        <v>25</v>
      </c>
      <c r="B881" s="1233"/>
      <c r="C881" s="1233"/>
      <c r="D881" s="1233"/>
      <c r="E881" s="1233"/>
      <c r="F881" s="1233"/>
      <c r="G881" s="1233"/>
    </row>
    <row r="882" spans="1:7" x14ac:dyDescent="0.25">
      <c r="A882" s="1234" t="s">
        <v>469</v>
      </c>
      <c r="B882" s="1235"/>
      <c r="C882" s="80" t="s">
        <v>26</v>
      </c>
      <c r="D882" s="80" t="s">
        <v>27</v>
      </c>
      <c r="E882" s="80" t="s">
        <v>28</v>
      </c>
      <c r="F882" s="80" t="s">
        <v>35</v>
      </c>
      <c r="G882" s="67"/>
    </row>
    <row r="883" spans="1:7" x14ac:dyDescent="0.25">
      <c r="A883" s="1236"/>
      <c r="B883" s="1236"/>
      <c r="C883" s="69"/>
      <c r="D883" s="62"/>
      <c r="E883" s="62"/>
      <c r="F883" s="62"/>
      <c r="G883" s="81"/>
    </row>
    <row r="884" spans="1:7" x14ac:dyDescent="0.25">
      <c r="A884" s="1236"/>
      <c r="B884" s="1236"/>
      <c r="C884" s="69"/>
      <c r="D884" s="62"/>
      <c r="E884" s="62"/>
      <c r="F884" s="62"/>
      <c r="G884" s="69"/>
    </row>
    <row r="885" spans="1:7" x14ac:dyDescent="0.25">
      <c r="A885" s="1236" t="s">
        <v>30</v>
      </c>
      <c r="B885" s="1236"/>
      <c r="C885" s="69"/>
      <c r="D885" s="69"/>
      <c r="E885" s="69"/>
      <c r="F885" s="62">
        <f>+F908*0.05</f>
        <v>6293.75</v>
      </c>
      <c r="G885" s="69"/>
    </row>
    <row r="886" spans="1:7" x14ac:dyDescent="0.25">
      <c r="A886" s="1236"/>
      <c r="B886" s="1236"/>
      <c r="C886" s="69"/>
      <c r="D886" s="69"/>
      <c r="E886" s="69"/>
      <c r="F886" s="69"/>
      <c r="G886" s="69"/>
    </row>
    <row r="887" spans="1:7" x14ac:dyDescent="0.25">
      <c r="A887" s="1236" t="s">
        <v>25</v>
      </c>
      <c r="B887" s="1236"/>
      <c r="C887" s="69"/>
      <c r="D887" s="69"/>
      <c r="E887" s="69"/>
      <c r="F887" s="69"/>
      <c r="G887" s="83" t="s">
        <v>31</v>
      </c>
    </row>
    <row r="888" spans="1:7" x14ac:dyDescent="0.25">
      <c r="A888" s="1237"/>
      <c r="B888" s="1237"/>
      <c r="C888" s="82"/>
      <c r="D888" s="82"/>
      <c r="E888" s="82"/>
      <c r="F888" s="82"/>
      <c r="G888" s="64">
        <f>F885+F884+F883</f>
        <v>6293.75</v>
      </c>
    </row>
    <row r="889" spans="1:7" x14ac:dyDescent="0.25">
      <c r="A889" s="1234" t="s">
        <v>475</v>
      </c>
      <c r="B889" s="1235"/>
      <c r="C889" s="80" t="s">
        <v>32</v>
      </c>
      <c r="D889" s="80" t="s">
        <v>33</v>
      </c>
      <c r="E889" s="80" t="s">
        <v>34</v>
      </c>
      <c r="F889" s="80" t="s">
        <v>35</v>
      </c>
      <c r="G889" s="67"/>
    </row>
    <row r="890" spans="1:7" x14ac:dyDescent="0.25">
      <c r="A890" s="929" t="s">
        <v>660</v>
      </c>
      <c r="B890" s="927"/>
      <c r="C890" s="503" t="s">
        <v>15</v>
      </c>
      <c r="D890" s="931"/>
      <c r="E890" s="504">
        <v>1</v>
      </c>
      <c r="F890" s="118"/>
      <c r="G890" s="69"/>
    </row>
    <row r="891" spans="1:7" x14ac:dyDescent="0.25">
      <c r="A891" s="929" t="s">
        <v>2079</v>
      </c>
      <c r="B891" s="927"/>
      <c r="C891" s="503" t="s">
        <v>344</v>
      </c>
      <c r="D891" s="931"/>
      <c r="E891" s="504">
        <v>2.5000000000000001E-2</v>
      </c>
      <c r="F891" s="118"/>
      <c r="G891" s="69"/>
    </row>
    <row r="892" spans="1:7" x14ac:dyDescent="0.25">
      <c r="A892" s="929" t="s">
        <v>2080</v>
      </c>
      <c r="B892" s="927"/>
      <c r="C892" s="503" t="s">
        <v>344</v>
      </c>
      <c r="D892" s="931"/>
      <c r="E892" s="504">
        <v>7.4999999999999997E-2</v>
      </c>
      <c r="F892" s="118"/>
      <c r="G892" s="69"/>
    </row>
    <row r="893" spans="1:7" x14ac:dyDescent="0.25">
      <c r="A893" s="928" t="s">
        <v>2081</v>
      </c>
      <c r="B893" s="927"/>
      <c r="C893" s="503" t="s">
        <v>15</v>
      </c>
      <c r="D893" s="928"/>
      <c r="E893" s="504">
        <v>4</v>
      </c>
      <c r="F893" s="118"/>
      <c r="G893" s="69"/>
    </row>
    <row r="894" spans="1:7" x14ac:dyDescent="0.25">
      <c r="A894" s="926" t="s">
        <v>2478</v>
      </c>
      <c r="B894" s="927"/>
      <c r="C894" s="118" t="s">
        <v>13</v>
      </c>
      <c r="D894" s="118"/>
      <c r="E894" s="118">
        <v>1</v>
      </c>
      <c r="F894" s="118"/>
      <c r="G894" s="69"/>
    </row>
    <row r="895" spans="1:7" x14ac:dyDescent="0.25">
      <c r="A895" s="939"/>
      <c r="B895" s="927"/>
      <c r="C895" s="118"/>
      <c r="D895" s="118"/>
      <c r="E895" s="118"/>
      <c r="F895" s="118"/>
      <c r="G895" s="69"/>
    </row>
    <row r="896" spans="1:7" x14ac:dyDescent="0.25">
      <c r="A896" s="1226" t="s">
        <v>2413</v>
      </c>
      <c r="B896" s="1227"/>
      <c r="C896" s="43" t="s">
        <v>2414</v>
      </c>
      <c r="D896" s="97">
        <v>199677.25</v>
      </c>
      <c r="E896" s="92">
        <v>1</v>
      </c>
      <c r="F896" s="85">
        <f>+D896*E896</f>
        <v>199677.25</v>
      </c>
      <c r="G896" s="69"/>
    </row>
    <row r="897" spans="1:7" x14ac:dyDescent="0.25">
      <c r="A897" s="1228"/>
      <c r="B897" s="1229"/>
      <c r="C897" s="43"/>
      <c r="D897" s="97"/>
      <c r="E897" s="92"/>
      <c r="F897" s="85"/>
      <c r="G897" s="43" t="s">
        <v>31</v>
      </c>
    </row>
    <row r="898" spans="1:7" x14ac:dyDescent="0.25">
      <c r="A898" s="1228"/>
      <c r="B898" s="1229"/>
      <c r="C898" s="69"/>
      <c r="D898" s="69"/>
      <c r="E898" s="69"/>
      <c r="F898" s="69"/>
      <c r="G898" s="65">
        <f>+F896</f>
        <v>199677.25</v>
      </c>
    </row>
    <row r="899" spans="1:7" ht="24" x14ac:dyDescent="0.25">
      <c r="A899" s="901" t="s">
        <v>329</v>
      </c>
      <c r="B899" s="89" t="s">
        <v>38</v>
      </c>
      <c r="C899" s="89" t="s">
        <v>39</v>
      </c>
      <c r="D899" s="80" t="s">
        <v>40</v>
      </c>
      <c r="E899" s="80" t="s">
        <v>34</v>
      </c>
      <c r="F899" s="80" t="s">
        <v>35</v>
      </c>
      <c r="G899" s="67"/>
    </row>
    <row r="900" spans="1:7" x14ac:dyDescent="0.25">
      <c r="A900" s="899"/>
      <c r="B900" s="43"/>
      <c r="C900" s="43"/>
      <c r="D900" s="62"/>
      <c r="E900" s="91"/>
      <c r="F900" s="62"/>
      <c r="G900" s="69"/>
    </row>
    <row r="901" spans="1:7" x14ac:dyDescent="0.25">
      <c r="A901" s="90"/>
      <c r="B901" s="43"/>
      <c r="C901" s="43"/>
      <c r="D901" s="62"/>
      <c r="E901" s="91"/>
      <c r="F901" s="62"/>
      <c r="G901" s="69"/>
    </row>
    <row r="902" spans="1:7" x14ac:dyDescent="0.25">
      <c r="A902" s="90"/>
      <c r="B902" s="43"/>
      <c r="C902" s="43"/>
      <c r="D902" s="62"/>
      <c r="E902" s="92"/>
      <c r="F902" s="62"/>
      <c r="G902" s="69"/>
    </row>
    <row r="903" spans="1:7" x14ac:dyDescent="0.25">
      <c r="A903" s="90" t="s">
        <v>25</v>
      </c>
      <c r="B903" s="43" t="s">
        <v>25</v>
      </c>
      <c r="C903" s="43" t="s">
        <v>25</v>
      </c>
      <c r="D903" s="61" t="s">
        <v>25</v>
      </c>
      <c r="E903" s="92" t="s">
        <v>25</v>
      </c>
      <c r="F903" s="62" t="s">
        <v>25</v>
      </c>
      <c r="G903" s="43" t="s">
        <v>31</v>
      </c>
    </row>
    <row r="904" spans="1:7" x14ac:dyDescent="0.25">
      <c r="A904" s="90"/>
      <c r="B904" s="69"/>
      <c r="C904" s="69"/>
      <c r="D904" s="69"/>
      <c r="E904" s="69"/>
      <c r="F904" s="69"/>
      <c r="G904" s="64">
        <f>+F900*E900</f>
        <v>0</v>
      </c>
    </row>
    <row r="905" spans="1:7" ht="24" x14ac:dyDescent="0.25">
      <c r="A905" s="901" t="s">
        <v>41</v>
      </c>
      <c r="B905" s="80" t="s">
        <v>42</v>
      </c>
      <c r="C905" s="80" t="s">
        <v>43</v>
      </c>
      <c r="D905" s="80" t="s">
        <v>44</v>
      </c>
      <c r="E905" s="89" t="s">
        <v>306</v>
      </c>
      <c r="F905" s="80" t="s">
        <v>35</v>
      </c>
      <c r="G905" s="67"/>
    </row>
    <row r="906" spans="1:7" x14ac:dyDescent="0.25">
      <c r="A906" s="81"/>
      <c r="B906" s="81"/>
      <c r="C906" s="81"/>
      <c r="D906" s="81"/>
      <c r="E906" s="81"/>
      <c r="F906" s="81"/>
      <c r="G906" s="81"/>
    </row>
    <row r="907" spans="1:7" x14ac:dyDescent="0.25">
      <c r="A907" s="69" t="s">
        <v>2372</v>
      </c>
      <c r="B907" s="85"/>
      <c r="C907" s="96"/>
      <c r="D907" s="62"/>
      <c r="E907" s="121"/>
      <c r="F907" s="62"/>
      <c r="G907" s="69"/>
    </row>
    <row r="908" spans="1:7" ht="48.75" x14ac:dyDescent="0.25">
      <c r="A908" s="881" t="s">
        <v>2412</v>
      </c>
      <c r="B908" s="85">
        <v>265000</v>
      </c>
      <c r="C908" s="96">
        <v>0.9</v>
      </c>
      <c r="D908" s="62">
        <f>(B908*C908)+B908</f>
        <v>503500</v>
      </c>
      <c r="E908" s="101">
        <v>4</v>
      </c>
      <c r="F908" s="62">
        <f xml:space="preserve"> D908/E908</f>
        <v>125875</v>
      </c>
      <c r="G908" s="69" t="s">
        <v>25</v>
      </c>
    </row>
    <row r="909" spans="1:7" x14ac:dyDescent="0.25">
      <c r="A909" s="69"/>
      <c r="B909" s="85"/>
      <c r="C909" s="69"/>
      <c r="D909" s="62"/>
      <c r="E909" s="69"/>
      <c r="F909" s="62"/>
      <c r="G909" s="69"/>
    </row>
    <row r="910" spans="1:7" x14ac:dyDescent="0.25">
      <c r="A910" s="69"/>
      <c r="B910" s="69"/>
      <c r="C910" s="69"/>
      <c r="D910" s="69"/>
      <c r="E910" s="69"/>
      <c r="F910" s="69"/>
      <c r="G910" s="43" t="s">
        <v>31</v>
      </c>
    </row>
    <row r="911" spans="1:7" x14ac:dyDescent="0.25">
      <c r="A911" s="82"/>
      <c r="B911" s="82"/>
      <c r="C911" s="82"/>
      <c r="D911" s="82"/>
      <c r="E911" s="82"/>
      <c r="F911" s="82"/>
      <c r="G911" s="64">
        <f>F909+F908+F907</f>
        <v>125875</v>
      </c>
    </row>
    <row r="912" spans="1:7" x14ac:dyDescent="0.25">
      <c r="A912" s="1230" t="s">
        <v>25</v>
      </c>
      <c r="B912" s="1230"/>
      <c r="C912" s="1230"/>
      <c r="D912" s="1230"/>
      <c r="E912" s="1230"/>
      <c r="F912" s="1230"/>
      <c r="G912" s="1230"/>
    </row>
    <row r="913" spans="1:7" x14ac:dyDescent="0.25">
      <c r="A913" s="1248" t="s">
        <v>45</v>
      </c>
      <c r="B913" s="1248"/>
      <c r="C913" s="1248"/>
      <c r="D913" s="1248"/>
      <c r="E913" s="1231"/>
      <c r="F913" s="93"/>
      <c r="G913" s="70">
        <f xml:space="preserve"> G911+G904+G898+G888</f>
        <v>331846</v>
      </c>
    </row>
    <row r="914" spans="1:7" x14ac:dyDescent="0.25">
      <c r="A914" s="1232" t="s">
        <v>476</v>
      </c>
      <c r="B914" s="1232"/>
      <c r="C914" s="1222"/>
      <c r="D914" s="1222"/>
      <c r="E914" s="1222" t="s">
        <v>44</v>
      </c>
      <c r="F914" s="1222" t="s">
        <v>51</v>
      </c>
      <c r="G914" s="1222" t="s">
        <v>307</v>
      </c>
    </row>
    <row r="915" spans="1:7" x14ac:dyDescent="0.25">
      <c r="A915" s="1232"/>
      <c r="B915" s="1232"/>
      <c r="C915" s="1222"/>
      <c r="D915" s="1222"/>
      <c r="E915" s="1222"/>
      <c r="F915" s="1222"/>
      <c r="G915" s="1222"/>
    </row>
    <row r="916" spans="1:7" x14ac:dyDescent="0.25">
      <c r="A916" s="1244" t="s">
        <v>17</v>
      </c>
      <c r="B916" s="1244"/>
      <c r="C916" s="1244"/>
      <c r="D916" s="1244"/>
      <c r="E916" s="1244"/>
      <c r="F916" s="1221"/>
      <c r="G916" s="1222"/>
    </row>
    <row r="917" spans="1:7" x14ac:dyDescent="0.25">
      <c r="A917" s="1244" t="s">
        <v>308</v>
      </c>
      <c r="B917" s="1244"/>
      <c r="C917" s="1244"/>
      <c r="D917" s="1244"/>
      <c r="E917" s="1244"/>
      <c r="F917" s="1221"/>
      <c r="G917" s="1222"/>
    </row>
    <row r="918" spans="1:7" x14ac:dyDescent="0.25">
      <c r="A918" s="1244" t="s">
        <v>19</v>
      </c>
      <c r="B918" s="1244"/>
      <c r="C918" s="1244"/>
      <c r="D918" s="1244"/>
      <c r="E918" s="1244"/>
      <c r="F918" s="1221"/>
      <c r="G918" s="1222"/>
    </row>
    <row r="919" spans="1:7" x14ac:dyDescent="0.25">
      <c r="A919" s="1244" t="s">
        <v>309</v>
      </c>
      <c r="B919" s="1244"/>
      <c r="C919" s="1244"/>
      <c r="D919" s="1244"/>
      <c r="E919" s="1244"/>
      <c r="F919" s="1221"/>
      <c r="G919" s="1222"/>
    </row>
    <row r="920" spans="1:7" x14ac:dyDescent="0.25">
      <c r="A920" s="1245" t="s">
        <v>310</v>
      </c>
      <c r="B920" s="1245"/>
      <c r="C920" s="1245"/>
      <c r="D920" s="1245"/>
      <c r="E920" s="1245"/>
      <c r="F920" s="1222"/>
      <c r="G920" s="1222"/>
    </row>
    <row r="929" spans="1:7" x14ac:dyDescent="0.25">
      <c r="A929" s="95"/>
      <c r="B929" s="94"/>
      <c r="C929" s="94"/>
      <c r="D929" s="94"/>
      <c r="E929" s="94"/>
      <c r="F929" s="882" t="s">
        <v>300</v>
      </c>
      <c r="G929" s="882" t="s">
        <v>2439</v>
      </c>
    </row>
    <row r="930" spans="1:7" x14ac:dyDescent="0.25">
      <c r="A930" s="1238" t="s">
        <v>1937</v>
      </c>
      <c r="B930" s="1246"/>
      <c r="C930" s="1246"/>
      <c r="D930" s="1246"/>
      <c r="E930" s="1247"/>
      <c r="F930" s="880" t="s">
        <v>24</v>
      </c>
      <c r="G930" s="880" t="s">
        <v>373</v>
      </c>
    </row>
    <row r="931" spans="1:7" x14ac:dyDescent="0.25">
      <c r="A931" s="1233" t="s">
        <v>25</v>
      </c>
      <c r="B931" s="1233"/>
      <c r="C931" s="1233"/>
      <c r="D931" s="1233"/>
      <c r="E931" s="1233"/>
      <c r="F931" s="1233"/>
      <c r="G931" s="1233"/>
    </row>
    <row r="932" spans="1:7" x14ac:dyDescent="0.25">
      <c r="A932" s="1234" t="s">
        <v>469</v>
      </c>
      <c r="B932" s="1235"/>
      <c r="C932" s="80" t="s">
        <v>26</v>
      </c>
      <c r="D932" s="80" t="s">
        <v>27</v>
      </c>
      <c r="E932" s="80" t="s">
        <v>28</v>
      </c>
      <c r="F932" s="80" t="s">
        <v>35</v>
      </c>
      <c r="G932" s="67"/>
    </row>
    <row r="933" spans="1:7" x14ac:dyDescent="0.25">
      <c r="A933" s="1236"/>
      <c r="B933" s="1236"/>
      <c r="C933" s="69"/>
      <c r="D933" s="62"/>
      <c r="E933" s="62"/>
      <c r="F933" s="62"/>
      <c r="G933" s="81"/>
    </row>
    <row r="934" spans="1:7" x14ac:dyDescent="0.25">
      <c r="A934" s="1236"/>
      <c r="B934" s="1236"/>
      <c r="C934" s="69"/>
      <c r="D934" s="62"/>
      <c r="E934" s="62"/>
      <c r="F934" s="62"/>
      <c r="G934" s="69"/>
    </row>
    <row r="935" spans="1:7" x14ac:dyDescent="0.25">
      <c r="A935" s="1236" t="s">
        <v>30</v>
      </c>
      <c r="B935" s="1236"/>
      <c r="C935" s="69"/>
      <c r="D935" s="69"/>
      <c r="E935" s="69"/>
      <c r="F935" s="62">
        <f>+F960*0.05</f>
        <v>3836.1904761904589</v>
      </c>
      <c r="G935" s="69"/>
    </row>
    <row r="936" spans="1:7" x14ac:dyDescent="0.25">
      <c r="A936" s="1236"/>
      <c r="B936" s="1236"/>
      <c r="C936" s="69"/>
      <c r="D936" s="69"/>
      <c r="E936" s="69"/>
      <c r="F936" s="69"/>
      <c r="G936" s="69"/>
    </row>
    <row r="937" spans="1:7" x14ac:dyDescent="0.25">
      <c r="A937" s="1236" t="s">
        <v>25</v>
      </c>
      <c r="B937" s="1236"/>
      <c r="C937" s="69"/>
      <c r="D937" s="69"/>
      <c r="E937" s="69"/>
      <c r="F937" s="69"/>
      <c r="G937" s="83" t="s">
        <v>31</v>
      </c>
    </row>
    <row r="938" spans="1:7" x14ac:dyDescent="0.25">
      <c r="A938" s="1237"/>
      <c r="B938" s="1237"/>
      <c r="C938" s="82"/>
      <c r="D938" s="82"/>
      <c r="E938" s="82"/>
      <c r="F938" s="82"/>
      <c r="G938" s="64">
        <f>F935+F934+F933</f>
        <v>3836.1904761904589</v>
      </c>
    </row>
    <row r="939" spans="1:7" x14ac:dyDescent="0.25">
      <c r="A939" s="1234" t="s">
        <v>475</v>
      </c>
      <c r="B939" s="1235"/>
      <c r="C939" s="80" t="s">
        <v>32</v>
      </c>
      <c r="D939" s="80" t="s">
        <v>33</v>
      </c>
      <c r="E939" s="80" t="s">
        <v>34</v>
      </c>
      <c r="F939" s="80" t="s">
        <v>35</v>
      </c>
      <c r="G939" s="67"/>
    </row>
    <row r="940" spans="1:7" ht="36" customHeight="1" x14ac:dyDescent="0.25">
      <c r="A940" s="932" t="s">
        <v>2105</v>
      </c>
      <c r="B940" s="933"/>
      <c r="C940" s="546" t="s">
        <v>24</v>
      </c>
      <c r="D940" s="934"/>
      <c r="E940" s="546">
        <v>1</v>
      </c>
      <c r="F940" s="118"/>
      <c r="G940" s="69"/>
    </row>
    <row r="941" spans="1:7" x14ac:dyDescent="0.25">
      <c r="A941" s="929" t="s">
        <v>2084</v>
      </c>
      <c r="B941" s="930"/>
      <c r="C941" s="503" t="s">
        <v>15</v>
      </c>
      <c r="D941" s="931"/>
      <c r="E941" s="522">
        <v>1</v>
      </c>
      <c r="F941" s="118"/>
      <c r="G941" s="69"/>
    </row>
    <row r="942" spans="1:7" x14ac:dyDescent="0.25">
      <c r="A942" s="928" t="s">
        <v>2085</v>
      </c>
      <c r="B942" s="928"/>
      <c r="C942" s="503" t="s">
        <v>24</v>
      </c>
      <c r="D942" s="928"/>
      <c r="E942" s="522">
        <v>2</v>
      </c>
      <c r="F942" s="118"/>
      <c r="G942" s="69"/>
    </row>
    <row r="943" spans="1:7" x14ac:dyDescent="0.25">
      <c r="A943" s="928" t="s">
        <v>2086</v>
      </c>
      <c r="B943" s="928"/>
      <c r="C943" s="503" t="s">
        <v>24</v>
      </c>
      <c r="D943" s="928"/>
      <c r="E943" s="522">
        <v>2</v>
      </c>
      <c r="F943" s="118"/>
      <c r="G943" s="69"/>
    </row>
    <row r="944" spans="1:7" x14ac:dyDescent="0.25">
      <c r="A944" s="928" t="s">
        <v>2087</v>
      </c>
      <c r="B944" s="928"/>
      <c r="C944" s="503" t="s">
        <v>24</v>
      </c>
      <c r="D944" s="928"/>
      <c r="E944" s="522">
        <v>1</v>
      </c>
      <c r="F944" s="118"/>
      <c r="G944" s="69"/>
    </row>
    <row r="945" spans="1:7" x14ac:dyDescent="0.25">
      <c r="A945" s="928" t="s">
        <v>2088</v>
      </c>
      <c r="B945" s="928"/>
      <c r="C945" s="503" t="s">
        <v>15</v>
      </c>
      <c r="D945" s="928"/>
      <c r="E945" s="522">
        <v>18</v>
      </c>
      <c r="F945" s="118"/>
      <c r="G945" s="69"/>
    </row>
    <row r="946" spans="1:7" x14ac:dyDescent="0.25">
      <c r="A946" s="928" t="s">
        <v>2089</v>
      </c>
      <c r="B946" s="928"/>
      <c r="C946" s="503" t="s">
        <v>24</v>
      </c>
      <c r="D946" s="928"/>
      <c r="E946" s="522">
        <v>6</v>
      </c>
      <c r="F946" s="118"/>
      <c r="G946" s="69"/>
    </row>
    <row r="947" spans="1:7" x14ac:dyDescent="0.25">
      <c r="A947" s="939"/>
      <c r="B947" s="927"/>
      <c r="C947" s="118"/>
      <c r="D947" s="118"/>
      <c r="E947" s="118"/>
      <c r="F947" s="118"/>
      <c r="G947" s="69"/>
    </row>
    <row r="948" spans="1:7" ht="15" customHeight="1" x14ac:dyDescent="0.25">
      <c r="A948" s="1226" t="s">
        <v>2413</v>
      </c>
      <c r="B948" s="1227"/>
      <c r="C948" s="43" t="s">
        <v>2414</v>
      </c>
      <c r="D948" s="97">
        <v>167925</v>
      </c>
      <c r="E948" s="92">
        <v>1</v>
      </c>
      <c r="F948" s="85">
        <f>+D948*E948</f>
        <v>167925</v>
      </c>
      <c r="G948" s="69"/>
    </row>
    <row r="949" spans="1:7" x14ac:dyDescent="0.25">
      <c r="A949" s="1228"/>
      <c r="B949" s="1229"/>
      <c r="C949" s="43"/>
      <c r="D949" s="97"/>
      <c r="E949" s="92"/>
      <c r="F949" s="85"/>
      <c r="G949" s="43" t="s">
        <v>31</v>
      </c>
    </row>
    <row r="950" spans="1:7" x14ac:dyDescent="0.25">
      <c r="A950" s="1228"/>
      <c r="B950" s="1229"/>
      <c r="C950" s="69"/>
      <c r="D950" s="69"/>
      <c r="E950" s="69"/>
      <c r="F950" s="69"/>
      <c r="G950" s="65">
        <f>+F948</f>
        <v>167925</v>
      </c>
    </row>
    <row r="951" spans="1:7" ht="24" x14ac:dyDescent="0.25">
      <c r="A951" s="901" t="s">
        <v>329</v>
      </c>
      <c r="B951" s="89" t="s">
        <v>38</v>
      </c>
      <c r="C951" s="89" t="s">
        <v>39</v>
      </c>
      <c r="D951" s="80" t="s">
        <v>40</v>
      </c>
      <c r="E951" s="80" t="s">
        <v>34</v>
      </c>
      <c r="F951" s="80" t="s">
        <v>35</v>
      </c>
      <c r="G951" s="67"/>
    </row>
    <row r="952" spans="1:7" x14ac:dyDescent="0.25">
      <c r="A952" s="899"/>
      <c r="B952" s="43"/>
      <c r="C952" s="43"/>
      <c r="D952" s="62"/>
      <c r="E952" s="91"/>
      <c r="F952" s="62"/>
      <c r="G952" s="69"/>
    </row>
    <row r="953" spans="1:7" x14ac:dyDescent="0.25">
      <c r="A953" s="90"/>
      <c r="B953" s="43"/>
      <c r="C953" s="43"/>
      <c r="D953" s="62"/>
      <c r="E953" s="91"/>
      <c r="F953" s="62"/>
      <c r="G953" s="69"/>
    </row>
    <row r="954" spans="1:7" x14ac:dyDescent="0.25">
      <c r="A954" s="90"/>
      <c r="B954" s="43"/>
      <c r="C954" s="43"/>
      <c r="D954" s="62"/>
      <c r="E954" s="92"/>
      <c r="F954" s="62"/>
      <c r="G954" s="69"/>
    </row>
    <row r="955" spans="1:7" x14ac:dyDescent="0.25">
      <c r="A955" s="90" t="s">
        <v>25</v>
      </c>
      <c r="B955" s="43" t="s">
        <v>25</v>
      </c>
      <c r="C955" s="43" t="s">
        <v>25</v>
      </c>
      <c r="D955" s="61" t="s">
        <v>25</v>
      </c>
      <c r="E955" s="92" t="s">
        <v>25</v>
      </c>
      <c r="F955" s="62" t="s">
        <v>25</v>
      </c>
      <c r="G955" s="43" t="s">
        <v>31</v>
      </c>
    </row>
    <row r="956" spans="1:7" x14ac:dyDescent="0.25">
      <c r="A956" s="90"/>
      <c r="B956" s="69"/>
      <c r="C956" s="69"/>
      <c r="D956" s="69"/>
      <c r="E956" s="69"/>
      <c r="F956" s="69"/>
      <c r="G956" s="64">
        <f>+F952*E952</f>
        <v>0</v>
      </c>
    </row>
    <row r="957" spans="1:7" ht="24" x14ac:dyDescent="0.25">
      <c r="A957" s="901" t="s">
        <v>41</v>
      </c>
      <c r="B957" s="80" t="s">
        <v>42</v>
      </c>
      <c r="C957" s="80" t="s">
        <v>43</v>
      </c>
      <c r="D957" s="80" t="s">
        <v>44</v>
      </c>
      <c r="E957" s="89" t="s">
        <v>306</v>
      </c>
      <c r="F957" s="80" t="s">
        <v>35</v>
      </c>
      <c r="G957" s="67"/>
    </row>
    <row r="958" spans="1:7" x14ac:dyDescent="0.25">
      <c r="A958" s="81"/>
      <c r="B958" s="81"/>
      <c r="C958" s="81"/>
      <c r="D958" s="81"/>
      <c r="E958" s="81"/>
      <c r="F958" s="81"/>
      <c r="G958" s="81"/>
    </row>
    <row r="959" spans="1:7" x14ac:dyDescent="0.25">
      <c r="A959" s="69" t="s">
        <v>2372</v>
      </c>
      <c r="B959" s="85"/>
      <c r="C959" s="96"/>
      <c r="D959" s="62"/>
      <c r="E959" s="121"/>
      <c r="F959" s="62"/>
      <c r="G959" s="69"/>
    </row>
    <row r="960" spans="1:7" ht="48.75" x14ac:dyDescent="0.25">
      <c r="A960" s="881" t="s">
        <v>2412</v>
      </c>
      <c r="B960" s="85">
        <v>265000</v>
      </c>
      <c r="C960" s="96">
        <v>0.9</v>
      </c>
      <c r="D960" s="62">
        <f>(B960*C960)+B960</f>
        <v>503500</v>
      </c>
      <c r="E960" s="101">
        <v>6.5625000000000293</v>
      </c>
      <c r="F960" s="62">
        <f xml:space="preserve"> D960/E960</f>
        <v>76723.809523809177</v>
      </c>
      <c r="G960" s="69" t="s">
        <v>25</v>
      </c>
    </row>
    <row r="961" spans="1:11" x14ac:dyDescent="0.25">
      <c r="A961" s="69"/>
      <c r="B961" s="85"/>
      <c r="C961" s="69"/>
      <c r="D961" s="62"/>
      <c r="E961" s="69"/>
      <c r="F961" s="62"/>
      <c r="G961" s="69"/>
    </row>
    <row r="962" spans="1:11" x14ac:dyDescent="0.25">
      <c r="A962" s="69"/>
      <c r="B962" s="69"/>
      <c r="C962" s="69"/>
      <c r="D962" s="69"/>
      <c r="E962" s="69"/>
      <c r="F962" s="69"/>
      <c r="G962" s="43" t="s">
        <v>31</v>
      </c>
    </row>
    <row r="963" spans="1:11" x14ac:dyDescent="0.25">
      <c r="A963" s="82"/>
      <c r="B963" s="82"/>
      <c r="C963" s="82"/>
      <c r="D963" s="82"/>
      <c r="E963" s="82"/>
      <c r="F963" s="82"/>
      <c r="G963" s="64">
        <f>F961+F960+F959</f>
        <v>76723.809523809177</v>
      </c>
    </row>
    <row r="964" spans="1:11" x14ac:dyDescent="0.25">
      <c r="A964" s="1230" t="s">
        <v>25</v>
      </c>
      <c r="B964" s="1230"/>
      <c r="C964" s="1230"/>
      <c r="D964" s="1230"/>
      <c r="E964" s="1230"/>
      <c r="F964" s="1230"/>
      <c r="G964" s="1230"/>
      <c r="I964">
        <v>66</v>
      </c>
      <c r="J964" s="936">
        <v>243450</v>
      </c>
      <c r="K964" s="936">
        <f>I964*J964</f>
        <v>16067700</v>
      </c>
    </row>
    <row r="965" spans="1:11" x14ac:dyDescent="0.25">
      <c r="A965" s="1231" t="s">
        <v>45</v>
      </c>
      <c r="B965" s="1230"/>
      <c r="C965" s="1230"/>
      <c r="D965" s="1230"/>
      <c r="E965" s="1230"/>
      <c r="F965" s="93"/>
      <c r="G965" s="70">
        <f xml:space="preserve"> G963+G956+G950+G938</f>
        <v>248484.99999999965</v>
      </c>
      <c r="I965">
        <v>66</v>
      </c>
      <c r="J965" s="936">
        <v>243450</v>
      </c>
      <c r="K965" s="936">
        <f>I965*J965</f>
        <v>16067700</v>
      </c>
    </row>
    <row r="966" spans="1:11" x14ac:dyDescent="0.25">
      <c r="A966" s="1232" t="s">
        <v>476</v>
      </c>
      <c r="B966" s="1232"/>
      <c r="C966" s="1222"/>
      <c r="D966" s="1222"/>
      <c r="E966" s="1222" t="s">
        <v>44</v>
      </c>
      <c r="F966" s="1222" t="s">
        <v>51</v>
      </c>
      <c r="G966" s="1222" t="s">
        <v>307</v>
      </c>
      <c r="K966" s="940">
        <f>SUM(K964:K965)</f>
        <v>32135400</v>
      </c>
    </row>
    <row r="967" spans="1:11" x14ac:dyDescent="0.25">
      <c r="A967" s="1232"/>
      <c r="B967" s="1232"/>
      <c r="C967" s="1222"/>
      <c r="D967" s="1222"/>
      <c r="E967" s="1222"/>
      <c r="F967" s="1222"/>
      <c r="G967" s="1222"/>
      <c r="J967" s="938">
        <f>+G965</f>
        <v>248484.99999999965</v>
      </c>
      <c r="K967" s="936">
        <f>I965*J967</f>
        <v>16400009.999999978</v>
      </c>
    </row>
    <row r="968" spans="1:11" x14ac:dyDescent="0.25">
      <c r="A968" s="1218" t="s">
        <v>17</v>
      </c>
      <c r="B968" s="1219"/>
      <c r="C968" s="1219"/>
      <c r="D968" s="1219"/>
      <c r="E968" s="1220"/>
      <c r="F968" s="1221"/>
      <c r="G968" s="1222"/>
      <c r="J968" s="938">
        <f>+G1014</f>
        <v>238414.99999999997</v>
      </c>
      <c r="K968" s="936">
        <f>J968*I965</f>
        <v>15735389.999999998</v>
      </c>
    </row>
    <row r="969" spans="1:11" x14ac:dyDescent="0.25">
      <c r="A969" s="1218" t="s">
        <v>308</v>
      </c>
      <c r="B969" s="1219"/>
      <c r="C969" s="1219"/>
      <c r="D969" s="1219"/>
      <c r="E969" s="1220"/>
      <c r="F969" s="1221"/>
      <c r="G969" s="1222"/>
      <c r="K969" s="936">
        <f>SUM(K967:K968)</f>
        <v>32135399.999999978</v>
      </c>
    </row>
    <row r="970" spans="1:11" x14ac:dyDescent="0.25">
      <c r="A970" s="1218" t="s">
        <v>19</v>
      </c>
      <c r="B970" s="1219"/>
      <c r="C970" s="1219"/>
      <c r="D970" s="1219"/>
      <c r="E970" s="1220"/>
      <c r="F970" s="1221"/>
      <c r="G970" s="1222"/>
    </row>
    <row r="971" spans="1:11" x14ac:dyDescent="0.25">
      <c r="A971" s="1218" t="s">
        <v>309</v>
      </c>
      <c r="B971" s="1219"/>
      <c r="C971" s="1219"/>
      <c r="D971" s="1219"/>
      <c r="E971" s="1220"/>
      <c r="F971" s="1221"/>
      <c r="G971" s="1222"/>
    </row>
    <row r="972" spans="1:11" x14ac:dyDescent="0.25">
      <c r="A972" s="1223" t="s">
        <v>310</v>
      </c>
      <c r="B972" s="1224"/>
      <c r="C972" s="1224"/>
      <c r="D972" s="1224"/>
      <c r="E972" s="1225"/>
      <c r="F972" s="1222"/>
      <c r="G972" s="1222"/>
    </row>
    <row r="979" spans="1:7" x14ac:dyDescent="0.25">
      <c r="A979" s="95"/>
      <c r="B979" s="94"/>
      <c r="C979" s="94"/>
      <c r="D979" s="94"/>
      <c r="E979" s="94"/>
      <c r="F979" s="882" t="s">
        <v>300</v>
      </c>
      <c r="G979" s="882" t="s">
        <v>2440</v>
      </c>
    </row>
    <row r="980" spans="1:7" ht="15" customHeight="1" x14ac:dyDescent="0.25">
      <c r="A980" s="1238" t="s">
        <v>1938</v>
      </c>
      <c r="B980" s="1239"/>
      <c r="C980" s="1239"/>
      <c r="D980" s="1239"/>
      <c r="E980" s="1240"/>
      <c r="F980" s="880" t="s">
        <v>24</v>
      </c>
      <c r="G980" s="880" t="s">
        <v>373</v>
      </c>
    </row>
    <row r="981" spans="1:7" x14ac:dyDescent="0.25">
      <c r="A981" s="1233" t="s">
        <v>25</v>
      </c>
      <c r="B981" s="1233"/>
      <c r="C981" s="1233"/>
      <c r="D981" s="1233"/>
      <c r="E981" s="1233"/>
      <c r="F981" s="1233"/>
      <c r="G981" s="1233"/>
    </row>
    <row r="982" spans="1:7" x14ac:dyDescent="0.25">
      <c r="A982" s="1234" t="s">
        <v>469</v>
      </c>
      <c r="B982" s="1235"/>
      <c r="C982" s="80" t="s">
        <v>26</v>
      </c>
      <c r="D982" s="80" t="s">
        <v>27</v>
      </c>
      <c r="E982" s="80" t="s">
        <v>28</v>
      </c>
      <c r="F982" s="80" t="s">
        <v>35</v>
      </c>
      <c r="G982" s="67"/>
    </row>
    <row r="983" spans="1:7" x14ac:dyDescent="0.25">
      <c r="A983" s="1236"/>
      <c r="B983" s="1236"/>
      <c r="C983" s="69"/>
      <c r="D983" s="62"/>
      <c r="E983" s="62"/>
      <c r="F983" s="62"/>
      <c r="G983" s="81"/>
    </row>
    <row r="984" spans="1:7" x14ac:dyDescent="0.25">
      <c r="A984" s="1236"/>
      <c r="B984" s="1236"/>
      <c r="C984" s="69"/>
      <c r="D984" s="62"/>
      <c r="E984" s="62"/>
      <c r="F984" s="62"/>
      <c r="G984" s="69"/>
    </row>
    <row r="985" spans="1:7" x14ac:dyDescent="0.25">
      <c r="A985" s="1236" t="s">
        <v>30</v>
      </c>
      <c r="B985" s="1236"/>
      <c r="C985" s="69"/>
      <c r="D985" s="69"/>
      <c r="E985" s="69"/>
      <c r="F985" s="62">
        <f>+F1009*0.05</f>
        <v>3356.6666666666665</v>
      </c>
      <c r="G985" s="69"/>
    </row>
    <row r="986" spans="1:7" x14ac:dyDescent="0.25">
      <c r="A986" s="1236"/>
      <c r="B986" s="1236"/>
      <c r="C986" s="69"/>
      <c r="D986" s="69"/>
      <c r="E986" s="69"/>
      <c r="F986" s="69"/>
      <c r="G986" s="69"/>
    </row>
    <row r="987" spans="1:7" x14ac:dyDescent="0.25">
      <c r="A987" s="1236" t="s">
        <v>25</v>
      </c>
      <c r="B987" s="1236"/>
      <c r="C987" s="69"/>
      <c r="D987" s="69"/>
      <c r="E987" s="69"/>
      <c r="F987" s="69"/>
      <c r="G987" s="83" t="s">
        <v>31</v>
      </c>
    </row>
    <row r="988" spans="1:7" x14ac:dyDescent="0.25">
      <c r="A988" s="1237"/>
      <c r="B988" s="1237"/>
      <c r="C988" s="82"/>
      <c r="D988" s="82"/>
      <c r="E988" s="82"/>
      <c r="F988" s="82"/>
      <c r="G988" s="64">
        <f>F985+F984+F983</f>
        <v>3356.6666666666665</v>
      </c>
    </row>
    <row r="989" spans="1:7" x14ac:dyDescent="0.25">
      <c r="A989" s="1234" t="s">
        <v>475</v>
      </c>
      <c r="B989" s="1235"/>
      <c r="C989" s="80" t="s">
        <v>32</v>
      </c>
      <c r="D989" s="80" t="s">
        <v>33</v>
      </c>
      <c r="E989" s="80" t="s">
        <v>34</v>
      </c>
      <c r="F989" s="80" t="s">
        <v>35</v>
      </c>
      <c r="G989" s="67"/>
    </row>
    <row r="990" spans="1:7" x14ac:dyDescent="0.25">
      <c r="A990" s="929" t="s">
        <v>2084</v>
      </c>
      <c r="B990" s="930"/>
      <c r="C990" s="503" t="s">
        <v>15</v>
      </c>
      <c r="D990" s="931"/>
      <c r="E990" s="522">
        <v>1</v>
      </c>
      <c r="F990" s="118"/>
      <c r="G990" s="69"/>
    </row>
    <row r="991" spans="1:7" x14ac:dyDescent="0.25">
      <c r="A991" s="928" t="s">
        <v>2085</v>
      </c>
      <c r="B991" s="928"/>
      <c r="C991" s="503" t="s">
        <v>24</v>
      </c>
      <c r="D991" s="928"/>
      <c r="E991" s="522">
        <v>2</v>
      </c>
      <c r="F991" s="118"/>
      <c r="G991" s="69"/>
    </row>
    <row r="992" spans="1:7" x14ac:dyDescent="0.25">
      <c r="A992" s="928" t="s">
        <v>2086</v>
      </c>
      <c r="B992" s="928"/>
      <c r="C992" s="503" t="s">
        <v>24</v>
      </c>
      <c r="D992" s="928"/>
      <c r="E992" s="522">
        <v>2</v>
      </c>
      <c r="F992" s="118"/>
      <c r="G992" s="69"/>
    </row>
    <row r="993" spans="1:7" x14ac:dyDescent="0.25">
      <c r="A993" s="928" t="s">
        <v>2087</v>
      </c>
      <c r="B993" s="928"/>
      <c r="C993" s="503" t="s">
        <v>24</v>
      </c>
      <c r="D993" s="928"/>
      <c r="E993" s="522">
        <v>1</v>
      </c>
      <c r="F993" s="118"/>
      <c r="G993" s="69"/>
    </row>
    <row r="994" spans="1:7" x14ac:dyDescent="0.25">
      <c r="A994" s="928" t="s">
        <v>2088</v>
      </c>
      <c r="B994" s="928"/>
      <c r="C994" s="503" t="s">
        <v>15</v>
      </c>
      <c r="D994" s="928"/>
      <c r="E994" s="522">
        <v>12</v>
      </c>
      <c r="F994" s="118"/>
      <c r="G994" s="69"/>
    </row>
    <row r="995" spans="1:7" x14ac:dyDescent="0.25">
      <c r="A995" s="928" t="s">
        <v>2089</v>
      </c>
      <c r="B995" s="928"/>
      <c r="C995" s="503" t="s">
        <v>24</v>
      </c>
      <c r="D995" s="928"/>
      <c r="E995" s="522">
        <v>4</v>
      </c>
      <c r="F995" s="118"/>
      <c r="G995" s="69"/>
    </row>
    <row r="996" spans="1:7" x14ac:dyDescent="0.25">
      <c r="A996" s="939"/>
      <c r="B996" s="927"/>
      <c r="C996" s="118"/>
      <c r="D996" s="118"/>
      <c r="E996" s="118"/>
      <c r="F996" s="118"/>
      <c r="G996" s="69"/>
    </row>
    <row r="997" spans="1:7" x14ac:dyDescent="0.25">
      <c r="A997" s="1226" t="s">
        <v>2413</v>
      </c>
      <c r="B997" s="1227"/>
      <c r="C997" s="43" t="s">
        <v>2414</v>
      </c>
      <c r="D997" s="97">
        <v>167925</v>
      </c>
      <c r="E997" s="92">
        <v>1</v>
      </c>
      <c r="F997" s="85">
        <f>+D997*E997</f>
        <v>167925</v>
      </c>
      <c r="G997" s="69"/>
    </row>
    <row r="998" spans="1:7" x14ac:dyDescent="0.25">
      <c r="A998" s="1228"/>
      <c r="B998" s="1229"/>
      <c r="C998" s="43"/>
      <c r="D998" s="97"/>
      <c r="E998" s="92"/>
      <c r="F998" s="85"/>
      <c r="G998" s="43" t="s">
        <v>31</v>
      </c>
    </row>
    <row r="999" spans="1:7" x14ac:dyDescent="0.25">
      <c r="A999" s="1228"/>
      <c r="B999" s="1229"/>
      <c r="C999" s="69"/>
      <c r="D999" s="69"/>
      <c r="E999" s="69"/>
      <c r="F999" s="69"/>
      <c r="G999" s="65">
        <f>+F997</f>
        <v>167925</v>
      </c>
    </row>
    <row r="1000" spans="1:7" ht="24" x14ac:dyDescent="0.25">
      <c r="A1000" s="901" t="s">
        <v>329</v>
      </c>
      <c r="B1000" s="89" t="s">
        <v>38</v>
      </c>
      <c r="C1000" s="89" t="s">
        <v>39</v>
      </c>
      <c r="D1000" s="80" t="s">
        <v>40</v>
      </c>
      <c r="E1000" s="80" t="s">
        <v>34</v>
      </c>
      <c r="F1000" s="80" t="s">
        <v>35</v>
      </c>
      <c r="G1000" s="67"/>
    </row>
    <row r="1001" spans="1:7" x14ac:dyDescent="0.25">
      <c r="A1001" s="899"/>
      <c r="B1001" s="43"/>
      <c r="C1001" s="43"/>
      <c r="D1001" s="62"/>
      <c r="E1001" s="91"/>
      <c r="F1001" s="62"/>
      <c r="G1001" s="69"/>
    </row>
    <row r="1002" spans="1:7" x14ac:dyDescent="0.25">
      <c r="A1002" s="90"/>
      <c r="B1002" s="43"/>
      <c r="C1002" s="43"/>
      <c r="D1002" s="62"/>
      <c r="E1002" s="91"/>
      <c r="F1002" s="62"/>
      <c r="G1002" s="69"/>
    </row>
    <row r="1003" spans="1:7" x14ac:dyDescent="0.25">
      <c r="A1003" s="90"/>
      <c r="B1003" s="43"/>
      <c r="C1003" s="43"/>
      <c r="D1003" s="62"/>
      <c r="E1003" s="92"/>
      <c r="F1003" s="62"/>
      <c r="G1003" s="69"/>
    </row>
    <row r="1004" spans="1:7" x14ac:dyDescent="0.25">
      <c r="A1004" s="90" t="s">
        <v>25</v>
      </c>
      <c r="B1004" s="43" t="s">
        <v>25</v>
      </c>
      <c r="C1004" s="43" t="s">
        <v>25</v>
      </c>
      <c r="D1004" s="61" t="s">
        <v>25</v>
      </c>
      <c r="E1004" s="92" t="s">
        <v>25</v>
      </c>
      <c r="F1004" s="62" t="s">
        <v>25</v>
      </c>
      <c r="G1004" s="43" t="s">
        <v>31</v>
      </c>
    </row>
    <row r="1005" spans="1:7" x14ac:dyDescent="0.25">
      <c r="A1005" s="90"/>
      <c r="B1005" s="69"/>
      <c r="C1005" s="69"/>
      <c r="D1005" s="69"/>
      <c r="E1005" s="69"/>
      <c r="F1005" s="69"/>
      <c r="G1005" s="64">
        <f>+F1001*E1001</f>
        <v>0</v>
      </c>
    </row>
    <row r="1006" spans="1:7" ht="24" x14ac:dyDescent="0.25">
      <c r="A1006" s="901" t="s">
        <v>41</v>
      </c>
      <c r="B1006" s="80" t="s">
        <v>42</v>
      </c>
      <c r="C1006" s="80" t="s">
        <v>43</v>
      </c>
      <c r="D1006" s="80" t="s">
        <v>44</v>
      </c>
      <c r="E1006" s="89" t="s">
        <v>306</v>
      </c>
      <c r="F1006" s="80" t="s">
        <v>35</v>
      </c>
      <c r="G1006" s="67"/>
    </row>
    <row r="1007" spans="1:7" x14ac:dyDescent="0.25">
      <c r="A1007" s="81"/>
      <c r="B1007" s="81"/>
      <c r="C1007" s="81"/>
      <c r="D1007" s="81"/>
      <c r="E1007" s="81"/>
      <c r="F1007" s="81"/>
      <c r="G1007" s="81"/>
    </row>
    <row r="1008" spans="1:7" x14ac:dyDescent="0.25">
      <c r="A1008" s="69" t="s">
        <v>2372</v>
      </c>
      <c r="B1008" s="85"/>
      <c r="C1008" s="96"/>
      <c r="D1008" s="62"/>
      <c r="E1008" s="121"/>
      <c r="F1008" s="62"/>
      <c r="G1008" s="69"/>
    </row>
    <row r="1009" spans="1:7" ht="48.75" x14ac:dyDescent="0.25">
      <c r="A1009" s="881" t="s">
        <v>2412</v>
      </c>
      <c r="B1009" s="85">
        <v>265000</v>
      </c>
      <c r="C1009" s="96">
        <v>0.9</v>
      </c>
      <c r="D1009" s="62">
        <f>(B1009*C1009)+B1009</f>
        <v>503500</v>
      </c>
      <c r="E1009" s="101">
        <v>7.5</v>
      </c>
      <c r="F1009" s="62">
        <f xml:space="preserve"> D1009/E1009</f>
        <v>67133.333333333328</v>
      </c>
      <c r="G1009" s="69" t="s">
        <v>25</v>
      </c>
    </row>
    <row r="1010" spans="1:7" x14ac:dyDescent="0.25">
      <c r="A1010" s="69"/>
      <c r="B1010" s="85"/>
      <c r="C1010" s="69"/>
      <c r="D1010" s="62"/>
      <c r="E1010" s="69"/>
      <c r="F1010" s="62"/>
      <c r="G1010" s="69"/>
    </row>
    <row r="1011" spans="1:7" x14ac:dyDescent="0.25">
      <c r="A1011" s="69"/>
      <c r="B1011" s="69"/>
      <c r="C1011" s="69"/>
      <c r="D1011" s="69"/>
      <c r="E1011" s="69"/>
      <c r="F1011" s="69"/>
      <c r="G1011" s="43" t="s">
        <v>31</v>
      </c>
    </row>
    <row r="1012" spans="1:7" x14ac:dyDescent="0.25">
      <c r="A1012" s="82"/>
      <c r="B1012" s="82"/>
      <c r="C1012" s="82"/>
      <c r="D1012" s="82"/>
      <c r="E1012" s="82"/>
      <c r="F1012" s="82"/>
      <c r="G1012" s="64">
        <f>F1010+F1009+F1008</f>
        <v>67133.333333333328</v>
      </c>
    </row>
    <row r="1013" spans="1:7" x14ac:dyDescent="0.25">
      <c r="A1013" s="1230" t="s">
        <v>25</v>
      </c>
      <c r="B1013" s="1230"/>
      <c r="C1013" s="1230"/>
      <c r="D1013" s="1230"/>
      <c r="E1013" s="1230"/>
      <c r="F1013" s="1230"/>
      <c r="G1013" s="1230"/>
    </row>
    <row r="1014" spans="1:7" x14ac:dyDescent="0.25">
      <c r="A1014" s="1231" t="s">
        <v>45</v>
      </c>
      <c r="B1014" s="1230"/>
      <c r="C1014" s="1230"/>
      <c r="D1014" s="1230"/>
      <c r="E1014" s="1230"/>
      <c r="F1014" s="93"/>
      <c r="G1014" s="70">
        <f xml:space="preserve"> G1012+G1005+G999+G988</f>
        <v>238414.99999999997</v>
      </c>
    </row>
    <row r="1015" spans="1:7" x14ac:dyDescent="0.25">
      <c r="A1015" s="1232" t="s">
        <v>476</v>
      </c>
      <c r="B1015" s="1232"/>
      <c r="C1015" s="1222"/>
      <c r="D1015" s="1222"/>
      <c r="E1015" s="1222" t="s">
        <v>44</v>
      </c>
      <c r="F1015" s="1222" t="s">
        <v>51</v>
      </c>
      <c r="G1015" s="1222" t="s">
        <v>307</v>
      </c>
    </row>
    <row r="1016" spans="1:7" x14ac:dyDescent="0.25">
      <c r="A1016" s="1232"/>
      <c r="B1016" s="1232"/>
      <c r="C1016" s="1222"/>
      <c r="D1016" s="1222"/>
      <c r="E1016" s="1222"/>
      <c r="F1016" s="1222"/>
      <c r="G1016" s="1222"/>
    </row>
    <row r="1017" spans="1:7" x14ac:dyDescent="0.25">
      <c r="A1017" s="1218" t="s">
        <v>17</v>
      </c>
      <c r="B1017" s="1219"/>
      <c r="C1017" s="1219"/>
      <c r="D1017" s="1219"/>
      <c r="E1017" s="1220"/>
      <c r="F1017" s="1221"/>
      <c r="G1017" s="1222"/>
    </row>
    <row r="1018" spans="1:7" x14ac:dyDescent="0.25">
      <c r="A1018" s="1218" t="s">
        <v>308</v>
      </c>
      <c r="B1018" s="1219"/>
      <c r="C1018" s="1219"/>
      <c r="D1018" s="1219"/>
      <c r="E1018" s="1220"/>
      <c r="F1018" s="1221"/>
      <c r="G1018" s="1222"/>
    </row>
    <row r="1019" spans="1:7" x14ac:dyDescent="0.25">
      <c r="A1019" s="1218" t="s">
        <v>19</v>
      </c>
      <c r="B1019" s="1219"/>
      <c r="C1019" s="1219"/>
      <c r="D1019" s="1219"/>
      <c r="E1019" s="1220"/>
      <c r="F1019" s="1221"/>
      <c r="G1019" s="1222"/>
    </row>
    <row r="1020" spans="1:7" x14ac:dyDescent="0.25">
      <c r="A1020" s="1218" t="s">
        <v>309</v>
      </c>
      <c r="B1020" s="1219"/>
      <c r="C1020" s="1219"/>
      <c r="D1020" s="1219"/>
      <c r="E1020" s="1220"/>
      <c r="F1020" s="1221"/>
      <c r="G1020" s="1222"/>
    </row>
    <row r="1021" spans="1:7" x14ac:dyDescent="0.25">
      <c r="A1021" s="1223" t="s">
        <v>310</v>
      </c>
      <c r="B1021" s="1224"/>
      <c r="C1021" s="1224"/>
      <c r="D1021" s="1224"/>
      <c r="E1021" s="1225"/>
      <c r="F1021" s="1222"/>
      <c r="G1021" s="1222"/>
    </row>
    <row r="1023" spans="1:7" x14ac:dyDescent="0.25">
      <c r="A1023" s="95"/>
      <c r="B1023" s="94"/>
      <c r="C1023" s="94"/>
      <c r="D1023" s="94"/>
      <c r="E1023" s="94"/>
      <c r="F1023" s="882" t="s">
        <v>300</v>
      </c>
      <c r="G1023" s="882" t="s">
        <v>2441</v>
      </c>
    </row>
    <row r="1024" spans="1:7" ht="23.1" customHeight="1" x14ac:dyDescent="0.25">
      <c r="A1024" s="1238" t="s">
        <v>1939</v>
      </c>
      <c r="B1024" s="1239"/>
      <c r="C1024" s="1239"/>
      <c r="D1024" s="1239"/>
      <c r="E1024" s="1240"/>
      <c r="F1024" s="880" t="s">
        <v>24</v>
      </c>
      <c r="G1024" s="880" t="s">
        <v>373</v>
      </c>
    </row>
    <row r="1025" spans="1:7" x14ac:dyDescent="0.25">
      <c r="A1025" s="1233" t="s">
        <v>25</v>
      </c>
      <c r="B1025" s="1233"/>
      <c r="C1025" s="1233"/>
      <c r="D1025" s="1233"/>
      <c r="E1025" s="1233"/>
      <c r="F1025" s="1233"/>
      <c r="G1025" s="1233"/>
    </row>
    <row r="1026" spans="1:7" x14ac:dyDescent="0.25">
      <c r="A1026" s="1234" t="s">
        <v>469</v>
      </c>
      <c r="B1026" s="1235"/>
      <c r="C1026" s="80" t="s">
        <v>26</v>
      </c>
      <c r="D1026" s="80" t="s">
        <v>27</v>
      </c>
      <c r="E1026" s="80" t="s">
        <v>28</v>
      </c>
      <c r="F1026" s="80" t="s">
        <v>35</v>
      </c>
      <c r="G1026" s="67"/>
    </row>
    <row r="1027" spans="1:7" x14ac:dyDescent="0.25">
      <c r="A1027" s="1236"/>
      <c r="B1027" s="1236"/>
      <c r="C1027" s="69"/>
      <c r="D1027" s="62"/>
      <c r="E1027" s="62"/>
      <c r="F1027" s="62"/>
      <c r="G1027" s="81"/>
    </row>
    <row r="1028" spans="1:7" x14ac:dyDescent="0.25">
      <c r="A1028" s="1236"/>
      <c r="B1028" s="1236"/>
      <c r="C1028" s="69"/>
      <c r="D1028" s="62"/>
      <c r="E1028" s="62"/>
      <c r="F1028" s="62"/>
      <c r="G1028" s="69"/>
    </row>
    <row r="1029" spans="1:7" x14ac:dyDescent="0.25">
      <c r="A1029" s="1236" t="s">
        <v>30</v>
      </c>
      <c r="B1029" s="1236"/>
      <c r="C1029" s="69"/>
      <c r="D1029" s="69"/>
      <c r="E1029" s="69"/>
      <c r="F1029" s="62">
        <f>+F1052*0.05</f>
        <v>6293.75</v>
      </c>
      <c r="G1029" s="69"/>
    </row>
    <row r="1030" spans="1:7" x14ac:dyDescent="0.25">
      <c r="A1030" s="1236"/>
      <c r="B1030" s="1236"/>
      <c r="C1030" s="69"/>
      <c r="D1030" s="69"/>
      <c r="E1030" s="69"/>
      <c r="F1030" s="69"/>
      <c r="G1030" s="69"/>
    </row>
    <row r="1031" spans="1:7" x14ac:dyDescent="0.25">
      <c r="A1031" s="1236" t="s">
        <v>25</v>
      </c>
      <c r="B1031" s="1236"/>
      <c r="C1031" s="69"/>
      <c r="D1031" s="69"/>
      <c r="E1031" s="69"/>
      <c r="F1031" s="69"/>
      <c r="G1031" s="83" t="s">
        <v>31</v>
      </c>
    </row>
    <row r="1032" spans="1:7" x14ac:dyDescent="0.25">
      <c r="A1032" s="1237"/>
      <c r="B1032" s="1237"/>
      <c r="C1032" s="82"/>
      <c r="D1032" s="82"/>
      <c r="E1032" s="82"/>
      <c r="F1032" s="82"/>
      <c r="G1032" s="64">
        <f>F1029+F1028+F1027</f>
        <v>6293.75</v>
      </c>
    </row>
    <row r="1033" spans="1:7" x14ac:dyDescent="0.25">
      <c r="A1033" s="1234" t="s">
        <v>475</v>
      </c>
      <c r="B1033" s="1235"/>
      <c r="C1033" s="80" t="s">
        <v>32</v>
      </c>
      <c r="D1033" s="80" t="s">
        <v>33</v>
      </c>
      <c r="E1033" s="80" t="s">
        <v>34</v>
      </c>
      <c r="F1033" s="80" t="s">
        <v>35</v>
      </c>
      <c r="G1033" s="67"/>
    </row>
    <row r="1034" spans="1:7" x14ac:dyDescent="0.25">
      <c r="A1034" s="929" t="s">
        <v>2084</v>
      </c>
      <c r="B1034" s="930"/>
      <c r="C1034" s="503" t="s">
        <v>15</v>
      </c>
      <c r="D1034" s="931"/>
      <c r="E1034" s="522">
        <v>1</v>
      </c>
      <c r="F1034" s="118"/>
      <c r="G1034" s="69"/>
    </row>
    <row r="1035" spans="1:7" x14ac:dyDescent="0.25">
      <c r="A1035" s="928" t="s">
        <v>2085</v>
      </c>
      <c r="B1035" s="928"/>
      <c r="C1035" s="503" t="s">
        <v>24</v>
      </c>
      <c r="D1035" s="928"/>
      <c r="E1035" s="522">
        <v>2</v>
      </c>
      <c r="F1035" s="118"/>
      <c r="G1035" s="69"/>
    </row>
    <row r="1036" spans="1:7" x14ac:dyDescent="0.25">
      <c r="A1036" s="928" t="s">
        <v>2086</v>
      </c>
      <c r="B1036" s="928"/>
      <c r="C1036" s="503" t="s">
        <v>24</v>
      </c>
      <c r="D1036" s="928"/>
      <c r="E1036" s="522">
        <v>2</v>
      </c>
      <c r="F1036" s="118"/>
      <c r="G1036" s="69"/>
    </row>
    <row r="1037" spans="1:7" x14ac:dyDescent="0.25">
      <c r="A1037" s="928" t="s">
        <v>2087</v>
      </c>
      <c r="B1037" s="928"/>
      <c r="C1037" s="503" t="s">
        <v>24</v>
      </c>
      <c r="D1037" s="928"/>
      <c r="E1037" s="522">
        <v>1</v>
      </c>
      <c r="F1037" s="118"/>
      <c r="G1037" s="69"/>
    </row>
    <row r="1038" spans="1:7" x14ac:dyDescent="0.25">
      <c r="A1038" s="928" t="s">
        <v>2088</v>
      </c>
      <c r="B1038" s="928"/>
      <c r="C1038" s="503" t="s">
        <v>15</v>
      </c>
      <c r="D1038" s="928"/>
      <c r="E1038" s="522">
        <v>20</v>
      </c>
      <c r="F1038" s="118"/>
      <c r="G1038" s="69"/>
    </row>
    <row r="1039" spans="1:7" x14ac:dyDescent="0.25">
      <c r="A1039" s="928" t="s">
        <v>2089</v>
      </c>
      <c r="B1039" s="928"/>
      <c r="C1039" s="503" t="s">
        <v>24</v>
      </c>
      <c r="D1039" s="928"/>
      <c r="E1039" s="522">
        <v>10</v>
      </c>
      <c r="F1039" s="118"/>
      <c r="G1039" s="69"/>
    </row>
    <row r="1040" spans="1:7" x14ac:dyDescent="0.25">
      <c r="A1040" s="1226" t="s">
        <v>2413</v>
      </c>
      <c r="B1040" s="1227"/>
      <c r="C1040" s="43" t="s">
        <v>2414</v>
      </c>
      <c r="D1040" s="97">
        <v>382831.25</v>
      </c>
      <c r="E1040" s="92">
        <v>1</v>
      </c>
      <c r="F1040" s="85">
        <f>+D1040*E1040</f>
        <v>382831.25</v>
      </c>
      <c r="G1040" s="69"/>
    </row>
    <row r="1041" spans="1:7" x14ac:dyDescent="0.25">
      <c r="A1041" s="1228"/>
      <c r="B1041" s="1229"/>
      <c r="C1041" s="43"/>
      <c r="D1041" s="97"/>
      <c r="E1041" s="92"/>
      <c r="F1041" s="85"/>
      <c r="G1041" s="43" t="s">
        <v>31</v>
      </c>
    </row>
    <row r="1042" spans="1:7" x14ac:dyDescent="0.25">
      <c r="A1042" s="1228"/>
      <c r="B1042" s="1229"/>
      <c r="C1042" s="69"/>
      <c r="D1042" s="69"/>
      <c r="E1042" s="69"/>
      <c r="F1042" s="69"/>
      <c r="G1042" s="65">
        <f>+F1040</f>
        <v>382831.25</v>
      </c>
    </row>
    <row r="1043" spans="1:7" ht="24" x14ac:dyDescent="0.25">
      <c r="A1043" s="901" t="s">
        <v>329</v>
      </c>
      <c r="B1043" s="89" t="s">
        <v>38</v>
      </c>
      <c r="C1043" s="89" t="s">
        <v>39</v>
      </c>
      <c r="D1043" s="80" t="s">
        <v>40</v>
      </c>
      <c r="E1043" s="80" t="s">
        <v>34</v>
      </c>
      <c r="F1043" s="80" t="s">
        <v>35</v>
      </c>
      <c r="G1043" s="67"/>
    </row>
    <row r="1044" spans="1:7" x14ac:dyDescent="0.25">
      <c r="A1044" s="899"/>
      <c r="B1044" s="43"/>
      <c r="C1044" s="43"/>
      <c r="D1044" s="62"/>
      <c r="E1044" s="91"/>
      <c r="F1044" s="62"/>
      <c r="G1044" s="69"/>
    </row>
    <row r="1045" spans="1:7" x14ac:dyDescent="0.25">
      <c r="A1045" s="90"/>
      <c r="B1045" s="43"/>
      <c r="C1045" s="43"/>
      <c r="D1045" s="62"/>
      <c r="E1045" s="91"/>
      <c r="F1045" s="62"/>
      <c r="G1045" s="69"/>
    </row>
    <row r="1046" spans="1:7" x14ac:dyDescent="0.25">
      <c r="A1046" s="90"/>
      <c r="B1046" s="43"/>
      <c r="C1046" s="43"/>
      <c r="D1046" s="62"/>
      <c r="E1046" s="92"/>
      <c r="F1046" s="62"/>
      <c r="G1046" s="69"/>
    </row>
    <row r="1047" spans="1:7" x14ac:dyDescent="0.25">
      <c r="A1047" s="90" t="s">
        <v>25</v>
      </c>
      <c r="B1047" s="43" t="s">
        <v>25</v>
      </c>
      <c r="C1047" s="43" t="s">
        <v>25</v>
      </c>
      <c r="D1047" s="61" t="s">
        <v>25</v>
      </c>
      <c r="E1047" s="92" t="s">
        <v>25</v>
      </c>
      <c r="F1047" s="62" t="s">
        <v>25</v>
      </c>
      <c r="G1047" s="43" t="s">
        <v>31</v>
      </c>
    </row>
    <row r="1048" spans="1:7" x14ac:dyDescent="0.25">
      <c r="A1048" s="90"/>
      <c r="B1048" s="69"/>
      <c r="C1048" s="69"/>
      <c r="D1048" s="69"/>
      <c r="E1048" s="69"/>
      <c r="F1048" s="69"/>
      <c r="G1048" s="64">
        <f>+F1044*E1044</f>
        <v>0</v>
      </c>
    </row>
    <row r="1049" spans="1:7" ht="24" x14ac:dyDescent="0.25">
      <c r="A1049" s="901" t="s">
        <v>41</v>
      </c>
      <c r="B1049" s="80" t="s">
        <v>42</v>
      </c>
      <c r="C1049" s="80" t="s">
        <v>43</v>
      </c>
      <c r="D1049" s="80" t="s">
        <v>44</v>
      </c>
      <c r="E1049" s="89" t="s">
        <v>306</v>
      </c>
      <c r="F1049" s="80" t="s">
        <v>35</v>
      </c>
      <c r="G1049" s="67"/>
    </row>
    <row r="1050" spans="1:7" x14ac:dyDescent="0.25">
      <c r="A1050" s="81"/>
      <c r="B1050" s="81"/>
      <c r="C1050" s="81"/>
      <c r="D1050" s="81"/>
      <c r="E1050" s="81"/>
      <c r="F1050" s="81"/>
      <c r="G1050" s="81"/>
    </row>
    <row r="1051" spans="1:7" x14ac:dyDescent="0.25">
      <c r="A1051" s="69" t="s">
        <v>2372</v>
      </c>
      <c r="B1051" s="85"/>
      <c r="C1051" s="96"/>
      <c r="D1051" s="62"/>
      <c r="E1051" s="121"/>
      <c r="F1051" s="62"/>
      <c r="G1051" s="69"/>
    </row>
    <row r="1052" spans="1:7" ht="48.75" x14ac:dyDescent="0.25">
      <c r="A1052" s="881" t="s">
        <v>2412</v>
      </c>
      <c r="B1052" s="85">
        <v>265000</v>
      </c>
      <c r="C1052" s="96">
        <v>0.9</v>
      </c>
      <c r="D1052" s="62">
        <f>(B1052*C1052)+B1052</f>
        <v>503500</v>
      </c>
      <c r="E1052" s="101">
        <v>4</v>
      </c>
      <c r="F1052" s="62">
        <f xml:space="preserve"> D1052/E1052</f>
        <v>125875</v>
      </c>
      <c r="G1052" s="69" t="s">
        <v>25</v>
      </c>
    </row>
    <row r="1053" spans="1:7" x14ac:dyDescent="0.25">
      <c r="A1053" s="69"/>
      <c r="B1053" s="85"/>
      <c r="C1053" s="69"/>
      <c r="D1053" s="62"/>
      <c r="E1053" s="69"/>
      <c r="F1053" s="62"/>
      <c r="G1053" s="69"/>
    </row>
    <row r="1054" spans="1:7" x14ac:dyDescent="0.25">
      <c r="A1054" s="69"/>
      <c r="B1054" s="69"/>
      <c r="C1054" s="69"/>
      <c r="D1054" s="69"/>
      <c r="E1054" s="69"/>
      <c r="F1054" s="69"/>
      <c r="G1054" s="43" t="s">
        <v>31</v>
      </c>
    </row>
    <row r="1055" spans="1:7" x14ac:dyDescent="0.25">
      <c r="A1055" s="82"/>
      <c r="B1055" s="82"/>
      <c r="C1055" s="82"/>
      <c r="D1055" s="82"/>
      <c r="E1055" s="82"/>
      <c r="F1055" s="82"/>
      <c r="G1055" s="64">
        <f>F1053+F1052+F1051</f>
        <v>125875</v>
      </c>
    </row>
    <row r="1056" spans="1:7" x14ac:dyDescent="0.25">
      <c r="A1056" s="1230" t="s">
        <v>25</v>
      </c>
      <c r="B1056" s="1230"/>
      <c r="C1056" s="1230"/>
      <c r="D1056" s="1230"/>
      <c r="E1056" s="1230"/>
      <c r="F1056" s="1230"/>
      <c r="G1056" s="1230"/>
    </row>
    <row r="1057" spans="1:7" x14ac:dyDescent="0.25">
      <c r="A1057" s="1231" t="s">
        <v>45</v>
      </c>
      <c r="B1057" s="1230"/>
      <c r="C1057" s="1230"/>
      <c r="D1057" s="1230"/>
      <c r="E1057" s="1230"/>
      <c r="F1057" s="93"/>
      <c r="G1057" s="70">
        <f xml:space="preserve"> G1055+G1048+G1042+G1032</f>
        <v>515000</v>
      </c>
    </row>
    <row r="1058" spans="1:7" x14ac:dyDescent="0.25">
      <c r="A1058" s="1232" t="s">
        <v>476</v>
      </c>
      <c r="B1058" s="1232"/>
      <c r="C1058" s="1222"/>
      <c r="D1058" s="1222"/>
      <c r="E1058" s="1222" t="s">
        <v>44</v>
      </c>
      <c r="F1058" s="1222" t="s">
        <v>51</v>
      </c>
      <c r="G1058" s="1222" t="s">
        <v>307</v>
      </c>
    </row>
    <row r="1059" spans="1:7" x14ac:dyDescent="0.25">
      <c r="A1059" s="1232"/>
      <c r="B1059" s="1232"/>
      <c r="C1059" s="1222"/>
      <c r="D1059" s="1222"/>
      <c r="E1059" s="1222"/>
      <c r="F1059" s="1222"/>
      <c r="G1059" s="1222"/>
    </row>
    <row r="1060" spans="1:7" x14ac:dyDescent="0.25">
      <c r="A1060" s="1218" t="s">
        <v>17</v>
      </c>
      <c r="B1060" s="1219"/>
      <c r="C1060" s="1219"/>
      <c r="D1060" s="1219"/>
      <c r="E1060" s="1220"/>
      <c r="F1060" s="1221"/>
      <c r="G1060" s="1222"/>
    </row>
    <row r="1061" spans="1:7" x14ac:dyDescent="0.25">
      <c r="A1061" s="1218" t="s">
        <v>308</v>
      </c>
      <c r="B1061" s="1219"/>
      <c r="C1061" s="1219"/>
      <c r="D1061" s="1219"/>
      <c r="E1061" s="1220"/>
      <c r="F1061" s="1221"/>
      <c r="G1061" s="1222"/>
    </row>
    <row r="1062" spans="1:7" x14ac:dyDescent="0.25">
      <c r="A1062" s="1218" t="s">
        <v>19</v>
      </c>
      <c r="B1062" s="1219"/>
      <c r="C1062" s="1219"/>
      <c r="D1062" s="1219"/>
      <c r="E1062" s="1220"/>
      <c r="F1062" s="1221"/>
      <c r="G1062" s="1222"/>
    </row>
    <row r="1063" spans="1:7" x14ac:dyDescent="0.25">
      <c r="A1063" s="1218" t="s">
        <v>309</v>
      </c>
      <c r="B1063" s="1219"/>
      <c r="C1063" s="1219"/>
      <c r="D1063" s="1219"/>
      <c r="E1063" s="1220"/>
      <c r="F1063" s="1221"/>
      <c r="G1063" s="1222"/>
    </row>
    <row r="1064" spans="1:7" x14ac:dyDescent="0.25">
      <c r="A1064" s="1223" t="s">
        <v>310</v>
      </c>
      <c r="B1064" s="1224"/>
      <c r="C1064" s="1224"/>
      <c r="D1064" s="1224"/>
      <c r="E1064" s="1225"/>
      <c r="F1064" s="1222"/>
      <c r="G1064" s="1222"/>
    </row>
    <row r="1072" spans="1:7" x14ac:dyDescent="0.25">
      <c r="A1072" s="95"/>
      <c r="B1072" s="94"/>
      <c r="C1072" s="94"/>
      <c r="D1072" s="94"/>
      <c r="E1072" s="94"/>
      <c r="F1072" s="882" t="s">
        <v>300</v>
      </c>
      <c r="G1072" s="882" t="s">
        <v>2442</v>
      </c>
    </row>
    <row r="1073" spans="1:7" ht="27" customHeight="1" x14ac:dyDescent="0.25">
      <c r="A1073" s="1238" t="s">
        <v>2443</v>
      </c>
      <c r="B1073" s="1239"/>
      <c r="C1073" s="1239"/>
      <c r="D1073" s="1239"/>
      <c r="E1073" s="1240"/>
      <c r="F1073" s="880" t="s">
        <v>24</v>
      </c>
      <c r="G1073" s="880" t="s">
        <v>373</v>
      </c>
    </row>
    <row r="1074" spans="1:7" x14ac:dyDescent="0.25">
      <c r="A1074" s="1233" t="s">
        <v>25</v>
      </c>
      <c r="B1074" s="1233"/>
      <c r="C1074" s="1233"/>
      <c r="D1074" s="1233"/>
      <c r="E1074" s="1233"/>
      <c r="F1074" s="1233"/>
      <c r="G1074" s="1233"/>
    </row>
    <row r="1075" spans="1:7" x14ac:dyDescent="0.25">
      <c r="A1075" s="1234" t="s">
        <v>469</v>
      </c>
      <c r="B1075" s="1235"/>
      <c r="C1075" s="80" t="s">
        <v>26</v>
      </c>
      <c r="D1075" s="80" t="s">
        <v>27</v>
      </c>
      <c r="E1075" s="80" t="s">
        <v>28</v>
      </c>
      <c r="F1075" s="80" t="s">
        <v>35</v>
      </c>
      <c r="G1075" s="67"/>
    </row>
    <row r="1076" spans="1:7" x14ac:dyDescent="0.25">
      <c r="A1076" s="1236"/>
      <c r="B1076" s="1236"/>
      <c r="C1076" s="69"/>
      <c r="D1076" s="62"/>
      <c r="E1076" s="62"/>
      <c r="F1076" s="62"/>
      <c r="G1076" s="81"/>
    </row>
    <row r="1077" spans="1:7" x14ac:dyDescent="0.25">
      <c r="A1077" s="1236"/>
      <c r="B1077" s="1236"/>
      <c r="C1077" s="69"/>
      <c r="D1077" s="62"/>
      <c r="E1077" s="62"/>
      <c r="F1077" s="62"/>
      <c r="G1077" s="69"/>
    </row>
    <row r="1078" spans="1:7" x14ac:dyDescent="0.25">
      <c r="A1078" s="1236" t="s">
        <v>30</v>
      </c>
      <c r="B1078" s="1236"/>
      <c r="C1078" s="69"/>
      <c r="D1078" s="69"/>
      <c r="E1078" s="69"/>
      <c r="F1078" s="62">
        <f>+F1102*0.05</f>
        <v>3596.428571428572</v>
      </c>
      <c r="G1078" s="69"/>
    </row>
    <row r="1079" spans="1:7" x14ac:dyDescent="0.25">
      <c r="A1079" s="1236"/>
      <c r="B1079" s="1236"/>
      <c r="C1079" s="69"/>
      <c r="D1079" s="69"/>
      <c r="E1079" s="69"/>
      <c r="F1079" s="69"/>
      <c r="G1079" s="69"/>
    </row>
    <row r="1080" spans="1:7" x14ac:dyDescent="0.25">
      <c r="A1080" s="1236" t="s">
        <v>25</v>
      </c>
      <c r="B1080" s="1236"/>
      <c r="C1080" s="69"/>
      <c r="D1080" s="69"/>
      <c r="E1080" s="69"/>
      <c r="F1080" s="69"/>
      <c r="G1080" s="83" t="s">
        <v>31</v>
      </c>
    </row>
    <row r="1081" spans="1:7" x14ac:dyDescent="0.25">
      <c r="A1081" s="1237"/>
      <c r="B1081" s="1237"/>
      <c r="C1081" s="82"/>
      <c r="D1081" s="82"/>
      <c r="E1081" s="82"/>
      <c r="F1081" s="82"/>
      <c r="G1081" s="64">
        <f>F1078+F1077+F1076</f>
        <v>3596.428571428572</v>
      </c>
    </row>
    <row r="1082" spans="1:7" x14ac:dyDescent="0.25">
      <c r="A1082" s="1234" t="s">
        <v>475</v>
      </c>
      <c r="B1082" s="1235"/>
      <c r="C1082" s="80" t="s">
        <v>32</v>
      </c>
      <c r="D1082" s="80" t="s">
        <v>33</v>
      </c>
      <c r="E1082" s="80" t="s">
        <v>34</v>
      </c>
      <c r="F1082" s="80" t="s">
        <v>35</v>
      </c>
      <c r="G1082" s="67"/>
    </row>
    <row r="1083" spans="1:7" x14ac:dyDescent="0.25">
      <c r="A1083" s="929" t="s">
        <v>2094</v>
      </c>
      <c r="B1083" s="930"/>
      <c r="C1083" s="503" t="s">
        <v>1987</v>
      </c>
      <c r="D1083" s="931"/>
      <c r="E1083" s="522">
        <v>1</v>
      </c>
      <c r="F1083" s="522"/>
      <c r="G1083" s="69"/>
    </row>
    <row r="1084" spans="1:7" x14ac:dyDescent="0.25">
      <c r="A1084" s="929" t="s">
        <v>2084</v>
      </c>
      <c r="B1084" s="930"/>
      <c r="C1084" s="503" t="s">
        <v>15</v>
      </c>
      <c r="D1084" s="931"/>
      <c r="E1084" s="522">
        <v>1</v>
      </c>
      <c r="F1084" s="522"/>
      <c r="G1084" s="69"/>
    </row>
    <row r="1085" spans="1:7" x14ac:dyDescent="0.25">
      <c r="A1085" s="929" t="s">
        <v>2085</v>
      </c>
      <c r="B1085" s="930"/>
      <c r="C1085" s="503" t="s">
        <v>24</v>
      </c>
      <c r="D1085" s="931"/>
      <c r="E1085" s="522">
        <v>2</v>
      </c>
      <c r="F1085" s="522"/>
      <c r="G1085" s="69"/>
    </row>
    <row r="1086" spans="1:7" x14ac:dyDescent="0.25">
      <c r="A1086" s="929" t="s">
        <v>2086</v>
      </c>
      <c r="B1086" s="930"/>
      <c r="C1086" s="503" t="s">
        <v>24</v>
      </c>
      <c r="D1086" s="931"/>
      <c r="E1086" s="522">
        <v>2</v>
      </c>
      <c r="F1086" s="522"/>
      <c r="G1086" s="69"/>
    </row>
    <row r="1087" spans="1:7" x14ac:dyDescent="0.25">
      <c r="A1087" s="929" t="s">
        <v>2087</v>
      </c>
      <c r="B1087" s="930"/>
      <c r="C1087" s="503" t="s">
        <v>24</v>
      </c>
      <c r="D1087" s="931"/>
      <c r="E1087" s="522">
        <v>1</v>
      </c>
      <c r="F1087" s="522"/>
      <c r="G1087" s="69"/>
    </row>
    <row r="1088" spans="1:7" x14ac:dyDescent="0.25">
      <c r="A1088" s="929" t="s">
        <v>2088</v>
      </c>
      <c r="B1088" s="930"/>
      <c r="C1088" s="503" t="s">
        <v>15</v>
      </c>
      <c r="D1088" s="931"/>
      <c r="E1088" s="522">
        <v>18</v>
      </c>
      <c r="F1088" s="522"/>
      <c r="G1088" s="69"/>
    </row>
    <row r="1089" spans="1:7" x14ac:dyDescent="0.25">
      <c r="A1089" s="929" t="s">
        <v>2089</v>
      </c>
      <c r="B1089" s="930"/>
      <c r="C1089" s="503" t="s">
        <v>24</v>
      </c>
      <c r="D1089" s="931"/>
      <c r="E1089" s="522">
        <v>3</v>
      </c>
      <c r="F1089" s="522"/>
      <c r="G1089" s="69"/>
    </row>
    <row r="1090" spans="1:7" x14ac:dyDescent="0.25">
      <c r="A1090" s="1226" t="s">
        <v>2413</v>
      </c>
      <c r="B1090" s="1243"/>
      <c r="C1090" s="43" t="s">
        <v>2414</v>
      </c>
      <c r="D1090" s="97">
        <v>71750</v>
      </c>
      <c r="E1090" s="92">
        <v>1</v>
      </c>
      <c r="F1090" s="85">
        <f>+D1090*E1090</f>
        <v>71750</v>
      </c>
      <c r="G1090" s="69"/>
    </row>
    <row r="1091" spans="1:7" x14ac:dyDescent="0.25">
      <c r="A1091" s="1228"/>
      <c r="B1091" s="1229"/>
      <c r="C1091" s="43"/>
      <c r="D1091" s="97"/>
      <c r="E1091" s="92"/>
      <c r="F1091" s="85"/>
      <c r="G1091" s="43" t="s">
        <v>31</v>
      </c>
    </row>
    <row r="1092" spans="1:7" x14ac:dyDescent="0.25">
      <c r="A1092" s="1228"/>
      <c r="B1092" s="1229"/>
      <c r="C1092" s="69"/>
      <c r="D1092" s="69"/>
      <c r="E1092" s="69"/>
      <c r="F1092" s="69"/>
      <c r="G1092" s="65">
        <f>+F1090</f>
        <v>71750</v>
      </c>
    </row>
    <row r="1093" spans="1:7" ht="24" x14ac:dyDescent="0.25">
      <c r="A1093" s="901" t="s">
        <v>329</v>
      </c>
      <c r="B1093" s="89" t="s">
        <v>38</v>
      </c>
      <c r="C1093" s="89" t="s">
        <v>39</v>
      </c>
      <c r="D1093" s="80" t="s">
        <v>40</v>
      </c>
      <c r="E1093" s="80" t="s">
        <v>34</v>
      </c>
      <c r="F1093" s="80" t="s">
        <v>35</v>
      </c>
      <c r="G1093" s="67"/>
    </row>
    <row r="1094" spans="1:7" x14ac:dyDescent="0.25">
      <c r="A1094" s="899"/>
      <c r="B1094" s="43"/>
      <c r="C1094" s="43"/>
      <c r="D1094" s="62"/>
      <c r="E1094" s="91"/>
      <c r="F1094" s="62"/>
      <c r="G1094" s="69"/>
    </row>
    <row r="1095" spans="1:7" x14ac:dyDescent="0.25">
      <c r="A1095" s="90"/>
      <c r="B1095" s="43"/>
      <c r="C1095" s="43"/>
      <c r="D1095" s="62"/>
      <c r="E1095" s="91"/>
      <c r="F1095" s="62"/>
      <c r="G1095" s="69"/>
    </row>
    <row r="1096" spans="1:7" x14ac:dyDescent="0.25">
      <c r="A1096" s="90"/>
      <c r="B1096" s="43"/>
      <c r="C1096" s="43"/>
      <c r="D1096" s="62"/>
      <c r="E1096" s="92"/>
      <c r="F1096" s="62"/>
      <c r="G1096" s="69"/>
    </row>
    <row r="1097" spans="1:7" x14ac:dyDescent="0.25">
      <c r="A1097" s="90" t="s">
        <v>25</v>
      </c>
      <c r="B1097" s="43" t="s">
        <v>25</v>
      </c>
      <c r="C1097" s="43" t="s">
        <v>25</v>
      </c>
      <c r="D1097" s="61" t="s">
        <v>25</v>
      </c>
      <c r="E1097" s="92" t="s">
        <v>25</v>
      </c>
      <c r="F1097" s="62" t="s">
        <v>25</v>
      </c>
      <c r="G1097" s="43" t="s">
        <v>31</v>
      </c>
    </row>
    <row r="1098" spans="1:7" x14ac:dyDescent="0.25">
      <c r="A1098" s="90"/>
      <c r="B1098" s="69"/>
      <c r="C1098" s="69"/>
      <c r="D1098" s="69"/>
      <c r="E1098" s="69"/>
      <c r="F1098" s="69"/>
      <c r="G1098" s="64">
        <f>+F1094*E1094</f>
        <v>0</v>
      </c>
    </row>
    <row r="1099" spans="1:7" ht="24" x14ac:dyDescent="0.25">
      <c r="A1099" s="901" t="s">
        <v>41</v>
      </c>
      <c r="B1099" s="80" t="s">
        <v>42</v>
      </c>
      <c r="C1099" s="80" t="s">
        <v>43</v>
      </c>
      <c r="D1099" s="80" t="s">
        <v>44</v>
      </c>
      <c r="E1099" s="89" t="s">
        <v>306</v>
      </c>
      <c r="F1099" s="80" t="s">
        <v>35</v>
      </c>
      <c r="G1099" s="67"/>
    </row>
    <row r="1100" spans="1:7" x14ac:dyDescent="0.25">
      <c r="A1100" s="81"/>
      <c r="B1100" s="81"/>
      <c r="C1100" s="81"/>
      <c r="D1100" s="81"/>
      <c r="E1100" s="81"/>
      <c r="F1100" s="81"/>
      <c r="G1100" s="81"/>
    </row>
    <row r="1101" spans="1:7" x14ac:dyDescent="0.25">
      <c r="A1101" s="69" t="s">
        <v>2372</v>
      </c>
      <c r="B1101" s="85"/>
      <c r="C1101" s="96"/>
      <c r="D1101" s="62"/>
      <c r="E1101" s="121">
        <v>12</v>
      </c>
      <c r="F1101" s="62"/>
      <c r="G1101" s="69"/>
    </row>
    <row r="1102" spans="1:7" ht="48.75" x14ac:dyDescent="0.25">
      <c r="A1102" s="881" t="s">
        <v>2412</v>
      </c>
      <c r="B1102" s="85">
        <v>265000</v>
      </c>
      <c r="C1102" s="96">
        <v>0.9</v>
      </c>
      <c r="D1102" s="62">
        <f>(B1102*C1102)+B1102</f>
        <v>503500</v>
      </c>
      <c r="E1102" s="101">
        <v>7</v>
      </c>
      <c r="F1102" s="62">
        <f xml:space="preserve"> D1102/E1102</f>
        <v>71928.571428571435</v>
      </c>
      <c r="G1102" s="69" t="s">
        <v>25</v>
      </c>
    </row>
    <row r="1103" spans="1:7" x14ac:dyDescent="0.25">
      <c r="A1103" s="69"/>
      <c r="B1103" s="85"/>
      <c r="C1103" s="69"/>
      <c r="D1103" s="62"/>
      <c r="E1103" s="69"/>
      <c r="F1103" s="62"/>
      <c r="G1103" s="69"/>
    </row>
    <row r="1104" spans="1:7" x14ac:dyDescent="0.25">
      <c r="A1104" s="69"/>
      <c r="B1104" s="69"/>
      <c r="C1104" s="69"/>
      <c r="D1104" s="69"/>
      <c r="E1104" s="69"/>
      <c r="F1104" s="69"/>
      <c r="G1104" s="43" t="s">
        <v>31</v>
      </c>
    </row>
    <row r="1105" spans="1:7" x14ac:dyDescent="0.25">
      <c r="A1105" s="82"/>
      <c r="B1105" s="82"/>
      <c r="C1105" s="82"/>
      <c r="D1105" s="82"/>
      <c r="E1105" s="82"/>
      <c r="F1105" s="82"/>
      <c r="G1105" s="64">
        <f>F1103+F1102+F1101</f>
        <v>71928.571428571435</v>
      </c>
    </row>
    <row r="1106" spans="1:7" x14ac:dyDescent="0.25">
      <c r="A1106" s="1230" t="s">
        <v>25</v>
      </c>
      <c r="B1106" s="1230"/>
      <c r="C1106" s="1230"/>
      <c r="D1106" s="1230"/>
      <c r="E1106" s="1230"/>
      <c r="F1106" s="1230"/>
      <c r="G1106" s="1230"/>
    </row>
    <row r="1107" spans="1:7" x14ac:dyDescent="0.25">
      <c r="A1107" s="1231" t="s">
        <v>45</v>
      </c>
      <c r="B1107" s="1230"/>
      <c r="C1107" s="1230"/>
      <c r="D1107" s="1230"/>
      <c r="E1107" s="1230"/>
      <c r="F1107" s="93"/>
      <c r="G1107" s="70">
        <f xml:space="preserve"> G1105+G1098+G1092+G1081</f>
        <v>147275</v>
      </c>
    </row>
    <row r="1108" spans="1:7" x14ac:dyDescent="0.25">
      <c r="A1108" s="1232" t="s">
        <v>476</v>
      </c>
      <c r="B1108" s="1232"/>
      <c r="C1108" s="1222"/>
      <c r="D1108" s="1222"/>
      <c r="E1108" s="1222" t="s">
        <v>44</v>
      </c>
      <c r="F1108" s="1222" t="s">
        <v>51</v>
      </c>
      <c r="G1108" s="1222" t="s">
        <v>307</v>
      </c>
    </row>
    <row r="1109" spans="1:7" x14ac:dyDescent="0.25">
      <c r="A1109" s="1232"/>
      <c r="B1109" s="1232"/>
      <c r="C1109" s="1222"/>
      <c r="D1109" s="1222"/>
      <c r="E1109" s="1222"/>
      <c r="F1109" s="1222"/>
      <c r="G1109" s="1222"/>
    </row>
    <row r="1110" spans="1:7" x14ac:dyDescent="0.25">
      <c r="A1110" s="1218" t="s">
        <v>17</v>
      </c>
      <c r="B1110" s="1219"/>
      <c r="C1110" s="1219"/>
      <c r="D1110" s="1219"/>
      <c r="E1110" s="1220"/>
      <c r="F1110" s="1221"/>
      <c r="G1110" s="1222"/>
    </row>
    <row r="1111" spans="1:7" x14ac:dyDescent="0.25">
      <c r="A1111" s="1218" t="s">
        <v>308</v>
      </c>
      <c r="B1111" s="1219"/>
      <c r="C1111" s="1219"/>
      <c r="D1111" s="1219"/>
      <c r="E1111" s="1220"/>
      <c r="F1111" s="1221"/>
      <c r="G1111" s="1222"/>
    </row>
    <row r="1112" spans="1:7" x14ac:dyDescent="0.25">
      <c r="A1112" s="1218" t="s">
        <v>19</v>
      </c>
      <c r="B1112" s="1219"/>
      <c r="C1112" s="1219"/>
      <c r="D1112" s="1219"/>
      <c r="E1112" s="1220"/>
      <c r="F1112" s="1221"/>
      <c r="G1112" s="1222"/>
    </row>
    <row r="1113" spans="1:7" x14ac:dyDescent="0.25">
      <c r="A1113" s="1218" t="s">
        <v>309</v>
      </c>
      <c r="B1113" s="1219"/>
      <c r="C1113" s="1219"/>
      <c r="D1113" s="1219"/>
      <c r="E1113" s="1220"/>
      <c r="F1113" s="1221"/>
      <c r="G1113" s="1222"/>
    </row>
    <row r="1114" spans="1:7" x14ac:dyDescent="0.25">
      <c r="A1114" s="1223" t="s">
        <v>310</v>
      </c>
      <c r="B1114" s="1224"/>
      <c r="C1114" s="1224"/>
      <c r="D1114" s="1224"/>
      <c r="E1114" s="1225"/>
      <c r="F1114" s="1222"/>
      <c r="G1114" s="1222"/>
    </row>
    <row r="1121" spans="1:13" x14ac:dyDescent="0.25">
      <c r="A1121" s="95"/>
      <c r="B1121" s="94"/>
      <c r="C1121" s="94"/>
      <c r="D1121" s="94"/>
      <c r="E1121" s="94"/>
      <c r="F1121" s="882" t="s">
        <v>300</v>
      </c>
      <c r="G1121" s="882" t="s">
        <v>2444</v>
      </c>
    </row>
    <row r="1122" spans="1:13" ht="15" customHeight="1" x14ac:dyDescent="0.25">
      <c r="A1122" s="1238" t="s">
        <v>1941</v>
      </c>
      <c r="B1122" s="1239"/>
      <c r="C1122" s="1239"/>
      <c r="D1122" s="1239"/>
      <c r="E1122" s="1240"/>
      <c r="F1122" s="880" t="s">
        <v>24</v>
      </c>
      <c r="G1122" s="880" t="s">
        <v>15</v>
      </c>
    </row>
    <row r="1123" spans="1:13" x14ac:dyDescent="0.25">
      <c r="A1123" s="1233" t="s">
        <v>25</v>
      </c>
      <c r="B1123" s="1233"/>
      <c r="C1123" s="1233"/>
      <c r="D1123" s="1233"/>
      <c r="E1123" s="1233"/>
      <c r="F1123" s="1233"/>
      <c r="G1123" s="1233"/>
    </row>
    <row r="1124" spans="1:13" x14ac:dyDescent="0.25">
      <c r="A1124" s="1234" t="s">
        <v>469</v>
      </c>
      <c r="B1124" s="1235"/>
      <c r="C1124" s="80" t="s">
        <v>26</v>
      </c>
      <c r="D1124" s="80" t="s">
        <v>27</v>
      </c>
      <c r="E1124" s="80" t="s">
        <v>28</v>
      </c>
      <c r="F1124" s="80" t="s">
        <v>35</v>
      </c>
      <c r="G1124" s="67"/>
    </row>
    <row r="1125" spans="1:13" x14ac:dyDescent="0.25">
      <c r="A1125" s="1236"/>
      <c r="B1125" s="1236"/>
      <c r="C1125" s="69"/>
      <c r="D1125" s="62"/>
      <c r="E1125" s="62"/>
      <c r="F1125" s="62"/>
      <c r="G1125" s="81"/>
    </row>
    <row r="1126" spans="1:13" x14ac:dyDescent="0.25">
      <c r="A1126" s="1236"/>
      <c r="B1126" s="1236"/>
      <c r="C1126" s="69"/>
      <c r="D1126" s="62"/>
      <c r="E1126" s="62"/>
      <c r="F1126" s="62"/>
      <c r="G1126" s="69"/>
    </row>
    <row r="1127" spans="1:13" x14ac:dyDescent="0.25">
      <c r="A1127" s="1236" t="s">
        <v>30</v>
      </c>
      <c r="B1127" s="1236"/>
      <c r="C1127" s="69"/>
      <c r="D1127" s="69"/>
      <c r="E1127" s="69"/>
      <c r="F1127" s="62">
        <f>+F1145*0.05</f>
        <v>125.875</v>
      </c>
      <c r="G1127" s="69"/>
    </row>
    <row r="1128" spans="1:13" x14ac:dyDescent="0.25">
      <c r="A1128" s="1236"/>
      <c r="B1128" s="1236"/>
      <c r="C1128" s="69"/>
      <c r="D1128" s="69"/>
      <c r="E1128" s="69"/>
      <c r="F1128" s="69"/>
      <c r="G1128" s="69"/>
    </row>
    <row r="1129" spans="1:13" x14ac:dyDescent="0.25">
      <c r="A1129" s="1236" t="s">
        <v>25</v>
      </c>
      <c r="B1129" s="1236"/>
      <c r="C1129" s="69"/>
      <c r="D1129" s="69"/>
      <c r="E1129" s="69"/>
      <c r="F1129" s="69"/>
      <c r="G1129" s="83" t="s">
        <v>31</v>
      </c>
    </row>
    <row r="1130" spans="1:13" x14ac:dyDescent="0.25">
      <c r="A1130" s="1237"/>
      <c r="B1130" s="1237"/>
      <c r="C1130" s="82"/>
      <c r="D1130" s="82"/>
      <c r="E1130" s="82"/>
      <c r="F1130" s="82"/>
      <c r="G1130" s="64">
        <f>F1127+F1126+F1125</f>
        <v>125.875</v>
      </c>
      <c r="I1130" s="929"/>
      <c r="J1130" s="930"/>
      <c r="K1130" s="503"/>
      <c r="L1130" s="931"/>
      <c r="M1130" s="522">
        <v>1</v>
      </c>
    </row>
    <row r="1131" spans="1:13" x14ac:dyDescent="0.25">
      <c r="A1131" s="1234" t="s">
        <v>475</v>
      </c>
      <c r="B1131" s="1235"/>
      <c r="C1131" s="80" t="s">
        <v>32</v>
      </c>
      <c r="D1131" s="80" t="s">
        <v>33</v>
      </c>
      <c r="E1131" s="80" t="s">
        <v>34</v>
      </c>
      <c r="F1131" s="80" t="s">
        <v>35</v>
      </c>
      <c r="G1131" s="67"/>
      <c r="I1131" s="929"/>
      <c r="J1131" s="930"/>
      <c r="K1131" s="503"/>
      <c r="L1131" s="931"/>
      <c r="M1131" s="522">
        <v>1</v>
      </c>
    </row>
    <row r="1132" spans="1:13" x14ac:dyDescent="0.25">
      <c r="A1132" s="926" t="s">
        <v>2479</v>
      </c>
      <c r="B1132" s="927"/>
      <c r="C1132" s="118"/>
      <c r="D1132" s="118"/>
      <c r="E1132" s="118"/>
      <c r="F1132" s="118"/>
      <c r="G1132" s="69"/>
      <c r="I1132" s="929"/>
      <c r="J1132" s="930"/>
      <c r="K1132" s="503"/>
      <c r="L1132" s="931"/>
      <c r="M1132" s="522"/>
    </row>
    <row r="1133" spans="1:13" x14ac:dyDescent="0.25">
      <c r="A1133" s="1226" t="s">
        <v>2413</v>
      </c>
      <c r="B1133" s="1227"/>
      <c r="C1133" s="43" t="s">
        <v>2414</v>
      </c>
      <c r="D1133" s="97">
        <v>10856.625</v>
      </c>
      <c r="E1133" s="92">
        <v>1</v>
      </c>
      <c r="F1133" s="85">
        <f>+D1133*E1133</f>
        <v>10856.625</v>
      </c>
      <c r="G1133" s="69"/>
      <c r="I1133" s="929"/>
      <c r="J1133" s="930"/>
      <c r="K1133" s="503"/>
      <c r="L1133" s="931"/>
      <c r="M1133" s="522">
        <v>2</v>
      </c>
    </row>
    <row r="1134" spans="1:13" x14ac:dyDescent="0.25">
      <c r="A1134" s="1228"/>
      <c r="B1134" s="1229"/>
      <c r="C1134" s="43"/>
      <c r="D1134" s="97"/>
      <c r="E1134" s="92"/>
      <c r="F1134" s="85"/>
      <c r="G1134" s="43" t="s">
        <v>31</v>
      </c>
      <c r="I1134" s="929"/>
      <c r="J1134" s="930"/>
      <c r="K1134" s="503"/>
      <c r="L1134" s="931"/>
      <c r="M1134" s="522">
        <v>2</v>
      </c>
    </row>
    <row r="1135" spans="1:13" x14ac:dyDescent="0.25">
      <c r="A1135" s="1228"/>
      <c r="B1135" s="1229"/>
      <c r="C1135" s="69"/>
      <c r="D1135" s="69"/>
      <c r="E1135" s="69"/>
      <c r="F1135" s="69"/>
      <c r="G1135" s="65">
        <f>+F1133</f>
        <v>10856.625</v>
      </c>
      <c r="I1135" s="929"/>
      <c r="J1135" s="930"/>
      <c r="K1135" s="503"/>
      <c r="L1135" s="931"/>
      <c r="M1135" s="522">
        <v>1</v>
      </c>
    </row>
    <row r="1136" spans="1:13" ht="24" x14ac:dyDescent="0.25">
      <c r="A1136" s="901" t="s">
        <v>329</v>
      </c>
      <c r="B1136" s="89" t="s">
        <v>38</v>
      </c>
      <c r="C1136" s="89" t="s">
        <v>39</v>
      </c>
      <c r="D1136" s="80" t="s">
        <v>40</v>
      </c>
      <c r="E1136" s="80" t="s">
        <v>34</v>
      </c>
      <c r="F1136" s="80" t="s">
        <v>35</v>
      </c>
      <c r="G1136" s="67"/>
      <c r="I1136" s="929"/>
      <c r="J1136" s="930"/>
      <c r="K1136" s="503"/>
      <c r="L1136" s="931"/>
      <c r="M1136" s="522">
        <v>18</v>
      </c>
    </row>
    <row r="1137" spans="1:13" x14ac:dyDescent="0.25">
      <c r="A1137" s="899"/>
      <c r="B1137" s="43"/>
      <c r="C1137" s="43"/>
      <c r="D1137" s="62"/>
      <c r="E1137" s="91"/>
      <c r="F1137" s="62"/>
      <c r="G1137" s="69"/>
      <c r="I1137" s="929"/>
      <c r="J1137" s="930"/>
      <c r="K1137" s="503"/>
      <c r="L1137" s="931"/>
      <c r="M1137" s="522">
        <v>3</v>
      </c>
    </row>
    <row r="1138" spans="1:13" x14ac:dyDescent="0.25">
      <c r="A1138" s="90"/>
      <c r="B1138" s="43"/>
      <c r="C1138" s="43"/>
      <c r="D1138" s="62"/>
      <c r="E1138" s="91"/>
      <c r="F1138" s="62"/>
      <c r="G1138" s="69"/>
    </row>
    <row r="1139" spans="1:13" x14ac:dyDescent="0.25">
      <c r="A1139" s="90"/>
      <c r="B1139" s="43"/>
      <c r="C1139" s="43"/>
      <c r="D1139" s="62"/>
      <c r="E1139" s="92"/>
      <c r="F1139" s="62"/>
      <c r="G1139" s="69"/>
    </row>
    <row r="1140" spans="1:13" x14ac:dyDescent="0.25">
      <c r="A1140" s="90" t="s">
        <v>25</v>
      </c>
      <c r="B1140" s="43" t="s">
        <v>25</v>
      </c>
      <c r="C1140" s="43" t="s">
        <v>25</v>
      </c>
      <c r="D1140" s="61" t="s">
        <v>25</v>
      </c>
      <c r="E1140" s="92" t="s">
        <v>25</v>
      </c>
      <c r="F1140" s="62" t="s">
        <v>25</v>
      </c>
      <c r="G1140" s="43" t="s">
        <v>31</v>
      </c>
    </row>
    <row r="1141" spans="1:13" x14ac:dyDescent="0.25">
      <c r="A1141" s="90"/>
      <c r="B1141" s="69"/>
      <c r="C1141" s="69"/>
      <c r="D1141" s="69"/>
      <c r="E1141" s="69"/>
      <c r="F1141" s="69"/>
      <c r="G1141" s="64">
        <f>+F1137*E1137</f>
        <v>0</v>
      </c>
    </row>
    <row r="1142" spans="1:13" ht="24" x14ac:dyDescent="0.25">
      <c r="A1142" s="901" t="s">
        <v>41</v>
      </c>
      <c r="B1142" s="80" t="s">
        <v>42</v>
      </c>
      <c r="C1142" s="80" t="s">
        <v>43</v>
      </c>
      <c r="D1142" s="80" t="s">
        <v>44</v>
      </c>
      <c r="E1142" s="89" t="s">
        <v>306</v>
      </c>
      <c r="F1142" s="80" t="s">
        <v>35</v>
      </c>
      <c r="G1142" s="67"/>
    </row>
    <row r="1143" spans="1:13" x14ac:dyDescent="0.25">
      <c r="A1143" s="81"/>
      <c r="B1143" s="81"/>
      <c r="C1143" s="81"/>
      <c r="D1143" s="81"/>
      <c r="E1143" s="81"/>
      <c r="F1143" s="81"/>
      <c r="G1143" s="81"/>
    </row>
    <row r="1144" spans="1:13" x14ac:dyDescent="0.25">
      <c r="A1144" s="69" t="s">
        <v>2372</v>
      </c>
      <c r="B1144" s="85"/>
      <c r="C1144" s="96"/>
      <c r="D1144" s="62"/>
      <c r="E1144" s="121"/>
      <c r="F1144" s="62"/>
      <c r="G1144" s="69"/>
    </row>
    <row r="1145" spans="1:13" ht="48.75" x14ac:dyDescent="0.25">
      <c r="A1145" s="881" t="s">
        <v>2412</v>
      </c>
      <c r="B1145" s="85">
        <v>265000</v>
      </c>
      <c r="C1145" s="96">
        <v>0.9</v>
      </c>
      <c r="D1145" s="62">
        <f>(B1145*C1145)+B1145</f>
        <v>503500</v>
      </c>
      <c r="E1145" s="101">
        <v>200</v>
      </c>
      <c r="F1145" s="62">
        <f xml:space="preserve"> D1145/E1145</f>
        <v>2517.5</v>
      </c>
      <c r="G1145" s="69" t="s">
        <v>25</v>
      </c>
    </row>
    <row r="1146" spans="1:13" x14ac:dyDescent="0.25">
      <c r="A1146" s="69"/>
      <c r="B1146" s="85"/>
      <c r="C1146" s="69"/>
      <c r="D1146" s="62"/>
      <c r="E1146" s="69"/>
      <c r="F1146" s="62"/>
      <c r="G1146" s="69"/>
    </row>
    <row r="1147" spans="1:13" x14ac:dyDescent="0.25">
      <c r="A1147" s="69"/>
      <c r="B1147" s="69"/>
      <c r="C1147" s="69"/>
      <c r="D1147" s="69"/>
      <c r="E1147" s="69"/>
      <c r="F1147" s="69"/>
      <c r="G1147" s="43" t="s">
        <v>31</v>
      </c>
    </row>
    <row r="1148" spans="1:13" x14ac:dyDescent="0.25">
      <c r="A1148" s="82"/>
      <c r="B1148" s="82"/>
      <c r="C1148" s="82"/>
      <c r="D1148" s="82"/>
      <c r="E1148" s="82"/>
      <c r="F1148" s="82"/>
      <c r="G1148" s="64">
        <f>F1146+F1145+F1144</f>
        <v>2517.5</v>
      </c>
    </row>
    <row r="1149" spans="1:13" x14ac:dyDescent="0.25">
      <c r="A1149" s="1230" t="s">
        <v>25</v>
      </c>
      <c r="B1149" s="1230"/>
      <c r="C1149" s="1230"/>
      <c r="D1149" s="1230"/>
      <c r="E1149" s="1230"/>
      <c r="F1149" s="1230"/>
      <c r="G1149" s="1230"/>
    </row>
    <row r="1150" spans="1:13" x14ac:dyDescent="0.25">
      <c r="A1150" s="1231" t="s">
        <v>45</v>
      </c>
      <c r="B1150" s="1230"/>
      <c r="C1150" s="1230"/>
      <c r="D1150" s="1230"/>
      <c r="E1150" s="1230"/>
      <c r="F1150" s="93"/>
      <c r="G1150" s="70">
        <f xml:space="preserve"> G1148+G1141+G1135+G1130</f>
        <v>13500</v>
      </c>
    </row>
    <row r="1151" spans="1:13" x14ac:dyDescent="0.25">
      <c r="A1151" s="1232" t="s">
        <v>476</v>
      </c>
      <c r="B1151" s="1232"/>
      <c r="C1151" s="1222"/>
      <c r="D1151" s="1222"/>
      <c r="E1151" s="1222" t="s">
        <v>44</v>
      </c>
      <c r="F1151" s="1222" t="s">
        <v>51</v>
      </c>
      <c r="G1151" s="1222" t="s">
        <v>307</v>
      </c>
    </row>
    <row r="1152" spans="1:13" x14ac:dyDescent="0.25">
      <c r="A1152" s="1232"/>
      <c r="B1152" s="1232"/>
      <c r="C1152" s="1222"/>
      <c r="D1152" s="1222"/>
      <c r="E1152" s="1222"/>
      <c r="F1152" s="1222"/>
      <c r="G1152" s="1222"/>
    </row>
    <row r="1153" spans="1:7" x14ac:dyDescent="0.25">
      <c r="A1153" s="1218" t="s">
        <v>17</v>
      </c>
      <c r="B1153" s="1219"/>
      <c r="C1153" s="1219"/>
      <c r="D1153" s="1219"/>
      <c r="E1153" s="1220"/>
      <c r="F1153" s="1221"/>
      <c r="G1153" s="1222"/>
    </row>
    <row r="1154" spans="1:7" x14ac:dyDescent="0.25">
      <c r="A1154" s="1218" t="s">
        <v>308</v>
      </c>
      <c r="B1154" s="1219"/>
      <c r="C1154" s="1219"/>
      <c r="D1154" s="1219"/>
      <c r="E1154" s="1220"/>
      <c r="F1154" s="1221"/>
      <c r="G1154" s="1222"/>
    </row>
    <row r="1155" spans="1:7" x14ac:dyDescent="0.25">
      <c r="A1155" s="1218" t="s">
        <v>19</v>
      </c>
      <c r="B1155" s="1219"/>
      <c r="C1155" s="1219"/>
      <c r="D1155" s="1219"/>
      <c r="E1155" s="1220"/>
      <c r="F1155" s="1221"/>
      <c r="G1155" s="1222"/>
    </row>
    <row r="1156" spans="1:7" x14ac:dyDescent="0.25">
      <c r="A1156" s="1218" t="s">
        <v>309</v>
      </c>
      <c r="B1156" s="1219"/>
      <c r="C1156" s="1219"/>
      <c r="D1156" s="1219"/>
      <c r="E1156" s="1220"/>
      <c r="F1156" s="1221"/>
      <c r="G1156" s="1222"/>
    </row>
    <row r="1157" spans="1:7" x14ac:dyDescent="0.25">
      <c r="A1157" s="1223" t="s">
        <v>310</v>
      </c>
      <c r="B1157" s="1224"/>
      <c r="C1157" s="1224"/>
      <c r="D1157" s="1224"/>
      <c r="E1157" s="1225"/>
      <c r="F1157" s="1222"/>
      <c r="G1157" s="1222"/>
    </row>
    <row r="1166" spans="1:7" x14ac:dyDescent="0.25">
      <c r="A1166" s="95"/>
      <c r="B1166" s="94"/>
      <c r="C1166" s="94"/>
      <c r="D1166" s="94"/>
      <c r="E1166" s="94"/>
      <c r="F1166" s="882" t="s">
        <v>300</v>
      </c>
      <c r="G1166" s="882" t="s">
        <v>2445</v>
      </c>
    </row>
    <row r="1167" spans="1:7" ht="15" customHeight="1" x14ac:dyDescent="0.25">
      <c r="A1167" s="1238" t="s">
        <v>1942</v>
      </c>
      <c r="B1167" s="1239"/>
      <c r="C1167" s="1239"/>
      <c r="D1167" s="1239"/>
      <c r="E1167" s="1240"/>
      <c r="F1167" s="880" t="s">
        <v>24</v>
      </c>
      <c r="G1167" s="880" t="s">
        <v>13</v>
      </c>
    </row>
    <row r="1168" spans="1:7" x14ac:dyDescent="0.25">
      <c r="A1168" s="1233" t="s">
        <v>25</v>
      </c>
      <c r="B1168" s="1233"/>
      <c r="C1168" s="1233"/>
      <c r="D1168" s="1233"/>
      <c r="E1168" s="1233"/>
      <c r="F1168" s="1233"/>
      <c r="G1168" s="1233"/>
    </row>
    <row r="1169" spans="1:7" x14ac:dyDescent="0.25">
      <c r="A1169" s="1234" t="s">
        <v>469</v>
      </c>
      <c r="B1169" s="1235"/>
      <c r="C1169" s="80" t="s">
        <v>26</v>
      </c>
      <c r="D1169" s="80" t="s">
        <v>27</v>
      </c>
      <c r="E1169" s="80" t="s">
        <v>28</v>
      </c>
      <c r="F1169" s="80" t="s">
        <v>35</v>
      </c>
      <c r="G1169" s="67"/>
    </row>
    <row r="1170" spans="1:7" x14ac:dyDescent="0.25">
      <c r="A1170" s="1236"/>
      <c r="B1170" s="1236"/>
      <c r="C1170" s="69"/>
      <c r="D1170" s="62"/>
      <c r="E1170" s="62"/>
      <c r="F1170" s="62"/>
      <c r="G1170" s="81"/>
    </row>
    <row r="1171" spans="1:7" x14ac:dyDescent="0.25">
      <c r="A1171" s="1236"/>
      <c r="B1171" s="1236"/>
      <c r="C1171" s="69"/>
      <c r="D1171" s="62"/>
      <c r="E1171" s="62"/>
      <c r="F1171" s="62"/>
      <c r="G1171" s="69"/>
    </row>
    <row r="1172" spans="1:7" x14ac:dyDescent="0.25">
      <c r="A1172" s="1236" t="s">
        <v>30</v>
      </c>
      <c r="B1172" s="1236"/>
      <c r="C1172" s="69"/>
      <c r="D1172" s="69"/>
      <c r="E1172" s="69"/>
      <c r="F1172" s="62">
        <f>+F1190*0.05</f>
        <v>419583.33333333343</v>
      </c>
      <c r="G1172" s="69"/>
    </row>
    <row r="1173" spans="1:7" x14ac:dyDescent="0.25">
      <c r="A1173" s="1236"/>
      <c r="B1173" s="1236"/>
      <c r="C1173" s="69"/>
      <c r="D1173" s="69"/>
      <c r="E1173" s="69"/>
      <c r="F1173" s="69"/>
      <c r="G1173" s="69"/>
    </row>
    <row r="1174" spans="1:7" x14ac:dyDescent="0.25">
      <c r="A1174" s="1236" t="s">
        <v>25</v>
      </c>
      <c r="B1174" s="1236"/>
      <c r="C1174" s="69"/>
      <c r="D1174" s="69"/>
      <c r="E1174" s="69"/>
      <c r="F1174" s="69"/>
      <c r="G1174" s="83" t="s">
        <v>31</v>
      </c>
    </row>
    <row r="1175" spans="1:7" x14ac:dyDescent="0.25">
      <c r="A1175" s="1237"/>
      <c r="B1175" s="1237"/>
      <c r="C1175" s="82"/>
      <c r="D1175" s="82"/>
      <c r="E1175" s="82"/>
      <c r="F1175" s="82"/>
      <c r="G1175" s="64">
        <f>F1172+F1171+F1170</f>
        <v>419583.33333333343</v>
      </c>
    </row>
    <row r="1176" spans="1:7" x14ac:dyDescent="0.25">
      <c r="A1176" s="1234" t="s">
        <v>475</v>
      </c>
      <c r="B1176" s="1235"/>
      <c r="C1176" s="80" t="s">
        <v>32</v>
      </c>
      <c r="D1176" s="80" t="s">
        <v>33</v>
      </c>
      <c r="E1176" s="80" t="s">
        <v>34</v>
      </c>
      <c r="F1176" s="80" t="s">
        <v>35</v>
      </c>
      <c r="G1176" s="67"/>
    </row>
    <row r="1177" spans="1:7" x14ac:dyDescent="0.25">
      <c r="A1177" s="932" t="s">
        <v>2107</v>
      </c>
      <c r="B1177" s="933"/>
      <c r="C1177" s="546" t="s">
        <v>24</v>
      </c>
      <c r="D1177" s="546">
        <v>1</v>
      </c>
      <c r="E1177" s="546"/>
      <c r="F1177" s="546"/>
      <c r="G1177" s="547"/>
    </row>
    <row r="1178" spans="1:7" x14ac:dyDescent="0.25">
      <c r="A1178" s="1226" t="s">
        <v>2413</v>
      </c>
      <c r="B1178" s="1227"/>
      <c r="C1178" s="43" t="s">
        <v>2414</v>
      </c>
      <c r="D1178" s="97">
        <v>18137400</v>
      </c>
      <c r="E1178" s="92">
        <v>1</v>
      </c>
      <c r="F1178" s="85">
        <f>+D1178*E1178</f>
        <v>18137400</v>
      </c>
      <c r="G1178" s="69"/>
    </row>
    <row r="1179" spans="1:7" x14ac:dyDescent="0.25">
      <c r="A1179" s="1228"/>
      <c r="B1179" s="1229"/>
      <c r="C1179" s="43"/>
      <c r="D1179" s="97"/>
      <c r="E1179" s="92"/>
      <c r="F1179" s="85"/>
      <c r="G1179" s="43" t="s">
        <v>31</v>
      </c>
    </row>
    <row r="1180" spans="1:7" x14ac:dyDescent="0.25">
      <c r="A1180" s="1228"/>
      <c r="B1180" s="1229"/>
      <c r="C1180" s="69"/>
      <c r="D1180" s="69"/>
      <c r="E1180" s="69"/>
      <c r="F1180" s="69"/>
      <c r="G1180" s="65">
        <f>+F1178</f>
        <v>18137400</v>
      </c>
    </row>
    <row r="1181" spans="1:7" ht="24" x14ac:dyDescent="0.25">
      <c r="A1181" s="901" t="s">
        <v>329</v>
      </c>
      <c r="B1181" s="89" t="s">
        <v>38</v>
      </c>
      <c r="C1181" s="89" t="s">
        <v>39</v>
      </c>
      <c r="D1181" s="80" t="s">
        <v>40</v>
      </c>
      <c r="E1181" s="80" t="s">
        <v>34</v>
      </c>
      <c r="F1181" s="80" t="s">
        <v>35</v>
      </c>
      <c r="G1181" s="67"/>
    </row>
    <row r="1182" spans="1:7" x14ac:dyDescent="0.25">
      <c r="A1182" s="899"/>
      <c r="B1182" s="43"/>
      <c r="C1182" s="43"/>
      <c r="D1182" s="62"/>
      <c r="E1182" s="91"/>
      <c r="F1182" s="62"/>
      <c r="G1182" s="69"/>
    </row>
    <row r="1183" spans="1:7" x14ac:dyDescent="0.25">
      <c r="A1183" s="90"/>
      <c r="B1183" s="43"/>
      <c r="C1183" s="43"/>
      <c r="D1183" s="62"/>
      <c r="E1183" s="91"/>
      <c r="F1183" s="62"/>
      <c r="G1183" s="69"/>
    </row>
    <row r="1184" spans="1:7" x14ac:dyDescent="0.25">
      <c r="A1184" s="90"/>
      <c r="B1184" s="43"/>
      <c r="C1184" s="43"/>
      <c r="D1184" s="62"/>
      <c r="E1184" s="92"/>
      <c r="F1184" s="62"/>
      <c r="G1184" s="69"/>
    </row>
    <row r="1185" spans="1:7" x14ac:dyDescent="0.25">
      <c r="A1185" s="90" t="s">
        <v>25</v>
      </c>
      <c r="B1185" s="43" t="s">
        <v>25</v>
      </c>
      <c r="C1185" s="43" t="s">
        <v>25</v>
      </c>
      <c r="D1185" s="61" t="s">
        <v>25</v>
      </c>
      <c r="E1185" s="92" t="s">
        <v>25</v>
      </c>
      <c r="F1185" s="62" t="s">
        <v>25</v>
      </c>
      <c r="G1185" s="43" t="s">
        <v>31</v>
      </c>
    </row>
    <row r="1186" spans="1:7" x14ac:dyDescent="0.25">
      <c r="A1186" s="90"/>
      <c r="B1186" s="69"/>
      <c r="C1186" s="69"/>
      <c r="D1186" s="69"/>
      <c r="E1186" s="69"/>
      <c r="F1186" s="69"/>
      <c r="G1186" s="64">
        <f>+F1182*E1182</f>
        <v>0</v>
      </c>
    </row>
    <row r="1187" spans="1:7" ht="24" x14ac:dyDescent="0.25">
      <c r="A1187" s="901" t="s">
        <v>41</v>
      </c>
      <c r="B1187" s="80" t="s">
        <v>42</v>
      </c>
      <c r="C1187" s="80" t="s">
        <v>43</v>
      </c>
      <c r="D1187" s="80" t="s">
        <v>44</v>
      </c>
      <c r="E1187" s="89" t="s">
        <v>306</v>
      </c>
      <c r="F1187" s="80" t="s">
        <v>35</v>
      </c>
      <c r="G1187" s="67"/>
    </row>
    <row r="1188" spans="1:7" x14ac:dyDescent="0.25">
      <c r="A1188" s="81"/>
      <c r="B1188" s="81"/>
      <c r="C1188" s="81"/>
      <c r="D1188" s="81"/>
      <c r="E1188" s="81"/>
      <c r="F1188" s="81"/>
      <c r="G1188" s="81"/>
    </row>
    <row r="1189" spans="1:7" x14ac:dyDescent="0.25">
      <c r="A1189" s="69" t="s">
        <v>2372</v>
      </c>
      <c r="B1189" s="85"/>
      <c r="C1189" s="96"/>
      <c r="D1189" s="62"/>
      <c r="E1189" s="121"/>
      <c r="F1189" s="62"/>
      <c r="G1189" s="69"/>
    </row>
    <row r="1190" spans="1:7" ht="48.75" x14ac:dyDescent="0.25">
      <c r="A1190" s="881" t="s">
        <v>2412</v>
      </c>
      <c r="B1190" s="85">
        <v>265000</v>
      </c>
      <c r="C1190" s="96">
        <v>0.9</v>
      </c>
      <c r="D1190" s="62">
        <f>(B1190*C1190)+B1190</f>
        <v>503500</v>
      </c>
      <c r="E1190" s="101">
        <v>0.06</v>
      </c>
      <c r="F1190" s="62">
        <f xml:space="preserve"> D1190/E1190</f>
        <v>8391666.6666666679</v>
      </c>
      <c r="G1190" s="69" t="s">
        <v>25</v>
      </c>
    </row>
    <row r="1191" spans="1:7" x14ac:dyDescent="0.25">
      <c r="A1191" s="69"/>
      <c r="B1191" s="85"/>
      <c r="C1191" s="69"/>
      <c r="D1191" s="62"/>
      <c r="E1191" s="69"/>
      <c r="F1191" s="62"/>
      <c r="G1191" s="69"/>
    </row>
    <row r="1192" spans="1:7" x14ac:dyDescent="0.25">
      <c r="A1192" s="69"/>
      <c r="B1192" s="69"/>
      <c r="C1192" s="69"/>
      <c r="D1192" s="69"/>
      <c r="E1192" s="69"/>
      <c r="F1192" s="69"/>
      <c r="G1192" s="43" t="s">
        <v>31</v>
      </c>
    </row>
    <row r="1193" spans="1:7" x14ac:dyDescent="0.25">
      <c r="A1193" s="82"/>
      <c r="B1193" s="82"/>
      <c r="C1193" s="82"/>
      <c r="D1193" s="82"/>
      <c r="E1193" s="82"/>
      <c r="F1193" s="82"/>
      <c r="G1193" s="64">
        <f>F1191+F1190+F1189</f>
        <v>8391666.6666666679</v>
      </c>
    </row>
    <row r="1194" spans="1:7" x14ac:dyDescent="0.25">
      <c r="A1194" s="1230" t="s">
        <v>25</v>
      </c>
      <c r="B1194" s="1230"/>
      <c r="C1194" s="1230"/>
      <c r="D1194" s="1230"/>
      <c r="E1194" s="1230"/>
      <c r="F1194" s="1230"/>
      <c r="G1194" s="1230"/>
    </row>
    <row r="1195" spans="1:7" x14ac:dyDescent="0.25">
      <c r="A1195" s="1231" t="s">
        <v>45</v>
      </c>
      <c r="B1195" s="1230"/>
      <c r="C1195" s="1230"/>
      <c r="D1195" s="1230"/>
      <c r="E1195" s="1230"/>
      <c r="F1195" s="93"/>
      <c r="G1195" s="70">
        <f xml:space="preserve"> G1193+G1186+G1180+G1175</f>
        <v>26948650</v>
      </c>
    </row>
    <row r="1196" spans="1:7" x14ac:dyDescent="0.25">
      <c r="A1196" s="1232" t="s">
        <v>476</v>
      </c>
      <c r="B1196" s="1232"/>
      <c r="C1196" s="1222"/>
      <c r="D1196" s="1222"/>
      <c r="E1196" s="1222" t="s">
        <v>44</v>
      </c>
      <c r="F1196" s="1222" t="s">
        <v>51</v>
      </c>
      <c r="G1196" s="1222" t="s">
        <v>307</v>
      </c>
    </row>
    <row r="1197" spans="1:7" x14ac:dyDescent="0.25">
      <c r="A1197" s="1232"/>
      <c r="B1197" s="1232"/>
      <c r="C1197" s="1222"/>
      <c r="D1197" s="1222"/>
      <c r="E1197" s="1222"/>
      <c r="F1197" s="1222"/>
      <c r="G1197" s="1222"/>
    </row>
    <row r="1198" spans="1:7" x14ac:dyDescent="0.25">
      <c r="A1198" s="1218" t="s">
        <v>17</v>
      </c>
      <c r="B1198" s="1219"/>
      <c r="C1198" s="1219"/>
      <c r="D1198" s="1219"/>
      <c r="E1198" s="1220"/>
      <c r="F1198" s="1221"/>
      <c r="G1198" s="1222"/>
    </row>
    <row r="1199" spans="1:7" x14ac:dyDescent="0.25">
      <c r="A1199" s="1218" t="s">
        <v>308</v>
      </c>
      <c r="B1199" s="1219"/>
      <c r="C1199" s="1219"/>
      <c r="D1199" s="1219"/>
      <c r="E1199" s="1220"/>
      <c r="F1199" s="1221"/>
      <c r="G1199" s="1222"/>
    </row>
    <row r="1200" spans="1:7" x14ac:dyDescent="0.25">
      <c r="A1200" s="1218" t="s">
        <v>19</v>
      </c>
      <c r="B1200" s="1219"/>
      <c r="C1200" s="1219"/>
      <c r="D1200" s="1219"/>
      <c r="E1200" s="1220"/>
      <c r="F1200" s="1221"/>
      <c r="G1200" s="1222"/>
    </row>
    <row r="1201" spans="1:7" x14ac:dyDescent="0.25">
      <c r="A1201" s="1218" t="s">
        <v>309</v>
      </c>
      <c r="B1201" s="1219"/>
      <c r="C1201" s="1219"/>
      <c r="D1201" s="1219"/>
      <c r="E1201" s="1220"/>
      <c r="F1201" s="1221"/>
      <c r="G1201" s="1222"/>
    </row>
    <row r="1202" spans="1:7" x14ac:dyDescent="0.25">
      <c r="A1202" s="1223" t="s">
        <v>310</v>
      </c>
      <c r="B1202" s="1224"/>
      <c r="C1202" s="1224"/>
      <c r="D1202" s="1224"/>
      <c r="E1202" s="1225"/>
      <c r="F1202" s="1222"/>
      <c r="G1202" s="1222"/>
    </row>
    <row r="1209" spans="1:7" x14ac:dyDescent="0.25">
      <c r="A1209" s="95"/>
      <c r="B1209" s="94"/>
      <c r="C1209" s="94"/>
      <c r="D1209" s="94"/>
      <c r="E1209" s="94"/>
      <c r="F1209" s="882" t="s">
        <v>300</v>
      </c>
      <c r="G1209" s="882" t="s">
        <v>2446</v>
      </c>
    </row>
    <row r="1210" spans="1:7" ht="15" customHeight="1" x14ac:dyDescent="0.25">
      <c r="A1210" s="1238" t="s">
        <v>1943</v>
      </c>
      <c r="B1210" s="1239"/>
      <c r="C1210" s="1239"/>
      <c r="D1210" s="1239"/>
      <c r="E1210" s="1240"/>
      <c r="F1210" s="880" t="s">
        <v>24</v>
      </c>
      <c r="G1210" s="880" t="s">
        <v>13</v>
      </c>
    </row>
    <row r="1211" spans="1:7" x14ac:dyDescent="0.25">
      <c r="A1211" s="1233" t="s">
        <v>25</v>
      </c>
      <c r="B1211" s="1233"/>
      <c r="C1211" s="1233"/>
      <c r="D1211" s="1233"/>
      <c r="E1211" s="1233"/>
      <c r="F1211" s="1233"/>
      <c r="G1211" s="1233"/>
    </row>
    <row r="1212" spans="1:7" x14ac:dyDescent="0.25">
      <c r="A1212" s="1234" t="s">
        <v>469</v>
      </c>
      <c r="B1212" s="1235"/>
      <c r="C1212" s="80" t="s">
        <v>26</v>
      </c>
      <c r="D1212" s="80" t="s">
        <v>27</v>
      </c>
      <c r="E1212" s="80" t="s">
        <v>28</v>
      </c>
      <c r="F1212" s="80" t="s">
        <v>35</v>
      </c>
      <c r="G1212" s="67"/>
    </row>
    <row r="1213" spans="1:7" x14ac:dyDescent="0.25">
      <c r="A1213" s="1236"/>
      <c r="B1213" s="1236"/>
      <c r="C1213" s="69"/>
      <c r="D1213" s="62"/>
      <c r="E1213" s="62"/>
      <c r="F1213" s="62"/>
      <c r="G1213" s="81"/>
    </row>
    <row r="1214" spans="1:7" x14ac:dyDescent="0.25">
      <c r="A1214" s="1236"/>
      <c r="B1214" s="1236"/>
      <c r="C1214" s="69"/>
      <c r="D1214" s="62"/>
      <c r="E1214" s="62"/>
      <c r="F1214" s="62"/>
      <c r="G1214" s="69"/>
    </row>
    <row r="1215" spans="1:7" x14ac:dyDescent="0.25">
      <c r="A1215" s="1236" t="s">
        <v>30</v>
      </c>
      <c r="B1215" s="1236"/>
      <c r="C1215" s="69"/>
      <c r="D1215" s="69"/>
      <c r="E1215" s="69"/>
      <c r="F1215" s="62">
        <f>+F1232*0.05</f>
        <v>6293.75</v>
      </c>
      <c r="G1215" s="69"/>
    </row>
    <row r="1216" spans="1:7" x14ac:dyDescent="0.25">
      <c r="A1216" s="1236"/>
      <c r="B1216" s="1236"/>
      <c r="C1216" s="69"/>
      <c r="D1216" s="69"/>
      <c r="E1216" s="69"/>
      <c r="F1216" s="69"/>
      <c r="G1216" s="69"/>
    </row>
    <row r="1217" spans="1:7" x14ac:dyDescent="0.25">
      <c r="A1217" s="1236" t="s">
        <v>25</v>
      </c>
      <c r="B1217" s="1236"/>
      <c r="C1217" s="69"/>
      <c r="D1217" s="69"/>
      <c r="E1217" s="69"/>
      <c r="F1217" s="69"/>
      <c r="G1217" s="83" t="s">
        <v>31</v>
      </c>
    </row>
    <row r="1218" spans="1:7" x14ac:dyDescent="0.25">
      <c r="A1218" s="1237"/>
      <c r="B1218" s="1237"/>
      <c r="C1218" s="82"/>
      <c r="D1218" s="82"/>
      <c r="E1218" s="82"/>
      <c r="F1218" s="82"/>
      <c r="G1218" s="64">
        <f>F1215+F1214+F1213</f>
        <v>6293.75</v>
      </c>
    </row>
    <row r="1219" spans="1:7" x14ac:dyDescent="0.25">
      <c r="A1219" s="1234" t="s">
        <v>475</v>
      </c>
      <c r="B1219" s="1235"/>
      <c r="C1219" s="80" t="s">
        <v>32</v>
      </c>
      <c r="D1219" s="80" t="s">
        <v>33</v>
      </c>
      <c r="E1219" s="80" t="s">
        <v>34</v>
      </c>
      <c r="F1219" s="80" t="s">
        <v>35</v>
      </c>
      <c r="G1219" s="67"/>
    </row>
    <row r="1220" spans="1:7" x14ac:dyDescent="0.25">
      <c r="A1220" s="1226" t="s">
        <v>2480</v>
      </c>
      <c r="B1220" s="1227"/>
      <c r="C1220" s="43" t="s">
        <v>13</v>
      </c>
      <c r="D1220" s="97">
        <v>547831.25</v>
      </c>
      <c r="E1220" s="92">
        <v>1</v>
      </c>
      <c r="F1220" s="85">
        <f>+D1220*E1220</f>
        <v>547831.25</v>
      </c>
      <c r="G1220" s="69"/>
    </row>
    <row r="1221" spans="1:7" x14ac:dyDescent="0.25">
      <c r="A1221" s="1228"/>
      <c r="B1221" s="1229"/>
      <c r="C1221" s="43"/>
      <c r="D1221" s="97"/>
      <c r="E1221" s="92"/>
      <c r="F1221" s="85"/>
      <c r="G1221" s="43" t="s">
        <v>31</v>
      </c>
    </row>
    <row r="1222" spans="1:7" x14ac:dyDescent="0.25">
      <c r="A1222" s="1228"/>
      <c r="B1222" s="1229"/>
      <c r="C1222" s="69"/>
      <c r="D1222" s="69"/>
      <c r="E1222" s="69"/>
      <c r="F1222" s="69"/>
      <c r="G1222" s="65">
        <f>+F1220</f>
        <v>547831.25</v>
      </c>
    </row>
    <row r="1223" spans="1:7" ht="24" x14ac:dyDescent="0.25">
      <c r="A1223" s="901" t="s">
        <v>329</v>
      </c>
      <c r="B1223" s="89" t="s">
        <v>38</v>
      </c>
      <c r="C1223" s="89" t="s">
        <v>39</v>
      </c>
      <c r="D1223" s="80" t="s">
        <v>40</v>
      </c>
      <c r="E1223" s="80" t="s">
        <v>34</v>
      </c>
      <c r="F1223" s="80" t="s">
        <v>35</v>
      </c>
      <c r="G1223" s="67"/>
    </row>
    <row r="1224" spans="1:7" x14ac:dyDescent="0.25">
      <c r="A1224" s="899"/>
      <c r="B1224" s="43"/>
      <c r="C1224" s="43"/>
      <c r="D1224" s="62"/>
      <c r="E1224" s="91"/>
      <c r="F1224" s="62"/>
      <c r="G1224" s="69"/>
    </row>
    <row r="1225" spans="1:7" x14ac:dyDescent="0.25">
      <c r="A1225" s="90"/>
      <c r="B1225" s="43"/>
      <c r="C1225" s="43"/>
      <c r="D1225" s="62"/>
      <c r="E1225" s="91"/>
      <c r="F1225" s="62"/>
      <c r="G1225" s="69"/>
    </row>
    <row r="1226" spans="1:7" x14ac:dyDescent="0.25">
      <c r="A1226" s="90"/>
      <c r="B1226" s="43"/>
      <c r="C1226" s="43"/>
      <c r="D1226" s="62"/>
      <c r="E1226" s="92"/>
      <c r="F1226" s="62"/>
      <c r="G1226" s="69"/>
    </row>
    <row r="1227" spans="1:7" x14ac:dyDescent="0.25">
      <c r="A1227" s="90" t="s">
        <v>25</v>
      </c>
      <c r="B1227" s="43" t="s">
        <v>25</v>
      </c>
      <c r="C1227" s="43" t="s">
        <v>25</v>
      </c>
      <c r="D1227" s="61" t="s">
        <v>25</v>
      </c>
      <c r="E1227" s="92" t="s">
        <v>25</v>
      </c>
      <c r="F1227" s="62" t="s">
        <v>25</v>
      </c>
      <c r="G1227" s="43" t="s">
        <v>31</v>
      </c>
    </row>
    <row r="1228" spans="1:7" x14ac:dyDescent="0.25">
      <c r="A1228" s="90"/>
      <c r="B1228" s="69"/>
      <c r="C1228" s="69"/>
      <c r="D1228" s="69"/>
      <c r="E1228" s="69"/>
      <c r="F1228" s="69"/>
      <c r="G1228" s="64">
        <f>+F1224*E1224</f>
        <v>0</v>
      </c>
    </row>
    <row r="1229" spans="1:7" ht="24" x14ac:dyDescent="0.25">
      <c r="A1229" s="901" t="s">
        <v>41</v>
      </c>
      <c r="B1229" s="80" t="s">
        <v>42</v>
      </c>
      <c r="C1229" s="80" t="s">
        <v>43</v>
      </c>
      <c r="D1229" s="80" t="s">
        <v>44</v>
      </c>
      <c r="E1229" s="89" t="s">
        <v>306</v>
      </c>
      <c r="F1229" s="80" t="s">
        <v>35</v>
      </c>
      <c r="G1229" s="67"/>
    </row>
    <row r="1230" spans="1:7" x14ac:dyDescent="0.25">
      <c r="A1230" s="81"/>
      <c r="B1230" s="81"/>
      <c r="C1230" s="81"/>
      <c r="D1230" s="81"/>
      <c r="E1230" s="81"/>
      <c r="F1230" s="81"/>
      <c r="G1230" s="81"/>
    </row>
    <row r="1231" spans="1:7" x14ac:dyDescent="0.25">
      <c r="A1231" s="69" t="s">
        <v>2372</v>
      </c>
      <c r="B1231" s="85"/>
      <c r="C1231" s="96"/>
      <c r="D1231" s="62"/>
      <c r="E1231" s="121"/>
      <c r="F1231" s="62"/>
      <c r="G1231" s="69"/>
    </row>
    <row r="1232" spans="1:7" ht="48.75" x14ac:dyDescent="0.25">
      <c r="A1232" s="881" t="s">
        <v>2412</v>
      </c>
      <c r="B1232" s="85">
        <v>265000</v>
      </c>
      <c r="C1232" s="96">
        <v>0.9</v>
      </c>
      <c r="D1232" s="62">
        <f>(B1232*C1232)+B1232</f>
        <v>503500</v>
      </c>
      <c r="E1232" s="101">
        <v>4</v>
      </c>
      <c r="F1232" s="62">
        <f xml:space="preserve"> D1232/E1232</f>
        <v>125875</v>
      </c>
      <c r="G1232" s="69" t="s">
        <v>25</v>
      </c>
    </row>
    <row r="1233" spans="1:7" x14ac:dyDescent="0.25">
      <c r="A1233" s="69"/>
      <c r="B1233" s="85"/>
      <c r="C1233" s="69"/>
      <c r="D1233" s="62"/>
      <c r="E1233" s="69"/>
      <c r="F1233" s="62"/>
      <c r="G1233" s="69"/>
    </row>
    <row r="1234" spans="1:7" x14ac:dyDescent="0.25">
      <c r="A1234" s="69"/>
      <c r="B1234" s="69"/>
      <c r="C1234" s="69"/>
      <c r="D1234" s="69"/>
      <c r="E1234" s="69"/>
      <c r="F1234" s="69"/>
      <c r="G1234" s="43" t="s">
        <v>31</v>
      </c>
    </row>
    <row r="1235" spans="1:7" x14ac:dyDescent="0.25">
      <c r="A1235" s="82"/>
      <c r="B1235" s="82"/>
      <c r="C1235" s="82"/>
      <c r="D1235" s="82"/>
      <c r="E1235" s="82"/>
      <c r="F1235" s="82"/>
      <c r="G1235" s="64">
        <f>F1233+F1232+F1231</f>
        <v>125875</v>
      </c>
    </row>
    <row r="1236" spans="1:7" x14ac:dyDescent="0.25">
      <c r="A1236" s="1230" t="s">
        <v>25</v>
      </c>
      <c r="B1236" s="1230"/>
      <c r="C1236" s="1230"/>
      <c r="D1236" s="1230"/>
      <c r="E1236" s="1230"/>
      <c r="F1236" s="1230"/>
      <c r="G1236" s="1230"/>
    </row>
    <row r="1237" spans="1:7" x14ac:dyDescent="0.25">
      <c r="A1237" s="1231" t="s">
        <v>45</v>
      </c>
      <c r="B1237" s="1230"/>
      <c r="C1237" s="1230"/>
      <c r="D1237" s="1230"/>
      <c r="E1237" s="1230"/>
      <c r="F1237" s="93"/>
      <c r="G1237" s="70">
        <f xml:space="preserve"> G1235+G1228+G1222+G1218</f>
        <v>680000</v>
      </c>
    </row>
    <row r="1238" spans="1:7" x14ac:dyDescent="0.25">
      <c r="A1238" s="1232" t="s">
        <v>476</v>
      </c>
      <c r="B1238" s="1232"/>
      <c r="C1238" s="1222"/>
      <c r="D1238" s="1222"/>
      <c r="E1238" s="1222" t="s">
        <v>44</v>
      </c>
      <c r="F1238" s="1222" t="s">
        <v>51</v>
      </c>
      <c r="G1238" s="1222" t="s">
        <v>307</v>
      </c>
    </row>
    <row r="1239" spans="1:7" x14ac:dyDescent="0.25">
      <c r="A1239" s="1232"/>
      <c r="B1239" s="1232"/>
      <c r="C1239" s="1222"/>
      <c r="D1239" s="1222"/>
      <c r="E1239" s="1222"/>
      <c r="F1239" s="1222"/>
      <c r="G1239" s="1222"/>
    </row>
    <row r="1240" spans="1:7" x14ac:dyDescent="0.25">
      <c r="A1240" s="1218" t="s">
        <v>17</v>
      </c>
      <c r="B1240" s="1219"/>
      <c r="C1240" s="1219"/>
      <c r="D1240" s="1219"/>
      <c r="E1240" s="1220"/>
      <c r="F1240" s="1221"/>
      <c r="G1240" s="1222"/>
    </row>
    <row r="1241" spans="1:7" x14ac:dyDescent="0.25">
      <c r="A1241" s="1218" t="s">
        <v>308</v>
      </c>
      <c r="B1241" s="1219"/>
      <c r="C1241" s="1219"/>
      <c r="D1241" s="1219"/>
      <c r="E1241" s="1220"/>
      <c r="F1241" s="1221"/>
      <c r="G1241" s="1222"/>
    </row>
    <row r="1242" spans="1:7" x14ac:dyDescent="0.25">
      <c r="A1242" s="1218" t="s">
        <v>19</v>
      </c>
      <c r="B1242" s="1219"/>
      <c r="C1242" s="1219"/>
      <c r="D1242" s="1219"/>
      <c r="E1242" s="1220"/>
      <c r="F1242" s="1221"/>
      <c r="G1242" s="1222"/>
    </row>
    <row r="1243" spans="1:7" x14ac:dyDescent="0.25">
      <c r="A1243" s="1218" t="s">
        <v>309</v>
      </c>
      <c r="B1243" s="1219"/>
      <c r="C1243" s="1219"/>
      <c r="D1243" s="1219"/>
      <c r="E1243" s="1220"/>
      <c r="F1243" s="1221"/>
      <c r="G1243" s="1222"/>
    </row>
    <row r="1244" spans="1:7" x14ac:dyDescent="0.25">
      <c r="A1244" s="1223" t="s">
        <v>310</v>
      </c>
      <c r="B1244" s="1224"/>
      <c r="C1244" s="1224"/>
      <c r="D1244" s="1224"/>
      <c r="E1244" s="1225"/>
      <c r="F1244" s="1222"/>
      <c r="G1244" s="1222"/>
    </row>
    <row r="1252" spans="1:7" x14ac:dyDescent="0.25">
      <c r="A1252" s="95"/>
      <c r="B1252" s="94"/>
      <c r="C1252" s="94"/>
      <c r="D1252" s="94"/>
      <c r="E1252" s="94"/>
      <c r="F1252" s="882" t="s">
        <v>300</v>
      </c>
      <c r="G1252" s="882" t="s">
        <v>2447</v>
      </c>
    </row>
    <row r="1253" spans="1:7" ht="15" customHeight="1" x14ac:dyDescent="0.25">
      <c r="A1253" s="1238" t="s">
        <v>1944</v>
      </c>
      <c r="B1253" s="1239"/>
      <c r="C1253" s="1239"/>
      <c r="D1253" s="1239"/>
      <c r="E1253" s="1240"/>
      <c r="F1253" s="880" t="s">
        <v>24</v>
      </c>
      <c r="G1253" s="880" t="s">
        <v>13</v>
      </c>
    </row>
    <row r="1254" spans="1:7" x14ac:dyDescent="0.25">
      <c r="A1254" s="1233" t="s">
        <v>25</v>
      </c>
      <c r="B1254" s="1233"/>
      <c r="C1254" s="1233"/>
      <c r="D1254" s="1233"/>
      <c r="E1254" s="1233"/>
      <c r="F1254" s="1233"/>
      <c r="G1254" s="1233"/>
    </row>
    <row r="1255" spans="1:7" x14ac:dyDescent="0.25">
      <c r="A1255" s="1234" t="s">
        <v>469</v>
      </c>
      <c r="B1255" s="1235"/>
      <c r="C1255" s="80" t="s">
        <v>26</v>
      </c>
      <c r="D1255" s="80" t="s">
        <v>27</v>
      </c>
      <c r="E1255" s="80" t="s">
        <v>28</v>
      </c>
      <c r="F1255" s="80" t="s">
        <v>35</v>
      </c>
      <c r="G1255" s="67"/>
    </row>
    <row r="1256" spans="1:7" x14ac:dyDescent="0.25">
      <c r="A1256" s="1236"/>
      <c r="B1256" s="1236"/>
      <c r="C1256" s="69"/>
      <c r="D1256" s="62"/>
      <c r="E1256" s="62"/>
      <c r="F1256" s="62"/>
      <c r="G1256" s="81"/>
    </row>
    <row r="1257" spans="1:7" x14ac:dyDescent="0.25">
      <c r="A1257" s="1236"/>
      <c r="B1257" s="1236"/>
      <c r="C1257" s="69"/>
      <c r="D1257" s="62"/>
      <c r="E1257" s="62"/>
      <c r="F1257" s="62"/>
      <c r="G1257" s="69"/>
    </row>
    <row r="1258" spans="1:7" x14ac:dyDescent="0.25">
      <c r="A1258" s="1236" t="s">
        <v>30</v>
      </c>
      <c r="B1258" s="1236"/>
      <c r="C1258" s="69"/>
      <c r="D1258" s="69"/>
      <c r="E1258" s="69"/>
      <c r="F1258" s="62">
        <f>+F1276*0.05</f>
        <v>5035</v>
      </c>
      <c r="G1258" s="69"/>
    </row>
    <row r="1259" spans="1:7" x14ac:dyDescent="0.25">
      <c r="A1259" s="1236"/>
      <c r="B1259" s="1236"/>
      <c r="C1259" s="69"/>
      <c r="D1259" s="69"/>
      <c r="E1259" s="69"/>
      <c r="F1259" s="69"/>
      <c r="G1259" s="69"/>
    </row>
    <row r="1260" spans="1:7" x14ac:dyDescent="0.25">
      <c r="A1260" s="1236" t="s">
        <v>25</v>
      </c>
      <c r="B1260" s="1236"/>
      <c r="C1260" s="69"/>
      <c r="D1260" s="69"/>
      <c r="E1260" s="69"/>
      <c r="F1260" s="69"/>
      <c r="G1260" s="83" t="s">
        <v>31</v>
      </c>
    </row>
    <row r="1261" spans="1:7" x14ac:dyDescent="0.25">
      <c r="A1261" s="1237"/>
      <c r="B1261" s="1237"/>
      <c r="C1261" s="82"/>
      <c r="D1261" s="82"/>
      <c r="E1261" s="82"/>
      <c r="F1261" s="82"/>
      <c r="G1261" s="64">
        <f>F1258+F1257+F1256</f>
        <v>5035</v>
      </c>
    </row>
    <row r="1262" spans="1:7" x14ac:dyDescent="0.25">
      <c r="A1262" s="1234" t="s">
        <v>475</v>
      </c>
      <c r="B1262" s="1235"/>
      <c r="C1262" s="80" t="s">
        <v>32</v>
      </c>
      <c r="D1262" s="80" t="s">
        <v>33</v>
      </c>
      <c r="E1262" s="80" t="s">
        <v>34</v>
      </c>
      <c r="F1262" s="80" t="s">
        <v>35</v>
      </c>
      <c r="G1262" s="67"/>
    </row>
    <row r="1263" spans="1:7" x14ac:dyDescent="0.25">
      <c r="A1263" s="926" t="s">
        <v>2481</v>
      </c>
      <c r="B1263" s="927"/>
      <c r="C1263" s="118"/>
      <c r="D1263" s="118"/>
      <c r="E1263" s="118"/>
      <c r="F1263" s="118"/>
      <c r="G1263" s="69"/>
    </row>
    <row r="1264" spans="1:7" x14ac:dyDescent="0.25">
      <c r="A1264" s="1226" t="s">
        <v>2413</v>
      </c>
      <c r="B1264" s="1227"/>
      <c r="C1264" s="43" t="s">
        <v>13</v>
      </c>
      <c r="D1264" s="97">
        <v>254265</v>
      </c>
      <c r="E1264" s="92">
        <v>1</v>
      </c>
      <c r="F1264" s="85">
        <f>+D1264*E1264</f>
        <v>254265</v>
      </c>
      <c r="G1264" s="69"/>
    </row>
    <row r="1265" spans="1:7" x14ac:dyDescent="0.25">
      <c r="A1265" s="1228"/>
      <c r="B1265" s="1229"/>
      <c r="C1265" s="43"/>
      <c r="D1265" s="97"/>
      <c r="E1265" s="92"/>
      <c r="F1265" s="85"/>
      <c r="G1265" s="43" t="s">
        <v>31</v>
      </c>
    </row>
    <row r="1266" spans="1:7" x14ac:dyDescent="0.25">
      <c r="A1266" s="1228"/>
      <c r="B1266" s="1229"/>
      <c r="C1266" s="69"/>
      <c r="D1266" s="69"/>
      <c r="E1266" s="69"/>
      <c r="F1266" s="69"/>
      <c r="G1266" s="65">
        <f>+F1264</f>
        <v>254265</v>
      </c>
    </row>
    <row r="1267" spans="1:7" ht="24" x14ac:dyDescent="0.25">
      <c r="A1267" s="901" t="s">
        <v>329</v>
      </c>
      <c r="B1267" s="89" t="s">
        <v>38</v>
      </c>
      <c r="C1267" s="89" t="s">
        <v>39</v>
      </c>
      <c r="D1267" s="80" t="s">
        <v>40</v>
      </c>
      <c r="E1267" s="80" t="s">
        <v>34</v>
      </c>
      <c r="F1267" s="80" t="s">
        <v>35</v>
      </c>
      <c r="G1267" s="67"/>
    </row>
    <row r="1268" spans="1:7" x14ac:dyDescent="0.25">
      <c r="A1268" s="899"/>
      <c r="B1268" s="43"/>
      <c r="C1268" s="43"/>
      <c r="D1268" s="62"/>
      <c r="E1268" s="91"/>
      <c r="F1268" s="62"/>
      <c r="G1268" s="69"/>
    </row>
    <row r="1269" spans="1:7" x14ac:dyDescent="0.25">
      <c r="A1269" s="90"/>
      <c r="B1269" s="43"/>
      <c r="C1269" s="43"/>
      <c r="D1269" s="62"/>
      <c r="E1269" s="91"/>
      <c r="F1269" s="62"/>
      <c r="G1269" s="69"/>
    </row>
    <row r="1270" spans="1:7" x14ac:dyDescent="0.25">
      <c r="A1270" s="90"/>
      <c r="B1270" s="43"/>
      <c r="C1270" s="43"/>
      <c r="D1270" s="62"/>
      <c r="E1270" s="92"/>
      <c r="F1270" s="62"/>
      <c r="G1270" s="69"/>
    </row>
    <row r="1271" spans="1:7" x14ac:dyDescent="0.25">
      <c r="A1271" s="90" t="s">
        <v>25</v>
      </c>
      <c r="B1271" s="43" t="s">
        <v>25</v>
      </c>
      <c r="C1271" s="43" t="s">
        <v>25</v>
      </c>
      <c r="D1271" s="61" t="s">
        <v>25</v>
      </c>
      <c r="E1271" s="92" t="s">
        <v>25</v>
      </c>
      <c r="F1271" s="62" t="s">
        <v>25</v>
      </c>
      <c r="G1271" s="43" t="s">
        <v>31</v>
      </c>
    </row>
    <row r="1272" spans="1:7" x14ac:dyDescent="0.25">
      <c r="A1272" s="90"/>
      <c r="B1272" s="69"/>
      <c r="C1272" s="69"/>
      <c r="D1272" s="69"/>
      <c r="E1272" s="69"/>
      <c r="F1272" s="69"/>
      <c r="G1272" s="64">
        <f>+F1268*E1268</f>
        <v>0</v>
      </c>
    </row>
    <row r="1273" spans="1:7" ht="24" x14ac:dyDescent="0.25">
      <c r="A1273" s="901" t="s">
        <v>41</v>
      </c>
      <c r="B1273" s="80" t="s">
        <v>42</v>
      </c>
      <c r="C1273" s="80" t="s">
        <v>43</v>
      </c>
      <c r="D1273" s="80" t="s">
        <v>44</v>
      </c>
      <c r="E1273" s="89" t="s">
        <v>306</v>
      </c>
      <c r="F1273" s="80" t="s">
        <v>35</v>
      </c>
      <c r="G1273" s="67"/>
    </row>
    <row r="1274" spans="1:7" x14ac:dyDescent="0.25">
      <c r="A1274" s="81"/>
      <c r="B1274" s="81"/>
      <c r="C1274" s="81"/>
      <c r="D1274" s="81"/>
      <c r="E1274" s="81"/>
      <c r="F1274" s="81"/>
      <c r="G1274" s="81"/>
    </row>
    <row r="1275" spans="1:7" x14ac:dyDescent="0.25">
      <c r="A1275" s="69" t="s">
        <v>2372</v>
      </c>
      <c r="B1275" s="85"/>
      <c r="C1275" s="96"/>
      <c r="D1275" s="62"/>
      <c r="E1275" s="121"/>
      <c r="F1275" s="62"/>
      <c r="G1275" s="69"/>
    </row>
    <row r="1276" spans="1:7" ht="48.75" x14ac:dyDescent="0.25">
      <c r="A1276" s="881" t="s">
        <v>2412</v>
      </c>
      <c r="B1276" s="85">
        <v>265000</v>
      </c>
      <c r="C1276" s="96">
        <v>0.9</v>
      </c>
      <c r="D1276" s="62">
        <f>(B1276*C1276)+B1276</f>
        <v>503500</v>
      </c>
      <c r="E1276" s="101">
        <v>5</v>
      </c>
      <c r="F1276" s="62">
        <f xml:space="preserve"> D1276/E1276</f>
        <v>100700</v>
      </c>
      <c r="G1276" s="69" t="s">
        <v>25</v>
      </c>
    </row>
    <row r="1277" spans="1:7" x14ac:dyDescent="0.25">
      <c r="A1277" s="69"/>
      <c r="B1277" s="85"/>
      <c r="C1277" s="69"/>
      <c r="D1277" s="62"/>
      <c r="E1277" s="69"/>
      <c r="F1277" s="62"/>
      <c r="G1277" s="69"/>
    </row>
    <row r="1278" spans="1:7" x14ac:dyDescent="0.25">
      <c r="A1278" s="69"/>
      <c r="B1278" s="69"/>
      <c r="C1278" s="69"/>
      <c r="D1278" s="69"/>
      <c r="E1278" s="69"/>
      <c r="F1278" s="69"/>
      <c r="G1278" s="43" t="s">
        <v>31</v>
      </c>
    </row>
    <row r="1279" spans="1:7" x14ac:dyDescent="0.25">
      <c r="A1279" s="82"/>
      <c r="B1279" s="82"/>
      <c r="C1279" s="82"/>
      <c r="D1279" s="82"/>
      <c r="E1279" s="82"/>
      <c r="F1279" s="82"/>
      <c r="G1279" s="64">
        <f>F1277+F1276+F1275</f>
        <v>100700</v>
      </c>
    </row>
    <row r="1280" spans="1:7" x14ac:dyDescent="0.25">
      <c r="A1280" s="1230" t="s">
        <v>25</v>
      </c>
      <c r="B1280" s="1230"/>
      <c r="C1280" s="1230"/>
      <c r="D1280" s="1230"/>
      <c r="E1280" s="1230"/>
      <c r="F1280" s="1230"/>
      <c r="G1280" s="1230"/>
    </row>
    <row r="1281" spans="1:7" x14ac:dyDescent="0.25">
      <c r="A1281" s="1231" t="s">
        <v>45</v>
      </c>
      <c r="B1281" s="1230"/>
      <c r="C1281" s="1230"/>
      <c r="D1281" s="1230"/>
      <c r="E1281" s="1230"/>
      <c r="F1281" s="93"/>
      <c r="G1281" s="70">
        <f xml:space="preserve"> G1279+G1272+G1266+G1261</f>
        <v>360000</v>
      </c>
    </row>
    <row r="1282" spans="1:7" x14ac:dyDescent="0.25">
      <c r="A1282" s="1232" t="s">
        <v>476</v>
      </c>
      <c r="B1282" s="1232"/>
      <c r="C1282" s="1222"/>
      <c r="D1282" s="1222"/>
      <c r="E1282" s="1222" t="s">
        <v>44</v>
      </c>
      <c r="F1282" s="1222" t="s">
        <v>51</v>
      </c>
      <c r="G1282" s="1222" t="s">
        <v>307</v>
      </c>
    </row>
    <row r="1283" spans="1:7" x14ac:dyDescent="0.25">
      <c r="A1283" s="1232"/>
      <c r="B1283" s="1232"/>
      <c r="C1283" s="1222"/>
      <c r="D1283" s="1222"/>
      <c r="E1283" s="1222"/>
      <c r="F1283" s="1222"/>
      <c r="G1283" s="1222"/>
    </row>
    <row r="1284" spans="1:7" x14ac:dyDescent="0.25">
      <c r="A1284" s="1218" t="s">
        <v>17</v>
      </c>
      <c r="B1284" s="1219"/>
      <c r="C1284" s="1219"/>
      <c r="D1284" s="1219"/>
      <c r="E1284" s="1220"/>
      <c r="F1284" s="1221"/>
      <c r="G1284" s="1222"/>
    </row>
    <row r="1285" spans="1:7" x14ac:dyDescent="0.25">
      <c r="A1285" s="1218" t="s">
        <v>308</v>
      </c>
      <c r="B1285" s="1219"/>
      <c r="C1285" s="1219"/>
      <c r="D1285" s="1219"/>
      <c r="E1285" s="1220"/>
      <c r="F1285" s="1221"/>
      <c r="G1285" s="1222"/>
    </row>
    <row r="1286" spans="1:7" x14ac:dyDescent="0.25">
      <c r="A1286" s="1218" t="s">
        <v>19</v>
      </c>
      <c r="B1286" s="1219"/>
      <c r="C1286" s="1219"/>
      <c r="D1286" s="1219"/>
      <c r="E1286" s="1220"/>
      <c r="F1286" s="1221"/>
      <c r="G1286" s="1222"/>
    </row>
    <row r="1287" spans="1:7" x14ac:dyDescent="0.25">
      <c r="A1287" s="1218" t="s">
        <v>309</v>
      </c>
      <c r="B1287" s="1219"/>
      <c r="C1287" s="1219"/>
      <c r="D1287" s="1219"/>
      <c r="E1287" s="1220"/>
      <c r="F1287" s="1221"/>
      <c r="G1287" s="1222"/>
    </row>
    <row r="1288" spans="1:7" x14ac:dyDescent="0.25">
      <c r="A1288" s="1223" t="s">
        <v>310</v>
      </c>
      <c r="B1288" s="1224"/>
      <c r="C1288" s="1224"/>
      <c r="D1288" s="1224"/>
      <c r="E1288" s="1225"/>
      <c r="F1288" s="1222"/>
      <c r="G1288" s="1222"/>
    </row>
    <row r="1290" spans="1:7" x14ac:dyDescent="0.25">
      <c r="A1290" s="95"/>
      <c r="B1290" s="94"/>
      <c r="C1290" s="94"/>
      <c r="D1290" s="94"/>
      <c r="E1290" s="94"/>
      <c r="F1290" s="882" t="s">
        <v>300</v>
      </c>
      <c r="G1290" s="882" t="s">
        <v>2448</v>
      </c>
    </row>
    <row r="1291" spans="1:7" ht="15" customHeight="1" x14ac:dyDescent="0.25">
      <c r="A1291" s="1238" t="s">
        <v>1945</v>
      </c>
      <c r="B1291" s="1239"/>
      <c r="C1291" s="1239"/>
      <c r="D1291" s="1239"/>
      <c r="E1291" s="1240"/>
      <c r="F1291" s="880" t="s">
        <v>24</v>
      </c>
      <c r="G1291" s="880" t="s">
        <v>13</v>
      </c>
    </row>
    <row r="1292" spans="1:7" x14ac:dyDescent="0.25">
      <c r="A1292" s="1233" t="s">
        <v>25</v>
      </c>
      <c r="B1292" s="1233"/>
      <c r="C1292" s="1233"/>
      <c r="D1292" s="1233"/>
      <c r="E1292" s="1233"/>
      <c r="F1292" s="1233"/>
      <c r="G1292" s="1233"/>
    </row>
    <row r="1293" spans="1:7" x14ac:dyDescent="0.25">
      <c r="A1293" s="1234" t="s">
        <v>469</v>
      </c>
      <c r="B1293" s="1235"/>
      <c r="C1293" s="80" t="s">
        <v>26</v>
      </c>
      <c r="D1293" s="80" t="s">
        <v>27</v>
      </c>
      <c r="E1293" s="80" t="s">
        <v>28</v>
      </c>
      <c r="F1293" s="80" t="s">
        <v>35</v>
      </c>
      <c r="G1293" s="67"/>
    </row>
    <row r="1294" spans="1:7" x14ac:dyDescent="0.25">
      <c r="A1294" s="1236"/>
      <c r="B1294" s="1236"/>
      <c r="C1294" s="69"/>
      <c r="D1294" s="62"/>
      <c r="E1294" s="62"/>
      <c r="F1294" s="62"/>
      <c r="G1294" s="81"/>
    </row>
    <row r="1295" spans="1:7" x14ac:dyDescent="0.25">
      <c r="A1295" s="1236"/>
      <c r="B1295" s="1236"/>
      <c r="C1295" s="69"/>
      <c r="D1295" s="62"/>
      <c r="E1295" s="62"/>
      <c r="F1295" s="62"/>
      <c r="G1295" s="69"/>
    </row>
    <row r="1296" spans="1:7" x14ac:dyDescent="0.25">
      <c r="A1296" s="1236" t="s">
        <v>30</v>
      </c>
      <c r="B1296" s="1236"/>
      <c r="C1296" s="69"/>
      <c r="D1296" s="69"/>
      <c r="E1296" s="69"/>
      <c r="F1296" s="62">
        <f>+F1313*0.05</f>
        <v>12587.5</v>
      </c>
      <c r="G1296" s="69"/>
    </row>
    <row r="1297" spans="1:7" x14ac:dyDescent="0.25">
      <c r="A1297" s="1236"/>
      <c r="B1297" s="1236"/>
      <c r="C1297" s="69"/>
      <c r="D1297" s="69"/>
      <c r="E1297" s="69"/>
      <c r="F1297" s="69"/>
      <c r="G1297" s="69"/>
    </row>
    <row r="1298" spans="1:7" x14ac:dyDescent="0.25">
      <c r="A1298" s="1236" t="s">
        <v>25</v>
      </c>
      <c r="B1298" s="1236"/>
      <c r="C1298" s="69"/>
      <c r="D1298" s="69"/>
      <c r="E1298" s="69"/>
      <c r="F1298" s="69"/>
      <c r="G1298" s="83" t="s">
        <v>31</v>
      </c>
    </row>
    <row r="1299" spans="1:7" x14ac:dyDescent="0.25">
      <c r="A1299" s="1237"/>
      <c r="B1299" s="1237"/>
      <c r="C1299" s="82"/>
      <c r="D1299" s="82"/>
      <c r="E1299" s="82"/>
      <c r="F1299" s="82"/>
      <c r="G1299" s="64">
        <f>F1296+F1295+F1294</f>
        <v>12587.5</v>
      </c>
    </row>
    <row r="1300" spans="1:7" x14ac:dyDescent="0.25">
      <c r="A1300" s="1234" t="s">
        <v>475</v>
      </c>
      <c r="B1300" s="1235"/>
      <c r="C1300" s="80" t="s">
        <v>32</v>
      </c>
      <c r="D1300" s="80" t="s">
        <v>33</v>
      </c>
      <c r="E1300" s="80" t="s">
        <v>34</v>
      </c>
      <c r="F1300" s="80" t="s">
        <v>35</v>
      </c>
      <c r="G1300" s="67"/>
    </row>
    <row r="1301" spans="1:7" ht="15.95" customHeight="1" x14ac:dyDescent="0.25">
      <c r="A1301" s="1241" t="s">
        <v>2482</v>
      </c>
      <c r="B1301" s="1242"/>
      <c r="C1301" s="43" t="s">
        <v>13</v>
      </c>
      <c r="D1301" s="97">
        <v>985162.5</v>
      </c>
      <c r="E1301" s="92">
        <v>1</v>
      </c>
      <c r="F1301" s="85">
        <f>+D1301*E1301</f>
        <v>985162.5</v>
      </c>
      <c r="G1301" s="69"/>
    </row>
    <row r="1302" spans="1:7" x14ac:dyDescent="0.25">
      <c r="A1302" s="1228"/>
      <c r="B1302" s="1229"/>
      <c r="C1302" s="43"/>
      <c r="D1302" s="97"/>
      <c r="E1302" s="92"/>
      <c r="F1302" s="85"/>
      <c r="G1302" s="43" t="s">
        <v>31</v>
      </c>
    </row>
    <row r="1303" spans="1:7" x14ac:dyDescent="0.25">
      <c r="A1303" s="1228"/>
      <c r="B1303" s="1229"/>
      <c r="C1303" s="69"/>
      <c r="D1303" s="69"/>
      <c r="E1303" s="69"/>
      <c r="F1303" s="69"/>
      <c r="G1303" s="65">
        <f>+F1301</f>
        <v>985162.5</v>
      </c>
    </row>
    <row r="1304" spans="1:7" ht="24" x14ac:dyDescent="0.25">
      <c r="A1304" s="901" t="s">
        <v>329</v>
      </c>
      <c r="B1304" s="89" t="s">
        <v>38</v>
      </c>
      <c r="C1304" s="89" t="s">
        <v>39</v>
      </c>
      <c r="D1304" s="80" t="s">
        <v>40</v>
      </c>
      <c r="E1304" s="80" t="s">
        <v>34</v>
      </c>
      <c r="F1304" s="80" t="s">
        <v>35</v>
      </c>
      <c r="G1304" s="67"/>
    </row>
    <row r="1305" spans="1:7" x14ac:dyDescent="0.25">
      <c r="A1305" s="899"/>
      <c r="B1305" s="43"/>
      <c r="C1305" s="43"/>
      <c r="D1305" s="62"/>
      <c r="E1305" s="91"/>
      <c r="F1305" s="62"/>
      <c r="G1305" s="69"/>
    </row>
    <row r="1306" spans="1:7" x14ac:dyDescent="0.25">
      <c r="A1306" s="90"/>
      <c r="B1306" s="43"/>
      <c r="C1306" s="43"/>
      <c r="D1306" s="62"/>
      <c r="E1306" s="91"/>
      <c r="F1306" s="62"/>
      <c r="G1306" s="69"/>
    </row>
    <row r="1307" spans="1:7" x14ac:dyDescent="0.25">
      <c r="A1307" s="90"/>
      <c r="B1307" s="43"/>
      <c r="C1307" s="43"/>
      <c r="D1307" s="62"/>
      <c r="E1307" s="92"/>
      <c r="F1307" s="62"/>
      <c r="G1307" s="69"/>
    </row>
    <row r="1308" spans="1:7" x14ac:dyDescent="0.25">
      <c r="A1308" s="90" t="s">
        <v>25</v>
      </c>
      <c r="B1308" s="43" t="s">
        <v>25</v>
      </c>
      <c r="C1308" s="43" t="s">
        <v>25</v>
      </c>
      <c r="D1308" s="61" t="s">
        <v>25</v>
      </c>
      <c r="E1308" s="92" t="s">
        <v>25</v>
      </c>
      <c r="F1308" s="62" t="s">
        <v>25</v>
      </c>
      <c r="G1308" s="43" t="s">
        <v>31</v>
      </c>
    </row>
    <row r="1309" spans="1:7" x14ac:dyDescent="0.25">
      <c r="A1309" s="90"/>
      <c r="B1309" s="69"/>
      <c r="C1309" s="69"/>
      <c r="D1309" s="69"/>
      <c r="E1309" s="69"/>
      <c r="F1309" s="69"/>
      <c r="G1309" s="64">
        <f>+F1305*E1305</f>
        <v>0</v>
      </c>
    </row>
    <row r="1310" spans="1:7" ht="24" x14ac:dyDescent="0.25">
      <c r="A1310" s="901" t="s">
        <v>41</v>
      </c>
      <c r="B1310" s="80" t="s">
        <v>42</v>
      </c>
      <c r="C1310" s="80" t="s">
        <v>43</v>
      </c>
      <c r="D1310" s="80" t="s">
        <v>44</v>
      </c>
      <c r="E1310" s="89" t="s">
        <v>306</v>
      </c>
      <c r="F1310" s="80" t="s">
        <v>35</v>
      </c>
      <c r="G1310" s="67"/>
    </row>
    <row r="1311" spans="1:7" x14ac:dyDescent="0.25">
      <c r="A1311" s="81"/>
      <c r="B1311" s="81"/>
      <c r="C1311" s="81"/>
      <c r="D1311" s="81"/>
      <c r="E1311" s="81"/>
      <c r="F1311" s="81"/>
      <c r="G1311" s="81"/>
    </row>
    <row r="1312" spans="1:7" x14ac:dyDescent="0.25">
      <c r="A1312" s="69" t="s">
        <v>2372</v>
      </c>
      <c r="B1312" s="85"/>
      <c r="C1312" s="96"/>
      <c r="D1312" s="62"/>
      <c r="E1312" s="121"/>
      <c r="F1312" s="62"/>
      <c r="G1312" s="69"/>
    </row>
    <row r="1313" spans="1:7" ht="48.75" x14ac:dyDescent="0.25">
      <c r="A1313" s="881" t="s">
        <v>2412</v>
      </c>
      <c r="B1313" s="85">
        <v>265000</v>
      </c>
      <c r="C1313" s="96">
        <v>0.9</v>
      </c>
      <c r="D1313" s="62">
        <f>(B1313*C1313)+B1313</f>
        <v>503500</v>
      </c>
      <c r="E1313" s="101">
        <v>2</v>
      </c>
      <c r="F1313" s="62">
        <f xml:space="preserve"> D1313/E1313</f>
        <v>251750</v>
      </c>
      <c r="G1313" s="69" t="s">
        <v>25</v>
      </c>
    </row>
    <row r="1314" spans="1:7" x14ac:dyDescent="0.25">
      <c r="A1314" s="69"/>
      <c r="B1314" s="85"/>
      <c r="C1314" s="69"/>
      <c r="D1314" s="62"/>
      <c r="E1314" s="69"/>
      <c r="F1314" s="62"/>
      <c r="G1314" s="69"/>
    </row>
    <row r="1315" spans="1:7" x14ac:dyDescent="0.25">
      <c r="A1315" s="69"/>
      <c r="B1315" s="69"/>
      <c r="C1315" s="69"/>
      <c r="D1315" s="69"/>
      <c r="E1315" s="69"/>
      <c r="F1315" s="69"/>
      <c r="G1315" s="43" t="s">
        <v>31</v>
      </c>
    </row>
    <row r="1316" spans="1:7" x14ac:dyDescent="0.25">
      <c r="A1316" s="82"/>
      <c r="B1316" s="82"/>
      <c r="C1316" s="82"/>
      <c r="D1316" s="82"/>
      <c r="E1316" s="82"/>
      <c r="F1316" s="82"/>
      <c r="G1316" s="64">
        <f>F1314+F1313+F1312</f>
        <v>251750</v>
      </c>
    </row>
    <row r="1317" spans="1:7" x14ac:dyDescent="0.25">
      <c r="A1317" s="1230" t="s">
        <v>25</v>
      </c>
      <c r="B1317" s="1230"/>
      <c r="C1317" s="1230"/>
      <c r="D1317" s="1230"/>
      <c r="E1317" s="1230"/>
      <c r="F1317" s="1230"/>
      <c r="G1317" s="1230"/>
    </row>
    <row r="1318" spans="1:7" x14ac:dyDescent="0.25">
      <c r="A1318" s="1231" t="s">
        <v>45</v>
      </c>
      <c r="B1318" s="1230"/>
      <c r="C1318" s="1230"/>
      <c r="D1318" s="1230"/>
      <c r="E1318" s="1230"/>
      <c r="F1318" s="93"/>
      <c r="G1318" s="70">
        <f xml:space="preserve"> G1316+G1309+G1303+G1299</f>
        <v>1249500</v>
      </c>
    </row>
    <row r="1319" spans="1:7" x14ac:dyDescent="0.25">
      <c r="A1319" s="1232" t="s">
        <v>476</v>
      </c>
      <c r="B1319" s="1232"/>
      <c r="C1319" s="1222"/>
      <c r="D1319" s="1222"/>
      <c r="E1319" s="1222" t="s">
        <v>44</v>
      </c>
      <c r="F1319" s="1222" t="s">
        <v>51</v>
      </c>
      <c r="G1319" s="1222" t="s">
        <v>307</v>
      </c>
    </row>
    <row r="1320" spans="1:7" x14ac:dyDescent="0.25">
      <c r="A1320" s="1232"/>
      <c r="B1320" s="1232"/>
      <c r="C1320" s="1222"/>
      <c r="D1320" s="1222"/>
      <c r="E1320" s="1222"/>
      <c r="F1320" s="1222"/>
      <c r="G1320" s="1222"/>
    </row>
    <row r="1321" spans="1:7" x14ac:dyDescent="0.25">
      <c r="A1321" s="1218" t="s">
        <v>17</v>
      </c>
      <c r="B1321" s="1219"/>
      <c r="C1321" s="1219"/>
      <c r="D1321" s="1219"/>
      <c r="E1321" s="1220"/>
      <c r="F1321" s="1221"/>
      <c r="G1321" s="1222"/>
    </row>
    <row r="1322" spans="1:7" x14ac:dyDescent="0.25">
      <c r="A1322" s="1218" t="s">
        <v>308</v>
      </c>
      <c r="B1322" s="1219"/>
      <c r="C1322" s="1219"/>
      <c r="D1322" s="1219"/>
      <c r="E1322" s="1220"/>
      <c r="F1322" s="1221"/>
      <c r="G1322" s="1222"/>
    </row>
    <row r="1323" spans="1:7" x14ac:dyDescent="0.25">
      <c r="A1323" s="1218" t="s">
        <v>19</v>
      </c>
      <c r="B1323" s="1219"/>
      <c r="C1323" s="1219"/>
      <c r="D1323" s="1219"/>
      <c r="E1323" s="1220"/>
      <c r="F1323" s="1221"/>
      <c r="G1323" s="1222"/>
    </row>
    <row r="1324" spans="1:7" x14ac:dyDescent="0.25">
      <c r="A1324" s="1218" t="s">
        <v>309</v>
      </c>
      <c r="B1324" s="1219"/>
      <c r="C1324" s="1219"/>
      <c r="D1324" s="1219"/>
      <c r="E1324" s="1220"/>
      <c r="F1324" s="1221"/>
      <c r="G1324" s="1222"/>
    </row>
    <row r="1325" spans="1:7" x14ac:dyDescent="0.25">
      <c r="A1325" s="1223" t="s">
        <v>310</v>
      </c>
      <c r="B1325" s="1224"/>
      <c r="C1325" s="1224"/>
      <c r="D1325" s="1224"/>
      <c r="E1325" s="1225"/>
      <c r="F1325" s="1222"/>
      <c r="G1325" s="1222"/>
    </row>
    <row r="1328" spans="1:7" x14ac:dyDescent="0.25">
      <c r="A1328" s="95"/>
      <c r="B1328" s="94"/>
      <c r="C1328" s="94"/>
      <c r="D1328" s="94"/>
      <c r="E1328" s="94"/>
      <c r="F1328" s="882" t="s">
        <v>300</v>
      </c>
      <c r="G1328" s="882" t="s">
        <v>2449</v>
      </c>
    </row>
    <row r="1329" spans="1:7" ht="15" customHeight="1" x14ac:dyDescent="0.25">
      <c r="A1329" s="1238" t="s">
        <v>1946</v>
      </c>
      <c r="B1329" s="1239"/>
      <c r="C1329" s="1239"/>
      <c r="D1329" s="1239"/>
      <c r="E1329" s="1240"/>
      <c r="F1329" s="880" t="s">
        <v>24</v>
      </c>
      <c r="G1329" s="880" t="s">
        <v>13</v>
      </c>
    </row>
    <row r="1330" spans="1:7" x14ac:dyDescent="0.25">
      <c r="A1330" s="1233" t="s">
        <v>25</v>
      </c>
      <c r="B1330" s="1233"/>
      <c r="C1330" s="1233"/>
      <c r="D1330" s="1233"/>
      <c r="E1330" s="1233"/>
      <c r="F1330" s="1233"/>
      <c r="G1330" s="1233"/>
    </row>
    <row r="1331" spans="1:7" x14ac:dyDescent="0.25">
      <c r="A1331" s="1234" t="s">
        <v>469</v>
      </c>
      <c r="B1331" s="1235"/>
      <c r="C1331" s="80" t="s">
        <v>26</v>
      </c>
      <c r="D1331" s="80" t="s">
        <v>27</v>
      </c>
      <c r="E1331" s="80" t="s">
        <v>28</v>
      </c>
      <c r="F1331" s="80" t="s">
        <v>35</v>
      </c>
      <c r="G1331" s="67"/>
    </row>
    <row r="1332" spans="1:7" x14ac:dyDescent="0.25">
      <c r="A1332" s="1236"/>
      <c r="B1332" s="1236"/>
      <c r="C1332" s="69"/>
      <c r="D1332" s="62"/>
      <c r="E1332" s="62"/>
      <c r="F1332" s="62"/>
      <c r="G1332" s="81"/>
    </row>
    <row r="1333" spans="1:7" x14ac:dyDescent="0.25">
      <c r="A1333" s="1236"/>
      <c r="B1333" s="1236"/>
      <c r="C1333" s="69"/>
      <c r="D1333" s="62"/>
      <c r="E1333" s="62"/>
      <c r="F1333" s="62"/>
      <c r="G1333" s="69"/>
    </row>
    <row r="1334" spans="1:7" x14ac:dyDescent="0.25">
      <c r="A1334" s="1236" t="s">
        <v>30</v>
      </c>
      <c r="B1334" s="1236"/>
      <c r="C1334" s="69"/>
      <c r="D1334" s="69"/>
      <c r="E1334" s="69"/>
      <c r="F1334" s="62">
        <f>+F1351*0.05</f>
        <v>8391.6666666666679</v>
      </c>
      <c r="G1334" s="69"/>
    </row>
    <row r="1335" spans="1:7" x14ac:dyDescent="0.25">
      <c r="A1335" s="1236"/>
      <c r="B1335" s="1236"/>
      <c r="C1335" s="69"/>
      <c r="D1335" s="69"/>
      <c r="E1335" s="69"/>
      <c r="F1335" s="69"/>
      <c r="G1335" s="69"/>
    </row>
    <row r="1336" spans="1:7" x14ac:dyDescent="0.25">
      <c r="A1336" s="1236" t="s">
        <v>25</v>
      </c>
      <c r="B1336" s="1236"/>
      <c r="C1336" s="69"/>
      <c r="D1336" s="69"/>
      <c r="E1336" s="69"/>
      <c r="F1336" s="69"/>
      <c r="G1336" s="83" t="s">
        <v>31</v>
      </c>
    </row>
    <row r="1337" spans="1:7" x14ac:dyDescent="0.25">
      <c r="A1337" s="1237"/>
      <c r="B1337" s="1237"/>
      <c r="C1337" s="82"/>
      <c r="D1337" s="82"/>
      <c r="E1337" s="82"/>
      <c r="F1337" s="82"/>
      <c r="G1337" s="64">
        <f>F1334+F1333+F1332</f>
        <v>8391.6666666666679</v>
      </c>
    </row>
    <row r="1338" spans="1:7" x14ac:dyDescent="0.25">
      <c r="A1338" s="1234" t="s">
        <v>475</v>
      </c>
      <c r="B1338" s="1235"/>
      <c r="C1338" s="80" t="s">
        <v>32</v>
      </c>
      <c r="D1338" s="80" t="s">
        <v>33</v>
      </c>
      <c r="E1338" s="80" t="s">
        <v>34</v>
      </c>
      <c r="F1338" s="80" t="s">
        <v>35</v>
      </c>
      <c r="G1338" s="67"/>
    </row>
    <row r="1339" spans="1:7" x14ac:dyDescent="0.25">
      <c r="A1339" s="1226" t="s">
        <v>2483</v>
      </c>
      <c r="B1339" s="1227"/>
      <c r="C1339" s="43" t="s">
        <v>13</v>
      </c>
      <c r="D1339" s="97">
        <v>537775</v>
      </c>
      <c r="E1339" s="92">
        <v>1</v>
      </c>
      <c r="F1339" s="85">
        <f>+D1339*E1339</f>
        <v>537775</v>
      </c>
      <c r="G1339" s="69"/>
    </row>
    <row r="1340" spans="1:7" x14ac:dyDescent="0.25">
      <c r="A1340" s="1228"/>
      <c r="B1340" s="1229"/>
      <c r="C1340" s="43"/>
      <c r="D1340" s="97"/>
      <c r="E1340" s="92"/>
      <c r="F1340" s="85"/>
      <c r="G1340" s="43" t="s">
        <v>31</v>
      </c>
    </row>
    <row r="1341" spans="1:7" x14ac:dyDescent="0.25">
      <c r="A1341" s="1228"/>
      <c r="B1341" s="1229"/>
      <c r="C1341" s="69"/>
      <c r="D1341" s="69"/>
      <c r="E1341" s="69"/>
      <c r="F1341" s="69"/>
      <c r="G1341" s="65">
        <f>+F1339</f>
        <v>537775</v>
      </c>
    </row>
    <row r="1342" spans="1:7" ht="24" x14ac:dyDescent="0.25">
      <c r="A1342" s="901" t="s">
        <v>329</v>
      </c>
      <c r="B1342" s="89" t="s">
        <v>38</v>
      </c>
      <c r="C1342" s="89" t="s">
        <v>39</v>
      </c>
      <c r="D1342" s="80" t="s">
        <v>40</v>
      </c>
      <c r="E1342" s="80" t="s">
        <v>34</v>
      </c>
      <c r="F1342" s="80" t="s">
        <v>35</v>
      </c>
      <c r="G1342" s="67"/>
    </row>
    <row r="1343" spans="1:7" x14ac:dyDescent="0.25">
      <c r="A1343" s="899"/>
      <c r="B1343" s="43"/>
      <c r="C1343" s="43"/>
      <c r="D1343" s="62"/>
      <c r="E1343" s="91"/>
      <c r="F1343" s="62"/>
      <c r="G1343" s="69"/>
    </row>
    <row r="1344" spans="1:7" x14ac:dyDescent="0.25">
      <c r="A1344" s="90"/>
      <c r="B1344" s="43"/>
      <c r="C1344" s="43"/>
      <c r="D1344" s="62"/>
      <c r="E1344" s="91"/>
      <c r="F1344" s="62"/>
      <c r="G1344" s="69"/>
    </row>
    <row r="1345" spans="1:7" x14ac:dyDescent="0.25">
      <c r="A1345" s="90"/>
      <c r="B1345" s="43"/>
      <c r="C1345" s="43"/>
      <c r="D1345" s="62"/>
      <c r="E1345" s="92"/>
      <c r="F1345" s="62"/>
      <c r="G1345" s="69"/>
    </row>
    <row r="1346" spans="1:7" x14ac:dyDescent="0.25">
      <c r="A1346" s="90" t="s">
        <v>25</v>
      </c>
      <c r="B1346" s="43" t="s">
        <v>25</v>
      </c>
      <c r="C1346" s="43" t="s">
        <v>25</v>
      </c>
      <c r="D1346" s="61" t="s">
        <v>25</v>
      </c>
      <c r="E1346" s="92" t="s">
        <v>25</v>
      </c>
      <c r="F1346" s="62" t="s">
        <v>25</v>
      </c>
      <c r="G1346" s="43" t="s">
        <v>31</v>
      </c>
    </row>
    <row r="1347" spans="1:7" x14ac:dyDescent="0.25">
      <c r="A1347" s="90"/>
      <c r="B1347" s="69"/>
      <c r="C1347" s="69"/>
      <c r="D1347" s="69"/>
      <c r="E1347" s="69"/>
      <c r="F1347" s="69"/>
      <c r="G1347" s="64">
        <f>+F1343*E1343</f>
        <v>0</v>
      </c>
    </row>
    <row r="1348" spans="1:7" ht="24" x14ac:dyDescent="0.25">
      <c r="A1348" s="901" t="s">
        <v>41</v>
      </c>
      <c r="B1348" s="80" t="s">
        <v>42</v>
      </c>
      <c r="C1348" s="80" t="s">
        <v>43</v>
      </c>
      <c r="D1348" s="80" t="s">
        <v>44</v>
      </c>
      <c r="E1348" s="89" t="s">
        <v>306</v>
      </c>
      <c r="F1348" s="80" t="s">
        <v>35</v>
      </c>
      <c r="G1348" s="67"/>
    </row>
    <row r="1349" spans="1:7" x14ac:dyDescent="0.25">
      <c r="A1349" s="81"/>
      <c r="B1349" s="81"/>
      <c r="C1349" s="81"/>
      <c r="D1349" s="81"/>
      <c r="E1349" s="81"/>
      <c r="F1349" s="81"/>
      <c r="G1349" s="81"/>
    </row>
    <row r="1350" spans="1:7" x14ac:dyDescent="0.25">
      <c r="A1350" s="69" t="s">
        <v>2372</v>
      </c>
      <c r="B1350" s="85"/>
      <c r="C1350" s="96"/>
      <c r="D1350" s="62"/>
      <c r="E1350" s="121"/>
      <c r="F1350" s="62"/>
      <c r="G1350" s="69"/>
    </row>
    <row r="1351" spans="1:7" ht="48.75" x14ac:dyDescent="0.25">
      <c r="A1351" s="881" t="s">
        <v>2412</v>
      </c>
      <c r="B1351" s="85">
        <v>265000</v>
      </c>
      <c r="C1351" s="96">
        <v>0.9</v>
      </c>
      <c r="D1351" s="62">
        <f>(B1351*C1351)+B1351</f>
        <v>503500</v>
      </c>
      <c r="E1351" s="101">
        <v>3</v>
      </c>
      <c r="F1351" s="62">
        <f xml:space="preserve"> D1351/E1351</f>
        <v>167833.33333333334</v>
      </c>
      <c r="G1351" s="69" t="s">
        <v>25</v>
      </c>
    </row>
    <row r="1352" spans="1:7" x14ac:dyDescent="0.25">
      <c r="A1352" s="69"/>
      <c r="B1352" s="85"/>
      <c r="C1352" s="69"/>
      <c r="D1352" s="62"/>
      <c r="E1352" s="69"/>
      <c r="F1352" s="62"/>
      <c r="G1352" s="69"/>
    </row>
    <row r="1353" spans="1:7" x14ac:dyDescent="0.25">
      <c r="A1353" s="69"/>
      <c r="B1353" s="69"/>
      <c r="C1353" s="69"/>
      <c r="D1353" s="69"/>
      <c r="E1353" s="69"/>
      <c r="F1353" s="69"/>
      <c r="G1353" s="43" t="s">
        <v>31</v>
      </c>
    </row>
    <row r="1354" spans="1:7" x14ac:dyDescent="0.25">
      <c r="A1354" s="82"/>
      <c r="B1354" s="82"/>
      <c r="C1354" s="82"/>
      <c r="D1354" s="82"/>
      <c r="E1354" s="82"/>
      <c r="F1354" s="82"/>
      <c r="G1354" s="64">
        <f>F1352+F1351+F1350</f>
        <v>167833.33333333334</v>
      </c>
    </row>
    <row r="1355" spans="1:7" x14ac:dyDescent="0.25">
      <c r="A1355" s="1230" t="s">
        <v>25</v>
      </c>
      <c r="B1355" s="1230"/>
      <c r="C1355" s="1230"/>
      <c r="D1355" s="1230"/>
      <c r="E1355" s="1230"/>
      <c r="F1355" s="1230"/>
      <c r="G1355" s="1230"/>
    </row>
    <row r="1356" spans="1:7" x14ac:dyDescent="0.25">
      <c r="A1356" s="1231" t="s">
        <v>45</v>
      </c>
      <c r="B1356" s="1230"/>
      <c r="C1356" s="1230"/>
      <c r="D1356" s="1230"/>
      <c r="E1356" s="1230"/>
      <c r="F1356" s="93"/>
      <c r="G1356" s="70">
        <f xml:space="preserve"> G1354+G1347+G1341+G1337</f>
        <v>714000</v>
      </c>
    </row>
    <row r="1357" spans="1:7" x14ac:dyDescent="0.25">
      <c r="A1357" s="1232" t="s">
        <v>476</v>
      </c>
      <c r="B1357" s="1232"/>
      <c r="C1357" s="1222"/>
      <c r="D1357" s="1222"/>
      <c r="E1357" s="1222" t="s">
        <v>44</v>
      </c>
      <c r="F1357" s="1222" t="s">
        <v>51</v>
      </c>
      <c r="G1357" s="1222" t="s">
        <v>307</v>
      </c>
    </row>
    <row r="1358" spans="1:7" x14ac:dyDescent="0.25">
      <c r="A1358" s="1232"/>
      <c r="B1358" s="1232"/>
      <c r="C1358" s="1222"/>
      <c r="D1358" s="1222"/>
      <c r="E1358" s="1222"/>
      <c r="F1358" s="1222"/>
      <c r="G1358" s="1222"/>
    </row>
    <row r="1359" spans="1:7" x14ac:dyDescent="0.25">
      <c r="A1359" s="1218" t="s">
        <v>17</v>
      </c>
      <c r="B1359" s="1219"/>
      <c r="C1359" s="1219"/>
      <c r="D1359" s="1219"/>
      <c r="E1359" s="1220"/>
      <c r="F1359" s="1221"/>
      <c r="G1359" s="1222"/>
    </row>
    <row r="1360" spans="1:7" x14ac:dyDescent="0.25">
      <c r="A1360" s="1218" t="s">
        <v>308</v>
      </c>
      <c r="B1360" s="1219"/>
      <c r="C1360" s="1219"/>
      <c r="D1360" s="1219"/>
      <c r="E1360" s="1220"/>
      <c r="F1360" s="1221"/>
      <c r="G1360" s="1222"/>
    </row>
    <row r="1361" spans="1:7" x14ac:dyDescent="0.25">
      <c r="A1361" s="1218" t="s">
        <v>19</v>
      </c>
      <c r="B1361" s="1219"/>
      <c r="C1361" s="1219"/>
      <c r="D1361" s="1219"/>
      <c r="E1361" s="1220"/>
      <c r="F1361" s="1221"/>
      <c r="G1361" s="1222"/>
    </row>
    <row r="1362" spans="1:7" x14ac:dyDescent="0.25">
      <c r="A1362" s="1218" t="s">
        <v>309</v>
      </c>
      <c r="B1362" s="1219"/>
      <c r="C1362" s="1219"/>
      <c r="D1362" s="1219"/>
      <c r="E1362" s="1220"/>
      <c r="F1362" s="1221"/>
      <c r="G1362" s="1222"/>
    </row>
    <row r="1363" spans="1:7" x14ac:dyDescent="0.25">
      <c r="A1363" s="1223" t="s">
        <v>310</v>
      </c>
      <c r="B1363" s="1224"/>
      <c r="C1363" s="1224"/>
      <c r="D1363" s="1224"/>
      <c r="E1363" s="1225"/>
      <c r="F1363" s="1222"/>
      <c r="G1363" s="1222"/>
    </row>
    <row r="1372" spans="1:7" x14ac:dyDescent="0.25">
      <c r="A1372" s="95"/>
      <c r="B1372" s="94"/>
      <c r="C1372" s="94"/>
      <c r="D1372" s="94"/>
      <c r="E1372" s="94"/>
      <c r="F1372" s="882" t="s">
        <v>300</v>
      </c>
      <c r="G1372" s="882" t="s">
        <v>2450</v>
      </c>
    </row>
    <row r="1373" spans="1:7" ht="15" customHeight="1" x14ac:dyDescent="0.25">
      <c r="A1373" s="1238" t="s">
        <v>1947</v>
      </c>
      <c r="B1373" s="1239"/>
      <c r="C1373" s="1239"/>
      <c r="D1373" s="1239"/>
      <c r="E1373" s="1240"/>
      <c r="F1373" s="880" t="s">
        <v>24</v>
      </c>
      <c r="G1373" s="880" t="s">
        <v>2414</v>
      </c>
    </row>
    <row r="1374" spans="1:7" x14ac:dyDescent="0.25">
      <c r="A1374" s="1233" t="s">
        <v>25</v>
      </c>
      <c r="B1374" s="1233"/>
      <c r="C1374" s="1233"/>
      <c r="D1374" s="1233"/>
      <c r="E1374" s="1233"/>
      <c r="F1374" s="1233"/>
      <c r="G1374" s="1233"/>
    </row>
    <row r="1375" spans="1:7" x14ac:dyDescent="0.25">
      <c r="A1375" s="1234" t="s">
        <v>469</v>
      </c>
      <c r="B1375" s="1235"/>
      <c r="C1375" s="80" t="s">
        <v>26</v>
      </c>
      <c r="D1375" s="80" t="s">
        <v>27</v>
      </c>
      <c r="E1375" s="80" t="s">
        <v>28</v>
      </c>
      <c r="F1375" s="80" t="s">
        <v>35</v>
      </c>
      <c r="G1375" s="67"/>
    </row>
    <row r="1376" spans="1:7" x14ac:dyDescent="0.25">
      <c r="A1376" s="1236"/>
      <c r="B1376" s="1236"/>
      <c r="C1376" s="69"/>
      <c r="D1376" s="62"/>
      <c r="E1376" s="62"/>
      <c r="F1376" s="62"/>
      <c r="G1376" s="81"/>
    </row>
    <row r="1377" spans="1:7" x14ac:dyDescent="0.25">
      <c r="A1377" s="1236"/>
      <c r="B1377" s="1236"/>
      <c r="C1377" s="69"/>
      <c r="D1377" s="62"/>
      <c r="E1377" s="62"/>
      <c r="F1377" s="62"/>
      <c r="G1377" s="69"/>
    </row>
    <row r="1378" spans="1:7" x14ac:dyDescent="0.25">
      <c r="A1378" s="1236" t="s">
        <v>30</v>
      </c>
      <c r="B1378" s="1236"/>
      <c r="C1378" s="69"/>
      <c r="D1378" s="69"/>
      <c r="E1378" s="69"/>
      <c r="F1378" s="62">
        <f>+F1395*0.05</f>
        <v>25175</v>
      </c>
      <c r="G1378" s="69"/>
    </row>
    <row r="1379" spans="1:7" x14ac:dyDescent="0.25">
      <c r="A1379" s="1236"/>
      <c r="B1379" s="1236"/>
      <c r="C1379" s="69"/>
      <c r="D1379" s="69"/>
      <c r="E1379" s="69"/>
      <c r="F1379" s="69"/>
      <c r="G1379" s="69"/>
    </row>
    <row r="1380" spans="1:7" x14ac:dyDescent="0.25">
      <c r="A1380" s="1236" t="s">
        <v>25</v>
      </c>
      <c r="B1380" s="1236"/>
      <c r="C1380" s="69"/>
      <c r="D1380" s="69"/>
      <c r="E1380" s="69"/>
      <c r="F1380" s="69"/>
      <c r="G1380" s="83" t="s">
        <v>31</v>
      </c>
    </row>
    <row r="1381" spans="1:7" x14ac:dyDescent="0.25">
      <c r="A1381" s="1237"/>
      <c r="B1381" s="1237"/>
      <c r="C1381" s="82"/>
      <c r="D1381" s="82"/>
      <c r="E1381" s="82"/>
      <c r="F1381" s="82"/>
      <c r="G1381" s="64">
        <f>F1378+F1377+F1376</f>
        <v>25175</v>
      </c>
    </row>
    <row r="1382" spans="1:7" x14ac:dyDescent="0.25">
      <c r="A1382" s="1234" t="s">
        <v>475</v>
      </c>
      <c r="B1382" s="1235"/>
      <c r="C1382" s="80" t="s">
        <v>32</v>
      </c>
      <c r="D1382" s="80" t="s">
        <v>33</v>
      </c>
      <c r="E1382" s="80" t="s">
        <v>34</v>
      </c>
      <c r="F1382" s="80" t="s">
        <v>35</v>
      </c>
      <c r="G1382" s="67"/>
    </row>
    <row r="1383" spans="1:7" x14ac:dyDescent="0.25">
      <c r="A1383" s="1226" t="s">
        <v>2484</v>
      </c>
      <c r="B1383" s="1227"/>
      <c r="C1383" s="43" t="s">
        <v>13</v>
      </c>
      <c r="D1383" s="97">
        <v>1766325</v>
      </c>
      <c r="E1383" s="92">
        <v>1</v>
      </c>
      <c r="F1383" s="85">
        <f>+D1383*E1383</f>
        <v>1766325</v>
      </c>
      <c r="G1383" s="69"/>
    </row>
    <row r="1384" spans="1:7" x14ac:dyDescent="0.25">
      <c r="A1384" s="1228"/>
      <c r="B1384" s="1229"/>
      <c r="C1384" s="43"/>
      <c r="D1384" s="97"/>
      <c r="E1384" s="92"/>
      <c r="F1384" s="85"/>
      <c r="G1384" s="43" t="s">
        <v>31</v>
      </c>
    </row>
    <row r="1385" spans="1:7" x14ac:dyDescent="0.25">
      <c r="A1385" s="1228"/>
      <c r="B1385" s="1229"/>
      <c r="C1385" s="69"/>
      <c r="D1385" s="69"/>
      <c r="E1385" s="69"/>
      <c r="F1385" s="69"/>
      <c r="G1385" s="65">
        <f>+F1383</f>
        <v>1766325</v>
      </c>
    </row>
    <row r="1386" spans="1:7" ht="24" x14ac:dyDescent="0.25">
      <c r="A1386" s="901" t="s">
        <v>329</v>
      </c>
      <c r="B1386" s="89" t="s">
        <v>38</v>
      </c>
      <c r="C1386" s="89" t="s">
        <v>39</v>
      </c>
      <c r="D1386" s="80" t="s">
        <v>40</v>
      </c>
      <c r="E1386" s="80" t="s">
        <v>34</v>
      </c>
      <c r="F1386" s="80" t="s">
        <v>35</v>
      </c>
      <c r="G1386" s="67"/>
    </row>
    <row r="1387" spans="1:7" x14ac:dyDescent="0.25">
      <c r="A1387" s="899"/>
      <c r="B1387" s="43"/>
      <c r="C1387" s="43"/>
      <c r="D1387" s="62"/>
      <c r="E1387" s="91"/>
      <c r="F1387" s="62"/>
      <c r="G1387" s="69"/>
    </row>
    <row r="1388" spans="1:7" x14ac:dyDescent="0.25">
      <c r="A1388" s="90"/>
      <c r="B1388" s="43"/>
      <c r="C1388" s="43"/>
      <c r="D1388" s="62"/>
      <c r="E1388" s="91"/>
      <c r="F1388" s="62"/>
      <c r="G1388" s="69"/>
    </row>
    <row r="1389" spans="1:7" x14ac:dyDescent="0.25">
      <c r="A1389" s="90"/>
      <c r="B1389" s="43"/>
      <c r="C1389" s="43"/>
      <c r="D1389" s="62"/>
      <c r="E1389" s="92"/>
      <c r="F1389" s="62"/>
      <c r="G1389" s="69"/>
    </row>
    <row r="1390" spans="1:7" x14ac:dyDescent="0.25">
      <c r="A1390" s="90" t="s">
        <v>25</v>
      </c>
      <c r="B1390" s="43" t="s">
        <v>25</v>
      </c>
      <c r="C1390" s="43" t="s">
        <v>25</v>
      </c>
      <c r="D1390" s="61" t="s">
        <v>25</v>
      </c>
      <c r="E1390" s="92" t="s">
        <v>25</v>
      </c>
      <c r="F1390" s="62" t="s">
        <v>25</v>
      </c>
      <c r="G1390" s="43" t="s">
        <v>31</v>
      </c>
    </row>
    <row r="1391" spans="1:7" x14ac:dyDescent="0.25">
      <c r="A1391" s="90"/>
      <c r="B1391" s="69"/>
      <c r="C1391" s="69"/>
      <c r="D1391" s="69"/>
      <c r="E1391" s="69"/>
      <c r="F1391" s="69"/>
      <c r="G1391" s="64">
        <f>+F1387*E1387</f>
        <v>0</v>
      </c>
    </row>
    <row r="1392" spans="1:7" ht="24" x14ac:dyDescent="0.25">
      <c r="A1392" s="901" t="s">
        <v>41</v>
      </c>
      <c r="B1392" s="80" t="s">
        <v>42</v>
      </c>
      <c r="C1392" s="80" t="s">
        <v>43</v>
      </c>
      <c r="D1392" s="80" t="s">
        <v>44</v>
      </c>
      <c r="E1392" s="89" t="s">
        <v>306</v>
      </c>
      <c r="F1392" s="80" t="s">
        <v>35</v>
      </c>
      <c r="G1392" s="67"/>
    </row>
    <row r="1393" spans="1:7" x14ac:dyDescent="0.25">
      <c r="A1393" s="81"/>
      <c r="B1393" s="81"/>
      <c r="C1393" s="81"/>
      <c r="D1393" s="81"/>
      <c r="E1393" s="81"/>
      <c r="F1393" s="81"/>
      <c r="G1393" s="81"/>
    </row>
    <row r="1394" spans="1:7" x14ac:dyDescent="0.25">
      <c r="A1394" s="69" t="s">
        <v>2372</v>
      </c>
      <c r="B1394" s="85"/>
      <c r="C1394" s="96"/>
      <c r="D1394" s="62"/>
      <c r="E1394" s="121"/>
      <c r="F1394" s="62"/>
      <c r="G1394" s="69"/>
    </row>
    <row r="1395" spans="1:7" ht="48.75" x14ac:dyDescent="0.25">
      <c r="A1395" s="881" t="s">
        <v>2412</v>
      </c>
      <c r="B1395" s="85">
        <v>265000</v>
      </c>
      <c r="C1395" s="96">
        <v>0.9</v>
      </c>
      <c r="D1395" s="62">
        <f>(B1395*C1395)+B1395</f>
        <v>503500</v>
      </c>
      <c r="E1395" s="101">
        <v>1</v>
      </c>
      <c r="F1395" s="62">
        <f xml:space="preserve"> D1395/E1395</f>
        <v>503500</v>
      </c>
      <c r="G1395" s="69" t="s">
        <v>25</v>
      </c>
    </row>
    <row r="1396" spans="1:7" x14ac:dyDescent="0.25">
      <c r="A1396" s="69"/>
      <c r="B1396" s="85"/>
      <c r="C1396" s="69"/>
      <c r="D1396" s="62"/>
      <c r="E1396" s="69"/>
      <c r="F1396" s="62"/>
      <c r="G1396" s="69"/>
    </row>
    <row r="1397" spans="1:7" x14ac:dyDescent="0.25">
      <c r="A1397" s="69"/>
      <c r="B1397" s="69"/>
      <c r="C1397" s="69"/>
      <c r="D1397" s="69"/>
      <c r="E1397" s="69"/>
      <c r="F1397" s="69"/>
      <c r="G1397" s="43" t="s">
        <v>31</v>
      </c>
    </row>
    <row r="1398" spans="1:7" x14ac:dyDescent="0.25">
      <c r="A1398" s="82"/>
      <c r="B1398" s="82"/>
      <c r="C1398" s="82"/>
      <c r="D1398" s="82"/>
      <c r="E1398" s="82"/>
      <c r="F1398" s="82"/>
      <c r="G1398" s="64">
        <f>F1396+F1395+F1394</f>
        <v>503500</v>
      </c>
    </row>
    <row r="1399" spans="1:7" x14ac:dyDescent="0.25">
      <c r="A1399" s="1230" t="s">
        <v>25</v>
      </c>
      <c r="B1399" s="1230"/>
      <c r="C1399" s="1230"/>
      <c r="D1399" s="1230"/>
      <c r="E1399" s="1230"/>
      <c r="F1399" s="1230"/>
      <c r="G1399" s="1230"/>
    </row>
    <row r="1400" spans="1:7" x14ac:dyDescent="0.25">
      <c r="A1400" s="1231" t="s">
        <v>45</v>
      </c>
      <c r="B1400" s="1230"/>
      <c r="C1400" s="1230"/>
      <c r="D1400" s="1230"/>
      <c r="E1400" s="1230"/>
      <c r="F1400" s="93"/>
      <c r="G1400" s="70">
        <f xml:space="preserve"> G1398+G1391+G1385+G1381</f>
        <v>2295000</v>
      </c>
    </row>
    <row r="1401" spans="1:7" x14ac:dyDescent="0.25">
      <c r="A1401" s="1232" t="s">
        <v>476</v>
      </c>
      <c r="B1401" s="1232"/>
      <c r="C1401" s="1222"/>
      <c r="D1401" s="1222"/>
      <c r="E1401" s="1222" t="s">
        <v>44</v>
      </c>
      <c r="F1401" s="1222" t="s">
        <v>51</v>
      </c>
      <c r="G1401" s="1222" t="s">
        <v>307</v>
      </c>
    </row>
    <row r="1402" spans="1:7" x14ac:dyDescent="0.25">
      <c r="A1402" s="1232"/>
      <c r="B1402" s="1232"/>
      <c r="C1402" s="1222"/>
      <c r="D1402" s="1222"/>
      <c r="E1402" s="1222"/>
      <c r="F1402" s="1222"/>
      <c r="G1402" s="1222"/>
    </row>
    <row r="1403" spans="1:7" x14ac:dyDescent="0.25">
      <c r="A1403" s="1218" t="s">
        <v>17</v>
      </c>
      <c r="B1403" s="1219"/>
      <c r="C1403" s="1219"/>
      <c r="D1403" s="1219"/>
      <c r="E1403" s="1220"/>
      <c r="F1403" s="1221"/>
      <c r="G1403" s="1222"/>
    </row>
    <row r="1404" spans="1:7" x14ac:dyDescent="0.25">
      <c r="A1404" s="1218" t="s">
        <v>308</v>
      </c>
      <c r="B1404" s="1219"/>
      <c r="C1404" s="1219"/>
      <c r="D1404" s="1219"/>
      <c r="E1404" s="1220"/>
      <c r="F1404" s="1221"/>
      <c r="G1404" s="1222"/>
    </row>
    <row r="1405" spans="1:7" x14ac:dyDescent="0.25">
      <c r="A1405" s="1218" t="s">
        <v>19</v>
      </c>
      <c r="B1405" s="1219"/>
      <c r="C1405" s="1219"/>
      <c r="D1405" s="1219"/>
      <c r="E1405" s="1220"/>
      <c r="F1405" s="1221"/>
      <c r="G1405" s="1222"/>
    </row>
    <row r="1406" spans="1:7" x14ac:dyDescent="0.25">
      <c r="A1406" s="1218" t="s">
        <v>309</v>
      </c>
      <c r="B1406" s="1219"/>
      <c r="C1406" s="1219"/>
      <c r="D1406" s="1219"/>
      <c r="E1406" s="1220"/>
      <c r="F1406" s="1221"/>
      <c r="G1406" s="1222"/>
    </row>
    <row r="1407" spans="1:7" x14ac:dyDescent="0.25">
      <c r="A1407" s="1223" t="s">
        <v>310</v>
      </c>
      <c r="B1407" s="1224"/>
      <c r="C1407" s="1224"/>
      <c r="D1407" s="1224"/>
      <c r="E1407" s="1225"/>
      <c r="F1407" s="1222"/>
      <c r="G1407" s="1222"/>
    </row>
  </sheetData>
  <mergeCells count="939">
    <mergeCell ref="A831:E831"/>
    <mergeCell ref="F831:F834"/>
    <mergeCell ref="G831:G834"/>
    <mergeCell ref="A832:E832"/>
    <mergeCell ref="A833:E833"/>
    <mergeCell ref="A834:E834"/>
    <mergeCell ref="A835:E835"/>
    <mergeCell ref="F835:G835"/>
    <mergeCell ref="A811:B811"/>
    <mergeCell ref="A812:B812"/>
    <mergeCell ref="A813:B813"/>
    <mergeCell ref="A827:G827"/>
    <mergeCell ref="A828:E828"/>
    <mergeCell ref="A829:B830"/>
    <mergeCell ref="C829:C830"/>
    <mergeCell ref="D829:D830"/>
    <mergeCell ref="E829:E830"/>
    <mergeCell ref="F829:F830"/>
    <mergeCell ref="G829:G830"/>
    <mergeCell ref="A797:G797"/>
    <mergeCell ref="A798:B798"/>
    <mergeCell ref="A799:B799"/>
    <mergeCell ref="A800:B800"/>
    <mergeCell ref="A801:B801"/>
    <mergeCell ref="A802:B802"/>
    <mergeCell ref="A803:B803"/>
    <mergeCell ref="A804:B804"/>
    <mergeCell ref="A805:B805"/>
    <mergeCell ref="A783:E783"/>
    <mergeCell ref="F783:F786"/>
    <mergeCell ref="G783:G786"/>
    <mergeCell ref="A784:E784"/>
    <mergeCell ref="A785:E785"/>
    <mergeCell ref="A786:E786"/>
    <mergeCell ref="A787:E787"/>
    <mergeCell ref="F787:G787"/>
    <mergeCell ref="A796:E796"/>
    <mergeCell ref="A763:B763"/>
    <mergeCell ref="A764:B764"/>
    <mergeCell ref="A765:B765"/>
    <mergeCell ref="A779:G779"/>
    <mergeCell ref="A780:E780"/>
    <mergeCell ref="A781:B782"/>
    <mergeCell ref="C781:C782"/>
    <mergeCell ref="D781:D782"/>
    <mergeCell ref="E781:E782"/>
    <mergeCell ref="F781:F782"/>
    <mergeCell ref="G781:G782"/>
    <mergeCell ref="A749:G749"/>
    <mergeCell ref="A750:B750"/>
    <mergeCell ref="A751:B751"/>
    <mergeCell ref="A752:B752"/>
    <mergeCell ref="A753:B753"/>
    <mergeCell ref="A754:B754"/>
    <mergeCell ref="A755:B755"/>
    <mergeCell ref="A756:B756"/>
    <mergeCell ref="A757:B757"/>
    <mergeCell ref="A735:E735"/>
    <mergeCell ref="F735:F738"/>
    <mergeCell ref="G735:G738"/>
    <mergeCell ref="A736:E736"/>
    <mergeCell ref="A737:E737"/>
    <mergeCell ref="A738:E738"/>
    <mergeCell ref="A739:E739"/>
    <mergeCell ref="F739:G739"/>
    <mergeCell ref="A748:E748"/>
    <mergeCell ref="A715:B715"/>
    <mergeCell ref="A716:B716"/>
    <mergeCell ref="A717:B717"/>
    <mergeCell ref="A731:G731"/>
    <mergeCell ref="A732:E732"/>
    <mergeCell ref="A733:B734"/>
    <mergeCell ref="C733:C734"/>
    <mergeCell ref="D733:D734"/>
    <mergeCell ref="E733:E734"/>
    <mergeCell ref="F733:F734"/>
    <mergeCell ref="G733:G734"/>
    <mergeCell ref="A699:G699"/>
    <mergeCell ref="A700:B700"/>
    <mergeCell ref="A701:B701"/>
    <mergeCell ref="A702:B702"/>
    <mergeCell ref="A703:B703"/>
    <mergeCell ref="A704:B704"/>
    <mergeCell ref="A705:B705"/>
    <mergeCell ref="A706:B706"/>
    <mergeCell ref="A707:B707"/>
    <mergeCell ref="A686:E686"/>
    <mergeCell ref="F686:F689"/>
    <mergeCell ref="G686:G689"/>
    <mergeCell ref="A687:E687"/>
    <mergeCell ref="A688:E688"/>
    <mergeCell ref="A689:E689"/>
    <mergeCell ref="A690:E690"/>
    <mergeCell ref="F690:G690"/>
    <mergeCell ref="A698:E698"/>
    <mergeCell ref="A666:B666"/>
    <mergeCell ref="A667:B667"/>
    <mergeCell ref="A668:B668"/>
    <mergeCell ref="A682:G682"/>
    <mergeCell ref="A683:E683"/>
    <mergeCell ref="A684:B685"/>
    <mergeCell ref="C684:C685"/>
    <mergeCell ref="D684:D685"/>
    <mergeCell ref="E684:E685"/>
    <mergeCell ref="F684:F685"/>
    <mergeCell ref="G684:G685"/>
    <mergeCell ref="A652:G652"/>
    <mergeCell ref="A653:B653"/>
    <mergeCell ref="A654:B654"/>
    <mergeCell ref="A655:B655"/>
    <mergeCell ref="A656:B656"/>
    <mergeCell ref="A657:B657"/>
    <mergeCell ref="A658:B658"/>
    <mergeCell ref="A659:B659"/>
    <mergeCell ref="A660:B660"/>
    <mergeCell ref="A639:E639"/>
    <mergeCell ref="F639:F642"/>
    <mergeCell ref="G639:G642"/>
    <mergeCell ref="A640:E640"/>
    <mergeCell ref="A641:E641"/>
    <mergeCell ref="A642:E642"/>
    <mergeCell ref="A643:E643"/>
    <mergeCell ref="F643:G643"/>
    <mergeCell ref="A651:E651"/>
    <mergeCell ref="A619:B619"/>
    <mergeCell ref="A620:B620"/>
    <mergeCell ref="A621:B621"/>
    <mergeCell ref="A635:G635"/>
    <mergeCell ref="A636:E636"/>
    <mergeCell ref="A637:B638"/>
    <mergeCell ref="C637:C638"/>
    <mergeCell ref="D637:D638"/>
    <mergeCell ref="E637:E638"/>
    <mergeCell ref="F637:F638"/>
    <mergeCell ref="G637:G638"/>
    <mergeCell ref="A603:G603"/>
    <mergeCell ref="A604:B604"/>
    <mergeCell ref="A605:B605"/>
    <mergeCell ref="A606:B606"/>
    <mergeCell ref="A607:B607"/>
    <mergeCell ref="A608:B608"/>
    <mergeCell ref="A609:B609"/>
    <mergeCell ref="A610:B610"/>
    <mergeCell ref="A611:B611"/>
    <mergeCell ref="A589:E589"/>
    <mergeCell ref="F589:F592"/>
    <mergeCell ref="G589:G592"/>
    <mergeCell ref="A590:E590"/>
    <mergeCell ref="A591:E591"/>
    <mergeCell ref="A592:E592"/>
    <mergeCell ref="A593:E593"/>
    <mergeCell ref="F593:G593"/>
    <mergeCell ref="A602:E602"/>
    <mergeCell ref="A569:B569"/>
    <mergeCell ref="A570:B570"/>
    <mergeCell ref="A571:B571"/>
    <mergeCell ref="A585:G585"/>
    <mergeCell ref="A586:E586"/>
    <mergeCell ref="A587:B588"/>
    <mergeCell ref="C587:C588"/>
    <mergeCell ref="D587:D588"/>
    <mergeCell ref="E587:E588"/>
    <mergeCell ref="F587:F588"/>
    <mergeCell ref="G587:G588"/>
    <mergeCell ref="A553:G553"/>
    <mergeCell ref="A554:B554"/>
    <mergeCell ref="A555:B555"/>
    <mergeCell ref="A556:B556"/>
    <mergeCell ref="A557:B557"/>
    <mergeCell ref="A558:B558"/>
    <mergeCell ref="A559:B559"/>
    <mergeCell ref="A560:B560"/>
    <mergeCell ref="A561:B561"/>
    <mergeCell ref="A541:E541"/>
    <mergeCell ref="F541:F544"/>
    <mergeCell ref="G541:G544"/>
    <mergeCell ref="A542:E542"/>
    <mergeCell ref="A543:E543"/>
    <mergeCell ref="A544:E544"/>
    <mergeCell ref="A545:E545"/>
    <mergeCell ref="F545:G545"/>
    <mergeCell ref="A552:E552"/>
    <mergeCell ref="A521:B521"/>
    <mergeCell ref="A522:B522"/>
    <mergeCell ref="A523:B523"/>
    <mergeCell ref="A537:G537"/>
    <mergeCell ref="A538:E538"/>
    <mergeCell ref="A539:B540"/>
    <mergeCell ref="C539:C540"/>
    <mergeCell ref="D539:D540"/>
    <mergeCell ref="E539:E540"/>
    <mergeCell ref="F539:F540"/>
    <mergeCell ref="G539:G540"/>
    <mergeCell ref="A505:G505"/>
    <mergeCell ref="A506:B506"/>
    <mergeCell ref="A507:B507"/>
    <mergeCell ref="A508:B508"/>
    <mergeCell ref="A509:B509"/>
    <mergeCell ref="A510:B510"/>
    <mergeCell ref="A511:B511"/>
    <mergeCell ref="A512:B512"/>
    <mergeCell ref="A513:B513"/>
    <mergeCell ref="A498:E498"/>
    <mergeCell ref="F498:F501"/>
    <mergeCell ref="G498:G501"/>
    <mergeCell ref="A499:E499"/>
    <mergeCell ref="A500:E500"/>
    <mergeCell ref="A501:E501"/>
    <mergeCell ref="A502:E502"/>
    <mergeCell ref="F502:G502"/>
    <mergeCell ref="A504:E504"/>
    <mergeCell ref="A478:B478"/>
    <mergeCell ref="A479:B479"/>
    <mergeCell ref="A480:B480"/>
    <mergeCell ref="A494:G494"/>
    <mergeCell ref="A495:E495"/>
    <mergeCell ref="A496:B497"/>
    <mergeCell ref="C496:C497"/>
    <mergeCell ref="D496:D497"/>
    <mergeCell ref="E496:E497"/>
    <mergeCell ref="F496:F497"/>
    <mergeCell ref="G496:G497"/>
    <mergeCell ref="A462:G462"/>
    <mergeCell ref="A463:B463"/>
    <mergeCell ref="A464:B464"/>
    <mergeCell ref="A465:B465"/>
    <mergeCell ref="A466:B466"/>
    <mergeCell ref="A467:B467"/>
    <mergeCell ref="A468:B468"/>
    <mergeCell ref="A469:B469"/>
    <mergeCell ref="A470:B470"/>
    <mergeCell ref="A452:E452"/>
    <mergeCell ref="F452:F455"/>
    <mergeCell ref="G452:G455"/>
    <mergeCell ref="A453:E453"/>
    <mergeCell ref="A454:E454"/>
    <mergeCell ref="A455:E455"/>
    <mergeCell ref="A456:E456"/>
    <mergeCell ref="F456:G456"/>
    <mergeCell ref="A461:E461"/>
    <mergeCell ref="A423:B423"/>
    <mergeCell ref="A424:B424"/>
    <mergeCell ref="A432:B432"/>
    <mergeCell ref="A433:B433"/>
    <mergeCell ref="A434:B434"/>
    <mergeCell ref="A448:G448"/>
    <mergeCell ref="A449:E449"/>
    <mergeCell ref="A450:B451"/>
    <mergeCell ref="C450:C451"/>
    <mergeCell ref="D450:D451"/>
    <mergeCell ref="E450:E451"/>
    <mergeCell ref="F450:F451"/>
    <mergeCell ref="G450:G451"/>
    <mergeCell ref="F409:G409"/>
    <mergeCell ref="A415:E415"/>
    <mergeCell ref="A416:G416"/>
    <mergeCell ref="A417:B417"/>
    <mergeCell ref="A418:B418"/>
    <mergeCell ref="A419:B419"/>
    <mergeCell ref="A420:B420"/>
    <mergeCell ref="A421:B421"/>
    <mergeCell ref="A422:B422"/>
    <mergeCell ref="G412:G413"/>
    <mergeCell ref="A410:G410"/>
    <mergeCell ref="A411:E411"/>
    <mergeCell ref="A412:B413"/>
    <mergeCell ref="C412:C413"/>
    <mergeCell ref="D412:D413"/>
    <mergeCell ref="E412:E413"/>
    <mergeCell ref="F412:F413"/>
    <mergeCell ref="A409:E409"/>
    <mergeCell ref="A363:E363"/>
    <mergeCell ref="F363:G363"/>
    <mergeCell ref="A359:E359"/>
    <mergeCell ref="F359:F362"/>
    <mergeCell ref="G359:G362"/>
    <mergeCell ref="A360:E360"/>
    <mergeCell ref="A361:E361"/>
    <mergeCell ref="A362:E362"/>
    <mergeCell ref="A355:G355"/>
    <mergeCell ref="A356:E356"/>
    <mergeCell ref="A357:B358"/>
    <mergeCell ref="C357:C358"/>
    <mergeCell ref="D357:D358"/>
    <mergeCell ref="E357:E358"/>
    <mergeCell ref="F357:F358"/>
    <mergeCell ref="G357:G358"/>
    <mergeCell ref="A322:E322"/>
    <mergeCell ref="A323:G323"/>
    <mergeCell ref="A324:B324"/>
    <mergeCell ref="A325:B325"/>
    <mergeCell ref="A310:E310"/>
    <mergeCell ref="F310:F313"/>
    <mergeCell ref="G310:G313"/>
    <mergeCell ref="A311:E311"/>
    <mergeCell ref="A312:E312"/>
    <mergeCell ref="A313:E313"/>
    <mergeCell ref="G317:G318"/>
    <mergeCell ref="A319:E319"/>
    <mergeCell ref="F319:F320"/>
    <mergeCell ref="G319:G320"/>
    <mergeCell ref="A320:E320"/>
    <mergeCell ref="A315:G315"/>
    <mergeCell ref="A316:E316"/>
    <mergeCell ref="A317:B318"/>
    <mergeCell ref="C317:C318"/>
    <mergeCell ref="D317:D318"/>
    <mergeCell ref="E317:E318"/>
    <mergeCell ref="F317:F318"/>
    <mergeCell ref="A267:E267"/>
    <mergeCell ref="F267:G267"/>
    <mergeCell ref="A273:E273"/>
    <mergeCell ref="A274:G274"/>
    <mergeCell ref="A275:B275"/>
    <mergeCell ref="A276:B276"/>
    <mergeCell ref="A290:B290"/>
    <mergeCell ref="A291:B291"/>
    <mergeCell ref="A292:B292"/>
    <mergeCell ref="A281:B281"/>
    <mergeCell ref="A282:B282"/>
    <mergeCell ref="A277:B277"/>
    <mergeCell ref="A278:B278"/>
    <mergeCell ref="A279:B279"/>
    <mergeCell ref="A280:B280"/>
    <mergeCell ref="A270:E270"/>
    <mergeCell ref="F270:F271"/>
    <mergeCell ref="G270:G271"/>
    <mergeCell ref="A271:E271"/>
    <mergeCell ref="A268:G268"/>
    <mergeCell ref="A269:E269"/>
    <mergeCell ref="A263:E263"/>
    <mergeCell ref="F263:F266"/>
    <mergeCell ref="G263:G266"/>
    <mergeCell ref="A264:E264"/>
    <mergeCell ref="A265:E265"/>
    <mergeCell ref="A266:E266"/>
    <mergeCell ref="A259:G259"/>
    <mergeCell ref="A260:E260"/>
    <mergeCell ref="A261:B262"/>
    <mergeCell ref="C261:C262"/>
    <mergeCell ref="D261:D262"/>
    <mergeCell ref="E261:E262"/>
    <mergeCell ref="F261:F262"/>
    <mergeCell ref="G261:G262"/>
    <mergeCell ref="A198:B198"/>
    <mergeCell ref="A199:B199"/>
    <mergeCell ref="A200:B200"/>
    <mergeCell ref="A189:B189"/>
    <mergeCell ref="A190:B190"/>
    <mergeCell ref="A187:B187"/>
    <mergeCell ref="A188:B188"/>
    <mergeCell ref="F222:G222"/>
    <mergeCell ref="A228:E228"/>
    <mergeCell ref="A218:E218"/>
    <mergeCell ref="F218:F221"/>
    <mergeCell ref="G218:G221"/>
    <mergeCell ref="A219:E219"/>
    <mergeCell ref="A220:E220"/>
    <mergeCell ref="A221:E221"/>
    <mergeCell ref="A222:E222"/>
    <mergeCell ref="G223:G224"/>
    <mergeCell ref="A225:E225"/>
    <mergeCell ref="F225:F226"/>
    <mergeCell ref="G225:G226"/>
    <mergeCell ref="A226:E226"/>
    <mergeCell ref="A223:B224"/>
    <mergeCell ref="C223:C224"/>
    <mergeCell ref="D223:D224"/>
    <mergeCell ref="A173:B174"/>
    <mergeCell ref="C173:C174"/>
    <mergeCell ref="D173:D174"/>
    <mergeCell ref="E173:E174"/>
    <mergeCell ref="F173:F174"/>
    <mergeCell ref="A156:B156"/>
    <mergeCell ref="A157:B157"/>
    <mergeCell ref="A191:B191"/>
    <mergeCell ref="A192:B192"/>
    <mergeCell ref="A65:B65"/>
    <mergeCell ref="A66:B66"/>
    <mergeCell ref="A84:E84"/>
    <mergeCell ref="F84:F87"/>
    <mergeCell ref="G84:G87"/>
    <mergeCell ref="F88:G88"/>
    <mergeCell ref="A59:B59"/>
    <mergeCell ref="A134:E134"/>
    <mergeCell ref="A136:E136"/>
    <mergeCell ref="F136:G136"/>
    <mergeCell ref="A128:G128"/>
    <mergeCell ref="A129:E129"/>
    <mergeCell ref="A130:B131"/>
    <mergeCell ref="C130:C131"/>
    <mergeCell ref="D130:D131"/>
    <mergeCell ref="E130:E131"/>
    <mergeCell ref="F130:F131"/>
    <mergeCell ref="G130:G131"/>
    <mergeCell ref="A135:E135"/>
    <mergeCell ref="A132:E132"/>
    <mergeCell ref="F132:F135"/>
    <mergeCell ref="G132:G135"/>
    <mergeCell ref="A133:E133"/>
    <mergeCell ref="A401:G401"/>
    <mergeCell ref="A402:E402"/>
    <mergeCell ref="A403:B404"/>
    <mergeCell ref="C403:C404"/>
    <mergeCell ref="D403:D404"/>
    <mergeCell ref="E403:E404"/>
    <mergeCell ref="F403:F404"/>
    <mergeCell ref="G403:G404"/>
    <mergeCell ref="A405:E405"/>
    <mergeCell ref="F405:F408"/>
    <mergeCell ref="G405:G408"/>
    <mergeCell ref="A406:E406"/>
    <mergeCell ref="A407:E407"/>
    <mergeCell ref="A408:E408"/>
    <mergeCell ref="A366:E366"/>
    <mergeCell ref="A364:G364"/>
    <mergeCell ref="A365:E365"/>
    <mergeCell ref="A385:B385"/>
    <mergeCell ref="A386:B386"/>
    <mergeCell ref="A387:B387"/>
    <mergeCell ref="A376:B376"/>
    <mergeCell ref="A377:B377"/>
    <mergeCell ref="A368:E368"/>
    <mergeCell ref="A369:G369"/>
    <mergeCell ref="A370:B370"/>
    <mergeCell ref="A371:B371"/>
    <mergeCell ref="A372:B372"/>
    <mergeCell ref="A373:B373"/>
    <mergeCell ref="A374:B374"/>
    <mergeCell ref="A375:B375"/>
    <mergeCell ref="A339:B339"/>
    <mergeCell ref="A340:B340"/>
    <mergeCell ref="A341:B341"/>
    <mergeCell ref="A330:B330"/>
    <mergeCell ref="A331:B331"/>
    <mergeCell ref="A326:B326"/>
    <mergeCell ref="A327:B327"/>
    <mergeCell ref="A328:B328"/>
    <mergeCell ref="A329:B329"/>
    <mergeCell ref="A306:G306"/>
    <mergeCell ref="A307:E307"/>
    <mergeCell ref="A308:B309"/>
    <mergeCell ref="C308:C309"/>
    <mergeCell ref="D308:D309"/>
    <mergeCell ref="E308:E309"/>
    <mergeCell ref="F308:F309"/>
    <mergeCell ref="G308:G309"/>
    <mergeCell ref="A314:E314"/>
    <mergeCell ref="F314:G314"/>
    <mergeCell ref="A243:B243"/>
    <mergeCell ref="A244:B244"/>
    <mergeCell ref="A245:B245"/>
    <mergeCell ref="A236:B236"/>
    <mergeCell ref="A237:B237"/>
    <mergeCell ref="A233:B233"/>
    <mergeCell ref="A234:B234"/>
    <mergeCell ref="A235:B235"/>
    <mergeCell ref="A214:G214"/>
    <mergeCell ref="A215:E215"/>
    <mergeCell ref="A216:B217"/>
    <mergeCell ref="C216:C217"/>
    <mergeCell ref="D216:D217"/>
    <mergeCell ref="E216:E217"/>
    <mergeCell ref="F216:F217"/>
    <mergeCell ref="G216:G217"/>
    <mergeCell ref="A229:G229"/>
    <mergeCell ref="A230:B230"/>
    <mergeCell ref="A231:B231"/>
    <mergeCell ref="A232:B232"/>
    <mergeCell ref="E223:E224"/>
    <mergeCell ref="F223:F224"/>
    <mergeCell ref="A179:E179"/>
    <mergeCell ref="F179:G179"/>
    <mergeCell ref="A183:E183"/>
    <mergeCell ref="A184:G184"/>
    <mergeCell ref="A185:B185"/>
    <mergeCell ref="A186:B186"/>
    <mergeCell ref="A147:B147"/>
    <mergeCell ref="A148:B148"/>
    <mergeCell ref="A140:E140"/>
    <mergeCell ref="A141:G141"/>
    <mergeCell ref="A142:B142"/>
    <mergeCell ref="A143:B143"/>
    <mergeCell ref="G173:G174"/>
    <mergeCell ref="A175:E175"/>
    <mergeCell ref="F175:F178"/>
    <mergeCell ref="G175:G178"/>
    <mergeCell ref="A176:E176"/>
    <mergeCell ref="A177:E177"/>
    <mergeCell ref="A178:E178"/>
    <mergeCell ref="A144:B144"/>
    <mergeCell ref="A145:B145"/>
    <mergeCell ref="A146:B146"/>
    <mergeCell ref="A171:G171"/>
    <mergeCell ref="A172:E172"/>
    <mergeCell ref="A138:E138"/>
    <mergeCell ref="A149:B149"/>
    <mergeCell ref="A155:B155"/>
    <mergeCell ref="A104:B104"/>
    <mergeCell ref="A105:B105"/>
    <mergeCell ref="A106:B106"/>
    <mergeCell ref="A112:B112"/>
    <mergeCell ref="A113:B113"/>
    <mergeCell ref="A114:B114"/>
    <mergeCell ref="A102:B102"/>
    <mergeCell ref="A103:B103"/>
    <mergeCell ref="A99:B99"/>
    <mergeCell ref="A100:B100"/>
    <mergeCell ref="A101:B101"/>
    <mergeCell ref="A60:B60"/>
    <mergeCell ref="A61:B61"/>
    <mergeCell ref="A62:B62"/>
    <mergeCell ref="A63:B63"/>
    <mergeCell ref="A64:B64"/>
    <mergeCell ref="A97:E97"/>
    <mergeCell ref="A98:G98"/>
    <mergeCell ref="A80:G80"/>
    <mergeCell ref="A81:E81"/>
    <mergeCell ref="A82:B83"/>
    <mergeCell ref="C82:C83"/>
    <mergeCell ref="D82:D83"/>
    <mergeCell ref="A85:E85"/>
    <mergeCell ref="A86:E86"/>
    <mergeCell ref="A87:E87"/>
    <mergeCell ref="A88:E88"/>
    <mergeCell ref="E82:E83"/>
    <mergeCell ref="F82:F83"/>
    <mergeCell ref="G82:G83"/>
    <mergeCell ref="A47:E47"/>
    <mergeCell ref="F47:G47"/>
    <mergeCell ref="A57:B57"/>
    <mergeCell ref="A58:B58"/>
    <mergeCell ref="A43:E43"/>
    <mergeCell ref="F43:F46"/>
    <mergeCell ref="G43:G46"/>
    <mergeCell ref="A44:E44"/>
    <mergeCell ref="A45:E45"/>
    <mergeCell ref="A46:E46"/>
    <mergeCell ref="A54:E54"/>
    <mergeCell ref="A55:G55"/>
    <mergeCell ref="A56:B56"/>
    <mergeCell ref="A25:B25"/>
    <mergeCell ref="A39:G39"/>
    <mergeCell ref="A40:E40"/>
    <mergeCell ref="A41:B42"/>
    <mergeCell ref="C41:C42"/>
    <mergeCell ref="D41:D42"/>
    <mergeCell ref="E41:E42"/>
    <mergeCell ref="F41:F42"/>
    <mergeCell ref="G41:G42"/>
    <mergeCell ref="A8:B8"/>
    <mergeCell ref="A9:B9"/>
    <mergeCell ref="A10:B10"/>
    <mergeCell ref="A11:B11"/>
    <mergeCell ref="A23:B23"/>
    <mergeCell ref="A24:B24"/>
    <mergeCell ref="A2:E2"/>
    <mergeCell ref="A3:G3"/>
    <mergeCell ref="A4:B4"/>
    <mergeCell ref="A5:B5"/>
    <mergeCell ref="A6:B6"/>
    <mergeCell ref="A7:B7"/>
    <mergeCell ref="A837:E837"/>
    <mergeCell ref="A838:G838"/>
    <mergeCell ref="A839:B839"/>
    <mergeCell ref="A840:B840"/>
    <mergeCell ref="A841:B841"/>
    <mergeCell ref="A842:B842"/>
    <mergeCell ref="A843:B843"/>
    <mergeCell ref="A844:B844"/>
    <mergeCell ref="A845:B845"/>
    <mergeCell ref="A846:B846"/>
    <mergeCell ref="A852:B852"/>
    <mergeCell ref="A853:B853"/>
    <mergeCell ref="A854:B854"/>
    <mergeCell ref="A868:G868"/>
    <mergeCell ref="A869:E869"/>
    <mergeCell ref="A870:B871"/>
    <mergeCell ref="C870:C871"/>
    <mergeCell ref="D870:D871"/>
    <mergeCell ref="E870:E871"/>
    <mergeCell ref="F870:F871"/>
    <mergeCell ref="G870:G871"/>
    <mergeCell ref="A872:E872"/>
    <mergeCell ref="F872:F875"/>
    <mergeCell ref="G872:G875"/>
    <mergeCell ref="A873:E873"/>
    <mergeCell ref="A874:E874"/>
    <mergeCell ref="A875:E875"/>
    <mergeCell ref="A876:E876"/>
    <mergeCell ref="F876:G876"/>
    <mergeCell ref="A880:E880"/>
    <mergeCell ref="A881:G881"/>
    <mergeCell ref="A882:B882"/>
    <mergeCell ref="A883:B883"/>
    <mergeCell ref="A884:B884"/>
    <mergeCell ref="A885:B885"/>
    <mergeCell ref="A886:B886"/>
    <mergeCell ref="A887:B887"/>
    <mergeCell ref="A888:B888"/>
    <mergeCell ref="A889:B889"/>
    <mergeCell ref="A896:B896"/>
    <mergeCell ref="A897:B897"/>
    <mergeCell ref="A898:B898"/>
    <mergeCell ref="A912:G912"/>
    <mergeCell ref="A913:E913"/>
    <mergeCell ref="A914:B915"/>
    <mergeCell ref="C914:C915"/>
    <mergeCell ref="D914:D915"/>
    <mergeCell ref="E914:E915"/>
    <mergeCell ref="F914:F915"/>
    <mergeCell ref="G914:G915"/>
    <mergeCell ref="A916:E916"/>
    <mergeCell ref="F916:F919"/>
    <mergeCell ref="G916:G919"/>
    <mergeCell ref="A917:E917"/>
    <mergeCell ref="A918:E918"/>
    <mergeCell ref="A919:E919"/>
    <mergeCell ref="A920:E920"/>
    <mergeCell ref="F920:G920"/>
    <mergeCell ref="A930:E930"/>
    <mergeCell ref="A931:G931"/>
    <mergeCell ref="A932:B932"/>
    <mergeCell ref="A933:B933"/>
    <mergeCell ref="A934:B934"/>
    <mergeCell ref="A935:B935"/>
    <mergeCell ref="A936:B936"/>
    <mergeCell ref="A937:B937"/>
    <mergeCell ref="A938:B938"/>
    <mergeCell ref="A939:B939"/>
    <mergeCell ref="A948:B948"/>
    <mergeCell ref="A949:B949"/>
    <mergeCell ref="A950:B950"/>
    <mergeCell ref="A964:G964"/>
    <mergeCell ref="A965:E965"/>
    <mergeCell ref="A966:B967"/>
    <mergeCell ref="C966:C967"/>
    <mergeCell ref="D966:D967"/>
    <mergeCell ref="E966:E967"/>
    <mergeCell ref="F966:F967"/>
    <mergeCell ref="G966:G967"/>
    <mergeCell ref="A968:E968"/>
    <mergeCell ref="F968:F971"/>
    <mergeCell ref="G968:G971"/>
    <mergeCell ref="A969:E969"/>
    <mergeCell ref="A970:E970"/>
    <mergeCell ref="A971:E971"/>
    <mergeCell ref="A972:E972"/>
    <mergeCell ref="F972:G972"/>
    <mergeCell ref="A980:E980"/>
    <mergeCell ref="A981:G981"/>
    <mergeCell ref="A982:B982"/>
    <mergeCell ref="A983:B983"/>
    <mergeCell ref="A984:B984"/>
    <mergeCell ref="A985:B985"/>
    <mergeCell ref="A986:B986"/>
    <mergeCell ref="A987:B987"/>
    <mergeCell ref="A988:B988"/>
    <mergeCell ref="A989:B989"/>
    <mergeCell ref="A997:B997"/>
    <mergeCell ref="A998:B998"/>
    <mergeCell ref="A999:B999"/>
    <mergeCell ref="A1013:G1013"/>
    <mergeCell ref="A1014:E1014"/>
    <mergeCell ref="A1015:B1016"/>
    <mergeCell ref="C1015:C1016"/>
    <mergeCell ref="D1015:D1016"/>
    <mergeCell ref="E1015:E1016"/>
    <mergeCell ref="F1015:F1016"/>
    <mergeCell ref="G1015:G1016"/>
    <mergeCell ref="A1017:E1017"/>
    <mergeCell ref="F1017:F1020"/>
    <mergeCell ref="G1017:G1020"/>
    <mergeCell ref="A1018:E1018"/>
    <mergeCell ref="A1019:E1019"/>
    <mergeCell ref="A1020:E1020"/>
    <mergeCell ref="A1021:E1021"/>
    <mergeCell ref="F1021:G1021"/>
    <mergeCell ref="A1024:E1024"/>
    <mergeCell ref="A1025:G1025"/>
    <mergeCell ref="A1026:B1026"/>
    <mergeCell ref="A1027:B1027"/>
    <mergeCell ref="A1028:B1028"/>
    <mergeCell ref="A1029:B1029"/>
    <mergeCell ref="A1030:B1030"/>
    <mergeCell ref="A1031:B1031"/>
    <mergeCell ref="A1032:B1032"/>
    <mergeCell ref="A1033:B1033"/>
    <mergeCell ref="A1040:B1040"/>
    <mergeCell ref="A1041:B1041"/>
    <mergeCell ref="A1042:B1042"/>
    <mergeCell ref="A1056:G1056"/>
    <mergeCell ref="A1057:E1057"/>
    <mergeCell ref="A1058:B1059"/>
    <mergeCell ref="C1058:C1059"/>
    <mergeCell ref="D1058:D1059"/>
    <mergeCell ref="E1058:E1059"/>
    <mergeCell ref="F1058:F1059"/>
    <mergeCell ref="G1058:G1059"/>
    <mergeCell ref="A1060:E1060"/>
    <mergeCell ref="F1060:F1063"/>
    <mergeCell ref="G1060:G1063"/>
    <mergeCell ref="A1061:E1061"/>
    <mergeCell ref="A1062:E1062"/>
    <mergeCell ref="A1063:E1063"/>
    <mergeCell ref="A1064:E1064"/>
    <mergeCell ref="F1064:G1064"/>
    <mergeCell ref="A1073:E1073"/>
    <mergeCell ref="A1074:G1074"/>
    <mergeCell ref="A1075:B1075"/>
    <mergeCell ref="A1076:B1076"/>
    <mergeCell ref="A1077:B1077"/>
    <mergeCell ref="A1078:B1078"/>
    <mergeCell ref="A1079:B1079"/>
    <mergeCell ref="A1080:B1080"/>
    <mergeCell ref="A1081:B1081"/>
    <mergeCell ref="A1082:B1082"/>
    <mergeCell ref="A1090:B1090"/>
    <mergeCell ref="A1091:B1091"/>
    <mergeCell ref="A1092:B1092"/>
    <mergeCell ref="A1106:G1106"/>
    <mergeCell ref="A1107:E1107"/>
    <mergeCell ref="A1108:B1109"/>
    <mergeCell ref="C1108:C1109"/>
    <mergeCell ref="D1108:D1109"/>
    <mergeCell ref="E1108:E1109"/>
    <mergeCell ref="F1108:F1109"/>
    <mergeCell ref="G1108:G1109"/>
    <mergeCell ref="A1110:E1110"/>
    <mergeCell ref="F1110:F1113"/>
    <mergeCell ref="G1110:G1113"/>
    <mergeCell ref="A1111:E1111"/>
    <mergeCell ref="A1112:E1112"/>
    <mergeCell ref="A1113:E1113"/>
    <mergeCell ref="A1114:E1114"/>
    <mergeCell ref="F1114:G1114"/>
    <mergeCell ref="A1122:E1122"/>
    <mergeCell ref="A1123:G1123"/>
    <mergeCell ref="A1124:B1124"/>
    <mergeCell ref="A1125:B1125"/>
    <mergeCell ref="A1126:B1126"/>
    <mergeCell ref="A1127:B1127"/>
    <mergeCell ref="A1128:B1128"/>
    <mergeCell ref="A1129:B1129"/>
    <mergeCell ref="A1130:B1130"/>
    <mergeCell ref="A1131:B1131"/>
    <mergeCell ref="A1133:B1133"/>
    <mergeCell ref="A1134:B1134"/>
    <mergeCell ref="A1135:B1135"/>
    <mergeCell ref="A1149:G1149"/>
    <mergeCell ref="A1150:E1150"/>
    <mergeCell ref="A1151:B1152"/>
    <mergeCell ref="C1151:C1152"/>
    <mergeCell ref="D1151:D1152"/>
    <mergeCell ref="E1151:E1152"/>
    <mergeCell ref="F1151:F1152"/>
    <mergeCell ref="G1151:G1152"/>
    <mergeCell ref="A1153:E1153"/>
    <mergeCell ref="F1153:F1156"/>
    <mergeCell ref="G1153:G1156"/>
    <mergeCell ref="A1154:E1154"/>
    <mergeCell ref="A1155:E1155"/>
    <mergeCell ref="A1156:E1156"/>
    <mergeCell ref="A1157:E1157"/>
    <mergeCell ref="F1157:G1157"/>
    <mergeCell ref="A1167:E1167"/>
    <mergeCell ref="A1168:G1168"/>
    <mergeCell ref="A1169:B1169"/>
    <mergeCell ref="A1170:B1170"/>
    <mergeCell ref="A1171:B1171"/>
    <mergeCell ref="A1172:B1172"/>
    <mergeCell ref="A1173:B1173"/>
    <mergeCell ref="A1174:B1174"/>
    <mergeCell ref="A1175:B1175"/>
    <mergeCell ref="A1176:B1176"/>
    <mergeCell ref="A1178:B1178"/>
    <mergeCell ref="A1179:B1179"/>
    <mergeCell ref="A1180:B1180"/>
    <mergeCell ref="A1194:G1194"/>
    <mergeCell ref="A1195:E1195"/>
    <mergeCell ref="A1196:B1197"/>
    <mergeCell ref="C1196:C1197"/>
    <mergeCell ref="D1196:D1197"/>
    <mergeCell ref="E1196:E1197"/>
    <mergeCell ref="F1196:F1197"/>
    <mergeCell ref="G1196:G1197"/>
    <mergeCell ref="A1198:E1198"/>
    <mergeCell ref="F1198:F1201"/>
    <mergeCell ref="G1198:G1201"/>
    <mergeCell ref="A1199:E1199"/>
    <mergeCell ref="A1200:E1200"/>
    <mergeCell ref="A1201:E1201"/>
    <mergeCell ref="A1202:E1202"/>
    <mergeCell ref="F1202:G1202"/>
    <mergeCell ref="A1210:E1210"/>
    <mergeCell ref="A1211:G1211"/>
    <mergeCell ref="A1212:B1212"/>
    <mergeCell ref="A1213:B1213"/>
    <mergeCell ref="A1214:B1214"/>
    <mergeCell ref="A1215:B1215"/>
    <mergeCell ref="A1216:B1216"/>
    <mergeCell ref="A1217:B1217"/>
    <mergeCell ref="A1218:B1218"/>
    <mergeCell ref="A1219:B1219"/>
    <mergeCell ref="A1220:B1220"/>
    <mergeCell ref="A1221:B1221"/>
    <mergeCell ref="A1222:B1222"/>
    <mergeCell ref="A1236:G1236"/>
    <mergeCell ref="A1237:E1237"/>
    <mergeCell ref="A1238:B1239"/>
    <mergeCell ref="C1238:C1239"/>
    <mergeCell ref="D1238:D1239"/>
    <mergeCell ref="E1238:E1239"/>
    <mergeCell ref="F1238:F1239"/>
    <mergeCell ref="G1238:G1239"/>
    <mergeCell ref="A1240:E1240"/>
    <mergeCell ref="F1240:F1243"/>
    <mergeCell ref="G1240:G1243"/>
    <mergeCell ref="A1241:E1241"/>
    <mergeCell ref="A1242:E1242"/>
    <mergeCell ref="A1243:E1243"/>
    <mergeCell ref="A1244:E1244"/>
    <mergeCell ref="F1244:G1244"/>
    <mergeCell ref="A1253:E1253"/>
    <mergeCell ref="A1254:G1254"/>
    <mergeCell ref="A1255:B1255"/>
    <mergeCell ref="A1256:B1256"/>
    <mergeCell ref="A1257:B1257"/>
    <mergeCell ref="A1258:B1258"/>
    <mergeCell ref="A1259:B1259"/>
    <mergeCell ref="A1260:B1260"/>
    <mergeCell ref="A1261:B1261"/>
    <mergeCell ref="A1262:B1262"/>
    <mergeCell ref="A1264:B1264"/>
    <mergeCell ref="A1265:B1265"/>
    <mergeCell ref="A1266:B1266"/>
    <mergeCell ref="A1280:G1280"/>
    <mergeCell ref="A1281:E1281"/>
    <mergeCell ref="A1282:B1283"/>
    <mergeCell ref="C1282:C1283"/>
    <mergeCell ref="D1282:D1283"/>
    <mergeCell ref="E1282:E1283"/>
    <mergeCell ref="F1282:F1283"/>
    <mergeCell ref="G1282:G1283"/>
    <mergeCell ref="A1284:E1284"/>
    <mergeCell ref="F1284:F1287"/>
    <mergeCell ref="G1284:G1287"/>
    <mergeCell ref="A1285:E1285"/>
    <mergeCell ref="A1286:E1286"/>
    <mergeCell ref="A1287:E1287"/>
    <mergeCell ref="A1288:E1288"/>
    <mergeCell ref="F1288:G1288"/>
    <mergeCell ref="A1291:E1291"/>
    <mergeCell ref="A1292:G1292"/>
    <mergeCell ref="A1293:B1293"/>
    <mergeCell ref="A1294:B1294"/>
    <mergeCell ref="A1295:B1295"/>
    <mergeCell ref="A1296:B1296"/>
    <mergeCell ref="A1297:B1297"/>
    <mergeCell ref="A1298:B1298"/>
    <mergeCell ref="A1299:B1299"/>
    <mergeCell ref="A1300:B1300"/>
    <mergeCell ref="A1301:B1301"/>
    <mergeCell ref="A1302:B1302"/>
    <mergeCell ref="A1303:B1303"/>
    <mergeCell ref="A1317:G1317"/>
    <mergeCell ref="A1318:E1318"/>
    <mergeCell ref="A1319:B1320"/>
    <mergeCell ref="C1319:C1320"/>
    <mergeCell ref="D1319:D1320"/>
    <mergeCell ref="E1319:E1320"/>
    <mergeCell ref="F1319:F1320"/>
    <mergeCell ref="G1319:G1320"/>
    <mergeCell ref="A1321:E1321"/>
    <mergeCell ref="F1321:F1324"/>
    <mergeCell ref="G1321:G1324"/>
    <mergeCell ref="A1322:E1322"/>
    <mergeCell ref="A1323:E1323"/>
    <mergeCell ref="A1324:E1324"/>
    <mergeCell ref="A1325:E1325"/>
    <mergeCell ref="F1325:G1325"/>
    <mergeCell ref="A1329:E1329"/>
    <mergeCell ref="A1330:G1330"/>
    <mergeCell ref="A1331:B1331"/>
    <mergeCell ref="A1332:B1332"/>
    <mergeCell ref="A1333:B1333"/>
    <mergeCell ref="A1334:B1334"/>
    <mergeCell ref="A1335:B1335"/>
    <mergeCell ref="A1336:B1336"/>
    <mergeCell ref="A1337:B1337"/>
    <mergeCell ref="A1338:B1338"/>
    <mergeCell ref="A1339:B1339"/>
    <mergeCell ref="A1340:B1340"/>
    <mergeCell ref="A1341:B1341"/>
    <mergeCell ref="A1355:G1355"/>
    <mergeCell ref="A1356:E1356"/>
    <mergeCell ref="A1357:B1358"/>
    <mergeCell ref="C1357:C1358"/>
    <mergeCell ref="D1357:D1358"/>
    <mergeCell ref="E1357:E1358"/>
    <mergeCell ref="F1357:F1358"/>
    <mergeCell ref="G1357:G1358"/>
    <mergeCell ref="A1359:E1359"/>
    <mergeCell ref="F1359:F1362"/>
    <mergeCell ref="G1359:G1362"/>
    <mergeCell ref="A1360:E1360"/>
    <mergeCell ref="A1361:E1361"/>
    <mergeCell ref="A1362:E1362"/>
    <mergeCell ref="A1363:E1363"/>
    <mergeCell ref="F1363:G1363"/>
    <mergeCell ref="A1373:E1373"/>
    <mergeCell ref="A1374:G1374"/>
    <mergeCell ref="A1375:B1375"/>
    <mergeCell ref="A1376:B1376"/>
    <mergeCell ref="A1377:B1377"/>
    <mergeCell ref="A1378:B1378"/>
    <mergeCell ref="A1379:B1379"/>
    <mergeCell ref="A1380:B1380"/>
    <mergeCell ref="A1381:B1381"/>
    <mergeCell ref="A1382:B1382"/>
    <mergeCell ref="A1403:E1403"/>
    <mergeCell ref="F1403:F1406"/>
    <mergeCell ref="G1403:G1406"/>
    <mergeCell ref="A1404:E1404"/>
    <mergeCell ref="A1405:E1405"/>
    <mergeCell ref="A1406:E1406"/>
    <mergeCell ref="A1407:E1407"/>
    <mergeCell ref="F1407:G1407"/>
    <mergeCell ref="A1383:B1383"/>
    <mergeCell ref="A1384:B1384"/>
    <mergeCell ref="A1385:B1385"/>
    <mergeCell ref="A1399:G1399"/>
    <mergeCell ref="A1400:E1400"/>
    <mergeCell ref="A1401:B1402"/>
    <mergeCell ref="C1401:C1402"/>
    <mergeCell ref="D1401:D1402"/>
    <mergeCell ref="E1401:E1402"/>
    <mergeCell ref="F1401:F1402"/>
    <mergeCell ref="G1401:G1402"/>
  </mergeCells>
  <pageMargins left="0.7" right="0.7" top="0.75" bottom="0.75" header="0.3" footer="0.3"/>
  <pageSetup scale="93" orientation="portrait" verticalDpi="0" r:id="rId1"/>
  <rowBreaks count="10" manualBreakCount="10">
    <brk id="47" max="16383" man="1"/>
    <brk id="93" max="16383" man="1"/>
    <brk id="138" max="16383" man="1"/>
    <brk id="181" max="16383" man="1"/>
    <brk id="271" max="16383" man="1"/>
    <brk id="502" max="16383" man="1"/>
    <brk id="878" max="16383" man="1"/>
    <brk id="1289" max="16383" man="1"/>
    <brk id="1326" max="16383" man="1"/>
    <brk id="1371"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A1:I1428"/>
  <sheetViews>
    <sheetView zoomScaleNormal="100" zoomScaleSheetLayoutView="125" workbookViewId="0">
      <selection activeCell="G525" sqref="G525"/>
    </sheetView>
  </sheetViews>
  <sheetFormatPr baseColWidth="10" defaultRowHeight="15" x14ac:dyDescent="0.25"/>
  <cols>
    <col min="7" max="7" width="14.42578125" customWidth="1"/>
    <col min="8" max="8" width="12.28515625" customWidth="1"/>
  </cols>
  <sheetData>
    <row r="1" spans="1:8" ht="15.75" thickBot="1" x14ac:dyDescent="0.3">
      <c r="A1" s="1279"/>
      <c r="B1" s="1280"/>
      <c r="C1" s="1280"/>
      <c r="D1" s="1280"/>
      <c r="E1" s="1280"/>
      <c r="F1" s="1280"/>
      <c r="G1" s="1280"/>
      <c r="H1" s="1281"/>
    </row>
    <row r="2" spans="1:8" ht="15.75" thickTop="1" x14ac:dyDescent="0.25">
      <c r="A2" s="1282"/>
      <c r="B2" s="1283"/>
      <c r="C2" s="1283"/>
      <c r="D2" s="1283"/>
      <c r="E2" s="1283"/>
      <c r="F2" s="1283"/>
      <c r="G2" s="1283"/>
      <c r="H2" s="1284"/>
    </row>
    <row r="3" spans="1:8" x14ac:dyDescent="0.25">
      <c r="A3" s="1345"/>
      <c r="B3" s="1346"/>
      <c r="C3" s="1346"/>
      <c r="D3" s="1346"/>
      <c r="E3" s="1347"/>
      <c r="F3" s="1354" t="s">
        <v>78</v>
      </c>
      <c r="G3" s="1355"/>
      <c r="H3" s="1356"/>
    </row>
    <row r="4" spans="1:8" x14ac:dyDescent="0.25">
      <c r="A4" s="1348"/>
      <c r="B4" s="1349"/>
      <c r="C4" s="1349"/>
      <c r="D4" s="1349"/>
      <c r="E4" s="1350"/>
      <c r="F4" s="459"/>
      <c r="G4" s="1357"/>
      <c r="H4" s="1358"/>
    </row>
    <row r="5" spans="1:8" ht="15.75" thickBot="1" x14ac:dyDescent="0.3">
      <c r="A5" s="1351"/>
      <c r="B5" s="1352"/>
      <c r="C5" s="1352"/>
      <c r="D5" s="1352"/>
      <c r="E5" s="1353"/>
      <c r="F5" s="1359"/>
      <c r="G5" s="1360"/>
      <c r="H5" s="1361"/>
    </row>
    <row r="6" spans="1:8" ht="16.5" thickTop="1" thickBot="1" x14ac:dyDescent="0.3">
      <c r="A6" s="460"/>
      <c r="B6" s="461"/>
      <c r="C6" s="461"/>
      <c r="D6" s="461"/>
      <c r="E6" s="462"/>
      <c r="F6" s="462"/>
      <c r="G6" s="463"/>
      <c r="H6" s="464"/>
    </row>
    <row r="7" spans="1:8" ht="16.5" thickTop="1" thickBot="1" x14ac:dyDescent="0.3">
      <c r="A7" s="1337" t="s">
        <v>1988</v>
      </c>
      <c r="B7" s="1338"/>
      <c r="C7" s="1338"/>
      <c r="D7" s="1338"/>
      <c r="E7" s="465" t="s">
        <v>24</v>
      </c>
      <c r="F7" s="465" t="s">
        <v>34</v>
      </c>
      <c r="G7" s="466" t="s">
        <v>1989</v>
      </c>
      <c r="H7" s="467" t="s">
        <v>1990</v>
      </c>
    </row>
    <row r="8" spans="1:8" ht="15.75" thickTop="1" x14ac:dyDescent="0.25">
      <c r="A8" s="1342" t="s">
        <v>79</v>
      </c>
      <c r="B8" s="1343"/>
      <c r="C8" s="1343"/>
      <c r="D8" s="1344"/>
      <c r="E8" s="468" t="s">
        <v>24</v>
      </c>
      <c r="F8" s="469">
        <v>1</v>
      </c>
      <c r="G8" s="470">
        <v>59000</v>
      </c>
      <c r="H8" s="471">
        <f>+G8*F8</f>
        <v>59000</v>
      </c>
    </row>
    <row r="9" spans="1:8" x14ac:dyDescent="0.25">
      <c r="A9" s="1325"/>
      <c r="B9" s="1326"/>
      <c r="C9" s="1326"/>
      <c r="D9" s="1327"/>
      <c r="E9" s="472"/>
      <c r="F9" s="473"/>
      <c r="G9" s="470"/>
      <c r="H9" s="474"/>
    </row>
    <row r="10" spans="1:8" x14ac:dyDescent="0.25">
      <c r="A10" s="1325"/>
      <c r="B10" s="1326"/>
      <c r="C10" s="1326"/>
      <c r="D10" s="1327"/>
      <c r="E10" s="472"/>
      <c r="F10" s="473"/>
      <c r="G10" s="470"/>
      <c r="H10" s="474"/>
    </row>
    <row r="11" spans="1:8" x14ac:dyDescent="0.25">
      <c r="A11" s="1325"/>
      <c r="B11" s="1326"/>
      <c r="C11" s="1326"/>
      <c r="D11" s="1327"/>
      <c r="E11" s="472"/>
      <c r="F11" s="473"/>
      <c r="G11" s="470"/>
      <c r="H11" s="474"/>
    </row>
    <row r="12" spans="1:8" x14ac:dyDescent="0.25">
      <c r="A12" s="1325"/>
      <c r="B12" s="1326"/>
      <c r="C12" s="1326"/>
      <c r="D12" s="1327"/>
      <c r="E12" s="472"/>
      <c r="F12" s="473"/>
      <c r="G12" s="470"/>
      <c r="H12" s="474"/>
    </row>
    <row r="13" spans="1:8" x14ac:dyDescent="0.25">
      <c r="A13" s="1325"/>
      <c r="B13" s="1326"/>
      <c r="C13" s="1326"/>
      <c r="D13" s="1327"/>
      <c r="E13" s="472"/>
      <c r="F13" s="473"/>
      <c r="G13" s="470"/>
      <c r="H13" s="474"/>
    </row>
    <row r="14" spans="1:8" x14ac:dyDescent="0.25">
      <c r="A14" s="1325"/>
      <c r="B14" s="1326"/>
      <c r="C14" s="1326"/>
      <c r="D14" s="1327"/>
      <c r="E14" s="472"/>
      <c r="F14" s="473"/>
      <c r="G14" s="470"/>
      <c r="H14" s="474"/>
    </row>
    <row r="15" spans="1:8" x14ac:dyDescent="0.25">
      <c r="A15" s="1325"/>
      <c r="B15" s="1326"/>
      <c r="C15" s="1326"/>
      <c r="D15" s="1327"/>
      <c r="E15" s="472"/>
      <c r="F15" s="473"/>
      <c r="G15" s="470"/>
      <c r="H15" s="474"/>
    </row>
    <row r="16" spans="1:8" x14ac:dyDescent="0.25">
      <c r="A16" s="1325"/>
      <c r="B16" s="1326"/>
      <c r="C16" s="1326"/>
      <c r="D16" s="1327"/>
      <c r="E16" s="472"/>
      <c r="F16" s="473"/>
      <c r="G16" s="470"/>
      <c r="H16" s="474"/>
    </row>
    <row r="17" spans="1:8" x14ac:dyDescent="0.25">
      <c r="A17" s="1325"/>
      <c r="B17" s="1326"/>
      <c r="C17" s="1326"/>
      <c r="D17" s="1327"/>
      <c r="E17" s="472"/>
      <c r="F17" s="473"/>
      <c r="G17" s="470"/>
      <c r="H17" s="474"/>
    </row>
    <row r="18" spans="1:8" x14ac:dyDescent="0.25">
      <c r="A18" s="1325"/>
      <c r="B18" s="1326"/>
      <c r="C18" s="1326"/>
      <c r="D18" s="1327"/>
      <c r="E18" s="472"/>
      <c r="F18" s="473"/>
      <c r="G18" s="470"/>
      <c r="H18" s="474"/>
    </row>
    <row r="19" spans="1:8" x14ac:dyDescent="0.25">
      <c r="A19" s="1335"/>
      <c r="B19" s="1336"/>
      <c r="C19" s="1336"/>
      <c r="D19" s="1336"/>
      <c r="E19" s="473"/>
      <c r="F19" s="475"/>
      <c r="G19" s="470"/>
      <c r="H19" s="474"/>
    </row>
    <row r="20" spans="1:8" ht="15.75" thickBot="1" x14ac:dyDescent="0.3">
      <c r="A20" s="1330"/>
      <c r="B20" s="1331"/>
      <c r="C20" s="1331"/>
      <c r="D20" s="1331"/>
      <c r="E20" s="476"/>
      <c r="F20" s="477"/>
      <c r="G20" s="478"/>
      <c r="H20" s="479"/>
    </row>
    <row r="21" spans="1:8" ht="16.5" thickTop="1" thickBot="1" x14ac:dyDescent="0.3">
      <c r="A21" s="480"/>
      <c r="B21" s="481"/>
      <c r="C21" s="481"/>
      <c r="D21" s="481"/>
      <c r="E21" s="482"/>
      <c r="F21" s="483"/>
      <c r="G21" s="484" t="s">
        <v>31</v>
      </c>
      <c r="H21" s="485">
        <f>ROUND(SUM(H8:H20),0)</f>
        <v>59000</v>
      </c>
    </row>
    <row r="22" spans="1:8" ht="16.5" thickTop="1" thickBot="1" x14ac:dyDescent="0.3">
      <c r="A22" s="480"/>
      <c r="B22" s="481"/>
      <c r="C22" s="481"/>
      <c r="D22" s="481"/>
      <c r="E22" s="482"/>
      <c r="F22" s="483"/>
      <c r="G22" s="486"/>
      <c r="H22" s="487"/>
    </row>
    <row r="23" spans="1:8" ht="16.5" thickTop="1" thickBot="1" x14ac:dyDescent="0.3">
      <c r="A23" s="1337" t="s">
        <v>1991</v>
      </c>
      <c r="B23" s="1338"/>
      <c r="C23" s="1338"/>
      <c r="D23" s="1338"/>
      <c r="E23" s="465" t="s">
        <v>1992</v>
      </c>
      <c r="F23" s="465" t="s">
        <v>34</v>
      </c>
      <c r="G23" s="466" t="s">
        <v>1989</v>
      </c>
      <c r="H23" s="467" t="s">
        <v>1990</v>
      </c>
    </row>
    <row r="24" spans="1:8" ht="15.75" thickTop="1" x14ac:dyDescent="0.25">
      <c r="A24" s="1339" t="str">
        <f>+A8</f>
        <v>Tubo PVC 4"</v>
      </c>
      <c r="B24" s="1340"/>
      <c r="C24" s="1340"/>
      <c r="D24" s="1341"/>
      <c r="E24" s="468">
        <v>0.25</v>
      </c>
      <c r="F24" s="469">
        <v>1</v>
      </c>
      <c r="G24" s="470">
        <v>400</v>
      </c>
      <c r="H24" s="471">
        <f>+G24*F24*E24</f>
        <v>100</v>
      </c>
    </row>
    <row r="25" spans="1:8" x14ac:dyDescent="0.25">
      <c r="A25" s="1325"/>
      <c r="B25" s="1326"/>
      <c r="C25" s="1326"/>
      <c r="D25" s="1327"/>
      <c r="E25" s="472"/>
      <c r="F25" s="473"/>
      <c r="G25" s="470"/>
      <c r="H25" s="474"/>
    </row>
    <row r="26" spans="1:8" x14ac:dyDescent="0.25">
      <c r="A26" s="1325"/>
      <c r="B26" s="1326"/>
      <c r="C26" s="1326"/>
      <c r="D26" s="1327"/>
      <c r="E26" s="472"/>
      <c r="F26" s="473"/>
      <c r="G26" s="470"/>
      <c r="H26" s="474"/>
    </row>
    <row r="27" spans="1:8" x14ac:dyDescent="0.25">
      <c r="A27" s="1325"/>
      <c r="B27" s="1326"/>
      <c r="C27" s="1326"/>
      <c r="D27" s="1327"/>
      <c r="E27" s="472"/>
      <c r="F27" s="473"/>
      <c r="G27" s="470"/>
      <c r="H27" s="474"/>
    </row>
    <row r="28" spans="1:8" x14ac:dyDescent="0.25">
      <c r="A28" s="1325"/>
      <c r="B28" s="1326"/>
      <c r="C28" s="1326"/>
      <c r="D28" s="1327"/>
      <c r="E28" s="472"/>
      <c r="F28" s="473"/>
      <c r="G28" s="470"/>
      <c r="H28" s="474"/>
    </row>
    <row r="29" spans="1:8" x14ac:dyDescent="0.25">
      <c r="A29" s="1325"/>
      <c r="B29" s="1326"/>
      <c r="C29" s="1326"/>
      <c r="D29" s="1327"/>
      <c r="E29" s="472"/>
      <c r="F29" s="473"/>
      <c r="G29" s="470"/>
      <c r="H29" s="474"/>
    </row>
    <row r="30" spans="1:8" x14ac:dyDescent="0.25">
      <c r="A30" s="1325"/>
      <c r="B30" s="1326"/>
      <c r="C30" s="1326"/>
      <c r="D30" s="1327"/>
      <c r="E30" s="472"/>
      <c r="F30" s="473"/>
      <c r="G30" s="470"/>
      <c r="H30" s="474"/>
    </row>
    <row r="31" spans="1:8" x14ac:dyDescent="0.25">
      <c r="A31" s="1325"/>
      <c r="B31" s="1326"/>
      <c r="C31" s="1326"/>
      <c r="D31" s="1327"/>
      <c r="E31" s="472"/>
      <c r="F31" s="473"/>
      <c r="G31" s="470"/>
      <c r="H31" s="474"/>
    </row>
    <row r="32" spans="1:8" x14ac:dyDescent="0.25">
      <c r="A32" s="1325"/>
      <c r="B32" s="1326"/>
      <c r="C32" s="1326"/>
      <c r="D32" s="1327"/>
      <c r="E32" s="472"/>
      <c r="F32" s="473"/>
      <c r="G32" s="470"/>
      <c r="H32" s="474"/>
    </row>
    <row r="33" spans="1:8" x14ac:dyDescent="0.25">
      <c r="A33" s="1325"/>
      <c r="B33" s="1326"/>
      <c r="C33" s="1326"/>
      <c r="D33" s="1327"/>
      <c r="E33" s="472"/>
      <c r="F33" s="473"/>
      <c r="G33" s="470"/>
      <c r="H33" s="474"/>
    </row>
    <row r="34" spans="1:8" x14ac:dyDescent="0.25">
      <c r="A34" s="1325"/>
      <c r="B34" s="1326"/>
      <c r="C34" s="1326"/>
      <c r="D34" s="1327"/>
      <c r="E34" s="472"/>
      <c r="F34" s="473"/>
      <c r="G34" s="470"/>
      <c r="H34" s="474"/>
    </row>
    <row r="35" spans="1:8" x14ac:dyDescent="0.25">
      <c r="A35" s="1328"/>
      <c r="B35" s="1329"/>
      <c r="C35" s="1329"/>
      <c r="D35" s="1306"/>
      <c r="E35" s="472"/>
      <c r="F35" s="473"/>
      <c r="G35" s="470"/>
      <c r="H35" s="474"/>
    </row>
    <row r="36" spans="1:8" ht="15.75" thickBot="1" x14ac:dyDescent="0.3">
      <c r="A36" s="1330"/>
      <c r="B36" s="1331"/>
      <c r="C36" s="1331"/>
      <c r="D36" s="1331"/>
      <c r="E36" s="476"/>
      <c r="F36" s="477"/>
      <c r="G36" s="478"/>
      <c r="H36" s="479"/>
    </row>
    <row r="37" spans="1:8" ht="16.5" thickTop="1" thickBot="1" x14ac:dyDescent="0.3">
      <c r="A37" s="480"/>
      <c r="B37" s="481"/>
      <c r="C37" s="481"/>
      <c r="D37" s="481"/>
      <c r="E37" s="482"/>
      <c r="F37" s="483"/>
      <c r="G37" s="488" t="s">
        <v>31</v>
      </c>
      <c r="H37" s="489">
        <f>ROUND(SUM(H24:H36),0)</f>
        <v>100</v>
      </c>
    </row>
    <row r="38" spans="1:8" ht="16.5" thickTop="1" thickBot="1" x14ac:dyDescent="0.3">
      <c r="A38" s="480"/>
      <c r="B38" s="481"/>
      <c r="C38" s="481"/>
      <c r="D38" s="481"/>
      <c r="E38" s="482"/>
      <c r="F38" s="483"/>
      <c r="G38" s="486"/>
      <c r="H38" s="487"/>
    </row>
    <row r="39" spans="1:8" ht="15.75" thickTop="1" x14ac:dyDescent="0.25">
      <c r="A39" s="1332" t="s">
        <v>1993</v>
      </c>
      <c r="B39" s="1333"/>
      <c r="C39" s="1334"/>
      <c r="D39" s="1315" t="s">
        <v>1994</v>
      </c>
      <c r="E39" s="1316"/>
      <c r="F39" s="490" t="s">
        <v>28</v>
      </c>
      <c r="G39" s="466" t="s">
        <v>1989</v>
      </c>
      <c r="H39" s="467" t="s">
        <v>1990</v>
      </c>
    </row>
    <row r="40" spans="1:8" x14ac:dyDescent="0.25">
      <c r="A40" s="1317" t="s">
        <v>80</v>
      </c>
      <c r="B40" s="1318"/>
      <c r="C40" s="1319"/>
      <c r="D40" s="1320">
        <v>0</v>
      </c>
      <c r="E40" s="1321"/>
      <c r="F40" s="475">
        <v>4</v>
      </c>
      <c r="G40" s="470">
        <f>+D40/F40</f>
        <v>0</v>
      </c>
      <c r="H40" s="474">
        <f>+G40</f>
        <v>0</v>
      </c>
    </row>
    <row r="41" spans="1:8" x14ac:dyDescent="0.25">
      <c r="A41" s="1317" t="s">
        <v>1995</v>
      </c>
      <c r="B41" s="1318"/>
      <c r="C41" s="1319"/>
      <c r="D41" s="1320">
        <v>0</v>
      </c>
      <c r="E41" s="1321"/>
      <c r="F41" s="475">
        <v>4</v>
      </c>
      <c r="G41" s="470">
        <f>+D41/F41</f>
        <v>0</v>
      </c>
      <c r="H41" s="474">
        <f>+G41</f>
        <v>0</v>
      </c>
    </row>
    <row r="42" spans="1:8" x14ac:dyDescent="0.25">
      <c r="A42" s="1322" t="s">
        <v>1996</v>
      </c>
      <c r="B42" s="1323"/>
      <c r="C42" s="1324"/>
      <c r="D42" s="1320">
        <v>0</v>
      </c>
      <c r="E42" s="1321"/>
      <c r="F42" s="475">
        <v>4</v>
      </c>
      <c r="G42" s="470">
        <f>+D42/F42</f>
        <v>0</v>
      </c>
      <c r="H42" s="474">
        <f>+G42</f>
        <v>0</v>
      </c>
    </row>
    <row r="43" spans="1:8" ht="15.75" thickBot="1" x14ac:dyDescent="0.3">
      <c r="A43" s="1311"/>
      <c r="B43" s="1312"/>
      <c r="C43" s="1310"/>
      <c r="D43" s="1309"/>
      <c r="E43" s="1310"/>
      <c r="F43" s="477"/>
      <c r="G43" s="478"/>
      <c r="H43" s="479"/>
    </row>
    <row r="44" spans="1:8" ht="16.5" thickTop="1" thickBot="1" x14ac:dyDescent="0.3">
      <c r="A44" s="480"/>
      <c r="B44" s="481"/>
      <c r="C44" s="481"/>
      <c r="D44" s="481"/>
      <c r="E44" s="482"/>
      <c r="F44" s="483"/>
      <c r="G44" s="484" t="s">
        <v>31</v>
      </c>
      <c r="H44" s="485">
        <f>SUM(H40:H43)</f>
        <v>0</v>
      </c>
    </row>
    <row r="45" spans="1:8" ht="16.5" thickTop="1" thickBot="1" x14ac:dyDescent="0.3">
      <c r="A45" s="480"/>
      <c r="B45" s="481"/>
      <c r="C45" s="481"/>
      <c r="D45" s="481"/>
      <c r="E45" s="482"/>
      <c r="F45" s="483"/>
      <c r="G45" s="486"/>
      <c r="H45" s="487"/>
    </row>
    <row r="46" spans="1:8" ht="15.75" thickTop="1" x14ac:dyDescent="0.25">
      <c r="A46" s="1313" t="s">
        <v>1997</v>
      </c>
      <c r="B46" s="1314"/>
      <c r="C46" s="491" t="s">
        <v>1998</v>
      </c>
      <c r="D46" s="1315" t="s">
        <v>1999</v>
      </c>
      <c r="E46" s="1316"/>
      <c r="F46" s="490" t="s">
        <v>2000</v>
      </c>
      <c r="G46" s="492" t="s">
        <v>2001</v>
      </c>
      <c r="H46" s="493" t="s">
        <v>2002</v>
      </c>
    </row>
    <row r="47" spans="1:8" x14ac:dyDescent="0.25">
      <c r="A47" s="1303" t="s">
        <v>2003</v>
      </c>
      <c r="B47" s="1304"/>
      <c r="C47" s="494">
        <v>0</v>
      </c>
      <c r="D47" s="1305">
        <f>C47*65%</f>
        <v>0</v>
      </c>
      <c r="E47" s="1306"/>
      <c r="F47" s="494">
        <f>C47+D47</f>
        <v>0</v>
      </c>
      <c r="G47" s="495">
        <v>4</v>
      </c>
      <c r="H47" s="496">
        <f>F47/4</f>
        <v>0</v>
      </c>
    </row>
    <row r="48" spans="1:8" x14ac:dyDescent="0.25">
      <c r="A48" s="1303" t="s">
        <v>2004</v>
      </c>
      <c r="B48" s="1304"/>
      <c r="C48" s="494">
        <v>0</v>
      </c>
      <c r="D48" s="1305">
        <f>C48*65%</f>
        <v>0</v>
      </c>
      <c r="E48" s="1306"/>
      <c r="F48" s="494">
        <f>C48+D48</f>
        <v>0</v>
      </c>
      <c r="G48" s="495">
        <v>4</v>
      </c>
      <c r="H48" s="496">
        <f>F48/4</f>
        <v>0</v>
      </c>
    </row>
    <row r="49" spans="1:8" x14ac:dyDescent="0.25">
      <c r="A49" s="1303" t="s">
        <v>2005</v>
      </c>
      <c r="B49" s="1304"/>
      <c r="C49" s="494">
        <v>0</v>
      </c>
      <c r="D49" s="1305">
        <f>C49*65%</f>
        <v>0</v>
      </c>
      <c r="E49" s="1306"/>
      <c r="F49" s="494">
        <f>C49+D49</f>
        <v>0</v>
      </c>
      <c r="G49" s="495">
        <v>4</v>
      </c>
      <c r="H49" s="496">
        <f>F49/4</f>
        <v>0</v>
      </c>
    </row>
    <row r="50" spans="1:8" ht="15.75" thickBot="1" x14ac:dyDescent="0.3">
      <c r="A50" s="1307" t="s">
        <v>2006</v>
      </c>
      <c r="B50" s="1308"/>
      <c r="C50" s="497">
        <v>0</v>
      </c>
      <c r="D50" s="1309"/>
      <c r="E50" s="1310"/>
      <c r="F50" s="478">
        <f>C50</f>
        <v>0</v>
      </c>
      <c r="G50" s="498">
        <v>4</v>
      </c>
      <c r="H50" s="496">
        <f>F50/4</f>
        <v>0</v>
      </c>
    </row>
    <row r="51" spans="1:8" ht="16.5" thickTop="1" thickBot="1" x14ac:dyDescent="0.3">
      <c r="A51" s="480"/>
      <c r="B51" s="481"/>
      <c r="C51" s="481"/>
      <c r="D51" s="481"/>
      <c r="E51" s="482"/>
      <c r="F51" s="483"/>
      <c r="G51" s="484" t="s">
        <v>31</v>
      </c>
      <c r="H51" s="485">
        <f>SUM(H47:H50)</f>
        <v>0</v>
      </c>
    </row>
    <row r="52" spans="1:8" ht="16.5" thickTop="1" thickBot="1" x14ac:dyDescent="0.3">
      <c r="A52" s="480"/>
      <c r="B52" s="481"/>
      <c r="C52" s="481"/>
      <c r="D52" s="481"/>
      <c r="E52" s="482"/>
      <c r="F52" s="482"/>
      <c r="G52" s="486"/>
      <c r="H52" s="487"/>
    </row>
    <row r="53" spans="1:8" ht="16.5" thickTop="1" thickBot="1" x14ac:dyDescent="0.3">
      <c r="A53" s="1300" t="s">
        <v>2007</v>
      </c>
      <c r="B53" s="1301"/>
      <c r="C53" s="1301"/>
      <c r="D53" s="1301"/>
      <c r="E53" s="1301"/>
      <c r="F53" s="1301"/>
      <c r="G53" s="1302"/>
      <c r="H53" s="499">
        <f>ROUND(H51+H44+H37+H21,0)</f>
        <v>59100</v>
      </c>
    </row>
    <row r="54" spans="1:8" ht="15.75" thickBot="1" x14ac:dyDescent="0.3"/>
    <row r="55" spans="1:8" ht="15.75" thickBot="1" x14ac:dyDescent="0.3">
      <c r="A55" s="1279"/>
      <c r="B55" s="1280"/>
      <c r="C55" s="1280"/>
      <c r="D55" s="1280"/>
      <c r="E55" s="1280"/>
      <c r="F55" s="1280"/>
      <c r="G55" s="1280"/>
      <c r="H55" s="1281"/>
    </row>
    <row r="56" spans="1:8" ht="15.75" thickTop="1" x14ac:dyDescent="0.25">
      <c r="A56" s="1282"/>
      <c r="B56" s="1283"/>
      <c r="C56" s="1283"/>
      <c r="D56" s="1283"/>
      <c r="E56" s="1283"/>
      <c r="F56" s="1283"/>
      <c r="G56" s="1283"/>
      <c r="H56" s="1284"/>
    </row>
    <row r="57" spans="1:8" x14ac:dyDescent="0.25">
      <c r="A57" s="1274"/>
      <c r="B57" s="1274"/>
      <c r="C57" s="1274"/>
      <c r="D57" s="1274"/>
      <c r="E57" s="1274"/>
      <c r="F57" s="1275" t="s">
        <v>78</v>
      </c>
      <c r="G57" s="1275"/>
      <c r="H57" s="1275"/>
    </row>
    <row r="58" spans="1:8" x14ac:dyDescent="0.25">
      <c r="A58" s="1274"/>
      <c r="B58" s="1274"/>
      <c r="C58" s="1274"/>
      <c r="D58" s="1274"/>
      <c r="E58" s="1274"/>
      <c r="F58" s="500"/>
      <c r="G58" s="1276"/>
      <c r="H58" s="1276"/>
    </row>
    <row r="59" spans="1:8" x14ac:dyDescent="0.25">
      <c r="A59" s="1274"/>
      <c r="B59" s="1274"/>
      <c r="C59" s="1274"/>
      <c r="D59" s="1274"/>
      <c r="E59" s="1274"/>
      <c r="F59" s="1291"/>
      <c r="G59" s="1278"/>
      <c r="H59" s="1278"/>
    </row>
    <row r="60" spans="1:8" x14ac:dyDescent="0.25">
      <c r="A60" s="1249"/>
      <c r="B60" s="1250"/>
      <c r="C60" s="1250"/>
      <c r="D60" s="1250"/>
      <c r="E60" s="1250"/>
      <c r="F60" s="1250"/>
      <c r="G60" s="1250"/>
      <c r="H60" s="1251"/>
    </row>
    <row r="61" spans="1:8" x14ac:dyDescent="0.25">
      <c r="A61" s="1264" t="s">
        <v>1988</v>
      </c>
      <c r="B61" s="1264"/>
      <c r="C61" s="1264"/>
      <c r="D61" s="1264"/>
      <c r="E61" s="501" t="s">
        <v>24</v>
      </c>
      <c r="F61" s="501" t="s">
        <v>34</v>
      </c>
      <c r="G61" s="502" t="s">
        <v>1989</v>
      </c>
      <c r="H61" s="502" t="s">
        <v>1990</v>
      </c>
    </row>
    <row r="62" spans="1:8" x14ac:dyDescent="0.25">
      <c r="A62" s="1263" t="s">
        <v>2008</v>
      </c>
      <c r="B62" s="1263"/>
      <c r="C62" s="1263"/>
      <c r="D62" s="1263"/>
      <c r="E62" s="503" t="s">
        <v>53</v>
      </c>
      <c r="F62" s="504">
        <v>12</v>
      </c>
      <c r="G62" s="505">
        <v>6500</v>
      </c>
      <c r="H62" s="506">
        <f>+G62*F62</f>
        <v>78000</v>
      </c>
    </row>
    <row r="63" spans="1:8" x14ac:dyDescent="0.25">
      <c r="A63" s="1263" t="s">
        <v>2009</v>
      </c>
      <c r="B63" s="1263"/>
      <c r="C63" s="1263"/>
      <c r="D63" s="1263"/>
      <c r="E63" s="503" t="s">
        <v>53</v>
      </c>
      <c r="F63" s="504">
        <v>18</v>
      </c>
      <c r="G63" s="505">
        <v>4500</v>
      </c>
      <c r="H63" s="506">
        <f t="shared" ref="H63:H81" si="0">+G63*F63</f>
        <v>81000</v>
      </c>
    </row>
    <row r="64" spans="1:8" x14ac:dyDescent="0.25">
      <c r="A64" s="1263" t="s">
        <v>2010</v>
      </c>
      <c r="B64" s="1263"/>
      <c r="C64" s="1263"/>
      <c r="D64" s="1263"/>
      <c r="E64" s="503" t="s">
        <v>53</v>
      </c>
      <c r="F64" s="504">
        <v>3</v>
      </c>
      <c r="G64" s="505">
        <v>4000</v>
      </c>
      <c r="H64" s="506">
        <f t="shared" si="0"/>
        <v>12000</v>
      </c>
    </row>
    <row r="65" spans="1:8" x14ac:dyDescent="0.25">
      <c r="A65" s="1263" t="s">
        <v>2011</v>
      </c>
      <c r="B65" s="1263"/>
      <c r="C65" s="1263"/>
      <c r="D65" s="1263"/>
      <c r="E65" s="503" t="s">
        <v>53</v>
      </c>
      <c r="F65" s="504">
        <v>2</v>
      </c>
      <c r="G65" s="505">
        <v>14500</v>
      </c>
      <c r="H65" s="506">
        <f t="shared" si="0"/>
        <v>29000</v>
      </c>
    </row>
    <row r="66" spans="1:8" x14ac:dyDescent="0.25">
      <c r="A66" s="1263" t="s">
        <v>2012</v>
      </c>
      <c r="B66" s="1263"/>
      <c r="C66" s="1263"/>
      <c r="D66" s="1263"/>
      <c r="E66" s="503" t="s">
        <v>53</v>
      </c>
      <c r="F66" s="504">
        <v>2</v>
      </c>
      <c r="G66" s="505">
        <v>24500</v>
      </c>
      <c r="H66" s="506">
        <f t="shared" si="0"/>
        <v>49000</v>
      </c>
    </row>
    <row r="67" spans="1:8" x14ac:dyDescent="0.25">
      <c r="A67" s="1263" t="s">
        <v>2013</v>
      </c>
      <c r="B67" s="1263"/>
      <c r="C67" s="1263"/>
      <c r="D67" s="1263"/>
      <c r="E67" s="503" t="s">
        <v>53</v>
      </c>
      <c r="F67" s="504">
        <v>9</v>
      </c>
      <c r="G67" s="505">
        <v>4000</v>
      </c>
      <c r="H67" s="506">
        <f t="shared" si="0"/>
        <v>36000</v>
      </c>
    </row>
    <row r="68" spans="1:8" x14ac:dyDescent="0.25">
      <c r="A68" s="1263" t="s">
        <v>2014</v>
      </c>
      <c r="B68" s="1263"/>
      <c r="C68" s="1263"/>
      <c r="D68" s="1263"/>
      <c r="E68" s="503" t="s">
        <v>53</v>
      </c>
      <c r="F68" s="504">
        <v>3</v>
      </c>
      <c r="G68" s="505">
        <v>18500</v>
      </c>
      <c r="H68" s="506">
        <f t="shared" si="0"/>
        <v>55500</v>
      </c>
    </row>
    <row r="69" spans="1:8" x14ac:dyDescent="0.25">
      <c r="A69" s="1263" t="s">
        <v>2015</v>
      </c>
      <c r="B69" s="1263"/>
      <c r="C69" s="1263"/>
      <c r="D69" s="1263"/>
      <c r="E69" s="503" t="s">
        <v>53</v>
      </c>
      <c r="F69" s="504">
        <v>3</v>
      </c>
      <c r="G69" s="505">
        <v>115000</v>
      </c>
      <c r="H69" s="506">
        <f t="shared" si="0"/>
        <v>345000</v>
      </c>
    </row>
    <row r="70" spans="1:8" x14ac:dyDescent="0.25">
      <c r="A70" s="1263" t="s">
        <v>2016</v>
      </c>
      <c r="B70" s="1263"/>
      <c r="C70" s="1263"/>
      <c r="D70" s="1263"/>
      <c r="E70" s="503" t="s">
        <v>53</v>
      </c>
      <c r="F70" s="504">
        <v>1</v>
      </c>
      <c r="G70" s="505">
        <v>104000</v>
      </c>
      <c r="H70" s="506">
        <f t="shared" si="0"/>
        <v>104000</v>
      </c>
    </row>
    <row r="71" spans="1:8" x14ac:dyDescent="0.25">
      <c r="A71" s="1263" t="s">
        <v>2017</v>
      </c>
      <c r="B71" s="1263"/>
      <c r="C71" s="1263"/>
      <c r="D71" s="1263"/>
      <c r="E71" s="503" t="s">
        <v>53</v>
      </c>
      <c r="F71" s="504">
        <v>1</v>
      </c>
      <c r="G71" s="505">
        <v>26500</v>
      </c>
      <c r="H71" s="506">
        <f t="shared" si="0"/>
        <v>26500</v>
      </c>
    </row>
    <row r="72" spans="1:8" x14ac:dyDescent="0.25">
      <c r="A72" s="1263" t="s">
        <v>2018</v>
      </c>
      <c r="B72" s="1263"/>
      <c r="C72" s="1263"/>
      <c r="D72" s="1263"/>
      <c r="E72" s="503" t="s">
        <v>53</v>
      </c>
      <c r="F72" s="504">
        <v>3</v>
      </c>
      <c r="G72" s="505">
        <v>5000</v>
      </c>
      <c r="H72" s="506">
        <f t="shared" si="0"/>
        <v>15000</v>
      </c>
    </row>
    <row r="73" spans="1:8" x14ac:dyDescent="0.25">
      <c r="A73" s="1263" t="s">
        <v>2019</v>
      </c>
      <c r="B73" s="1263"/>
      <c r="C73" s="1263"/>
      <c r="D73" s="1263"/>
      <c r="E73" s="503" t="s">
        <v>53</v>
      </c>
      <c r="F73" s="504">
        <v>1</v>
      </c>
      <c r="G73" s="505">
        <v>6500</v>
      </c>
      <c r="H73" s="506">
        <f t="shared" si="0"/>
        <v>6500</v>
      </c>
    </row>
    <row r="74" spans="1:8" x14ac:dyDescent="0.25">
      <c r="A74" s="1263" t="s">
        <v>2020</v>
      </c>
      <c r="B74" s="1263"/>
      <c r="C74" s="1263"/>
      <c r="D74" s="1263"/>
      <c r="E74" s="503" t="s">
        <v>53</v>
      </c>
      <c r="F74" s="504">
        <v>3</v>
      </c>
      <c r="G74" s="505">
        <v>1000</v>
      </c>
      <c r="H74" s="506">
        <f t="shared" si="0"/>
        <v>3000</v>
      </c>
    </row>
    <row r="75" spans="1:8" x14ac:dyDescent="0.25">
      <c r="A75" s="1263" t="s">
        <v>2021</v>
      </c>
      <c r="B75" s="1263"/>
      <c r="C75" s="1263"/>
      <c r="D75" s="1263"/>
      <c r="E75" s="503" t="s">
        <v>53</v>
      </c>
      <c r="F75" s="504">
        <v>12</v>
      </c>
      <c r="G75" s="505">
        <v>4000</v>
      </c>
      <c r="H75" s="506">
        <f t="shared" si="0"/>
        <v>48000</v>
      </c>
    </row>
    <row r="76" spans="1:8" x14ac:dyDescent="0.25">
      <c r="A76" s="1263" t="s">
        <v>2022</v>
      </c>
      <c r="B76" s="1263"/>
      <c r="C76" s="1263"/>
      <c r="D76" s="1263"/>
      <c r="E76" s="503" t="s">
        <v>53</v>
      </c>
      <c r="F76" s="504">
        <v>3</v>
      </c>
      <c r="G76" s="505">
        <v>98000</v>
      </c>
      <c r="H76" s="506">
        <f t="shared" si="0"/>
        <v>294000</v>
      </c>
    </row>
    <row r="77" spans="1:8" x14ac:dyDescent="0.25">
      <c r="A77" s="1263" t="s">
        <v>2023</v>
      </c>
      <c r="B77" s="1263"/>
      <c r="C77" s="1263"/>
      <c r="D77" s="1263"/>
      <c r="E77" s="503" t="s">
        <v>53</v>
      </c>
      <c r="F77" s="504">
        <v>6</v>
      </c>
      <c r="G77" s="505">
        <v>2100</v>
      </c>
      <c r="H77" s="506">
        <f t="shared" si="0"/>
        <v>12600</v>
      </c>
    </row>
    <row r="78" spans="1:8" x14ac:dyDescent="0.25">
      <c r="A78" s="1263" t="s">
        <v>2024</v>
      </c>
      <c r="B78" s="1263"/>
      <c r="C78" s="1263"/>
      <c r="D78" s="1263"/>
      <c r="E78" s="503" t="s">
        <v>53</v>
      </c>
      <c r="F78" s="504">
        <v>2</v>
      </c>
      <c r="G78" s="505">
        <v>3100</v>
      </c>
      <c r="H78" s="506">
        <f t="shared" si="0"/>
        <v>6200</v>
      </c>
    </row>
    <row r="79" spans="1:8" x14ac:dyDescent="0.25">
      <c r="A79" s="1263" t="s">
        <v>2025</v>
      </c>
      <c r="B79" s="1263"/>
      <c r="C79" s="1263"/>
      <c r="D79" s="1263"/>
      <c r="E79" s="503" t="s">
        <v>53</v>
      </c>
      <c r="F79" s="504">
        <v>1</v>
      </c>
      <c r="G79" s="505"/>
      <c r="H79" s="506">
        <f t="shared" si="0"/>
        <v>0</v>
      </c>
    </row>
    <row r="80" spans="1:8" x14ac:dyDescent="0.25">
      <c r="A80" s="1263" t="s">
        <v>2026</v>
      </c>
      <c r="B80" s="1263"/>
      <c r="C80" s="1263"/>
      <c r="D80" s="1263"/>
      <c r="E80" s="503" t="s">
        <v>53</v>
      </c>
      <c r="F80" s="504">
        <v>1</v>
      </c>
      <c r="G80" s="505">
        <v>38000</v>
      </c>
      <c r="H80" s="506">
        <f t="shared" si="0"/>
        <v>38000</v>
      </c>
    </row>
    <row r="81" spans="1:8" x14ac:dyDescent="0.25">
      <c r="A81" s="1263" t="s">
        <v>2027</v>
      </c>
      <c r="B81" s="1263"/>
      <c r="C81" s="1263"/>
      <c r="D81" s="1263"/>
      <c r="E81" s="503" t="s">
        <v>53</v>
      </c>
      <c r="F81" s="504">
        <v>1</v>
      </c>
      <c r="G81" s="505">
        <v>26500</v>
      </c>
      <c r="H81" s="506">
        <f t="shared" si="0"/>
        <v>26500</v>
      </c>
    </row>
    <row r="82" spans="1:8" x14ac:dyDescent="0.25">
      <c r="A82" s="1249"/>
      <c r="B82" s="1250"/>
      <c r="C82" s="1250"/>
      <c r="D82" s="1250"/>
      <c r="E82" s="1250"/>
      <c r="F82" s="1251"/>
      <c r="G82" s="507" t="s">
        <v>31</v>
      </c>
      <c r="H82" s="507">
        <f>ROUND(SUM(H62:H81),0)</f>
        <v>1265800</v>
      </c>
    </row>
    <row r="83" spans="1:8" x14ac:dyDescent="0.25">
      <c r="A83" s="1249"/>
      <c r="B83" s="1250"/>
      <c r="C83" s="1250"/>
      <c r="D83" s="1250"/>
      <c r="E83" s="1250"/>
      <c r="F83" s="1250"/>
      <c r="G83" s="1250"/>
      <c r="H83" s="1251"/>
    </row>
    <row r="84" spans="1:8" x14ac:dyDescent="0.25">
      <c r="A84" s="1264" t="s">
        <v>1991</v>
      </c>
      <c r="B84" s="1264"/>
      <c r="C84" s="1264"/>
      <c r="D84" s="1264"/>
      <c r="E84" s="501" t="s">
        <v>1992</v>
      </c>
      <c r="F84" s="501" t="s">
        <v>34</v>
      </c>
      <c r="G84" s="502" t="s">
        <v>1989</v>
      </c>
      <c r="H84" s="502" t="s">
        <v>1990</v>
      </c>
    </row>
    <row r="85" spans="1:8" x14ac:dyDescent="0.25">
      <c r="A85" s="1265" t="s">
        <v>2028</v>
      </c>
      <c r="B85" s="1266"/>
      <c r="C85" s="1266"/>
      <c r="D85" s="1267"/>
      <c r="E85" s="503">
        <v>45</v>
      </c>
      <c r="F85" s="508">
        <v>1</v>
      </c>
      <c r="G85" s="506">
        <v>400</v>
      </c>
      <c r="H85" s="506">
        <f>E85*G85</f>
        <v>18000</v>
      </c>
    </row>
    <row r="86" spans="1:8" x14ac:dyDescent="0.25">
      <c r="A86" s="1285"/>
      <c r="B86" s="1286"/>
      <c r="C86" s="1286"/>
      <c r="D86" s="1287"/>
      <c r="E86" s="508"/>
      <c r="F86" s="508"/>
      <c r="G86" s="506"/>
      <c r="H86" s="506"/>
    </row>
    <row r="87" spans="1:8" x14ac:dyDescent="0.25">
      <c r="A87" s="1285"/>
      <c r="B87" s="1286"/>
      <c r="C87" s="1286"/>
      <c r="D87" s="1287"/>
      <c r="E87" s="508"/>
      <c r="F87" s="508"/>
      <c r="G87" s="506"/>
      <c r="H87" s="506"/>
    </row>
    <row r="88" spans="1:8" x14ac:dyDescent="0.25">
      <c r="A88" s="1285"/>
      <c r="B88" s="1286"/>
      <c r="C88" s="1286"/>
      <c r="D88" s="1287"/>
      <c r="E88" s="508"/>
      <c r="F88" s="508"/>
      <c r="G88" s="506"/>
      <c r="H88" s="506"/>
    </row>
    <row r="89" spans="1:8" x14ac:dyDescent="0.25">
      <c r="A89" s="1285"/>
      <c r="B89" s="1286"/>
      <c r="C89" s="1286"/>
      <c r="D89" s="1287"/>
      <c r="E89" s="508"/>
      <c r="F89" s="508"/>
      <c r="G89" s="506"/>
      <c r="H89" s="506"/>
    </row>
    <row r="90" spans="1:8" x14ac:dyDescent="0.25">
      <c r="A90" s="1285"/>
      <c r="B90" s="1286"/>
      <c r="C90" s="1286"/>
      <c r="D90" s="1287"/>
      <c r="E90" s="508"/>
      <c r="F90" s="508"/>
      <c r="G90" s="506"/>
      <c r="H90" s="506"/>
    </row>
    <row r="91" spans="1:8" x14ac:dyDescent="0.25">
      <c r="A91" s="509"/>
      <c r="B91" s="510"/>
      <c r="C91" s="510"/>
      <c r="D91" s="511"/>
      <c r="E91" s="508"/>
      <c r="F91" s="508"/>
      <c r="G91" s="506"/>
      <c r="H91" s="506"/>
    </row>
    <row r="92" spans="1:8" x14ac:dyDescent="0.25">
      <c r="A92" s="509"/>
      <c r="B92" s="510"/>
      <c r="C92" s="510"/>
      <c r="D92" s="511"/>
      <c r="E92" s="508"/>
      <c r="F92" s="508"/>
      <c r="G92" s="506"/>
      <c r="H92" s="506"/>
    </row>
    <row r="93" spans="1:8" x14ac:dyDescent="0.25">
      <c r="A93" s="509"/>
      <c r="B93" s="510"/>
      <c r="C93" s="510"/>
      <c r="D93" s="511"/>
      <c r="E93" s="508"/>
      <c r="F93" s="508"/>
      <c r="G93" s="506"/>
      <c r="H93" s="506"/>
    </row>
    <row r="94" spans="1:8" x14ac:dyDescent="0.25">
      <c r="A94" s="509"/>
      <c r="B94" s="510"/>
      <c r="C94" s="510"/>
      <c r="D94" s="511"/>
      <c r="E94" s="508"/>
      <c r="F94" s="508"/>
      <c r="G94" s="506"/>
      <c r="H94" s="506"/>
    </row>
    <row r="95" spans="1:8" x14ac:dyDescent="0.25">
      <c r="A95" s="509"/>
      <c r="B95" s="510"/>
      <c r="C95" s="510"/>
      <c r="D95" s="511"/>
      <c r="E95" s="508"/>
      <c r="F95" s="508"/>
      <c r="G95" s="506"/>
      <c r="H95" s="506"/>
    </row>
    <row r="96" spans="1:8" x14ac:dyDescent="0.25">
      <c r="A96" s="509"/>
      <c r="B96" s="510"/>
      <c r="C96" s="510"/>
      <c r="D96" s="511"/>
      <c r="E96" s="508"/>
      <c r="F96" s="508"/>
      <c r="G96" s="506"/>
      <c r="H96" s="506"/>
    </row>
    <row r="97" spans="1:8" x14ac:dyDescent="0.25">
      <c r="A97" s="509"/>
      <c r="B97" s="510"/>
      <c r="C97" s="510"/>
      <c r="D97" s="511"/>
      <c r="E97" s="508"/>
      <c r="F97" s="508"/>
      <c r="G97" s="506"/>
      <c r="H97" s="506"/>
    </row>
    <row r="98" spans="1:8" x14ac:dyDescent="0.25">
      <c r="A98" s="509"/>
      <c r="B98" s="510"/>
      <c r="C98" s="510"/>
      <c r="D98" s="511"/>
      <c r="E98" s="508"/>
      <c r="F98" s="508"/>
      <c r="G98" s="506"/>
      <c r="H98" s="506"/>
    </row>
    <row r="99" spans="1:8" x14ac:dyDescent="0.25">
      <c r="A99" s="509"/>
      <c r="B99" s="510"/>
      <c r="C99" s="510"/>
      <c r="D99" s="511"/>
      <c r="E99" s="508"/>
      <c r="F99" s="508"/>
      <c r="G99" s="506"/>
      <c r="H99" s="506"/>
    </row>
    <row r="100" spans="1:8" x14ac:dyDescent="0.25">
      <c r="A100" s="509"/>
      <c r="B100" s="510"/>
      <c r="C100" s="510"/>
      <c r="D100" s="511"/>
      <c r="E100" s="508"/>
      <c r="F100" s="508"/>
      <c r="G100" s="506"/>
      <c r="H100" s="506"/>
    </row>
    <row r="101" spans="1:8" x14ac:dyDescent="0.25">
      <c r="A101" s="509"/>
      <c r="B101" s="510"/>
      <c r="C101" s="510"/>
      <c r="D101" s="511"/>
      <c r="E101" s="508"/>
      <c r="F101" s="508"/>
      <c r="G101" s="506"/>
      <c r="H101" s="506"/>
    </row>
    <row r="102" spans="1:8" x14ac:dyDescent="0.25">
      <c r="A102" s="509"/>
      <c r="B102" s="510"/>
      <c r="C102" s="510"/>
      <c r="D102" s="511"/>
      <c r="E102" s="508"/>
      <c r="F102" s="508"/>
      <c r="G102" s="506"/>
      <c r="H102" s="506"/>
    </row>
    <row r="103" spans="1:8" x14ac:dyDescent="0.25">
      <c r="A103" s="509"/>
      <c r="B103" s="510"/>
      <c r="C103" s="510"/>
      <c r="D103" s="511"/>
      <c r="E103" s="508"/>
      <c r="F103" s="508"/>
      <c r="G103" s="506"/>
      <c r="H103" s="506"/>
    </row>
    <row r="104" spans="1:8" x14ac:dyDescent="0.25">
      <c r="A104" s="509"/>
      <c r="B104" s="510"/>
      <c r="C104" s="510"/>
      <c r="D104" s="511"/>
      <c r="E104" s="508"/>
      <c r="F104" s="508"/>
      <c r="G104" s="506"/>
      <c r="H104" s="506"/>
    </row>
    <row r="105" spans="1:8" x14ac:dyDescent="0.25">
      <c r="A105" s="1249"/>
      <c r="B105" s="1250"/>
      <c r="C105" s="1250"/>
      <c r="D105" s="1250"/>
      <c r="E105" s="1250"/>
      <c r="F105" s="1251"/>
      <c r="G105" s="507" t="s">
        <v>31</v>
      </c>
      <c r="H105" s="507">
        <f>ROUND(SUM(H85:H104),0)</f>
        <v>18000</v>
      </c>
    </row>
    <row r="106" spans="1:8" x14ac:dyDescent="0.25">
      <c r="A106" s="512"/>
      <c r="B106" s="513"/>
      <c r="C106" s="513"/>
      <c r="D106" s="513"/>
      <c r="E106" s="513"/>
      <c r="F106" s="513"/>
      <c r="G106" s="513"/>
      <c r="H106" s="514"/>
    </row>
    <row r="107" spans="1:8" x14ac:dyDescent="0.25">
      <c r="A107" s="1260" t="s">
        <v>1993</v>
      </c>
      <c r="B107" s="1260"/>
      <c r="C107" s="1260"/>
      <c r="D107" s="1259" t="s">
        <v>1994</v>
      </c>
      <c r="E107" s="1259"/>
      <c r="F107" s="515" t="s">
        <v>28</v>
      </c>
      <c r="G107" s="502" t="s">
        <v>1989</v>
      </c>
      <c r="H107" s="502" t="s">
        <v>1990</v>
      </c>
    </row>
    <row r="108" spans="1:8" x14ac:dyDescent="0.25">
      <c r="A108" s="1256" t="s">
        <v>1996</v>
      </c>
      <c r="B108" s="1256"/>
      <c r="C108" s="1256"/>
      <c r="D108" s="1261">
        <v>15000</v>
      </c>
      <c r="E108" s="1261"/>
      <c r="F108" s="503">
        <v>2</v>
      </c>
      <c r="G108" s="506">
        <f>+D108/F108</f>
        <v>7500</v>
      </c>
      <c r="H108" s="506">
        <f>+G108</f>
        <v>7500</v>
      </c>
    </row>
    <row r="109" spans="1:8" x14ac:dyDescent="0.25">
      <c r="A109" s="1262"/>
      <c r="B109" s="1262"/>
      <c r="C109" s="1262"/>
      <c r="D109" s="1261"/>
      <c r="E109" s="1261"/>
      <c r="F109" s="503"/>
      <c r="G109" s="506"/>
      <c r="H109" s="506">
        <f>+G109</f>
        <v>0</v>
      </c>
    </row>
    <row r="110" spans="1:8" x14ac:dyDescent="0.25">
      <c r="A110" s="1256"/>
      <c r="B110" s="1256"/>
      <c r="C110" s="1256"/>
      <c r="D110" s="1261"/>
      <c r="E110" s="1261"/>
      <c r="F110" s="503"/>
      <c r="G110" s="506"/>
      <c r="H110" s="506">
        <f>+G110</f>
        <v>0</v>
      </c>
    </row>
    <row r="111" spans="1:8" x14ac:dyDescent="0.25">
      <c r="A111" s="1257"/>
      <c r="B111" s="1257"/>
      <c r="C111" s="1257"/>
      <c r="D111" s="1257"/>
      <c r="E111" s="1257"/>
      <c r="F111" s="503"/>
      <c r="G111" s="506"/>
      <c r="H111" s="506"/>
    </row>
    <row r="112" spans="1:8" x14ac:dyDescent="0.25">
      <c r="A112" s="1249"/>
      <c r="B112" s="1250"/>
      <c r="C112" s="1250"/>
      <c r="D112" s="1250"/>
      <c r="E112" s="1250"/>
      <c r="F112" s="1251"/>
      <c r="G112" s="507" t="s">
        <v>31</v>
      </c>
      <c r="H112" s="507">
        <f>SUM(H108:H111)</f>
        <v>7500</v>
      </c>
    </row>
    <row r="113" spans="1:8" x14ac:dyDescent="0.25">
      <c r="A113" s="1249"/>
      <c r="B113" s="1250"/>
      <c r="C113" s="1250"/>
      <c r="D113" s="1250"/>
      <c r="E113" s="1250"/>
      <c r="F113" s="1250"/>
      <c r="G113" s="1250"/>
      <c r="H113" s="1251"/>
    </row>
    <row r="114" spans="1:8" x14ac:dyDescent="0.25">
      <c r="A114" s="1258" t="s">
        <v>1997</v>
      </c>
      <c r="B114" s="1258"/>
      <c r="C114" s="516" t="s">
        <v>1998</v>
      </c>
      <c r="D114" s="1259" t="s">
        <v>1999</v>
      </c>
      <c r="E114" s="1259"/>
      <c r="F114" s="515" t="s">
        <v>2000</v>
      </c>
      <c r="G114" s="517" t="s">
        <v>2001</v>
      </c>
      <c r="H114" s="517" t="s">
        <v>2002</v>
      </c>
    </row>
    <row r="115" spans="1:8" x14ac:dyDescent="0.25">
      <c r="A115" s="1253" t="s">
        <v>2003</v>
      </c>
      <c r="B115" s="1253"/>
      <c r="C115" s="518">
        <v>150000</v>
      </c>
      <c r="D115" s="1254">
        <f>C115*65%</f>
        <v>97500</v>
      </c>
      <c r="E115" s="1255"/>
      <c r="F115" s="518">
        <f>C115+D115</f>
        <v>247500</v>
      </c>
      <c r="G115" s="519">
        <v>2</v>
      </c>
      <c r="H115" s="518">
        <f>F115/G115</f>
        <v>123750</v>
      </c>
    </row>
    <row r="116" spans="1:8" x14ac:dyDescent="0.25">
      <c r="A116" s="1253" t="s">
        <v>2004</v>
      </c>
      <c r="B116" s="1253"/>
      <c r="C116" s="518">
        <v>70000</v>
      </c>
      <c r="D116" s="1254">
        <f>C116*65%</f>
        <v>45500</v>
      </c>
      <c r="E116" s="1255"/>
      <c r="F116" s="518">
        <f>C116+D116</f>
        <v>115500</v>
      </c>
      <c r="G116" s="519">
        <v>2</v>
      </c>
      <c r="H116" s="518">
        <f>F116/G116</f>
        <v>57750</v>
      </c>
    </row>
    <row r="117" spans="1:8" x14ac:dyDescent="0.25">
      <c r="A117" s="1253" t="s">
        <v>2005</v>
      </c>
      <c r="B117" s="1253"/>
      <c r="C117" s="518">
        <v>45000</v>
      </c>
      <c r="D117" s="1254">
        <f>C117*65%</f>
        <v>29250</v>
      </c>
      <c r="E117" s="1255"/>
      <c r="F117" s="518">
        <f>C117+D117</f>
        <v>74250</v>
      </c>
      <c r="G117" s="519">
        <v>2</v>
      </c>
      <c r="H117" s="518">
        <f>F117/G117</f>
        <v>37125</v>
      </c>
    </row>
    <row r="118" spans="1:8" x14ac:dyDescent="0.25">
      <c r="A118" s="1256" t="s">
        <v>2006</v>
      </c>
      <c r="B118" s="1256"/>
      <c r="C118" s="520">
        <v>120000</v>
      </c>
      <c r="D118" s="1257"/>
      <c r="E118" s="1257"/>
      <c r="F118" s="506">
        <f>C118</f>
        <v>120000</v>
      </c>
      <c r="G118" s="521">
        <v>2</v>
      </c>
      <c r="H118" s="518">
        <f>F118/G118</f>
        <v>60000</v>
      </c>
    </row>
    <row r="119" spans="1:8" x14ac:dyDescent="0.25">
      <c r="A119" s="1249"/>
      <c r="B119" s="1250"/>
      <c r="C119" s="1250"/>
      <c r="D119" s="1250"/>
      <c r="E119" s="1250"/>
      <c r="F119" s="1251"/>
      <c r="G119" s="507" t="s">
        <v>31</v>
      </c>
      <c r="H119" s="507">
        <f>SUM(H115:H118)</f>
        <v>278625</v>
      </c>
    </row>
    <row r="120" spans="1:8" ht="15.75" thickBot="1" x14ac:dyDescent="0.3">
      <c r="A120" s="1249"/>
      <c r="B120" s="1250"/>
      <c r="C120" s="1250"/>
      <c r="D120" s="1250"/>
      <c r="E120" s="1250"/>
      <c r="F120" s="1250"/>
      <c r="G120" s="1250"/>
      <c r="H120" s="1251"/>
    </row>
    <row r="121" spans="1:8" ht="16.5" thickTop="1" thickBot="1" x14ac:dyDescent="0.3">
      <c r="A121" s="1252" t="s">
        <v>2007</v>
      </c>
      <c r="B121" s="1252"/>
      <c r="C121" s="1252"/>
      <c r="D121" s="1252"/>
      <c r="E121" s="1252"/>
      <c r="F121" s="1252"/>
      <c r="G121" s="1252"/>
      <c r="H121" s="499">
        <f>ROUND(H119+H112+H105+H82,0)</f>
        <v>1569925</v>
      </c>
    </row>
    <row r="122" spans="1:8" ht="15.75" thickBot="1" x14ac:dyDescent="0.3"/>
    <row r="123" spans="1:8" ht="15.75" thickBot="1" x14ac:dyDescent="0.3">
      <c r="A123" s="1279"/>
      <c r="B123" s="1280"/>
      <c r="C123" s="1280"/>
      <c r="D123" s="1280"/>
      <c r="E123" s="1280"/>
      <c r="F123" s="1280"/>
      <c r="G123" s="1280"/>
      <c r="H123" s="1281"/>
    </row>
    <row r="124" spans="1:8" ht="15.75" thickTop="1" x14ac:dyDescent="0.25">
      <c r="A124" s="1282"/>
      <c r="B124" s="1283"/>
      <c r="C124" s="1283"/>
      <c r="D124" s="1283"/>
      <c r="E124" s="1283"/>
      <c r="F124" s="1283"/>
      <c r="G124" s="1283"/>
      <c r="H124" s="1284"/>
    </row>
    <row r="125" spans="1:8" x14ac:dyDescent="0.25">
      <c r="A125" s="1274"/>
      <c r="B125" s="1274"/>
      <c r="C125" s="1274"/>
      <c r="D125" s="1274"/>
      <c r="E125" s="1274"/>
      <c r="F125" s="1275"/>
      <c r="G125" s="1275"/>
      <c r="H125" s="1275"/>
    </row>
    <row r="126" spans="1:8" x14ac:dyDescent="0.25">
      <c r="A126" s="1274"/>
      <c r="B126" s="1274"/>
      <c r="C126" s="1274"/>
      <c r="D126" s="1274"/>
      <c r="E126" s="1274"/>
      <c r="F126" s="500"/>
      <c r="G126" s="1276"/>
      <c r="H126" s="1276"/>
    </row>
    <row r="127" spans="1:8" x14ac:dyDescent="0.25">
      <c r="A127" s="1274"/>
      <c r="B127" s="1274"/>
      <c r="C127" s="1274"/>
      <c r="D127" s="1274"/>
      <c r="E127" s="1274"/>
      <c r="F127" s="1291"/>
      <c r="G127" s="1278"/>
      <c r="H127" s="1278"/>
    </row>
    <row r="128" spans="1:8" x14ac:dyDescent="0.25">
      <c r="A128" s="1249"/>
      <c r="B128" s="1250"/>
      <c r="C128" s="1250"/>
      <c r="D128" s="1250"/>
      <c r="E128" s="1250"/>
      <c r="F128" s="1250"/>
      <c r="G128" s="1250"/>
      <c r="H128" s="1251"/>
    </row>
    <row r="129" spans="1:8" x14ac:dyDescent="0.25">
      <c r="A129" s="1264" t="s">
        <v>1988</v>
      </c>
      <c r="B129" s="1264"/>
      <c r="C129" s="1264"/>
      <c r="D129" s="1264"/>
      <c r="E129" s="501" t="s">
        <v>24</v>
      </c>
      <c r="F129" s="501" t="s">
        <v>34</v>
      </c>
      <c r="G129" s="502" t="s">
        <v>1989</v>
      </c>
      <c r="H129" s="502" t="s">
        <v>1990</v>
      </c>
    </row>
    <row r="130" spans="1:8" x14ac:dyDescent="0.25">
      <c r="A130" s="1271" t="s">
        <v>2029</v>
      </c>
      <c r="B130" s="1272"/>
      <c r="C130" s="1272"/>
      <c r="D130" s="1273"/>
      <c r="E130" s="503" t="s">
        <v>53</v>
      </c>
      <c r="F130" s="522"/>
      <c r="G130" s="505">
        <v>26500</v>
      </c>
      <c r="H130" s="506">
        <f>+G130*F130</f>
        <v>0</v>
      </c>
    </row>
    <row r="131" spans="1:8" x14ac:dyDescent="0.25">
      <c r="A131" s="1271" t="s">
        <v>2030</v>
      </c>
      <c r="B131" s="1272"/>
      <c r="C131" s="1272"/>
      <c r="D131" s="1273"/>
      <c r="E131" s="503" t="s">
        <v>53</v>
      </c>
      <c r="F131" s="522"/>
      <c r="G131" s="505">
        <v>14500</v>
      </c>
      <c r="H131" s="506">
        <f t="shared" ref="H131:H149" si="1">+G131*F131</f>
        <v>0</v>
      </c>
    </row>
    <row r="132" spans="1:8" x14ac:dyDescent="0.25">
      <c r="A132" s="1271" t="s">
        <v>2031</v>
      </c>
      <c r="B132" s="1272"/>
      <c r="C132" s="1272"/>
      <c r="D132" s="1273"/>
      <c r="E132" s="503" t="s">
        <v>53</v>
      </c>
      <c r="F132" s="522"/>
      <c r="G132" s="505">
        <v>67000</v>
      </c>
      <c r="H132" s="506">
        <f t="shared" si="1"/>
        <v>0</v>
      </c>
    </row>
    <row r="133" spans="1:8" x14ac:dyDescent="0.25">
      <c r="A133" s="1271" t="s">
        <v>2032</v>
      </c>
      <c r="B133" s="1272"/>
      <c r="C133" s="1272"/>
      <c r="D133" s="1273"/>
      <c r="E133" s="503" t="s">
        <v>53</v>
      </c>
      <c r="F133" s="522"/>
      <c r="G133" s="505">
        <v>22000</v>
      </c>
      <c r="H133" s="506">
        <f t="shared" si="1"/>
        <v>0</v>
      </c>
    </row>
    <row r="134" spans="1:8" x14ac:dyDescent="0.25">
      <c r="A134" s="1271" t="s">
        <v>2033</v>
      </c>
      <c r="B134" s="1272"/>
      <c r="C134" s="1272"/>
      <c r="D134" s="1273"/>
      <c r="E134" s="503" t="s">
        <v>53</v>
      </c>
      <c r="F134" s="522"/>
      <c r="G134" s="505">
        <v>8500</v>
      </c>
      <c r="H134" s="506">
        <f t="shared" si="1"/>
        <v>0</v>
      </c>
    </row>
    <row r="135" spans="1:8" x14ac:dyDescent="0.25">
      <c r="A135" s="1271" t="s">
        <v>2034</v>
      </c>
      <c r="B135" s="1272"/>
      <c r="C135" s="1272"/>
      <c r="D135" s="1273"/>
      <c r="E135" s="503" t="s">
        <v>53</v>
      </c>
      <c r="F135" s="522"/>
      <c r="G135" s="505">
        <v>6500</v>
      </c>
      <c r="H135" s="506">
        <f t="shared" si="1"/>
        <v>0</v>
      </c>
    </row>
    <row r="136" spans="1:8" x14ac:dyDescent="0.25">
      <c r="A136" s="1271" t="s">
        <v>2035</v>
      </c>
      <c r="B136" s="1272"/>
      <c r="C136" s="1272"/>
      <c r="D136" s="1273"/>
      <c r="E136" s="503" t="s">
        <v>53</v>
      </c>
      <c r="F136" s="522"/>
      <c r="G136" s="505">
        <v>18500</v>
      </c>
      <c r="H136" s="506">
        <f t="shared" si="1"/>
        <v>0</v>
      </c>
    </row>
    <row r="137" spans="1:8" x14ac:dyDescent="0.25">
      <c r="A137" s="1271" t="s">
        <v>2036</v>
      </c>
      <c r="B137" s="1272"/>
      <c r="C137" s="1272"/>
      <c r="D137" s="1273"/>
      <c r="E137" s="503" t="s">
        <v>53</v>
      </c>
      <c r="F137" s="522"/>
      <c r="G137" s="505">
        <v>24500</v>
      </c>
      <c r="H137" s="506">
        <f t="shared" si="1"/>
        <v>0</v>
      </c>
    </row>
    <row r="138" spans="1:8" x14ac:dyDescent="0.25">
      <c r="A138" s="1271" t="s">
        <v>2037</v>
      </c>
      <c r="B138" s="1272"/>
      <c r="C138" s="1272"/>
      <c r="D138" s="1273"/>
      <c r="E138" s="503" t="s">
        <v>53</v>
      </c>
      <c r="F138" s="522"/>
      <c r="G138" s="505"/>
      <c r="H138" s="506">
        <f t="shared" si="1"/>
        <v>0</v>
      </c>
    </row>
    <row r="139" spans="1:8" x14ac:dyDescent="0.25">
      <c r="A139" s="1271" t="s">
        <v>2038</v>
      </c>
      <c r="B139" s="1272"/>
      <c r="C139" s="1272"/>
      <c r="D139" s="1273"/>
      <c r="E139" s="503" t="s">
        <v>53</v>
      </c>
      <c r="F139" s="522"/>
      <c r="G139" s="505">
        <v>3100</v>
      </c>
      <c r="H139" s="506">
        <f t="shared" si="1"/>
        <v>0</v>
      </c>
    </row>
    <row r="140" spans="1:8" x14ac:dyDescent="0.25">
      <c r="A140" s="1271" t="s">
        <v>2039</v>
      </c>
      <c r="B140" s="1272"/>
      <c r="C140" s="1272"/>
      <c r="D140" s="1273"/>
      <c r="E140" s="503" t="s">
        <v>53</v>
      </c>
      <c r="F140" s="522"/>
      <c r="G140" s="505">
        <v>8500</v>
      </c>
      <c r="H140" s="506">
        <f t="shared" si="1"/>
        <v>0</v>
      </c>
    </row>
    <row r="141" spans="1:8" x14ac:dyDescent="0.25">
      <c r="A141" s="1271"/>
      <c r="B141" s="1272"/>
      <c r="C141" s="1272"/>
      <c r="D141" s="1273"/>
      <c r="E141" s="503" t="s">
        <v>53</v>
      </c>
      <c r="F141" s="522"/>
      <c r="G141" s="505"/>
      <c r="H141" s="506">
        <f t="shared" si="1"/>
        <v>0</v>
      </c>
    </row>
    <row r="142" spans="1:8" x14ac:dyDescent="0.25">
      <c r="A142" s="1263"/>
      <c r="B142" s="1263"/>
      <c r="C142" s="1263"/>
      <c r="D142" s="1263"/>
      <c r="E142" s="503" t="s">
        <v>53</v>
      </c>
      <c r="F142" s="504"/>
      <c r="G142" s="505"/>
      <c r="H142" s="506">
        <f t="shared" si="1"/>
        <v>0</v>
      </c>
    </row>
    <row r="143" spans="1:8" x14ac:dyDescent="0.25">
      <c r="A143" s="1263"/>
      <c r="B143" s="1263"/>
      <c r="C143" s="1263"/>
      <c r="D143" s="1263"/>
      <c r="E143" s="503" t="s">
        <v>53</v>
      </c>
      <c r="F143" s="504"/>
      <c r="G143" s="505"/>
      <c r="H143" s="506">
        <f t="shared" si="1"/>
        <v>0</v>
      </c>
    </row>
    <row r="144" spans="1:8" x14ac:dyDescent="0.25">
      <c r="A144" s="1263"/>
      <c r="B144" s="1263"/>
      <c r="C144" s="1263"/>
      <c r="D144" s="1263"/>
      <c r="E144" s="503" t="s">
        <v>53</v>
      </c>
      <c r="F144" s="504"/>
      <c r="G144" s="505"/>
      <c r="H144" s="506">
        <f t="shared" si="1"/>
        <v>0</v>
      </c>
    </row>
    <row r="145" spans="1:8" x14ac:dyDescent="0.25">
      <c r="A145" s="1263"/>
      <c r="B145" s="1263"/>
      <c r="C145" s="1263"/>
      <c r="D145" s="1263"/>
      <c r="E145" s="503" t="s">
        <v>53</v>
      </c>
      <c r="F145" s="504"/>
      <c r="G145" s="505"/>
      <c r="H145" s="506">
        <f t="shared" si="1"/>
        <v>0</v>
      </c>
    </row>
    <row r="146" spans="1:8" x14ac:dyDescent="0.25">
      <c r="A146" s="1263"/>
      <c r="B146" s="1263"/>
      <c r="C146" s="1263"/>
      <c r="D146" s="1263"/>
      <c r="E146" s="503" t="s">
        <v>53</v>
      </c>
      <c r="F146" s="504"/>
      <c r="G146" s="505"/>
      <c r="H146" s="506">
        <f t="shared" si="1"/>
        <v>0</v>
      </c>
    </row>
    <row r="147" spans="1:8" x14ac:dyDescent="0.25">
      <c r="A147" s="1263"/>
      <c r="B147" s="1263"/>
      <c r="C147" s="1263"/>
      <c r="D147" s="1263"/>
      <c r="E147" s="503" t="s">
        <v>53</v>
      </c>
      <c r="F147" s="504"/>
      <c r="G147" s="505"/>
      <c r="H147" s="506">
        <f t="shared" si="1"/>
        <v>0</v>
      </c>
    </row>
    <row r="148" spans="1:8" x14ac:dyDescent="0.25">
      <c r="A148" s="1263"/>
      <c r="B148" s="1263"/>
      <c r="C148" s="1263"/>
      <c r="D148" s="1263"/>
      <c r="E148" s="503" t="s">
        <v>53</v>
      </c>
      <c r="F148" s="504"/>
      <c r="G148" s="505"/>
      <c r="H148" s="506">
        <f t="shared" si="1"/>
        <v>0</v>
      </c>
    </row>
    <row r="149" spans="1:8" x14ac:dyDescent="0.25">
      <c r="A149" s="1263"/>
      <c r="B149" s="1263"/>
      <c r="C149" s="1263"/>
      <c r="D149" s="1263"/>
      <c r="E149" s="503" t="s">
        <v>53</v>
      </c>
      <c r="F149" s="504"/>
      <c r="G149" s="505"/>
      <c r="H149" s="506">
        <f t="shared" si="1"/>
        <v>0</v>
      </c>
    </row>
    <row r="150" spans="1:8" x14ac:dyDescent="0.25">
      <c r="A150" s="1249"/>
      <c r="B150" s="1250"/>
      <c r="C150" s="1250"/>
      <c r="D150" s="1250"/>
      <c r="E150" s="1250"/>
      <c r="F150" s="1251"/>
      <c r="G150" s="507" t="s">
        <v>31</v>
      </c>
      <c r="H150" s="507">
        <f>ROUND(SUM(H130:H149),0)</f>
        <v>0</v>
      </c>
    </row>
    <row r="151" spans="1:8" x14ac:dyDescent="0.25">
      <c r="A151" s="1249"/>
      <c r="B151" s="1250"/>
      <c r="C151" s="1250"/>
      <c r="D151" s="1250"/>
      <c r="E151" s="1250"/>
      <c r="F151" s="1250"/>
      <c r="G151" s="1250"/>
      <c r="H151" s="1251"/>
    </row>
    <row r="152" spans="1:8" x14ac:dyDescent="0.25">
      <c r="A152" s="1264" t="s">
        <v>1991</v>
      </c>
      <c r="B152" s="1264"/>
      <c r="C152" s="1264"/>
      <c r="D152" s="1264"/>
      <c r="E152" s="501" t="s">
        <v>1992</v>
      </c>
      <c r="F152" s="501" t="s">
        <v>34</v>
      </c>
      <c r="G152" s="502" t="s">
        <v>1989</v>
      </c>
      <c r="H152" s="502" t="s">
        <v>1990</v>
      </c>
    </row>
    <row r="153" spans="1:8" x14ac:dyDescent="0.25">
      <c r="A153" s="1265" t="s">
        <v>2040</v>
      </c>
      <c r="B153" s="1266"/>
      <c r="C153" s="1266"/>
      <c r="D153" s="1267"/>
      <c r="E153" s="503">
        <v>60</v>
      </c>
      <c r="F153" s="508">
        <v>0</v>
      </c>
      <c r="G153" s="506">
        <v>0</v>
      </c>
      <c r="H153" s="506">
        <f>E153*G153</f>
        <v>0</v>
      </c>
    </row>
    <row r="154" spans="1:8" x14ac:dyDescent="0.25">
      <c r="A154" s="1285"/>
      <c r="B154" s="1286"/>
      <c r="C154" s="1286"/>
      <c r="D154" s="1287"/>
      <c r="E154" s="508"/>
      <c r="F154" s="508"/>
      <c r="G154" s="506"/>
      <c r="H154" s="506"/>
    </row>
    <row r="155" spans="1:8" x14ac:dyDescent="0.25">
      <c r="A155" s="1285"/>
      <c r="B155" s="1286"/>
      <c r="C155" s="1286"/>
      <c r="D155" s="1287"/>
      <c r="E155" s="508"/>
      <c r="F155" s="508"/>
      <c r="G155" s="506"/>
      <c r="H155" s="506"/>
    </row>
    <row r="156" spans="1:8" x14ac:dyDescent="0.25">
      <c r="A156" s="1285"/>
      <c r="B156" s="1286"/>
      <c r="C156" s="1286"/>
      <c r="D156" s="1287"/>
      <c r="E156" s="508"/>
      <c r="F156" s="508"/>
      <c r="G156" s="506"/>
      <c r="H156" s="506"/>
    </row>
    <row r="157" spans="1:8" x14ac:dyDescent="0.25">
      <c r="A157" s="1285"/>
      <c r="B157" s="1286"/>
      <c r="C157" s="1286"/>
      <c r="D157" s="1287"/>
      <c r="E157" s="508"/>
      <c r="F157" s="508"/>
      <c r="G157" s="506"/>
      <c r="H157" s="506"/>
    </row>
    <row r="158" spans="1:8" x14ac:dyDescent="0.25">
      <c r="A158" s="1285"/>
      <c r="B158" s="1286"/>
      <c r="C158" s="1286"/>
      <c r="D158" s="1287"/>
      <c r="E158" s="508"/>
      <c r="F158" s="508"/>
      <c r="G158" s="506"/>
      <c r="H158" s="506"/>
    </row>
    <row r="159" spans="1:8" x14ac:dyDescent="0.25">
      <c r="A159" s="509"/>
      <c r="B159" s="510"/>
      <c r="C159" s="510"/>
      <c r="D159" s="511"/>
      <c r="E159" s="508"/>
      <c r="F159" s="508"/>
      <c r="G159" s="506"/>
      <c r="H159" s="506"/>
    </row>
    <row r="160" spans="1:8" x14ac:dyDescent="0.25">
      <c r="A160" s="509"/>
      <c r="B160" s="510"/>
      <c r="C160" s="510"/>
      <c r="D160" s="511"/>
      <c r="E160" s="508"/>
      <c r="F160" s="508"/>
      <c r="G160" s="506"/>
      <c r="H160" s="506"/>
    </row>
    <row r="161" spans="1:8" x14ac:dyDescent="0.25">
      <c r="A161" s="509"/>
      <c r="B161" s="510"/>
      <c r="C161" s="510"/>
      <c r="D161" s="511"/>
      <c r="E161" s="508"/>
      <c r="F161" s="508"/>
      <c r="G161" s="506"/>
      <c r="H161" s="506"/>
    </row>
    <row r="162" spans="1:8" x14ac:dyDescent="0.25">
      <c r="A162" s="509"/>
      <c r="B162" s="510"/>
      <c r="C162" s="510"/>
      <c r="D162" s="511"/>
      <c r="E162" s="508"/>
      <c r="F162" s="508"/>
      <c r="G162" s="506"/>
      <c r="H162" s="506"/>
    </row>
    <row r="163" spans="1:8" x14ac:dyDescent="0.25">
      <c r="A163" s="509"/>
      <c r="B163" s="510"/>
      <c r="C163" s="510"/>
      <c r="D163" s="511"/>
      <c r="E163" s="508"/>
      <c r="F163" s="508"/>
      <c r="G163" s="506"/>
      <c r="H163" s="506"/>
    </row>
    <row r="164" spans="1:8" x14ac:dyDescent="0.25">
      <c r="A164" s="509"/>
      <c r="B164" s="510"/>
      <c r="C164" s="510"/>
      <c r="D164" s="511"/>
      <c r="E164" s="508"/>
      <c r="F164" s="508"/>
      <c r="G164" s="506"/>
      <c r="H164" s="506"/>
    </row>
    <row r="165" spans="1:8" x14ac:dyDescent="0.25">
      <c r="A165" s="509"/>
      <c r="B165" s="510"/>
      <c r="C165" s="510"/>
      <c r="D165" s="511"/>
      <c r="E165" s="508"/>
      <c r="F165" s="508"/>
      <c r="G165" s="506"/>
      <c r="H165" s="506"/>
    </row>
    <row r="166" spans="1:8" x14ac:dyDescent="0.25">
      <c r="A166" s="509"/>
      <c r="B166" s="510"/>
      <c r="C166" s="510"/>
      <c r="D166" s="511"/>
      <c r="E166" s="508"/>
      <c r="F166" s="508"/>
      <c r="G166" s="506"/>
      <c r="H166" s="506"/>
    </row>
    <row r="167" spans="1:8" x14ac:dyDescent="0.25">
      <c r="A167" s="509"/>
      <c r="B167" s="510"/>
      <c r="C167" s="510"/>
      <c r="D167" s="511"/>
      <c r="E167" s="508"/>
      <c r="F167" s="508"/>
      <c r="G167" s="506"/>
      <c r="H167" s="506"/>
    </row>
    <row r="168" spans="1:8" x14ac:dyDescent="0.25">
      <c r="A168" s="509"/>
      <c r="B168" s="510"/>
      <c r="C168" s="510"/>
      <c r="D168" s="511"/>
      <c r="E168" s="508"/>
      <c r="F168" s="508"/>
      <c r="G168" s="506"/>
      <c r="H168" s="506"/>
    </row>
    <row r="169" spans="1:8" x14ac:dyDescent="0.25">
      <c r="A169" s="509"/>
      <c r="B169" s="510"/>
      <c r="C169" s="510"/>
      <c r="D169" s="511"/>
      <c r="E169" s="508"/>
      <c r="F169" s="508"/>
      <c r="G169" s="506"/>
      <c r="H169" s="506"/>
    </row>
    <row r="170" spans="1:8" x14ac:dyDescent="0.25">
      <c r="A170" s="509"/>
      <c r="B170" s="510"/>
      <c r="C170" s="510"/>
      <c r="D170" s="511"/>
      <c r="E170" s="508"/>
      <c r="F170" s="508"/>
      <c r="G170" s="506"/>
      <c r="H170" s="506"/>
    </row>
    <row r="171" spans="1:8" x14ac:dyDescent="0.25">
      <c r="A171" s="509"/>
      <c r="B171" s="510"/>
      <c r="C171" s="510"/>
      <c r="D171" s="511"/>
      <c r="E171" s="508"/>
      <c r="F171" s="508"/>
      <c r="G171" s="506"/>
      <c r="H171" s="506"/>
    </row>
    <row r="172" spans="1:8" x14ac:dyDescent="0.25">
      <c r="A172" s="509"/>
      <c r="B172" s="510"/>
      <c r="C172" s="510"/>
      <c r="D172" s="511"/>
      <c r="E172" s="508"/>
      <c r="F172" s="508"/>
      <c r="G172" s="506"/>
      <c r="H172" s="506"/>
    </row>
    <row r="173" spans="1:8" x14ac:dyDescent="0.25">
      <c r="A173" s="1249"/>
      <c r="B173" s="1250"/>
      <c r="C173" s="1250"/>
      <c r="D173" s="1250"/>
      <c r="E173" s="1250"/>
      <c r="F173" s="1251"/>
      <c r="G173" s="507" t="s">
        <v>31</v>
      </c>
      <c r="H173" s="507">
        <f>ROUND(SUM(H153:H172),0)</f>
        <v>0</v>
      </c>
    </row>
    <row r="174" spans="1:8" x14ac:dyDescent="0.25">
      <c r="A174" s="512"/>
      <c r="B174" s="513"/>
      <c r="C174" s="513"/>
      <c r="D174" s="513"/>
      <c r="E174" s="513"/>
      <c r="F174" s="513"/>
      <c r="G174" s="513"/>
      <c r="H174" s="514"/>
    </row>
    <row r="175" spans="1:8" x14ac:dyDescent="0.25">
      <c r="A175" s="1260" t="s">
        <v>1993</v>
      </c>
      <c r="B175" s="1260"/>
      <c r="C175" s="1260"/>
      <c r="D175" s="1259" t="s">
        <v>1994</v>
      </c>
      <c r="E175" s="1259"/>
      <c r="F175" s="515" t="s">
        <v>28</v>
      </c>
      <c r="G175" s="502" t="s">
        <v>1989</v>
      </c>
      <c r="H175" s="502" t="s">
        <v>1990</v>
      </c>
    </row>
    <row r="176" spans="1:8" x14ac:dyDescent="0.25">
      <c r="A176" s="1256" t="s">
        <v>1996</v>
      </c>
      <c r="B176" s="1256"/>
      <c r="C176" s="1256"/>
      <c r="D176" s="1261">
        <v>0</v>
      </c>
      <c r="E176" s="1261"/>
      <c r="F176" s="503">
        <v>4</v>
      </c>
      <c r="G176" s="506">
        <f>+D176/F176</f>
        <v>0</v>
      </c>
      <c r="H176" s="506">
        <f>+G176</f>
        <v>0</v>
      </c>
    </row>
    <row r="177" spans="1:8" x14ac:dyDescent="0.25">
      <c r="A177" s="1262"/>
      <c r="B177" s="1262"/>
      <c r="C177" s="1262"/>
      <c r="D177" s="1261"/>
      <c r="E177" s="1261"/>
      <c r="F177" s="503"/>
      <c r="G177" s="506"/>
      <c r="H177" s="506">
        <f>+G177</f>
        <v>0</v>
      </c>
    </row>
    <row r="178" spans="1:8" x14ac:dyDescent="0.25">
      <c r="A178" s="1256"/>
      <c r="B178" s="1256"/>
      <c r="C178" s="1256"/>
      <c r="D178" s="1261"/>
      <c r="E178" s="1261"/>
      <c r="F178" s="503"/>
      <c r="G178" s="506"/>
      <c r="H178" s="506">
        <f>+G178</f>
        <v>0</v>
      </c>
    </row>
    <row r="179" spans="1:8" x14ac:dyDescent="0.25">
      <c r="A179" s="1257"/>
      <c r="B179" s="1257"/>
      <c r="C179" s="1257"/>
      <c r="D179" s="1257"/>
      <c r="E179" s="1257"/>
      <c r="F179" s="503"/>
      <c r="G179" s="506"/>
      <c r="H179" s="506"/>
    </row>
    <row r="180" spans="1:8" x14ac:dyDescent="0.25">
      <c r="A180" s="1249"/>
      <c r="B180" s="1250"/>
      <c r="C180" s="1250"/>
      <c r="D180" s="1250"/>
      <c r="E180" s="1250"/>
      <c r="F180" s="1251"/>
      <c r="G180" s="507" t="s">
        <v>31</v>
      </c>
      <c r="H180" s="507">
        <f>SUM(H176:H179)</f>
        <v>0</v>
      </c>
    </row>
    <row r="181" spans="1:8" x14ac:dyDescent="0.25">
      <c r="A181" s="1249"/>
      <c r="B181" s="1250"/>
      <c r="C181" s="1250"/>
      <c r="D181" s="1250"/>
      <c r="E181" s="1250"/>
      <c r="F181" s="1250"/>
      <c r="G181" s="1250"/>
      <c r="H181" s="1251"/>
    </row>
    <row r="182" spans="1:8" x14ac:dyDescent="0.25">
      <c r="A182" s="1258" t="s">
        <v>1997</v>
      </c>
      <c r="B182" s="1258"/>
      <c r="C182" s="516" t="s">
        <v>1998</v>
      </c>
      <c r="D182" s="1259" t="s">
        <v>1999</v>
      </c>
      <c r="E182" s="1259"/>
      <c r="F182" s="515" t="s">
        <v>2000</v>
      </c>
      <c r="G182" s="517" t="s">
        <v>2001</v>
      </c>
      <c r="H182" s="517" t="s">
        <v>2002</v>
      </c>
    </row>
    <row r="183" spans="1:8" x14ac:dyDescent="0.25">
      <c r="A183" s="1253" t="s">
        <v>2003</v>
      </c>
      <c r="B183" s="1253"/>
      <c r="C183" s="518"/>
      <c r="D183" s="1254">
        <f>C183*65%</f>
        <v>0</v>
      </c>
      <c r="E183" s="1255"/>
      <c r="F183" s="518">
        <f>C183+D183</f>
        <v>0</v>
      </c>
      <c r="G183" s="519">
        <v>4</v>
      </c>
      <c r="H183" s="518">
        <f>F183/G183</f>
        <v>0</v>
      </c>
    </row>
    <row r="184" spans="1:8" x14ac:dyDescent="0.25">
      <c r="A184" s="1253" t="s">
        <v>2004</v>
      </c>
      <c r="B184" s="1253"/>
      <c r="C184" s="518"/>
      <c r="D184" s="1254">
        <f>C184*65%</f>
        <v>0</v>
      </c>
      <c r="E184" s="1255"/>
      <c r="F184" s="518">
        <f>C184+D184</f>
        <v>0</v>
      </c>
      <c r="G184" s="519">
        <v>4</v>
      </c>
      <c r="H184" s="518">
        <f>F184/G184</f>
        <v>0</v>
      </c>
    </row>
    <row r="185" spans="1:8" x14ac:dyDescent="0.25">
      <c r="A185" s="1253" t="s">
        <v>2005</v>
      </c>
      <c r="B185" s="1253"/>
      <c r="C185" s="518"/>
      <c r="D185" s="1254">
        <f>C185*65%</f>
        <v>0</v>
      </c>
      <c r="E185" s="1255"/>
      <c r="F185" s="518">
        <f>C185+D185</f>
        <v>0</v>
      </c>
      <c r="G185" s="519">
        <v>4</v>
      </c>
      <c r="H185" s="518">
        <f>F185/G185</f>
        <v>0</v>
      </c>
    </row>
    <row r="186" spans="1:8" x14ac:dyDescent="0.25">
      <c r="A186" s="1256" t="s">
        <v>2006</v>
      </c>
      <c r="B186" s="1256"/>
      <c r="C186" s="520"/>
      <c r="D186" s="1257"/>
      <c r="E186" s="1257"/>
      <c r="F186" s="506">
        <f>C186</f>
        <v>0</v>
      </c>
      <c r="G186" s="521">
        <v>4</v>
      </c>
      <c r="H186" s="518">
        <f>F186/G186</f>
        <v>0</v>
      </c>
    </row>
    <row r="187" spans="1:8" x14ac:dyDescent="0.25">
      <c r="A187" s="1249"/>
      <c r="B187" s="1250"/>
      <c r="C187" s="1250"/>
      <c r="D187" s="1250"/>
      <c r="E187" s="1250"/>
      <c r="F187" s="1251"/>
      <c r="G187" s="507" t="s">
        <v>31</v>
      </c>
      <c r="H187" s="507">
        <f>SUM(H183:H186)</f>
        <v>0</v>
      </c>
    </row>
    <row r="188" spans="1:8" x14ac:dyDescent="0.25">
      <c r="A188" s="1249"/>
      <c r="B188" s="1250"/>
      <c r="C188" s="1250"/>
      <c r="D188" s="1250"/>
      <c r="E188" s="1250"/>
      <c r="F188" s="1250"/>
      <c r="G188" s="1250"/>
      <c r="H188" s="1251"/>
    </row>
    <row r="189" spans="1:8" x14ac:dyDescent="0.25">
      <c r="A189" s="1252" t="s">
        <v>2007</v>
      </c>
      <c r="B189" s="1252"/>
      <c r="C189" s="1252"/>
      <c r="D189" s="1252"/>
      <c r="E189" s="1252"/>
      <c r="F189" s="1252"/>
      <c r="G189" s="1252"/>
      <c r="H189" s="523">
        <f>H187+H180+H173+H150</f>
        <v>0</v>
      </c>
    </row>
    <row r="190" spans="1:8" ht="15.75" thickBot="1" x14ac:dyDescent="0.3"/>
    <row r="191" spans="1:8" ht="15.75" thickBot="1" x14ac:dyDescent="0.3">
      <c r="A191" s="1279"/>
      <c r="B191" s="1280"/>
      <c r="C191" s="1280"/>
      <c r="D191" s="1280"/>
      <c r="E191" s="1280"/>
      <c r="F191" s="1280"/>
      <c r="G191" s="1280"/>
      <c r="H191" s="1281"/>
    </row>
    <row r="192" spans="1:8" ht="15.75" thickTop="1" x14ac:dyDescent="0.25">
      <c r="A192" s="1282"/>
      <c r="B192" s="1283"/>
      <c r="C192" s="1283"/>
      <c r="D192" s="1283"/>
      <c r="E192" s="1283"/>
      <c r="F192" s="1283"/>
      <c r="G192" s="1283"/>
      <c r="H192" s="1284"/>
    </row>
    <row r="193" spans="1:8" x14ac:dyDescent="0.25">
      <c r="A193" s="1274"/>
      <c r="B193" s="1274"/>
      <c r="C193" s="1274"/>
      <c r="D193" s="1274"/>
      <c r="E193" s="1274"/>
      <c r="F193" s="1275"/>
      <c r="G193" s="1275"/>
      <c r="H193" s="1275"/>
    </row>
    <row r="194" spans="1:8" x14ac:dyDescent="0.25">
      <c r="A194" s="1274"/>
      <c r="B194" s="1274"/>
      <c r="C194" s="1274"/>
      <c r="D194" s="1274"/>
      <c r="E194" s="1274"/>
      <c r="F194" s="500"/>
      <c r="G194" s="1276"/>
      <c r="H194" s="1276"/>
    </row>
    <row r="195" spans="1:8" x14ac:dyDescent="0.25">
      <c r="A195" s="1274"/>
      <c r="B195" s="1274"/>
      <c r="C195" s="1274"/>
      <c r="D195" s="1274"/>
      <c r="E195" s="1274"/>
      <c r="F195" s="1291"/>
      <c r="G195" s="1278"/>
      <c r="H195" s="1278"/>
    </row>
    <row r="196" spans="1:8" x14ac:dyDescent="0.25">
      <c r="A196" s="1249"/>
      <c r="B196" s="1250"/>
      <c r="C196" s="1250"/>
      <c r="D196" s="1250"/>
      <c r="E196" s="1250"/>
      <c r="F196" s="1250"/>
      <c r="G196" s="1250"/>
      <c r="H196" s="1251"/>
    </row>
    <row r="197" spans="1:8" x14ac:dyDescent="0.25">
      <c r="A197" s="1264" t="s">
        <v>1988</v>
      </c>
      <c r="B197" s="1264"/>
      <c r="C197" s="1264"/>
      <c r="D197" s="1264"/>
      <c r="E197" s="501" t="s">
        <v>24</v>
      </c>
      <c r="F197" s="501" t="s">
        <v>34</v>
      </c>
      <c r="G197" s="502" t="s">
        <v>1989</v>
      </c>
      <c r="H197" s="502" t="s">
        <v>1990</v>
      </c>
    </row>
    <row r="198" spans="1:8" x14ac:dyDescent="0.25">
      <c r="A198" s="1271" t="s">
        <v>2041</v>
      </c>
      <c r="B198" s="1272"/>
      <c r="C198" s="1272"/>
      <c r="D198" s="1273"/>
      <c r="E198" s="503" t="s">
        <v>15</v>
      </c>
      <c r="F198" s="522">
        <v>1</v>
      </c>
      <c r="G198" s="505">
        <v>28500</v>
      </c>
      <c r="H198" s="506">
        <f>+G198*F198</f>
        <v>28500</v>
      </c>
    </row>
    <row r="199" spans="1:8" x14ac:dyDescent="0.25">
      <c r="A199" s="1271"/>
      <c r="B199" s="1272"/>
      <c r="C199" s="1272"/>
      <c r="D199" s="1273"/>
      <c r="E199" s="503"/>
      <c r="F199" s="522"/>
      <c r="G199" s="505"/>
      <c r="H199" s="506">
        <f t="shared" ref="H199:H217" si="2">+G199*F199</f>
        <v>0</v>
      </c>
    </row>
    <row r="200" spans="1:8" x14ac:dyDescent="0.25">
      <c r="A200" s="1271"/>
      <c r="B200" s="1272"/>
      <c r="C200" s="1272"/>
      <c r="D200" s="1273"/>
      <c r="E200" s="503"/>
      <c r="F200" s="522"/>
      <c r="G200" s="505"/>
      <c r="H200" s="506">
        <f t="shared" si="2"/>
        <v>0</v>
      </c>
    </row>
    <row r="201" spans="1:8" x14ac:dyDescent="0.25">
      <c r="A201" s="1271"/>
      <c r="B201" s="1272"/>
      <c r="C201" s="1272"/>
      <c r="D201" s="1273"/>
      <c r="E201" s="503"/>
      <c r="F201" s="522"/>
      <c r="G201" s="505"/>
      <c r="H201" s="506">
        <f t="shared" si="2"/>
        <v>0</v>
      </c>
    </row>
    <row r="202" spans="1:8" x14ac:dyDescent="0.25">
      <c r="A202" s="1271"/>
      <c r="B202" s="1272"/>
      <c r="C202" s="1272"/>
      <c r="D202" s="1273"/>
      <c r="E202" s="503"/>
      <c r="F202" s="522"/>
      <c r="G202" s="505"/>
      <c r="H202" s="506">
        <f t="shared" si="2"/>
        <v>0</v>
      </c>
    </row>
    <row r="203" spans="1:8" x14ac:dyDescent="0.25">
      <c r="A203" s="1271"/>
      <c r="B203" s="1272"/>
      <c r="C203" s="1272"/>
      <c r="D203" s="1273"/>
      <c r="E203" s="503"/>
      <c r="F203" s="522"/>
      <c r="G203" s="505"/>
      <c r="H203" s="506">
        <f t="shared" si="2"/>
        <v>0</v>
      </c>
    </row>
    <row r="204" spans="1:8" x14ac:dyDescent="0.25">
      <c r="A204" s="1271"/>
      <c r="B204" s="1272"/>
      <c r="C204" s="1272"/>
      <c r="D204" s="1273"/>
      <c r="E204" s="503"/>
      <c r="F204" s="522"/>
      <c r="G204" s="505"/>
      <c r="H204" s="506">
        <f t="shared" si="2"/>
        <v>0</v>
      </c>
    </row>
    <row r="205" spans="1:8" x14ac:dyDescent="0.25">
      <c r="A205" s="1271"/>
      <c r="B205" s="1272"/>
      <c r="C205" s="1272"/>
      <c r="D205" s="1273"/>
      <c r="E205" s="503"/>
      <c r="F205" s="522"/>
      <c r="G205" s="505"/>
      <c r="H205" s="506">
        <f t="shared" si="2"/>
        <v>0</v>
      </c>
    </row>
    <row r="206" spans="1:8" x14ac:dyDescent="0.25">
      <c r="A206" s="1271"/>
      <c r="B206" s="1272"/>
      <c r="C206" s="1272"/>
      <c r="D206" s="1273"/>
      <c r="E206" s="503"/>
      <c r="F206" s="522"/>
      <c r="G206" s="505"/>
      <c r="H206" s="506">
        <f t="shared" si="2"/>
        <v>0</v>
      </c>
    </row>
    <row r="207" spans="1:8" x14ac:dyDescent="0.25">
      <c r="A207" s="1271"/>
      <c r="B207" s="1272"/>
      <c r="C207" s="1272"/>
      <c r="D207" s="1273"/>
      <c r="E207" s="503"/>
      <c r="F207" s="522"/>
      <c r="G207" s="505"/>
      <c r="H207" s="506">
        <f t="shared" si="2"/>
        <v>0</v>
      </c>
    </row>
    <row r="208" spans="1:8" x14ac:dyDescent="0.25">
      <c r="A208" s="1271"/>
      <c r="B208" s="1272"/>
      <c r="C208" s="1272"/>
      <c r="D208" s="1273"/>
      <c r="E208" s="503"/>
      <c r="F208" s="522"/>
      <c r="G208" s="505"/>
      <c r="H208" s="506">
        <f t="shared" si="2"/>
        <v>0</v>
      </c>
    </row>
    <row r="209" spans="1:8" x14ac:dyDescent="0.25">
      <c r="A209" s="1271"/>
      <c r="B209" s="1272"/>
      <c r="C209" s="1272"/>
      <c r="D209" s="1273"/>
      <c r="E209" s="503"/>
      <c r="F209" s="522"/>
      <c r="G209" s="505"/>
      <c r="H209" s="506">
        <f t="shared" si="2"/>
        <v>0</v>
      </c>
    </row>
    <row r="210" spans="1:8" x14ac:dyDescent="0.25">
      <c r="A210" s="1263"/>
      <c r="B210" s="1263"/>
      <c r="C210" s="1263"/>
      <c r="D210" s="1263"/>
      <c r="E210" s="503" t="s">
        <v>53</v>
      </c>
      <c r="F210" s="504"/>
      <c r="G210" s="505"/>
      <c r="H210" s="506">
        <f t="shared" si="2"/>
        <v>0</v>
      </c>
    </row>
    <row r="211" spans="1:8" x14ac:dyDescent="0.25">
      <c r="A211" s="1263"/>
      <c r="B211" s="1263"/>
      <c r="C211" s="1263"/>
      <c r="D211" s="1263"/>
      <c r="E211" s="503" t="s">
        <v>53</v>
      </c>
      <c r="F211" s="504"/>
      <c r="G211" s="505"/>
      <c r="H211" s="506">
        <f t="shared" si="2"/>
        <v>0</v>
      </c>
    </row>
    <row r="212" spans="1:8" x14ac:dyDescent="0.25">
      <c r="A212" s="1263"/>
      <c r="B212" s="1263"/>
      <c r="C212" s="1263"/>
      <c r="D212" s="1263"/>
      <c r="E212" s="503" t="s">
        <v>53</v>
      </c>
      <c r="F212" s="504"/>
      <c r="G212" s="505"/>
      <c r="H212" s="506">
        <f t="shared" si="2"/>
        <v>0</v>
      </c>
    </row>
    <row r="213" spans="1:8" x14ac:dyDescent="0.25">
      <c r="A213" s="1263"/>
      <c r="B213" s="1263"/>
      <c r="C213" s="1263"/>
      <c r="D213" s="1263"/>
      <c r="E213" s="503" t="s">
        <v>53</v>
      </c>
      <c r="F213" s="504"/>
      <c r="G213" s="505"/>
      <c r="H213" s="506">
        <f t="shared" si="2"/>
        <v>0</v>
      </c>
    </row>
    <row r="214" spans="1:8" x14ac:dyDescent="0.25">
      <c r="A214" s="1263"/>
      <c r="B214" s="1263"/>
      <c r="C214" s="1263"/>
      <c r="D214" s="1263"/>
      <c r="E214" s="503" t="s">
        <v>53</v>
      </c>
      <c r="F214" s="504"/>
      <c r="G214" s="505"/>
      <c r="H214" s="506">
        <f t="shared" si="2"/>
        <v>0</v>
      </c>
    </row>
    <row r="215" spans="1:8" x14ac:dyDescent="0.25">
      <c r="A215" s="1263"/>
      <c r="B215" s="1263"/>
      <c r="C215" s="1263"/>
      <c r="D215" s="1263"/>
      <c r="E215" s="503" t="s">
        <v>53</v>
      </c>
      <c r="F215" s="504"/>
      <c r="G215" s="505"/>
      <c r="H215" s="506">
        <f t="shared" si="2"/>
        <v>0</v>
      </c>
    </row>
    <row r="216" spans="1:8" x14ac:dyDescent="0.25">
      <c r="A216" s="1263"/>
      <c r="B216" s="1263"/>
      <c r="C216" s="1263"/>
      <c r="D216" s="1263"/>
      <c r="E216" s="503" t="s">
        <v>53</v>
      </c>
      <c r="F216" s="504"/>
      <c r="G216" s="505"/>
      <c r="H216" s="506">
        <f t="shared" si="2"/>
        <v>0</v>
      </c>
    </row>
    <row r="217" spans="1:8" x14ac:dyDescent="0.25">
      <c r="A217" s="1263"/>
      <c r="B217" s="1263"/>
      <c r="C217" s="1263"/>
      <c r="D217" s="1263"/>
      <c r="E217" s="503" t="s">
        <v>53</v>
      </c>
      <c r="F217" s="504"/>
      <c r="G217" s="505"/>
      <c r="H217" s="506">
        <f t="shared" si="2"/>
        <v>0</v>
      </c>
    </row>
    <row r="218" spans="1:8" x14ac:dyDescent="0.25">
      <c r="A218" s="1249"/>
      <c r="B218" s="1250"/>
      <c r="C218" s="1250"/>
      <c r="D218" s="1250"/>
      <c r="E218" s="1250"/>
      <c r="F218" s="1251"/>
      <c r="G218" s="507" t="s">
        <v>31</v>
      </c>
      <c r="H218" s="507">
        <f>ROUND(SUM(H198:H217),0)</f>
        <v>28500</v>
      </c>
    </row>
    <row r="219" spans="1:8" x14ac:dyDescent="0.25">
      <c r="A219" s="1249"/>
      <c r="B219" s="1250"/>
      <c r="C219" s="1250"/>
      <c r="D219" s="1250"/>
      <c r="E219" s="1250"/>
      <c r="F219" s="1250"/>
      <c r="G219" s="1250"/>
      <c r="H219" s="1251"/>
    </row>
    <row r="220" spans="1:8" x14ac:dyDescent="0.25">
      <c r="A220" s="1264" t="s">
        <v>1991</v>
      </c>
      <c r="B220" s="1264"/>
      <c r="C220" s="1264"/>
      <c r="D220" s="1264"/>
      <c r="E220" s="501" t="s">
        <v>1992</v>
      </c>
      <c r="F220" s="501" t="s">
        <v>34</v>
      </c>
      <c r="G220" s="502" t="s">
        <v>1989</v>
      </c>
      <c r="H220" s="502" t="s">
        <v>1990</v>
      </c>
    </row>
    <row r="221" spans="1:8" x14ac:dyDescent="0.25">
      <c r="A221" s="1265" t="s">
        <v>2042</v>
      </c>
      <c r="B221" s="1266"/>
      <c r="C221" s="1266"/>
      <c r="D221" s="1267"/>
      <c r="E221" s="503">
        <v>5</v>
      </c>
      <c r="F221" s="508">
        <v>1</v>
      </c>
      <c r="G221" s="506">
        <v>400</v>
      </c>
      <c r="H221" s="506">
        <f>E221*G221</f>
        <v>2000</v>
      </c>
    </row>
    <row r="222" spans="1:8" x14ac:dyDescent="0.25">
      <c r="A222" s="1285"/>
      <c r="B222" s="1286"/>
      <c r="C222" s="1286"/>
      <c r="D222" s="1287"/>
      <c r="E222" s="508"/>
      <c r="F222" s="508"/>
      <c r="G222" s="506"/>
      <c r="H222" s="506"/>
    </row>
    <row r="223" spans="1:8" x14ac:dyDescent="0.25">
      <c r="A223" s="1285"/>
      <c r="B223" s="1286"/>
      <c r="C223" s="1286"/>
      <c r="D223" s="1287"/>
      <c r="E223" s="508"/>
      <c r="F223" s="508"/>
      <c r="G223" s="506"/>
      <c r="H223" s="506"/>
    </row>
    <row r="224" spans="1:8" x14ac:dyDescent="0.25">
      <c r="A224" s="1285"/>
      <c r="B224" s="1286"/>
      <c r="C224" s="1286"/>
      <c r="D224" s="1287"/>
      <c r="E224" s="508"/>
      <c r="F224" s="508"/>
      <c r="G224" s="506"/>
      <c r="H224" s="506"/>
    </row>
    <row r="225" spans="1:8" x14ac:dyDescent="0.25">
      <c r="A225" s="1285"/>
      <c r="B225" s="1286"/>
      <c r="C225" s="1286"/>
      <c r="D225" s="1287"/>
      <c r="E225" s="508"/>
      <c r="F225" s="508"/>
      <c r="G225" s="506"/>
      <c r="H225" s="506"/>
    </row>
    <row r="226" spans="1:8" x14ac:dyDescent="0.25">
      <c r="A226" s="1285"/>
      <c r="B226" s="1286"/>
      <c r="C226" s="1286"/>
      <c r="D226" s="1287"/>
      <c r="E226" s="508"/>
      <c r="F226" s="508"/>
      <c r="G226" s="506"/>
      <c r="H226" s="506"/>
    </row>
    <row r="227" spans="1:8" x14ac:dyDescent="0.25">
      <c r="A227" s="509"/>
      <c r="B227" s="510"/>
      <c r="C227" s="510"/>
      <c r="D227" s="511"/>
      <c r="E227" s="508"/>
      <c r="F227" s="508"/>
      <c r="G227" s="506"/>
      <c r="H227" s="506"/>
    </row>
    <row r="228" spans="1:8" x14ac:dyDescent="0.25">
      <c r="A228" s="509"/>
      <c r="B228" s="510"/>
      <c r="C228" s="510"/>
      <c r="D228" s="511"/>
      <c r="E228" s="508"/>
      <c r="F228" s="508"/>
      <c r="G228" s="506"/>
      <c r="H228" s="506"/>
    </row>
    <row r="229" spans="1:8" x14ac:dyDescent="0.25">
      <c r="A229" s="509"/>
      <c r="B229" s="510"/>
      <c r="C229" s="510"/>
      <c r="D229" s="511"/>
      <c r="E229" s="508"/>
      <c r="F229" s="508"/>
      <c r="G229" s="506"/>
      <c r="H229" s="506"/>
    </row>
    <row r="230" spans="1:8" x14ac:dyDescent="0.25">
      <c r="A230" s="509"/>
      <c r="B230" s="510"/>
      <c r="C230" s="510"/>
      <c r="D230" s="511"/>
      <c r="E230" s="508"/>
      <c r="F230" s="508"/>
      <c r="G230" s="506"/>
      <c r="H230" s="506"/>
    </row>
    <row r="231" spans="1:8" x14ac:dyDescent="0.25">
      <c r="A231" s="509"/>
      <c r="B231" s="510"/>
      <c r="C231" s="510"/>
      <c r="D231" s="511"/>
      <c r="E231" s="508"/>
      <c r="F231" s="508"/>
      <c r="G231" s="506"/>
      <c r="H231" s="506"/>
    </row>
    <row r="232" spans="1:8" x14ac:dyDescent="0.25">
      <c r="A232" s="509"/>
      <c r="B232" s="510"/>
      <c r="C232" s="510"/>
      <c r="D232" s="511"/>
      <c r="E232" s="508"/>
      <c r="F232" s="508"/>
      <c r="G232" s="506"/>
      <c r="H232" s="506"/>
    </row>
    <row r="233" spans="1:8" x14ac:dyDescent="0.25">
      <c r="A233" s="509"/>
      <c r="B233" s="510"/>
      <c r="C233" s="510"/>
      <c r="D233" s="511"/>
      <c r="E233" s="508"/>
      <c r="F233" s="508"/>
      <c r="G233" s="506"/>
      <c r="H233" s="506"/>
    </row>
    <row r="234" spans="1:8" x14ac:dyDescent="0.25">
      <c r="A234" s="509"/>
      <c r="B234" s="510"/>
      <c r="C234" s="510"/>
      <c r="D234" s="511"/>
      <c r="E234" s="508"/>
      <c r="F234" s="508"/>
      <c r="G234" s="506"/>
      <c r="H234" s="506"/>
    </row>
    <row r="235" spans="1:8" x14ac:dyDescent="0.25">
      <c r="A235" s="509"/>
      <c r="B235" s="510"/>
      <c r="C235" s="510"/>
      <c r="D235" s="511"/>
      <c r="E235" s="508"/>
      <c r="F235" s="508"/>
      <c r="G235" s="506"/>
      <c r="H235" s="506"/>
    </row>
    <row r="236" spans="1:8" x14ac:dyDescent="0.25">
      <c r="A236" s="509"/>
      <c r="B236" s="510"/>
      <c r="C236" s="510"/>
      <c r="D236" s="511"/>
      <c r="E236" s="508"/>
      <c r="F236" s="508"/>
      <c r="G236" s="506"/>
      <c r="H236" s="506"/>
    </row>
    <row r="237" spans="1:8" x14ac:dyDescent="0.25">
      <c r="A237" s="509"/>
      <c r="B237" s="510"/>
      <c r="C237" s="510"/>
      <c r="D237" s="511"/>
      <c r="E237" s="508"/>
      <c r="F237" s="508"/>
      <c r="G237" s="506"/>
      <c r="H237" s="506"/>
    </row>
    <row r="238" spans="1:8" x14ac:dyDescent="0.25">
      <c r="A238" s="509"/>
      <c r="B238" s="510"/>
      <c r="C238" s="510"/>
      <c r="D238" s="511"/>
      <c r="E238" s="508"/>
      <c r="F238" s="508"/>
      <c r="G238" s="506"/>
      <c r="H238" s="506"/>
    </row>
    <row r="239" spans="1:8" x14ac:dyDescent="0.25">
      <c r="A239" s="509"/>
      <c r="B239" s="510"/>
      <c r="C239" s="510"/>
      <c r="D239" s="511"/>
      <c r="E239" s="508"/>
      <c r="F239" s="508"/>
      <c r="G239" s="506"/>
      <c r="H239" s="506"/>
    </row>
    <row r="240" spans="1:8" x14ac:dyDescent="0.25">
      <c r="A240" s="509"/>
      <c r="B240" s="510"/>
      <c r="C240" s="510"/>
      <c r="D240" s="511"/>
      <c r="E240" s="508"/>
      <c r="F240" s="508"/>
      <c r="G240" s="506"/>
      <c r="H240" s="506"/>
    </row>
    <row r="241" spans="1:8" x14ac:dyDescent="0.25">
      <c r="A241" s="1249"/>
      <c r="B241" s="1250"/>
      <c r="C241" s="1250"/>
      <c r="D241" s="1250"/>
      <c r="E241" s="1250"/>
      <c r="F241" s="1251"/>
      <c r="G241" s="507" t="s">
        <v>31</v>
      </c>
      <c r="H241" s="507">
        <f>ROUND(SUM(H221:H240),0)</f>
        <v>2000</v>
      </c>
    </row>
    <row r="242" spans="1:8" x14ac:dyDescent="0.25">
      <c r="A242" s="512"/>
      <c r="B242" s="513"/>
      <c r="C242" s="513"/>
      <c r="D242" s="513"/>
      <c r="E242" s="513"/>
      <c r="F242" s="513"/>
      <c r="G242" s="513"/>
      <c r="H242" s="514"/>
    </row>
    <row r="243" spans="1:8" x14ac:dyDescent="0.25">
      <c r="A243" s="1260" t="s">
        <v>1993</v>
      </c>
      <c r="B243" s="1260"/>
      <c r="C243" s="1260"/>
      <c r="D243" s="1259" t="s">
        <v>1994</v>
      </c>
      <c r="E243" s="1259"/>
      <c r="F243" s="515" t="s">
        <v>28</v>
      </c>
      <c r="G243" s="502" t="s">
        <v>1989</v>
      </c>
      <c r="H243" s="502" t="s">
        <v>1990</v>
      </c>
    </row>
    <row r="244" spans="1:8" x14ac:dyDescent="0.25">
      <c r="A244" s="1256" t="s">
        <v>1996</v>
      </c>
      <c r="B244" s="1256"/>
      <c r="C244" s="1256"/>
      <c r="D244" s="1261">
        <v>15000</v>
      </c>
      <c r="E244" s="1261"/>
      <c r="F244" s="503">
        <v>10</v>
      </c>
      <c r="G244" s="506">
        <f>+D244/F244</f>
        <v>1500</v>
      </c>
      <c r="H244" s="506">
        <f>+G244</f>
        <v>1500</v>
      </c>
    </row>
    <row r="245" spans="1:8" x14ac:dyDescent="0.25">
      <c r="A245" s="1262"/>
      <c r="B245" s="1262"/>
      <c r="C245" s="1262"/>
      <c r="D245" s="1261"/>
      <c r="E245" s="1261"/>
      <c r="F245" s="503"/>
      <c r="G245" s="506"/>
      <c r="H245" s="506">
        <f>+G245</f>
        <v>0</v>
      </c>
    </row>
    <row r="246" spans="1:8" x14ac:dyDescent="0.25">
      <c r="A246" s="1256"/>
      <c r="B246" s="1256"/>
      <c r="C246" s="1256"/>
      <c r="D246" s="1261"/>
      <c r="E246" s="1261"/>
      <c r="F246" s="503"/>
      <c r="G246" s="506"/>
      <c r="H246" s="506">
        <f>+G246</f>
        <v>0</v>
      </c>
    </row>
    <row r="247" spans="1:8" x14ac:dyDescent="0.25">
      <c r="A247" s="1257"/>
      <c r="B247" s="1257"/>
      <c r="C247" s="1257"/>
      <c r="D247" s="1257"/>
      <c r="E247" s="1257"/>
      <c r="F247" s="503"/>
      <c r="G247" s="506"/>
      <c r="H247" s="506"/>
    </row>
    <row r="248" spans="1:8" x14ac:dyDescent="0.25">
      <c r="A248" s="1249"/>
      <c r="B248" s="1250"/>
      <c r="C248" s="1250"/>
      <c r="D248" s="1250"/>
      <c r="E248" s="1250"/>
      <c r="F248" s="1251"/>
      <c r="G248" s="507" t="s">
        <v>31</v>
      </c>
      <c r="H248" s="507">
        <f>SUM(H244:H247)</f>
        <v>1500</v>
      </c>
    </row>
    <row r="249" spans="1:8" x14ac:dyDescent="0.25">
      <c r="A249" s="1249"/>
      <c r="B249" s="1250"/>
      <c r="C249" s="1250"/>
      <c r="D249" s="1250"/>
      <c r="E249" s="1250"/>
      <c r="F249" s="1250"/>
      <c r="G249" s="1250"/>
      <c r="H249" s="1251"/>
    </row>
    <row r="250" spans="1:8" x14ac:dyDescent="0.25">
      <c r="A250" s="1258" t="s">
        <v>1997</v>
      </c>
      <c r="B250" s="1258"/>
      <c r="C250" s="516" t="s">
        <v>1998</v>
      </c>
      <c r="D250" s="1259" t="s">
        <v>1999</v>
      </c>
      <c r="E250" s="1259"/>
      <c r="F250" s="515" t="s">
        <v>2000</v>
      </c>
      <c r="G250" s="517" t="s">
        <v>2001</v>
      </c>
      <c r="H250" s="517" t="s">
        <v>2002</v>
      </c>
    </row>
    <row r="251" spans="1:8" x14ac:dyDescent="0.25">
      <c r="A251" s="1253" t="s">
        <v>2003</v>
      </c>
      <c r="B251" s="1253"/>
      <c r="C251" s="518">
        <v>150000</v>
      </c>
      <c r="D251" s="1254">
        <f>C251*65%</f>
        <v>97500</v>
      </c>
      <c r="E251" s="1255"/>
      <c r="F251" s="518">
        <f>C251+D251</f>
        <v>247500</v>
      </c>
      <c r="G251" s="519">
        <v>10</v>
      </c>
      <c r="H251" s="518">
        <f>F251/G251</f>
        <v>24750</v>
      </c>
    </row>
    <row r="252" spans="1:8" x14ac:dyDescent="0.25">
      <c r="A252" s="1253" t="s">
        <v>2004</v>
      </c>
      <c r="B252" s="1253"/>
      <c r="C252" s="518">
        <v>70000</v>
      </c>
      <c r="D252" s="1254">
        <f>C252*65%</f>
        <v>45500</v>
      </c>
      <c r="E252" s="1255"/>
      <c r="F252" s="518">
        <f>C252+D252</f>
        <v>115500</v>
      </c>
      <c r="G252" s="519">
        <v>10</v>
      </c>
      <c r="H252" s="518">
        <f>F252/G252</f>
        <v>11550</v>
      </c>
    </row>
    <row r="253" spans="1:8" x14ac:dyDescent="0.25">
      <c r="A253" s="1253" t="s">
        <v>2005</v>
      </c>
      <c r="B253" s="1253"/>
      <c r="C253" s="518">
        <v>45000</v>
      </c>
      <c r="D253" s="1254">
        <f>C253*65%</f>
        <v>29250</v>
      </c>
      <c r="E253" s="1255"/>
      <c r="F253" s="518">
        <f>C253+D253</f>
        <v>74250</v>
      </c>
      <c r="G253" s="519">
        <v>10</v>
      </c>
      <c r="H253" s="518">
        <f>F253/G253</f>
        <v>7425</v>
      </c>
    </row>
    <row r="254" spans="1:8" x14ac:dyDescent="0.25">
      <c r="A254" s="1256" t="s">
        <v>2006</v>
      </c>
      <c r="B254" s="1256"/>
      <c r="C254" s="520">
        <v>120000</v>
      </c>
      <c r="D254" s="1257"/>
      <c r="E254" s="1257"/>
      <c r="F254" s="506">
        <f>C254</f>
        <v>120000</v>
      </c>
      <c r="G254" s="521">
        <v>10</v>
      </c>
      <c r="H254" s="518">
        <f>F254/G254</f>
        <v>12000</v>
      </c>
    </row>
    <row r="255" spans="1:8" x14ac:dyDescent="0.25">
      <c r="A255" s="1249"/>
      <c r="B255" s="1250"/>
      <c r="C255" s="1250"/>
      <c r="D255" s="1250"/>
      <c r="E255" s="1250"/>
      <c r="F255" s="1251"/>
      <c r="G255" s="507" t="s">
        <v>31</v>
      </c>
      <c r="H255" s="507">
        <f>SUM(H251:H254)</f>
        <v>55725</v>
      </c>
    </row>
    <row r="256" spans="1:8" ht="15.75" thickBot="1" x14ac:dyDescent="0.3">
      <c r="A256" s="1249"/>
      <c r="B256" s="1250"/>
      <c r="C256" s="1250"/>
      <c r="D256" s="1250"/>
      <c r="E256" s="1250"/>
      <c r="F256" s="1250"/>
      <c r="G256" s="1250"/>
      <c r="H256" s="1251"/>
    </row>
    <row r="257" spans="1:8" ht="16.5" thickTop="1" thickBot="1" x14ac:dyDescent="0.3">
      <c r="A257" s="1252" t="s">
        <v>2007</v>
      </c>
      <c r="B257" s="1252"/>
      <c r="C257" s="1252"/>
      <c r="D257" s="1252"/>
      <c r="E257" s="1252"/>
      <c r="F257" s="1252"/>
      <c r="G257" s="1252"/>
      <c r="H257" s="499">
        <f>ROUND(H255+H248+H241+H218,0)</f>
        <v>87725</v>
      </c>
    </row>
    <row r="258" spans="1:8" ht="15.75" thickBot="1" x14ac:dyDescent="0.3"/>
    <row r="259" spans="1:8" ht="15.75" thickBot="1" x14ac:dyDescent="0.3">
      <c r="A259" s="1279"/>
      <c r="B259" s="1280"/>
      <c r="C259" s="1280"/>
      <c r="D259" s="1280"/>
      <c r="E259" s="1280"/>
      <c r="F259" s="1280"/>
      <c r="G259" s="1280"/>
      <c r="H259" s="1281"/>
    </row>
    <row r="260" spans="1:8" ht="15.75" thickTop="1" x14ac:dyDescent="0.25">
      <c r="A260" s="1282"/>
      <c r="B260" s="1283"/>
      <c r="C260" s="1283"/>
      <c r="D260" s="1283"/>
      <c r="E260" s="1283"/>
      <c r="F260" s="1283"/>
      <c r="G260" s="1283"/>
      <c r="H260" s="1284"/>
    </row>
    <row r="261" spans="1:8" x14ac:dyDescent="0.25">
      <c r="A261" s="1274"/>
      <c r="B261" s="1274"/>
      <c r="C261" s="1274"/>
      <c r="D261" s="1274"/>
      <c r="E261" s="1274"/>
      <c r="F261" s="1275"/>
      <c r="G261" s="1275"/>
      <c r="H261" s="1275"/>
    </row>
    <row r="262" spans="1:8" x14ac:dyDescent="0.25">
      <c r="A262" s="1274"/>
      <c r="B262" s="1274"/>
      <c r="C262" s="1274"/>
      <c r="D262" s="1274"/>
      <c r="E262" s="1274"/>
      <c r="F262" s="500"/>
      <c r="G262" s="1276"/>
      <c r="H262" s="1276"/>
    </row>
    <row r="263" spans="1:8" x14ac:dyDescent="0.25">
      <c r="A263" s="1274"/>
      <c r="B263" s="1274"/>
      <c r="C263" s="1274"/>
      <c r="D263" s="1274"/>
      <c r="E263" s="1274"/>
      <c r="F263" s="1291"/>
      <c r="G263" s="1278"/>
      <c r="H263" s="1278"/>
    </row>
    <row r="264" spans="1:8" x14ac:dyDescent="0.25">
      <c r="A264" s="1249"/>
      <c r="B264" s="1250"/>
      <c r="C264" s="1250"/>
      <c r="D264" s="1250"/>
      <c r="E264" s="1250"/>
      <c r="F264" s="1250"/>
      <c r="G264" s="1250"/>
      <c r="H264" s="1251"/>
    </row>
    <row r="265" spans="1:8" x14ac:dyDescent="0.25">
      <c r="A265" s="1264" t="s">
        <v>1988</v>
      </c>
      <c r="B265" s="1264"/>
      <c r="C265" s="1264"/>
      <c r="D265" s="1264"/>
      <c r="E265" s="501" t="s">
        <v>24</v>
      </c>
      <c r="F265" s="501" t="s">
        <v>34</v>
      </c>
      <c r="G265" s="502" t="s">
        <v>1989</v>
      </c>
      <c r="H265" s="502" t="s">
        <v>1990</v>
      </c>
    </row>
    <row r="266" spans="1:8" x14ac:dyDescent="0.25">
      <c r="A266" s="1271" t="s">
        <v>2043</v>
      </c>
      <c r="B266" s="1272"/>
      <c r="C266" s="1272"/>
      <c r="D266" s="1273"/>
      <c r="E266" s="503" t="s">
        <v>53</v>
      </c>
      <c r="F266" s="522">
        <v>1</v>
      </c>
      <c r="G266" s="505">
        <v>8500</v>
      </c>
      <c r="H266" s="506">
        <f>+G266*F266</f>
        <v>8500</v>
      </c>
    </row>
    <row r="267" spans="1:8" x14ac:dyDescent="0.25">
      <c r="A267" s="1271" t="s">
        <v>2044</v>
      </c>
      <c r="B267" s="1272"/>
      <c r="C267" s="1272"/>
      <c r="D267" s="1273"/>
      <c r="E267" s="503" t="s">
        <v>53</v>
      </c>
      <c r="F267" s="522">
        <v>1</v>
      </c>
      <c r="G267" s="505">
        <v>3500</v>
      </c>
      <c r="H267" s="506">
        <f t="shared" ref="H267:H285" si="3">+G267*F267</f>
        <v>3500</v>
      </c>
    </row>
    <row r="268" spans="1:8" x14ac:dyDescent="0.25">
      <c r="A268" s="1271" t="s">
        <v>2045</v>
      </c>
      <c r="B268" s="1272"/>
      <c r="C268" s="1272"/>
      <c r="D268" s="1273"/>
      <c r="E268" s="503" t="s">
        <v>53</v>
      </c>
      <c r="F268" s="522">
        <v>1</v>
      </c>
      <c r="G268" s="505">
        <v>12500</v>
      </c>
      <c r="H268" s="506">
        <f t="shared" si="3"/>
        <v>12500</v>
      </c>
    </row>
    <row r="269" spans="1:8" x14ac:dyDescent="0.25">
      <c r="A269" s="1271" t="s">
        <v>2046</v>
      </c>
      <c r="B269" s="1272"/>
      <c r="C269" s="1272"/>
      <c r="D269" s="1273"/>
      <c r="E269" s="503" t="s">
        <v>77</v>
      </c>
      <c r="F269" s="522">
        <v>16</v>
      </c>
      <c r="G269" s="505">
        <v>1450</v>
      </c>
      <c r="H269" s="506">
        <f t="shared" si="3"/>
        <v>23200</v>
      </c>
    </row>
    <row r="270" spans="1:8" x14ac:dyDescent="0.25">
      <c r="A270" s="1271" t="s">
        <v>2047</v>
      </c>
      <c r="B270" s="1272"/>
      <c r="C270" s="1272"/>
      <c r="D270" s="1273"/>
      <c r="E270" s="503" t="s">
        <v>53</v>
      </c>
      <c r="F270" s="522">
        <v>1</v>
      </c>
      <c r="G270" s="505">
        <v>45000</v>
      </c>
      <c r="H270" s="506">
        <f t="shared" si="3"/>
        <v>45000</v>
      </c>
    </row>
    <row r="271" spans="1:8" x14ac:dyDescent="0.25">
      <c r="A271" s="1271" t="s">
        <v>2048</v>
      </c>
      <c r="B271" s="1272"/>
      <c r="C271" s="1272"/>
      <c r="D271" s="1273"/>
      <c r="E271" s="503" t="s">
        <v>53</v>
      </c>
      <c r="F271" s="522">
        <v>1</v>
      </c>
      <c r="G271" s="505">
        <v>3100</v>
      </c>
      <c r="H271" s="506">
        <f t="shared" si="3"/>
        <v>3100</v>
      </c>
    </row>
    <row r="272" spans="1:8" x14ac:dyDescent="0.25">
      <c r="A272" s="1271" t="s">
        <v>2049</v>
      </c>
      <c r="B272" s="1272"/>
      <c r="C272" s="1272"/>
      <c r="D272" s="1273"/>
      <c r="E272" s="503" t="s">
        <v>53</v>
      </c>
      <c r="F272" s="522">
        <v>1</v>
      </c>
      <c r="G272" s="505">
        <v>22500</v>
      </c>
      <c r="H272" s="506">
        <f t="shared" si="3"/>
        <v>22500</v>
      </c>
    </row>
    <row r="273" spans="1:8" x14ac:dyDescent="0.25">
      <c r="A273" s="1271"/>
      <c r="B273" s="1272"/>
      <c r="C273" s="1272"/>
      <c r="D273" s="1273"/>
      <c r="E273" s="503"/>
      <c r="F273" s="522"/>
      <c r="G273" s="505"/>
      <c r="H273" s="506">
        <f t="shared" si="3"/>
        <v>0</v>
      </c>
    </row>
    <row r="274" spans="1:8" x14ac:dyDescent="0.25">
      <c r="A274" s="1271"/>
      <c r="B274" s="1272"/>
      <c r="C274" s="1272"/>
      <c r="D274" s="1273"/>
      <c r="E274" s="503"/>
      <c r="F274" s="522"/>
      <c r="G274" s="505"/>
      <c r="H274" s="506">
        <f t="shared" si="3"/>
        <v>0</v>
      </c>
    </row>
    <row r="275" spans="1:8" x14ac:dyDescent="0.25">
      <c r="A275" s="1271"/>
      <c r="B275" s="1272"/>
      <c r="C275" s="1272"/>
      <c r="D275" s="1273"/>
      <c r="E275" s="503"/>
      <c r="F275" s="522"/>
      <c r="G275" s="505"/>
      <c r="H275" s="506">
        <f t="shared" si="3"/>
        <v>0</v>
      </c>
    </row>
    <row r="276" spans="1:8" x14ac:dyDescent="0.25">
      <c r="A276" s="1271"/>
      <c r="B276" s="1272"/>
      <c r="C276" s="1272"/>
      <c r="D276" s="1273"/>
      <c r="E276" s="503"/>
      <c r="F276" s="522"/>
      <c r="G276" s="505"/>
      <c r="H276" s="506">
        <f t="shared" si="3"/>
        <v>0</v>
      </c>
    </row>
    <row r="277" spans="1:8" x14ac:dyDescent="0.25">
      <c r="A277" s="1271"/>
      <c r="B277" s="1272"/>
      <c r="C277" s="1272"/>
      <c r="D277" s="1273"/>
      <c r="E277" s="503"/>
      <c r="F277" s="522"/>
      <c r="G277" s="505"/>
      <c r="H277" s="506">
        <f t="shared" si="3"/>
        <v>0</v>
      </c>
    </row>
    <row r="278" spans="1:8" x14ac:dyDescent="0.25">
      <c r="A278" s="1263"/>
      <c r="B278" s="1263"/>
      <c r="C278" s="1263"/>
      <c r="D278" s="1263"/>
      <c r="E278" s="503" t="s">
        <v>53</v>
      </c>
      <c r="F278" s="504"/>
      <c r="G278" s="505"/>
      <c r="H278" s="506">
        <f t="shared" si="3"/>
        <v>0</v>
      </c>
    </row>
    <row r="279" spans="1:8" x14ac:dyDescent="0.25">
      <c r="A279" s="1263"/>
      <c r="B279" s="1263"/>
      <c r="C279" s="1263"/>
      <c r="D279" s="1263"/>
      <c r="E279" s="503" t="s">
        <v>53</v>
      </c>
      <c r="F279" s="504"/>
      <c r="G279" s="505"/>
      <c r="H279" s="506">
        <f t="shared" si="3"/>
        <v>0</v>
      </c>
    </row>
    <row r="280" spans="1:8" x14ac:dyDescent="0.25">
      <c r="A280" s="1263"/>
      <c r="B280" s="1263"/>
      <c r="C280" s="1263"/>
      <c r="D280" s="1263"/>
      <c r="E280" s="503" t="s">
        <v>53</v>
      </c>
      <c r="F280" s="504"/>
      <c r="G280" s="505"/>
      <c r="H280" s="506">
        <f t="shared" si="3"/>
        <v>0</v>
      </c>
    </row>
    <row r="281" spans="1:8" x14ac:dyDescent="0.25">
      <c r="A281" s="1263"/>
      <c r="B281" s="1263"/>
      <c r="C281" s="1263"/>
      <c r="D281" s="1263"/>
      <c r="E281" s="503" t="s">
        <v>53</v>
      </c>
      <c r="F281" s="504"/>
      <c r="G281" s="505"/>
      <c r="H281" s="506">
        <f t="shared" si="3"/>
        <v>0</v>
      </c>
    </row>
    <row r="282" spans="1:8" x14ac:dyDescent="0.25">
      <c r="A282" s="1263"/>
      <c r="B282" s="1263"/>
      <c r="C282" s="1263"/>
      <c r="D282" s="1263"/>
      <c r="E282" s="503" t="s">
        <v>53</v>
      </c>
      <c r="F282" s="504"/>
      <c r="G282" s="505"/>
      <c r="H282" s="506">
        <f t="shared" si="3"/>
        <v>0</v>
      </c>
    </row>
    <row r="283" spans="1:8" x14ac:dyDescent="0.25">
      <c r="A283" s="1263"/>
      <c r="B283" s="1263"/>
      <c r="C283" s="1263"/>
      <c r="D283" s="1263"/>
      <c r="E283" s="503" t="s">
        <v>53</v>
      </c>
      <c r="F283" s="504"/>
      <c r="G283" s="505"/>
      <c r="H283" s="506">
        <f t="shared" si="3"/>
        <v>0</v>
      </c>
    </row>
    <row r="284" spans="1:8" x14ac:dyDescent="0.25">
      <c r="A284" s="1263"/>
      <c r="B284" s="1263"/>
      <c r="C284" s="1263"/>
      <c r="D284" s="1263"/>
      <c r="E284" s="503" t="s">
        <v>53</v>
      </c>
      <c r="F284" s="504"/>
      <c r="G284" s="505"/>
      <c r="H284" s="506">
        <f t="shared" si="3"/>
        <v>0</v>
      </c>
    </row>
    <row r="285" spans="1:8" x14ac:dyDescent="0.25">
      <c r="A285" s="1263"/>
      <c r="B285" s="1263"/>
      <c r="C285" s="1263"/>
      <c r="D285" s="1263"/>
      <c r="E285" s="503" t="s">
        <v>53</v>
      </c>
      <c r="F285" s="504"/>
      <c r="G285" s="505"/>
      <c r="H285" s="506">
        <f t="shared" si="3"/>
        <v>0</v>
      </c>
    </row>
    <row r="286" spans="1:8" x14ac:dyDescent="0.25">
      <c r="A286" s="1249"/>
      <c r="B286" s="1250"/>
      <c r="C286" s="1250"/>
      <c r="D286" s="1250"/>
      <c r="E286" s="1250"/>
      <c r="F286" s="1251"/>
      <c r="G286" s="507" t="s">
        <v>31</v>
      </c>
      <c r="H286" s="507">
        <f>ROUND(SUM(H266:H285),0)</f>
        <v>118300</v>
      </c>
    </row>
    <row r="287" spans="1:8" x14ac:dyDescent="0.25">
      <c r="A287" s="1249"/>
      <c r="B287" s="1250"/>
      <c r="C287" s="1250"/>
      <c r="D287" s="1250"/>
      <c r="E287" s="1250"/>
      <c r="F287" s="1250"/>
      <c r="G287" s="1250"/>
      <c r="H287" s="1251"/>
    </row>
    <row r="288" spans="1:8" x14ac:dyDescent="0.25">
      <c r="A288" s="1264" t="s">
        <v>1991</v>
      </c>
      <c r="B288" s="1264"/>
      <c r="C288" s="1264"/>
      <c r="D288" s="1264"/>
      <c r="E288" s="501" t="s">
        <v>1992</v>
      </c>
      <c r="F288" s="501" t="s">
        <v>34</v>
      </c>
      <c r="G288" s="502" t="s">
        <v>1989</v>
      </c>
      <c r="H288" s="502" t="s">
        <v>1990</v>
      </c>
    </row>
    <row r="289" spans="1:8" x14ac:dyDescent="0.25">
      <c r="A289" s="1265" t="s">
        <v>2050</v>
      </c>
      <c r="B289" s="1266"/>
      <c r="C289" s="1266"/>
      <c r="D289" s="1267"/>
      <c r="E289" s="503">
        <v>55</v>
      </c>
      <c r="F289" s="508">
        <v>1</v>
      </c>
      <c r="G289" s="506">
        <v>400</v>
      </c>
      <c r="H289" s="506">
        <f>E289*G289</f>
        <v>22000</v>
      </c>
    </row>
    <row r="290" spans="1:8" x14ac:dyDescent="0.25">
      <c r="A290" s="1285"/>
      <c r="B290" s="1286"/>
      <c r="C290" s="1286"/>
      <c r="D290" s="1287"/>
      <c r="E290" s="508"/>
      <c r="F290" s="508"/>
      <c r="G290" s="506"/>
      <c r="H290" s="506"/>
    </row>
    <row r="291" spans="1:8" x14ac:dyDescent="0.25">
      <c r="A291" s="1285"/>
      <c r="B291" s="1286"/>
      <c r="C291" s="1286"/>
      <c r="D291" s="1287"/>
      <c r="E291" s="508"/>
      <c r="F291" s="508"/>
      <c r="G291" s="506"/>
      <c r="H291" s="506"/>
    </row>
    <row r="292" spans="1:8" x14ac:dyDescent="0.25">
      <c r="A292" s="1285"/>
      <c r="B292" s="1286"/>
      <c r="C292" s="1286"/>
      <c r="D292" s="1287"/>
      <c r="E292" s="508"/>
      <c r="F292" s="508"/>
      <c r="G292" s="506"/>
      <c r="H292" s="506"/>
    </row>
    <row r="293" spans="1:8" x14ac:dyDescent="0.25">
      <c r="A293" s="1285"/>
      <c r="B293" s="1286"/>
      <c r="C293" s="1286"/>
      <c r="D293" s="1287"/>
      <c r="E293" s="508"/>
      <c r="F293" s="508"/>
      <c r="G293" s="506"/>
      <c r="H293" s="506"/>
    </row>
    <row r="294" spans="1:8" x14ac:dyDescent="0.25">
      <c r="A294" s="1285"/>
      <c r="B294" s="1286"/>
      <c r="C294" s="1286"/>
      <c r="D294" s="1287"/>
      <c r="E294" s="508"/>
      <c r="F294" s="508"/>
      <c r="G294" s="506"/>
      <c r="H294" s="506"/>
    </row>
    <row r="295" spans="1:8" x14ac:dyDescent="0.25">
      <c r="A295" s="509"/>
      <c r="B295" s="510"/>
      <c r="C295" s="510"/>
      <c r="D295" s="511"/>
      <c r="E295" s="508"/>
      <c r="F295" s="508"/>
      <c r="G295" s="506"/>
      <c r="H295" s="506"/>
    </row>
    <row r="296" spans="1:8" x14ac:dyDescent="0.25">
      <c r="A296" s="509"/>
      <c r="B296" s="510"/>
      <c r="C296" s="510"/>
      <c r="D296" s="511"/>
      <c r="E296" s="508"/>
      <c r="F296" s="508"/>
      <c r="G296" s="506"/>
      <c r="H296" s="506"/>
    </row>
    <row r="297" spans="1:8" x14ac:dyDescent="0.25">
      <c r="A297" s="509"/>
      <c r="B297" s="510"/>
      <c r="C297" s="510"/>
      <c r="D297" s="511"/>
      <c r="E297" s="508"/>
      <c r="F297" s="508"/>
      <c r="G297" s="506"/>
      <c r="H297" s="506"/>
    </row>
    <row r="298" spans="1:8" x14ac:dyDescent="0.25">
      <c r="A298" s="509"/>
      <c r="B298" s="510"/>
      <c r="C298" s="510"/>
      <c r="D298" s="511"/>
      <c r="E298" s="508"/>
      <c r="F298" s="508"/>
      <c r="G298" s="506"/>
      <c r="H298" s="506"/>
    </row>
    <row r="299" spans="1:8" x14ac:dyDescent="0.25">
      <c r="A299" s="509"/>
      <c r="B299" s="510"/>
      <c r="C299" s="510"/>
      <c r="D299" s="511"/>
      <c r="E299" s="508"/>
      <c r="F299" s="508"/>
      <c r="G299" s="506"/>
      <c r="H299" s="506"/>
    </row>
    <row r="300" spans="1:8" x14ac:dyDescent="0.25">
      <c r="A300" s="509"/>
      <c r="B300" s="510"/>
      <c r="C300" s="510"/>
      <c r="D300" s="511"/>
      <c r="E300" s="508"/>
      <c r="F300" s="508"/>
      <c r="G300" s="506"/>
      <c r="H300" s="506"/>
    </row>
    <row r="301" spans="1:8" x14ac:dyDescent="0.25">
      <c r="A301" s="509"/>
      <c r="B301" s="510"/>
      <c r="C301" s="510"/>
      <c r="D301" s="511"/>
      <c r="E301" s="508"/>
      <c r="F301" s="508"/>
      <c r="G301" s="506"/>
      <c r="H301" s="506"/>
    </row>
    <row r="302" spans="1:8" x14ac:dyDescent="0.25">
      <c r="A302" s="509"/>
      <c r="B302" s="510"/>
      <c r="C302" s="510"/>
      <c r="D302" s="511"/>
      <c r="E302" s="508"/>
      <c r="F302" s="508"/>
      <c r="G302" s="506"/>
      <c r="H302" s="506"/>
    </row>
    <row r="303" spans="1:8" x14ac:dyDescent="0.25">
      <c r="A303" s="509"/>
      <c r="B303" s="510"/>
      <c r="C303" s="510"/>
      <c r="D303" s="511"/>
      <c r="E303" s="508"/>
      <c r="F303" s="508"/>
      <c r="G303" s="506"/>
      <c r="H303" s="506"/>
    </row>
    <row r="304" spans="1:8" x14ac:dyDescent="0.25">
      <c r="A304" s="509"/>
      <c r="B304" s="510"/>
      <c r="C304" s="510"/>
      <c r="D304" s="511"/>
      <c r="E304" s="508"/>
      <c r="F304" s="508"/>
      <c r="G304" s="506"/>
      <c r="H304" s="506"/>
    </row>
    <row r="305" spans="1:8" x14ac:dyDescent="0.25">
      <c r="A305" s="509"/>
      <c r="B305" s="510"/>
      <c r="C305" s="510"/>
      <c r="D305" s="511"/>
      <c r="E305" s="508"/>
      <c r="F305" s="508"/>
      <c r="G305" s="506"/>
      <c r="H305" s="506"/>
    </row>
    <row r="306" spans="1:8" x14ac:dyDescent="0.25">
      <c r="A306" s="509"/>
      <c r="B306" s="510"/>
      <c r="C306" s="510"/>
      <c r="D306" s="511"/>
      <c r="E306" s="508"/>
      <c r="F306" s="508"/>
      <c r="G306" s="506"/>
      <c r="H306" s="506"/>
    </row>
    <row r="307" spans="1:8" x14ac:dyDescent="0.25">
      <c r="A307" s="509"/>
      <c r="B307" s="510"/>
      <c r="C307" s="510"/>
      <c r="D307" s="511"/>
      <c r="E307" s="508"/>
      <c r="F307" s="508"/>
      <c r="G307" s="506"/>
      <c r="H307" s="506"/>
    </row>
    <row r="308" spans="1:8" x14ac:dyDescent="0.25">
      <c r="A308" s="509"/>
      <c r="B308" s="510"/>
      <c r="C308" s="510"/>
      <c r="D308" s="511"/>
      <c r="E308" s="508"/>
      <c r="F308" s="508"/>
      <c r="G308" s="506"/>
      <c r="H308" s="506"/>
    </row>
    <row r="309" spans="1:8" x14ac:dyDescent="0.25">
      <c r="A309" s="1249"/>
      <c r="B309" s="1250"/>
      <c r="C309" s="1250"/>
      <c r="D309" s="1250"/>
      <c r="E309" s="1250"/>
      <c r="F309" s="1251"/>
      <c r="G309" s="507" t="s">
        <v>31</v>
      </c>
      <c r="H309" s="507">
        <f>ROUND(SUM(H289:H308),0)</f>
        <v>22000</v>
      </c>
    </row>
    <row r="310" spans="1:8" x14ac:dyDescent="0.25">
      <c r="A310" s="512"/>
      <c r="B310" s="513"/>
      <c r="C310" s="513"/>
      <c r="D310" s="513"/>
      <c r="E310" s="513"/>
      <c r="F310" s="513"/>
      <c r="G310" s="513"/>
      <c r="H310" s="514"/>
    </row>
    <row r="311" spans="1:8" x14ac:dyDescent="0.25">
      <c r="A311" s="1260" t="s">
        <v>1993</v>
      </c>
      <c r="B311" s="1260"/>
      <c r="C311" s="1260"/>
      <c r="D311" s="1259" t="s">
        <v>1994</v>
      </c>
      <c r="E311" s="1259"/>
      <c r="F311" s="515" t="s">
        <v>28</v>
      </c>
      <c r="G311" s="502" t="s">
        <v>1989</v>
      </c>
      <c r="H311" s="502" t="s">
        <v>1990</v>
      </c>
    </row>
    <row r="312" spans="1:8" x14ac:dyDescent="0.25">
      <c r="A312" s="1256" t="s">
        <v>1996</v>
      </c>
      <c r="B312" s="1256"/>
      <c r="C312" s="1256"/>
      <c r="D312" s="1261">
        <v>15000</v>
      </c>
      <c r="E312" s="1261"/>
      <c r="F312" s="503">
        <v>5</v>
      </c>
      <c r="G312" s="506">
        <f>+D312/F312</f>
        <v>3000</v>
      </c>
      <c r="H312" s="506">
        <f>+G312</f>
        <v>3000</v>
      </c>
    </row>
    <row r="313" spans="1:8" x14ac:dyDescent="0.25">
      <c r="A313" s="1262"/>
      <c r="B313" s="1262"/>
      <c r="C313" s="1262"/>
      <c r="D313" s="1261"/>
      <c r="E313" s="1261"/>
      <c r="F313" s="503"/>
      <c r="G313" s="506"/>
      <c r="H313" s="506">
        <f>+G313</f>
        <v>0</v>
      </c>
    </row>
    <row r="314" spans="1:8" x14ac:dyDescent="0.25">
      <c r="A314" s="1256"/>
      <c r="B314" s="1256"/>
      <c r="C314" s="1256"/>
      <c r="D314" s="1261"/>
      <c r="E314" s="1261"/>
      <c r="F314" s="503"/>
      <c r="G314" s="506"/>
      <c r="H314" s="506">
        <f>+G314</f>
        <v>0</v>
      </c>
    </row>
    <row r="315" spans="1:8" x14ac:dyDescent="0.25">
      <c r="A315" s="1257"/>
      <c r="B315" s="1257"/>
      <c r="C315" s="1257"/>
      <c r="D315" s="1257"/>
      <c r="E315" s="1257"/>
      <c r="F315" s="503"/>
      <c r="G315" s="506"/>
      <c r="H315" s="506"/>
    </row>
    <row r="316" spans="1:8" x14ac:dyDescent="0.25">
      <c r="A316" s="1249"/>
      <c r="B316" s="1250"/>
      <c r="C316" s="1250"/>
      <c r="D316" s="1250"/>
      <c r="E316" s="1250"/>
      <c r="F316" s="1251"/>
      <c r="G316" s="507" t="s">
        <v>31</v>
      </c>
      <c r="H316" s="507">
        <f>SUM(H312:H315)</f>
        <v>3000</v>
      </c>
    </row>
    <row r="317" spans="1:8" x14ac:dyDescent="0.25">
      <c r="A317" s="1249"/>
      <c r="B317" s="1250"/>
      <c r="C317" s="1250"/>
      <c r="D317" s="1250"/>
      <c r="E317" s="1250"/>
      <c r="F317" s="1250"/>
      <c r="G317" s="1250"/>
      <c r="H317" s="1251"/>
    </row>
    <row r="318" spans="1:8" x14ac:dyDescent="0.25">
      <c r="A318" s="1258" t="s">
        <v>1997</v>
      </c>
      <c r="B318" s="1258"/>
      <c r="C318" s="516" t="s">
        <v>1998</v>
      </c>
      <c r="D318" s="1259" t="s">
        <v>1999</v>
      </c>
      <c r="E318" s="1259"/>
      <c r="F318" s="515" t="s">
        <v>2000</v>
      </c>
      <c r="G318" s="517" t="s">
        <v>2001</v>
      </c>
      <c r="H318" s="517" t="s">
        <v>2002</v>
      </c>
    </row>
    <row r="319" spans="1:8" x14ac:dyDescent="0.25">
      <c r="A319" s="1253" t="s">
        <v>2003</v>
      </c>
      <c r="B319" s="1253"/>
      <c r="C319" s="518">
        <v>150000</v>
      </c>
      <c r="D319" s="1254">
        <f>C319*65%</f>
        <v>97500</v>
      </c>
      <c r="E319" s="1255"/>
      <c r="F319" s="518">
        <f>C319+D319</f>
        <v>247500</v>
      </c>
      <c r="G319" s="519">
        <v>5</v>
      </c>
      <c r="H319" s="518">
        <f>F319/G319</f>
        <v>49500</v>
      </c>
    </row>
    <row r="320" spans="1:8" x14ac:dyDescent="0.25">
      <c r="A320" s="1253" t="s">
        <v>2004</v>
      </c>
      <c r="B320" s="1253"/>
      <c r="C320" s="518">
        <v>70000</v>
      </c>
      <c r="D320" s="1254">
        <f>C320*65%</f>
        <v>45500</v>
      </c>
      <c r="E320" s="1255"/>
      <c r="F320" s="518">
        <f>C320+D320</f>
        <v>115500</v>
      </c>
      <c r="G320" s="519">
        <v>5</v>
      </c>
      <c r="H320" s="518">
        <f>F320/G320</f>
        <v>23100</v>
      </c>
    </row>
    <row r="321" spans="1:8" x14ac:dyDescent="0.25">
      <c r="A321" s="1253" t="s">
        <v>2005</v>
      </c>
      <c r="B321" s="1253"/>
      <c r="C321" s="518">
        <v>45000</v>
      </c>
      <c r="D321" s="1254">
        <f>C321*65%</f>
        <v>29250</v>
      </c>
      <c r="E321" s="1255"/>
      <c r="F321" s="518">
        <f>C321+D321</f>
        <v>74250</v>
      </c>
      <c r="G321" s="519">
        <v>5</v>
      </c>
      <c r="H321" s="518">
        <f>F321/G321</f>
        <v>14850</v>
      </c>
    </row>
    <row r="322" spans="1:8" x14ac:dyDescent="0.25">
      <c r="A322" s="1256" t="s">
        <v>2006</v>
      </c>
      <c r="B322" s="1256"/>
      <c r="C322" s="520">
        <v>120000</v>
      </c>
      <c r="D322" s="1257"/>
      <c r="E322" s="1257"/>
      <c r="F322" s="506">
        <f>C322</f>
        <v>120000</v>
      </c>
      <c r="G322" s="521">
        <v>5</v>
      </c>
      <c r="H322" s="518">
        <f>F322/G322</f>
        <v>24000</v>
      </c>
    </row>
    <row r="323" spans="1:8" x14ac:dyDescent="0.25">
      <c r="A323" s="1249"/>
      <c r="B323" s="1250"/>
      <c r="C323" s="1250"/>
      <c r="D323" s="1250"/>
      <c r="E323" s="1250"/>
      <c r="F323" s="1251"/>
      <c r="G323" s="507" t="s">
        <v>31</v>
      </c>
      <c r="H323" s="507">
        <f>SUM(H319:H322)</f>
        <v>111450</v>
      </c>
    </row>
    <row r="324" spans="1:8" ht="15.75" thickBot="1" x14ac:dyDescent="0.3">
      <c r="A324" s="1249"/>
      <c r="B324" s="1250"/>
      <c r="C324" s="1250"/>
      <c r="D324" s="1250"/>
      <c r="E324" s="1250"/>
      <c r="F324" s="1250"/>
      <c r="G324" s="1250"/>
      <c r="H324" s="1251"/>
    </row>
    <row r="325" spans="1:8" ht="16.5" thickTop="1" thickBot="1" x14ac:dyDescent="0.3">
      <c r="A325" s="1252" t="s">
        <v>2007</v>
      </c>
      <c r="B325" s="1252"/>
      <c r="C325" s="1252"/>
      <c r="D325" s="1252"/>
      <c r="E325" s="1252"/>
      <c r="F325" s="1252"/>
      <c r="G325" s="1252"/>
      <c r="H325" s="499">
        <f>ROUND(H323+H316+H309+H286,0)</f>
        <v>254750</v>
      </c>
    </row>
    <row r="326" spans="1:8" ht="15.75" thickBot="1" x14ac:dyDescent="0.3"/>
    <row r="327" spans="1:8" ht="15.75" thickBot="1" x14ac:dyDescent="0.3">
      <c r="A327" s="1279"/>
      <c r="B327" s="1280"/>
      <c r="C327" s="1280"/>
      <c r="D327" s="1280"/>
      <c r="E327" s="1280"/>
      <c r="F327" s="1280"/>
      <c r="G327" s="1280"/>
      <c r="H327" s="1281"/>
    </row>
    <row r="328" spans="1:8" ht="15.75" thickTop="1" x14ac:dyDescent="0.25">
      <c r="A328" s="1282"/>
      <c r="B328" s="1283"/>
      <c r="C328" s="1283"/>
      <c r="D328" s="1283"/>
      <c r="E328" s="1283"/>
      <c r="F328" s="1283"/>
      <c r="G328" s="1283"/>
      <c r="H328" s="1284"/>
    </row>
    <row r="329" spans="1:8" x14ac:dyDescent="0.25">
      <c r="A329" s="1274"/>
      <c r="B329" s="1274"/>
      <c r="C329" s="1274"/>
      <c r="D329" s="1274"/>
      <c r="E329" s="1274"/>
      <c r="F329" s="1275"/>
      <c r="G329" s="1275"/>
      <c r="H329" s="1275"/>
    </row>
    <row r="330" spans="1:8" x14ac:dyDescent="0.25">
      <c r="A330" s="1274"/>
      <c r="B330" s="1274"/>
      <c r="C330" s="1274"/>
      <c r="D330" s="1274"/>
      <c r="E330" s="1274"/>
      <c r="F330" s="500"/>
      <c r="G330" s="1276"/>
      <c r="H330" s="1276"/>
    </row>
    <row r="331" spans="1:8" x14ac:dyDescent="0.25">
      <c r="A331" s="1274"/>
      <c r="B331" s="1274"/>
      <c r="C331" s="1274"/>
      <c r="D331" s="1274"/>
      <c r="E331" s="1274"/>
      <c r="F331" s="1291"/>
      <c r="G331" s="1278"/>
      <c r="H331" s="1278"/>
    </row>
    <row r="332" spans="1:8" x14ac:dyDescent="0.25">
      <c r="A332" s="1249"/>
      <c r="B332" s="1250"/>
      <c r="C332" s="1250"/>
      <c r="D332" s="1250"/>
      <c r="E332" s="1250"/>
      <c r="F332" s="1250"/>
      <c r="G332" s="1250"/>
      <c r="H332" s="1251"/>
    </row>
    <row r="333" spans="1:8" x14ac:dyDescent="0.25">
      <c r="A333" s="1264" t="s">
        <v>1988</v>
      </c>
      <c r="B333" s="1264"/>
      <c r="C333" s="1264"/>
      <c r="D333" s="1264"/>
      <c r="E333" s="501" t="s">
        <v>24</v>
      </c>
      <c r="F333" s="501" t="s">
        <v>34</v>
      </c>
      <c r="G333" s="502" t="s">
        <v>1989</v>
      </c>
      <c r="H333" s="502" t="s">
        <v>1990</v>
      </c>
    </row>
    <row r="334" spans="1:8" x14ac:dyDescent="0.25">
      <c r="A334" s="524" t="s">
        <v>2051</v>
      </c>
      <c r="B334" s="525"/>
      <c r="C334" s="525"/>
      <c r="D334" s="526"/>
      <c r="E334" s="503" t="s">
        <v>77</v>
      </c>
      <c r="F334" s="522">
        <v>3</v>
      </c>
      <c r="G334" s="505">
        <v>10300</v>
      </c>
      <c r="H334" s="506">
        <f t="shared" ref="H334:H353" si="4">+G334*F334</f>
        <v>30900</v>
      </c>
    </row>
    <row r="335" spans="1:8" x14ac:dyDescent="0.25">
      <c r="A335" s="527" t="s">
        <v>2052</v>
      </c>
      <c r="B335" s="528"/>
      <c r="C335" s="528"/>
      <c r="D335" s="529"/>
      <c r="E335" s="530" t="s">
        <v>15</v>
      </c>
      <c r="F335" s="531">
        <v>1</v>
      </c>
      <c r="G335" s="532">
        <v>3600</v>
      </c>
      <c r="H335" s="506">
        <f t="shared" si="4"/>
        <v>3600</v>
      </c>
    </row>
    <row r="336" spans="1:8" x14ac:dyDescent="0.25">
      <c r="A336" s="527"/>
      <c r="B336" s="528"/>
      <c r="C336" s="533"/>
      <c r="D336" s="534"/>
      <c r="E336" s="535"/>
      <c r="F336" s="536"/>
      <c r="G336" s="537"/>
      <c r="H336" s="506">
        <f t="shared" si="4"/>
        <v>0</v>
      </c>
    </row>
    <row r="337" spans="1:8" x14ac:dyDescent="0.25">
      <c r="A337" s="538"/>
      <c r="B337" s="533"/>
      <c r="C337" s="533"/>
      <c r="D337" s="534"/>
      <c r="E337" s="535"/>
      <c r="F337" s="536"/>
      <c r="G337" s="537"/>
      <c r="H337" s="506">
        <f t="shared" si="4"/>
        <v>0</v>
      </c>
    </row>
    <row r="338" spans="1:8" x14ac:dyDescent="0.25">
      <c r="A338" s="538"/>
      <c r="B338" s="533"/>
      <c r="C338" s="533"/>
      <c r="D338" s="534"/>
      <c r="E338" s="535"/>
      <c r="F338" s="536"/>
      <c r="G338" s="537"/>
      <c r="H338" s="506">
        <f t="shared" si="4"/>
        <v>0</v>
      </c>
    </row>
    <row r="339" spans="1:8" x14ac:dyDescent="0.25">
      <c r="A339" s="527"/>
      <c r="B339" s="528"/>
      <c r="C339" s="533"/>
      <c r="D339" s="534"/>
      <c r="E339" s="535"/>
      <c r="F339" s="536"/>
      <c r="G339" s="537"/>
      <c r="H339" s="506">
        <f t="shared" si="4"/>
        <v>0</v>
      </c>
    </row>
    <row r="340" spans="1:8" x14ac:dyDescent="0.25">
      <c r="A340" s="1288"/>
      <c r="B340" s="1289"/>
      <c r="C340" s="1289"/>
      <c r="D340" s="1290"/>
      <c r="E340" s="535"/>
      <c r="F340" s="536"/>
      <c r="G340" s="537"/>
      <c r="H340" s="506">
        <f t="shared" si="4"/>
        <v>0</v>
      </c>
    </row>
    <row r="341" spans="1:8" x14ac:dyDescent="0.25">
      <c r="A341" s="1271"/>
      <c r="B341" s="1272"/>
      <c r="C341" s="1272"/>
      <c r="D341" s="1273"/>
      <c r="E341" s="503"/>
      <c r="F341" s="522"/>
      <c r="G341" s="505"/>
      <c r="H341" s="506">
        <f t="shared" si="4"/>
        <v>0</v>
      </c>
    </row>
    <row r="342" spans="1:8" x14ac:dyDescent="0.25">
      <c r="A342" s="1271"/>
      <c r="B342" s="1272"/>
      <c r="C342" s="1272"/>
      <c r="D342" s="1273"/>
      <c r="E342" s="503"/>
      <c r="F342" s="522"/>
      <c r="G342" s="505"/>
      <c r="H342" s="506">
        <f t="shared" si="4"/>
        <v>0</v>
      </c>
    </row>
    <row r="343" spans="1:8" x14ac:dyDescent="0.25">
      <c r="A343" s="1271"/>
      <c r="B343" s="1272"/>
      <c r="C343" s="1272"/>
      <c r="D343" s="1273"/>
      <c r="E343" s="503"/>
      <c r="F343" s="522"/>
      <c r="G343" s="505"/>
      <c r="H343" s="506">
        <f t="shared" si="4"/>
        <v>0</v>
      </c>
    </row>
    <row r="344" spans="1:8" x14ac:dyDescent="0.25">
      <c r="A344" s="1271"/>
      <c r="B344" s="1272"/>
      <c r="C344" s="1272"/>
      <c r="D344" s="1273"/>
      <c r="E344" s="503"/>
      <c r="F344" s="522"/>
      <c r="G344" s="505"/>
      <c r="H344" s="506">
        <f t="shared" si="4"/>
        <v>0</v>
      </c>
    </row>
    <row r="345" spans="1:8" x14ac:dyDescent="0.25">
      <c r="A345" s="1271"/>
      <c r="B345" s="1272"/>
      <c r="C345" s="1272"/>
      <c r="D345" s="1273"/>
      <c r="E345" s="503"/>
      <c r="F345" s="522"/>
      <c r="G345" s="505"/>
      <c r="H345" s="506">
        <f t="shared" si="4"/>
        <v>0</v>
      </c>
    </row>
    <row r="346" spans="1:8" x14ac:dyDescent="0.25">
      <c r="A346" s="1263"/>
      <c r="B346" s="1263"/>
      <c r="C346" s="1263"/>
      <c r="D346" s="1263"/>
      <c r="E346" s="503" t="s">
        <v>53</v>
      </c>
      <c r="F346" s="504"/>
      <c r="G346" s="505"/>
      <c r="H346" s="506">
        <f t="shared" si="4"/>
        <v>0</v>
      </c>
    </row>
    <row r="347" spans="1:8" x14ac:dyDescent="0.25">
      <c r="A347" s="1263"/>
      <c r="B347" s="1263"/>
      <c r="C347" s="1263"/>
      <c r="D347" s="1263"/>
      <c r="E347" s="503" t="s">
        <v>53</v>
      </c>
      <c r="F347" s="504"/>
      <c r="G347" s="505"/>
      <c r="H347" s="506">
        <f t="shared" si="4"/>
        <v>0</v>
      </c>
    </row>
    <row r="348" spans="1:8" x14ac:dyDescent="0.25">
      <c r="A348" s="1263"/>
      <c r="B348" s="1263"/>
      <c r="C348" s="1263"/>
      <c r="D348" s="1263"/>
      <c r="E348" s="503" t="s">
        <v>53</v>
      </c>
      <c r="F348" s="504"/>
      <c r="G348" s="505"/>
      <c r="H348" s="506">
        <f t="shared" si="4"/>
        <v>0</v>
      </c>
    </row>
    <row r="349" spans="1:8" x14ac:dyDescent="0.25">
      <c r="A349" s="1263"/>
      <c r="B349" s="1263"/>
      <c r="C349" s="1263"/>
      <c r="D349" s="1263"/>
      <c r="E349" s="503" t="s">
        <v>53</v>
      </c>
      <c r="F349" s="504"/>
      <c r="G349" s="505"/>
      <c r="H349" s="506">
        <f t="shared" si="4"/>
        <v>0</v>
      </c>
    </row>
    <row r="350" spans="1:8" x14ac:dyDescent="0.25">
      <c r="A350" s="1263"/>
      <c r="B350" s="1263"/>
      <c r="C350" s="1263"/>
      <c r="D350" s="1263"/>
      <c r="E350" s="503" t="s">
        <v>53</v>
      </c>
      <c r="F350" s="504"/>
      <c r="G350" s="505"/>
      <c r="H350" s="506">
        <f t="shared" si="4"/>
        <v>0</v>
      </c>
    </row>
    <row r="351" spans="1:8" x14ac:dyDescent="0.25">
      <c r="A351" s="1263"/>
      <c r="B351" s="1263"/>
      <c r="C351" s="1263"/>
      <c r="D351" s="1263"/>
      <c r="E351" s="503" t="s">
        <v>53</v>
      </c>
      <c r="F351" s="504"/>
      <c r="G351" s="505"/>
      <c r="H351" s="506">
        <f t="shared" si="4"/>
        <v>0</v>
      </c>
    </row>
    <row r="352" spans="1:8" x14ac:dyDescent="0.25">
      <c r="A352" s="1263"/>
      <c r="B352" s="1263"/>
      <c r="C352" s="1263"/>
      <c r="D352" s="1263"/>
      <c r="E352" s="503" t="s">
        <v>53</v>
      </c>
      <c r="F352" s="504"/>
      <c r="G352" s="505"/>
      <c r="H352" s="506">
        <f t="shared" si="4"/>
        <v>0</v>
      </c>
    </row>
    <row r="353" spans="1:8" x14ac:dyDescent="0.25">
      <c r="A353" s="1263"/>
      <c r="B353" s="1263"/>
      <c r="C353" s="1263"/>
      <c r="D353" s="1263"/>
      <c r="E353" s="503" t="s">
        <v>53</v>
      </c>
      <c r="F353" s="504"/>
      <c r="G353" s="505"/>
      <c r="H353" s="506">
        <f t="shared" si="4"/>
        <v>0</v>
      </c>
    </row>
    <row r="354" spans="1:8" x14ac:dyDescent="0.25">
      <c r="A354" s="1249"/>
      <c r="B354" s="1250"/>
      <c r="C354" s="1250"/>
      <c r="D354" s="1250"/>
      <c r="E354" s="1250"/>
      <c r="F354" s="1251"/>
      <c r="G354" s="507" t="s">
        <v>31</v>
      </c>
      <c r="H354" s="507">
        <f>ROUND(SUM(H334:H353),0)</f>
        <v>34500</v>
      </c>
    </row>
    <row r="355" spans="1:8" x14ac:dyDescent="0.25">
      <c r="A355" s="1249"/>
      <c r="B355" s="1250"/>
      <c r="C355" s="1250"/>
      <c r="D355" s="1250"/>
      <c r="E355" s="1250"/>
      <c r="F355" s="1250"/>
      <c r="G355" s="1250"/>
      <c r="H355" s="1251"/>
    </row>
    <row r="356" spans="1:8" x14ac:dyDescent="0.25">
      <c r="A356" s="1264" t="s">
        <v>1991</v>
      </c>
      <c r="B356" s="1264"/>
      <c r="C356" s="1264"/>
      <c r="D356" s="1264"/>
      <c r="E356" s="501" t="s">
        <v>1992</v>
      </c>
      <c r="F356" s="501" t="s">
        <v>34</v>
      </c>
      <c r="G356" s="502" t="s">
        <v>1989</v>
      </c>
      <c r="H356" s="502" t="s">
        <v>1990</v>
      </c>
    </row>
    <row r="357" spans="1:8" x14ac:dyDescent="0.25">
      <c r="A357" s="1265" t="s">
        <v>2053</v>
      </c>
      <c r="B357" s="1266"/>
      <c r="C357" s="1266"/>
      <c r="D357" s="1267"/>
      <c r="E357" s="503">
        <v>4</v>
      </c>
      <c r="F357" s="508">
        <v>1</v>
      </c>
      <c r="G357" s="506">
        <v>400</v>
      </c>
      <c r="H357" s="506">
        <f>E357*G357</f>
        <v>1600</v>
      </c>
    </row>
    <row r="358" spans="1:8" x14ac:dyDescent="0.25">
      <c r="A358" s="1285"/>
      <c r="B358" s="1286"/>
      <c r="C358" s="1286"/>
      <c r="D358" s="1287"/>
      <c r="E358" s="508"/>
      <c r="F358" s="508"/>
      <c r="G358" s="506"/>
      <c r="H358" s="506"/>
    </row>
    <row r="359" spans="1:8" x14ac:dyDescent="0.25">
      <c r="A359" s="1285"/>
      <c r="B359" s="1286"/>
      <c r="C359" s="1286"/>
      <c r="D359" s="1287"/>
      <c r="E359" s="508"/>
      <c r="F359" s="508"/>
      <c r="G359" s="506"/>
      <c r="H359" s="506"/>
    </row>
    <row r="360" spans="1:8" x14ac:dyDescent="0.25">
      <c r="A360" s="1285"/>
      <c r="B360" s="1286"/>
      <c r="C360" s="1286"/>
      <c r="D360" s="1287"/>
      <c r="E360" s="508"/>
      <c r="F360" s="508"/>
      <c r="G360" s="506"/>
      <c r="H360" s="506"/>
    </row>
    <row r="361" spans="1:8" x14ac:dyDescent="0.25">
      <c r="A361" s="1285"/>
      <c r="B361" s="1286"/>
      <c r="C361" s="1286"/>
      <c r="D361" s="1287"/>
      <c r="E361" s="508"/>
      <c r="F361" s="508"/>
      <c r="G361" s="506"/>
      <c r="H361" s="506"/>
    </row>
    <row r="362" spans="1:8" x14ac:dyDescent="0.25">
      <c r="A362" s="1285"/>
      <c r="B362" s="1286"/>
      <c r="C362" s="1286"/>
      <c r="D362" s="1287"/>
      <c r="E362" s="508"/>
      <c r="F362" s="508"/>
      <c r="G362" s="506"/>
      <c r="H362" s="506"/>
    </row>
    <row r="363" spans="1:8" x14ac:dyDescent="0.25">
      <c r="A363" s="509"/>
      <c r="B363" s="510"/>
      <c r="C363" s="510"/>
      <c r="D363" s="511"/>
      <c r="E363" s="508"/>
      <c r="F363" s="508"/>
      <c r="G363" s="506"/>
      <c r="H363" s="506"/>
    </row>
    <row r="364" spans="1:8" x14ac:dyDescent="0.25">
      <c r="A364" s="509"/>
      <c r="B364" s="510"/>
      <c r="C364" s="510"/>
      <c r="D364" s="511"/>
      <c r="E364" s="508"/>
      <c r="F364" s="508"/>
      <c r="G364" s="506"/>
      <c r="H364" s="506"/>
    </row>
    <row r="365" spans="1:8" x14ac:dyDescent="0.25">
      <c r="A365" s="509"/>
      <c r="B365" s="510"/>
      <c r="C365" s="510"/>
      <c r="D365" s="511"/>
      <c r="E365" s="508"/>
      <c r="F365" s="508"/>
      <c r="G365" s="506"/>
      <c r="H365" s="506"/>
    </row>
    <row r="366" spans="1:8" x14ac:dyDescent="0.25">
      <c r="A366" s="509"/>
      <c r="B366" s="510"/>
      <c r="C366" s="510"/>
      <c r="D366" s="511"/>
      <c r="E366" s="508"/>
      <c r="F366" s="508"/>
      <c r="G366" s="506"/>
      <c r="H366" s="506"/>
    </row>
    <row r="367" spans="1:8" x14ac:dyDescent="0.25">
      <c r="A367" s="509"/>
      <c r="B367" s="510"/>
      <c r="C367" s="510"/>
      <c r="D367" s="511"/>
      <c r="E367" s="508"/>
      <c r="F367" s="508"/>
      <c r="G367" s="506"/>
      <c r="H367" s="506"/>
    </row>
    <row r="368" spans="1:8" x14ac:dyDescent="0.25">
      <c r="A368" s="509"/>
      <c r="B368" s="510"/>
      <c r="C368" s="510"/>
      <c r="D368" s="511"/>
      <c r="E368" s="508"/>
      <c r="F368" s="508"/>
      <c r="G368" s="506"/>
      <c r="H368" s="506"/>
    </row>
    <row r="369" spans="1:8" x14ac:dyDescent="0.25">
      <c r="A369" s="509"/>
      <c r="B369" s="510"/>
      <c r="C369" s="510"/>
      <c r="D369" s="511"/>
      <c r="E369" s="508"/>
      <c r="F369" s="508"/>
      <c r="G369" s="506"/>
      <c r="H369" s="506"/>
    </row>
    <row r="370" spans="1:8" x14ac:dyDescent="0.25">
      <c r="A370" s="509"/>
      <c r="B370" s="510"/>
      <c r="C370" s="510"/>
      <c r="D370" s="511"/>
      <c r="E370" s="508"/>
      <c r="F370" s="508"/>
      <c r="G370" s="506"/>
      <c r="H370" s="506"/>
    </row>
    <row r="371" spans="1:8" x14ac:dyDescent="0.25">
      <c r="A371" s="509"/>
      <c r="B371" s="510"/>
      <c r="C371" s="510"/>
      <c r="D371" s="511"/>
      <c r="E371" s="508"/>
      <c r="F371" s="508"/>
      <c r="G371" s="506"/>
      <c r="H371" s="506"/>
    </row>
    <row r="372" spans="1:8" x14ac:dyDescent="0.25">
      <c r="A372" s="509"/>
      <c r="B372" s="510"/>
      <c r="C372" s="510"/>
      <c r="D372" s="511"/>
      <c r="E372" s="508"/>
      <c r="F372" s="508"/>
      <c r="G372" s="506"/>
      <c r="H372" s="506"/>
    </row>
    <row r="373" spans="1:8" x14ac:dyDescent="0.25">
      <c r="A373" s="509"/>
      <c r="B373" s="510"/>
      <c r="C373" s="510"/>
      <c r="D373" s="511"/>
      <c r="E373" s="508"/>
      <c r="F373" s="508"/>
      <c r="G373" s="506"/>
      <c r="H373" s="506"/>
    </row>
    <row r="374" spans="1:8" x14ac:dyDescent="0.25">
      <c r="A374" s="509"/>
      <c r="B374" s="510"/>
      <c r="C374" s="510"/>
      <c r="D374" s="511"/>
      <c r="E374" s="508"/>
      <c r="F374" s="508"/>
      <c r="G374" s="506"/>
      <c r="H374" s="506"/>
    </row>
    <row r="375" spans="1:8" x14ac:dyDescent="0.25">
      <c r="A375" s="509"/>
      <c r="B375" s="510"/>
      <c r="C375" s="510"/>
      <c r="D375" s="511"/>
      <c r="E375" s="508"/>
      <c r="F375" s="508"/>
      <c r="G375" s="506"/>
      <c r="H375" s="506"/>
    </row>
    <row r="376" spans="1:8" x14ac:dyDescent="0.25">
      <c r="A376" s="509"/>
      <c r="B376" s="510"/>
      <c r="C376" s="510"/>
      <c r="D376" s="511"/>
      <c r="E376" s="508"/>
      <c r="F376" s="508"/>
      <c r="G376" s="506"/>
      <c r="H376" s="506"/>
    </row>
    <row r="377" spans="1:8" x14ac:dyDescent="0.25">
      <c r="A377" s="1249"/>
      <c r="B377" s="1250"/>
      <c r="C377" s="1250"/>
      <c r="D377" s="1250"/>
      <c r="E377" s="1250"/>
      <c r="F377" s="1251"/>
      <c r="G377" s="507" t="s">
        <v>31</v>
      </c>
      <c r="H377" s="507">
        <f>ROUND(SUM(H357:H376),0)</f>
        <v>1600</v>
      </c>
    </row>
    <row r="378" spans="1:8" x14ac:dyDescent="0.25">
      <c r="A378" s="512"/>
      <c r="B378" s="513"/>
      <c r="C378" s="513"/>
      <c r="D378" s="513"/>
      <c r="E378" s="513"/>
      <c r="F378" s="513"/>
      <c r="G378" s="513"/>
      <c r="H378" s="514"/>
    </row>
    <row r="379" spans="1:8" x14ac:dyDescent="0.25">
      <c r="A379" s="1260" t="s">
        <v>1993</v>
      </c>
      <c r="B379" s="1260"/>
      <c r="C379" s="1260"/>
      <c r="D379" s="1259" t="s">
        <v>1994</v>
      </c>
      <c r="E379" s="1259"/>
      <c r="F379" s="515" t="s">
        <v>28</v>
      </c>
      <c r="G379" s="502" t="s">
        <v>1989</v>
      </c>
      <c r="H379" s="502" t="s">
        <v>1990</v>
      </c>
    </row>
    <row r="380" spans="1:8" x14ac:dyDescent="0.25">
      <c r="A380" s="1256" t="s">
        <v>1996</v>
      </c>
      <c r="B380" s="1256"/>
      <c r="C380" s="1256"/>
      <c r="D380" s="1261">
        <v>15000</v>
      </c>
      <c r="E380" s="1261"/>
      <c r="F380" s="503">
        <v>5</v>
      </c>
      <c r="G380" s="506">
        <f>+D380/F380</f>
        <v>3000</v>
      </c>
      <c r="H380" s="506">
        <f>+G380</f>
        <v>3000</v>
      </c>
    </row>
    <row r="381" spans="1:8" x14ac:dyDescent="0.25">
      <c r="A381" s="1262"/>
      <c r="B381" s="1262"/>
      <c r="C381" s="1262"/>
      <c r="D381" s="1261"/>
      <c r="E381" s="1261"/>
      <c r="F381" s="503"/>
      <c r="G381" s="506"/>
      <c r="H381" s="506">
        <f>+G381</f>
        <v>0</v>
      </c>
    </row>
    <row r="382" spans="1:8" x14ac:dyDescent="0.25">
      <c r="A382" s="1256"/>
      <c r="B382" s="1256"/>
      <c r="C382" s="1256"/>
      <c r="D382" s="1261"/>
      <c r="E382" s="1261"/>
      <c r="F382" s="503"/>
      <c r="G382" s="506"/>
      <c r="H382" s="506">
        <f>+G382</f>
        <v>0</v>
      </c>
    </row>
    <row r="383" spans="1:8" x14ac:dyDescent="0.25">
      <c r="A383" s="1257"/>
      <c r="B383" s="1257"/>
      <c r="C383" s="1257"/>
      <c r="D383" s="1257"/>
      <c r="E383" s="1257"/>
      <c r="F383" s="503"/>
      <c r="G383" s="506"/>
      <c r="H383" s="506"/>
    </row>
    <row r="384" spans="1:8" x14ac:dyDescent="0.25">
      <c r="A384" s="1249"/>
      <c r="B384" s="1250"/>
      <c r="C384" s="1250"/>
      <c r="D384" s="1250"/>
      <c r="E384" s="1250"/>
      <c r="F384" s="1251"/>
      <c r="G384" s="507" t="s">
        <v>31</v>
      </c>
      <c r="H384" s="507">
        <f>SUM(H380:H383)</f>
        <v>3000</v>
      </c>
    </row>
    <row r="385" spans="1:8" x14ac:dyDescent="0.25">
      <c r="A385" s="1249"/>
      <c r="B385" s="1250"/>
      <c r="C385" s="1250"/>
      <c r="D385" s="1250"/>
      <c r="E385" s="1250"/>
      <c r="F385" s="1250"/>
      <c r="G385" s="1250"/>
      <c r="H385" s="1251"/>
    </row>
    <row r="386" spans="1:8" x14ac:dyDescent="0.25">
      <c r="A386" s="1258" t="s">
        <v>1997</v>
      </c>
      <c r="B386" s="1258"/>
      <c r="C386" s="516" t="s">
        <v>1998</v>
      </c>
      <c r="D386" s="1259" t="s">
        <v>1999</v>
      </c>
      <c r="E386" s="1259"/>
      <c r="F386" s="515" t="s">
        <v>2000</v>
      </c>
      <c r="G386" s="517" t="s">
        <v>2001</v>
      </c>
      <c r="H386" s="517" t="s">
        <v>2002</v>
      </c>
    </row>
    <row r="387" spans="1:8" x14ac:dyDescent="0.25">
      <c r="A387" s="1253" t="s">
        <v>2003</v>
      </c>
      <c r="B387" s="1253"/>
      <c r="C387" s="518">
        <v>150000</v>
      </c>
      <c r="D387" s="1254">
        <f>C387*65%</f>
        <v>97500</v>
      </c>
      <c r="E387" s="1255"/>
      <c r="F387" s="518">
        <f>C387+D387</f>
        <v>247500</v>
      </c>
      <c r="G387" s="539">
        <v>100</v>
      </c>
      <c r="H387" s="518">
        <f>F387/G387</f>
        <v>2475</v>
      </c>
    </row>
    <row r="388" spans="1:8" x14ac:dyDescent="0.25">
      <c r="A388" s="1253" t="s">
        <v>2004</v>
      </c>
      <c r="B388" s="1253"/>
      <c r="C388" s="518">
        <v>70000</v>
      </c>
      <c r="D388" s="1254">
        <f>C388*65%</f>
        <v>45500</v>
      </c>
      <c r="E388" s="1255"/>
      <c r="F388" s="518">
        <f>C388+D388</f>
        <v>115500</v>
      </c>
      <c r="G388" s="539">
        <v>100</v>
      </c>
      <c r="H388" s="518">
        <f>F388/G388</f>
        <v>1155</v>
      </c>
    </row>
    <row r="389" spans="1:8" x14ac:dyDescent="0.25">
      <c r="A389" s="1253" t="s">
        <v>2005</v>
      </c>
      <c r="B389" s="1253"/>
      <c r="C389" s="518">
        <v>45000</v>
      </c>
      <c r="D389" s="1254">
        <f>C389*65%</f>
        <v>29250</v>
      </c>
      <c r="E389" s="1255"/>
      <c r="F389" s="518">
        <f>C389+D389</f>
        <v>74250</v>
      </c>
      <c r="G389" s="539">
        <v>100</v>
      </c>
      <c r="H389" s="518">
        <f>F389/G389</f>
        <v>742.5</v>
      </c>
    </row>
    <row r="390" spans="1:8" x14ac:dyDescent="0.25">
      <c r="A390" s="1256" t="s">
        <v>2006</v>
      </c>
      <c r="B390" s="1256"/>
      <c r="C390" s="520">
        <v>120000</v>
      </c>
      <c r="D390" s="1257"/>
      <c r="E390" s="1257"/>
      <c r="F390" s="506">
        <f>C390</f>
        <v>120000</v>
      </c>
      <c r="G390" s="539">
        <v>100</v>
      </c>
      <c r="H390" s="518">
        <f>F390/G390</f>
        <v>1200</v>
      </c>
    </row>
    <row r="391" spans="1:8" x14ac:dyDescent="0.25">
      <c r="A391" s="1249"/>
      <c r="B391" s="1250"/>
      <c r="C391" s="1250"/>
      <c r="D391" s="1250"/>
      <c r="E391" s="1250"/>
      <c r="F391" s="1251"/>
      <c r="G391" s="507" t="s">
        <v>31</v>
      </c>
      <c r="H391" s="507">
        <f>SUM(H387:H390)</f>
        <v>5572.5</v>
      </c>
    </row>
    <row r="392" spans="1:8" ht="15.75" thickBot="1" x14ac:dyDescent="0.3">
      <c r="A392" s="1249"/>
      <c r="B392" s="1250"/>
      <c r="C392" s="1250"/>
      <c r="D392" s="1250"/>
      <c r="E392" s="1250"/>
      <c r="F392" s="1250"/>
      <c r="G392" s="1250"/>
      <c r="H392" s="1251"/>
    </row>
    <row r="393" spans="1:8" ht="16.5" thickTop="1" thickBot="1" x14ac:dyDescent="0.3">
      <c r="A393" s="1252" t="s">
        <v>2007</v>
      </c>
      <c r="B393" s="1252"/>
      <c r="C393" s="1252"/>
      <c r="D393" s="1252"/>
      <c r="E393" s="1252"/>
      <c r="F393" s="1252"/>
      <c r="G393" s="1252"/>
      <c r="H393" s="499">
        <f>ROUND(H391+H384+H377+H354,0)</f>
        <v>44673</v>
      </c>
    </row>
    <row r="394" spans="1:8" ht="15.75" thickBot="1" x14ac:dyDescent="0.3"/>
    <row r="395" spans="1:8" ht="15.75" thickBot="1" x14ac:dyDescent="0.3">
      <c r="A395" s="1279"/>
      <c r="B395" s="1280"/>
      <c r="C395" s="1280"/>
      <c r="D395" s="1280"/>
      <c r="E395" s="1280"/>
      <c r="F395" s="1280"/>
      <c r="G395" s="1280"/>
      <c r="H395" s="1281"/>
    </row>
    <row r="396" spans="1:8" ht="15.75" thickTop="1" x14ac:dyDescent="0.25">
      <c r="A396" s="1282"/>
      <c r="B396" s="1283"/>
      <c r="C396" s="1283"/>
      <c r="D396" s="1283"/>
      <c r="E396" s="1283"/>
      <c r="F396" s="1283"/>
      <c r="G396" s="1283"/>
      <c r="H396" s="1284"/>
    </row>
    <row r="397" spans="1:8" x14ac:dyDescent="0.25">
      <c r="A397" s="1274"/>
      <c r="B397" s="1274"/>
      <c r="C397" s="1274"/>
      <c r="D397" s="1274"/>
      <c r="E397" s="1274"/>
      <c r="F397" s="1275"/>
      <c r="G397" s="1275"/>
      <c r="H397" s="1275"/>
    </row>
    <row r="398" spans="1:8" x14ac:dyDescent="0.25">
      <c r="A398" s="1274"/>
      <c r="B398" s="1274"/>
      <c r="C398" s="1274"/>
      <c r="D398" s="1274"/>
      <c r="E398" s="1274"/>
      <c r="F398" s="500"/>
      <c r="G398" s="1276"/>
      <c r="H398" s="1276"/>
    </row>
    <row r="399" spans="1:8" x14ac:dyDescent="0.25">
      <c r="A399" s="1274"/>
      <c r="B399" s="1274"/>
      <c r="C399" s="1274"/>
      <c r="D399" s="1274"/>
      <c r="E399" s="1274"/>
      <c r="F399" s="1291"/>
      <c r="G399" s="1278"/>
      <c r="H399" s="1278"/>
    </row>
    <row r="400" spans="1:8" x14ac:dyDescent="0.25">
      <c r="A400" s="1249"/>
      <c r="B400" s="1250"/>
      <c r="C400" s="1250"/>
      <c r="D400" s="1250"/>
      <c r="E400" s="1250"/>
      <c r="F400" s="1250"/>
      <c r="G400" s="1250"/>
      <c r="H400" s="1251"/>
    </row>
    <row r="401" spans="1:8" x14ac:dyDescent="0.25">
      <c r="A401" s="1264" t="s">
        <v>1988</v>
      </c>
      <c r="B401" s="1264"/>
      <c r="C401" s="1264"/>
      <c r="D401" s="1264"/>
      <c r="E401" s="501" t="s">
        <v>24</v>
      </c>
      <c r="F401" s="501" t="s">
        <v>34</v>
      </c>
      <c r="G401" s="502" t="s">
        <v>1989</v>
      </c>
      <c r="H401" s="502" t="s">
        <v>1990</v>
      </c>
    </row>
    <row r="402" spans="1:8" x14ac:dyDescent="0.25">
      <c r="A402" s="1271" t="s">
        <v>2054</v>
      </c>
      <c r="B402" s="1272"/>
      <c r="C402" s="1272"/>
      <c r="D402" s="1273"/>
      <c r="E402" s="503" t="s">
        <v>355</v>
      </c>
      <c r="F402" s="522">
        <v>30</v>
      </c>
      <c r="G402" s="505">
        <v>65000</v>
      </c>
      <c r="H402" s="506">
        <f t="shared" ref="H402:H421" si="5">+G402*F402</f>
        <v>1950000</v>
      </c>
    </row>
    <row r="403" spans="1:8" x14ac:dyDescent="0.25">
      <c r="A403" s="1297" t="s">
        <v>2055</v>
      </c>
      <c r="B403" s="1298"/>
      <c r="C403" s="1298"/>
      <c r="D403" s="1299"/>
      <c r="E403" s="530" t="s">
        <v>355</v>
      </c>
      <c r="F403" s="531">
        <v>2</v>
      </c>
      <c r="G403" s="532">
        <v>22500</v>
      </c>
      <c r="H403" s="506">
        <f t="shared" si="5"/>
        <v>45000</v>
      </c>
    </row>
    <row r="404" spans="1:8" x14ac:dyDescent="0.25">
      <c r="A404" s="1297" t="s">
        <v>2056</v>
      </c>
      <c r="B404" s="1298"/>
      <c r="C404" s="1298"/>
      <c r="D404" s="1299"/>
      <c r="E404" s="535"/>
      <c r="F404" s="536">
        <v>5</v>
      </c>
      <c r="G404" s="537">
        <v>6000</v>
      </c>
      <c r="H404" s="506">
        <f t="shared" si="5"/>
        <v>30000</v>
      </c>
    </row>
    <row r="405" spans="1:8" x14ac:dyDescent="0.25">
      <c r="A405" s="1297" t="s">
        <v>2057</v>
      </c>
      <c r="B405" s="1298"/>
      <c r="C405" s="1298"/>
      <c r="D405" s="1299"/>
      <c r="E405" s="535"/>
      <c r="F405" s="536">
        <v>8</v>
      </c>
      <c r="G405" s="537">
        <v>13000</v>
      </c>
      <c r="H405" s="506">
        <f t="shared" si="5"/>
        <v>104000</v>
      </c>
    </row>
    <row r="406" spans="1:8" x14ac:dyDescent="0.25">
      <c r="A406" s="1296" t="s">
        <v>2058</v>
      </c>
      <c r="B406" s="1296"/>
      <c r="C406" s="1296"/>
      <c r="D406" s="1296"/>
      <c r="E406" s="535"/>
      <c r="F406" s="536">
        <v>1</v>
      </c>
      <c r="G406" s="537">
        <v>4000</v>
      </c>
      <c r="H406" s="506">
        <f t="shared" si="5"/>
        <v>4000</v>
      </c>
    </row>
    <row r="407" spans="1:8" x14ac:dyDescent="0.25">
      <c r="A407" s="1296" t="s">
        <v>2059</v>
      </c>
      <c r="B407" s="1296"/>
      <c r="C407" s="1296"/>
      <c r="D407" s="1296"/>
      <c r="E407" s="535"/>
      <c r="F407" s="536">
        <v>13</v>
      </c>
      <c r="G407" s="537">
        <v>23000</v>
      </c>
      <c r="H407" s="506">
        <f t="shared" si="5"/>
        <v>299000</v>
      </c>
    </row>
    <row r="408" spans="1:8" x14ac:dyDescent="0.25">
      <c r="A408" s="1296" t="s">
        <v>2060</v>
      </c>
      <c r="B408" s="1296"/>
      <c r="C408" s="1296"/>
      <c r="D408" s="1296"/>
      <c r="E408" s="535"/>
      <c r="F408" s="536">
        <v>10</v>
      </c>
      <c r="G408" s="537">
        <v>5000</v>
      </c>
      <c r="H408" s="506">
        <f t="shared" si="5"/>
        <v>50000</v>
      </c>
    </row>
    <row r="409" spans="1:8" x14ac:dyDescent="0.25">
      <c r="A409" s="1292" t="s">
        <v>2061</v>
      </c>
      <c r="B409" s="1292"/>
      <c r="C409" s="1292"/>
      <c r="D409" s="1292"/>
      <c r="E409" s="540"/>
      <c r="F409" s="522">
        <v>10</v>
      </c>
      <c r="G409" s="505">
        <v>600</v>
      </c>
      <c r="H409" s="506">
        <f t="shared" si="5"/>
        <v>6000</v>
      </c>
    </row>
    <row r="410" spans="1:8" x14ac:dyDescent="0.25">
      <c r="A410" s="1292"/>
      <c r="B410" s="1292"/>
      <c r="C410" s="1292"/>
      <c r="D410" s="1292"/>
      <c r="E410" s="540"/>
      <c r="F410" s="522"/>
      <c r="G410" s="505"/>
      <c r="H410" s="506">
        <f t="shared" si="5"/>
        <v>0</v>
      </c>
    </row>
    <row r="411" spans="1:8" x14ac:dyDescent="0.25">
      <c r="A411" s="1292"/>
      <c r="B411" s="1292"/>
      <c r="C411" s="1292"/>
      <c r="D411" s="1292"/>
      <c r="E411" s="540"/>
      <c r="F411" s="522"/>
      <c r="G411" s="505"/>
      <c r="H411" s="506">
        <f t="shared" si="5"/>
        <v>0</v>
      </c>
    </row>
    <row r="412" spans="1:8" x14ac:dyDescent="0.25">
      <c r="A412" s="1292"/>
      <c r="B412" s="1292"/>
      <c r="C412" s="1292"/>
      <c r="D412" s="1292"/>
      <c r="E412" s="540"/>
      <c r="F412" s="522"/>
      <c r="G412" s="505"/>
      <c r="H412" s="506">
        <f t="shared" si="5"/>
        <v>0</v>
      </c>
    </row>
    <row r="413" spans="1:8" x14ac:dyDescent="0.25">
      <c r="A413" s="1293"/>
      <c r="B413" s="1294"/>
      <c r="C413" s="1294"/>
      <c r="D413" s="1295"/>
      <c r="E413" s="503"/>
      <c r="F413" s="522"/>
      <c r="G413" s="505"/>
      <c r="H413" s="506">
        <f t="shared" si="5"/>
        <v>0</v>
      </c>
    </row>
    <row r="414" spans="1:8" x14ac:dyDescent="0.25">
      <c r="A414" s="1263"/>
      <c r="B414" s="1263"/>
      <c r="C414" s="1263"/>
      <c r="D414" s="1263"/>
      <c r="E414" s="503" t="s">
        <v>53</v>
      </c>
      <c r="F414" s="504"/>
      <c r="G414" s="505"/>
      <c r="H414" s="506">
        <f t="shared" si="5"/>
        <v>0</v>
      </c>
    </row>
    <row r="415" spans="1:8" x14ac:dyDescent="0.25">
      <c r="A415" s="1263"/>
      <c r="B415" s="1263"/>
      <c r="C415" s="1263"/>
      <c r="D415" s="1263"/>
      <c r="E415" s="503" t="s">
        <v>53</v>
      </c>
      <c r="F415" s="504"/>
      <c r="G415" s="505"/>
      <c r="H415" s="506">
        <f t="shared" si="5"/>
        <v>0</v>
      </c>
    </row>
    <row r="416" spans="1:8" x14ac:dyDescent="0.25">
      <c r="A416" s="1263"/>
      <c r="B416" s="1263"/>
      <c r="C416" s="1263"/>
      <c r="D416" s="1263"/>
      <c r="E416" s="503" t="s">
        <v>53</v>
      </c>
      <c r="F416" s="504"/>
      <c r="G416" s="505"/>
      <c r="H416" s="506">
        <f t="shared" si="5"/>
        <v>0</v>
      </c>
    </row>
    <row r="417" spans="1:8" x14ac:dyDescent="0.25">
      <c r="A417" s="1263"/>
      <c r="B417" s="1263"/>
      <c r="C417" s="1263"/>
      <c r="D417" s="1263"/>
      <c r="E417" s="503" t="s">
        <v>53</v>
      </c>
      <c r="F417" s="504"/>
      <c r="G417" s="505"/>
      <c r="H417" s="506">
        <f t="shared" si="5"/>
        <v>0</v>
      </c>
    </row>
    <row r="418" spans="1:8" x14ac:dyDescent="0.25">
      <c r="A418" s="1263"/>
      <c r="B418" s="1263"/>
      <c r="C418" s="1263"/>
      <c r="D418" s="1263"/>
      <c r="E418" s="503" t="s">
        <v>53</v>
      </c>
      <c r="F418" s="504"/>
      <c r="G418" s="505"/>
      <c r="H418" s="506">
        <f t="shared" si="5"/>
        <v>0</v>
      </c>
    </row>
    <row r="419" spans="1:8" x14ac:dyDescent="0.25">
      <c r="A419" s="1263"/>
      <c r="B419" s="1263"/>
      <c r="C419" s="1263"/>
      <c r="D419" s="1263"/>
      <c r="E419" s="503" t="s">
        <v>53</v>
      </c>
      <c r="F419" s="504"/>
      <c r="G419" s="505"/>
      <c r="H419" s="506">
        <f t="shared" si="5"/>
        <v>0</v>
      </c>
    </row>
    <row r="420" spans="1:8" x14ac:dyDescent="0.25">
      <c r="A420" s="1263"/>
      <c r="B420" s="1263"/>
      <c r="C420" s="1263"/>
      <c r="D420" s="1263"/>
      <c r="E420" s="503" t="s">
        <v>53</v>
      </c>
      <c r="F420" s="504"/>
      <c r="G420" s="505"/>
      <c r="H420" s="506">
        <f t="shared" si="5"/>
        <v>0</v>
      </c>
    </row>
    <row r="421" spans="1:8" x14ac:dyDescent="0.25">
      <c r="A421" s="1263"/>
      <c r="B421" s="1263"/>
      <c r="C421" s="1263"/>
      <c r="D421" s="1263"/>
      <c r="E421" s="503" t="s">
        <v>53</v>
      </c>
      <c r="F421" s="504"/>
      <c r="G421" s="505"/>
      <c r="H421" s="506">
        <f t="shared" si="5"/>
        <v>0</v>
      </c>
    </row>
    <row r="422" spans="1:8" x14ac:dyDescent="0.25">
      <c r="A422" s="1249"/>
      <c r="B422" s="1250"/>
      <c r="C422" s="1250"/>
      <c r="D422" s="1250"/>
      <c r="E422" s="1250"/>
      <c r="F422" s="1251"/>
      <c r="G422" s="507" t="s">
        <v>31</v>
      </c>
      <c r="H422" s="507">
        <f>ROUND(SUM(H402:H421),0)</f>
        <v>2488000</v>
      </c>
    </row>
    <row r="423" spans="1:8" x14ac:dyDescent="0.25">
      <c r="A423" s="1249"/>
      <c r="B423" s="1250"/>
      <c r="C423" s="1250"/>
      <c r="D423" s="1250"/>
      <c r="E423" s="1250"/>
      <c r="F423" s="1250"/>
      <c r="G423" s="1250"/>
      <c r="H423" s="1251"/>
    </row>
    <row r="424" spans="1:8" x14ac:dyDescent="0.25">
      <c r="A424" s="1264" t="s">
        <v>1991</v>
      </c>
      <c r="B424" s="1264"/>
      <c r="C424" s="1264"/>
      <c r="D424" s="1264"/>
      <c r="E424" s="501" t="s">
        <v>1992</v>
      </c>
      <c r="F424" s="501" t="s">
        <v>34</v>
      </c>
      <c r="G424" s="502" t="s">
        <v>1989</v>
      </c>
      <c r="H424" s="502" t="s">
        <v>1990</v>
      </c>
    </row>
    <row r="425" spans="1:8" x14ac:dyDescent="0.25">
      <c r="A425" s="1265" t="s">
        <v>2053</v>
      </c>
      <c r="B425" s="1266"/>
      <c r="C425" s="1266"/>
      <c r="D425" s="1267"/>
      <c r="E425" s="503">
        <v>2</v>
      </c>
      <c r="F425" s="508">
        <v>1</v>
      </c>
      <c r="G425" s="506">
        <v>400</v>
      </c>
      <c r="H425" s="506">
        <f>E425*G425</f>
        <v>800</v>
      </c>
    </row>
    <row r="426" spans="1:8" x14ac:dyDescent="0.25">
      <c r="A426" s="1285"/>
      <c r="B426" s="1286"/>
      <c r="C426" s="1286"/>
      <c r="D426" s="1287"/>
      <c r="E426" s="508"/>
      <c r="F426" s="508"/>
      <c r="G426" s="506"/>
      <c r="H426" s="506"/>
    </row>
    <row r="427" spans="1:8" x14ac:dyDescent="0.25">
      <c r="A427" s="1285"/>
      <c r="B427" s="1286"/>
      <c r="C427" s="1286"/>
      <c r="D427" s="1287"/>
      <c r="E427" s="508"/>
      <c r="F427" s="508"/>
      <c r="G427" s="506"/>
      <c r="H427" s="506"/>
    </row>
    <row r="428" spans="1:8" x14ac:dyDescent="0.25">
      <c r="A428" s="1285"/>
      <c r="B428" s="1286"/>
      <c r="C428" s="1286"/>
      <c r="D428" s="1287"/>
      <c r="E428" s="508"/>
      <c r="F428" s="508"/>
      <c r="G428" s="506"/>
      <c r="H428" s="506"/>
    </row>
    <row r="429" spans="1:8" x14ac:dyDescent="0.25">
      <c r="A429" s="1285"/>
      <c r="B429" s="1286"/>
      <c r="C429" s="1286"/>
      <c r="D429" s="1287"/>
      <c r="E429" s="508"/>
      <c r="F429" s="508"/>
      <c r="G429" s="506"/>
      <c r="H429" s="506"/>
    </row>
    <row r="430" spans="1:8" x14ac:dyDescent="0.25">
      <c r="A430" s="1285"/>
      <c r="B430" s="1286"/>
      <c r="C430" s="1286"/>
      <c r="D430" s="1287"/>
      <c r="E430" s="508"/>
      <c r="F430" s="508"/>
      <c r="G430" s="506"/>
      <c r="H430" s="506"/>
    </row>
    <row r="431" spans="1:8" x14ac:dyDescent="0.25">
      <c r="A431" s="509"/>
      <c r="B431" s="510"/>
      <c r="C431" s="510"/>
      <c r="D431" s="511"/>
      <c r="E431" s="508"/>
      <c r="F431" s="508"/>
      <c r="G431" s="506"/>
      <c r="H431" s="506"/>
    </row>
    <row r="432" spans="1:8" x14ac:dyDescent="0.25">
      <c r="A432" s="509"/>
      <c r="B432" s="510"/>
      <c r="C432" s="510"/>
      <c r="D432" s="511"/>
      <c r="E432" s="508"/>
      <c r="F432" s="508"/>
      <c r="G432" s="506"/>
      <c r="H432" s="506"/>
    </row>
    <row r="433" spans="1:8" x14ac:dyDescent="0.25">
      <c r="A433" s="509"/>
      <c r="B433" s="510"/>
      <c r="C433" s="510"/>
      <c r="D433" s="511"/>
      <c r="E433" s="508"/>
      <c r="F433" s="508"/>
      <c r="G433" s="506"/>
      <c r="H433" s="506"/>
    </row>
    <row r="434" spans="1:8" x14ac:dyDescent="0.25">
      <c r="A434" s="509"/>
      <c r="B434" s="510"/>
      <c r="C434" s="510"/>
      <c r="D434" s="511"/>
      <c r="E434" s="508"/>
      <c r="F434" s="508"/>
      <c r="G434" s="506"/>
      <c r="H434" s="506"/>
    </row>
    <row r="435" spans="1:8" x14ac:dyDescent="0.25">
      <c r="A435" s="509"/>
      <c r="B435" s="510"/>
      <c r="C435" s="510"/>
      <c r="D435" s="511"/>
      <c r="E435" s="508"/>
      <c r="F435" s="508"/>
      <c r="G435" s="506"/>
      <c r="H435" s="506"/>
    </row>
    <row r="436" spans="1:8" x14ac:dyDescent="0.25">
      <c r="A436" s="509"/>
      <c r="B436" s="510"/>
      <c r="C436" s="510"/>
      <c r="D436" s="511"/>
      <c r="E436" s="508"/>
      <c r="F436" s="508"/>
      <c r="G436" s="506"/>
      <c r="H436" s="506"/>
    </row>
    <row r="437" spans="1:8" x14ac:dyDescent="0.25">
      <c r="A437" s="509"/>
      <c r="B437" s="510"/>
      <c r="C437" s="510"/>
      <c r="D437" s="511"/>
      <c r="E437" s="508"/>
      <c r="F437" s="508"/>
      <c r="G437" s="506"/>
      <c r="H437" s="506"/>
    </row>
    <row r="438" spans="1:8" x14ac:dyDescent="0.25">
      <c r="A438" s="509"/>
      <c r="B438" s="510"/>
      <c r="C438" s="510"/>
      <c r="D438" s="511"/>
      <c r="E438" s="508"/>
      <c r="F438" s="508"/>
      <c r="G438" s="506"/>
      <c r="H438" s="506"/>
    </row>
    <row r="439" spans="1:8" x14ac:dyDescent="0.25">
      <c r="A439" s="509"/>
      <c r="B439" s="510"/>
      <c r="C439" s="510"/>
      <c r="D439" s="511"/>
      <c r="E439" s="508"/>
      <c r="F439" s="508"/>
      <c r="G439" s="506"/>
      <c r="H439" s="506"/>
    </row>
    <row r="440" spans="1:8" x14ac:dyDescent="0.25">
      <c r="A440" s="509"/>
      <c r="B440" s="510"/>
      <c r="C440" s="510"/>
      <c r="D440" s="511"/>
      <c r="E440" s="508"/>
      <c r="F440" s="508"/>
      <c r="G440" s="506"/>
      <c r="H440" s="506"/>
    </row>
    <row r="441" spans="1:8" x14ac:dyDescent="0.25">
      <c r="A441" s="509"/>
      <c r="B441" s="510"/>
      <c r="C441" s="510"/>
      <c r="D441" s="511"/>
      <c r="E441" s="508"/>
      <c r="F441" s="508"/>
      <c r="G441" s="506"/>
      <c r="H441" s="506"/>
    </row>
    <row r="442" spans="1:8" x14ac:dyDescent="0.25">
      <c r="A442" s="509"/>
      <c r="B442" s="510"/>
      <c r="C442" s="510"/>
      <c r="D442" s="511"/>
      <c r="E442" s="508"/>
      <c r="F442" s="508"/>
      <c r="G442" s="506"/>
      <c r="H442" s="506"/>
    </row>
    <row r="443" spans="1:8" x14ac:dyDescent="0.25">
      <c r="A443" s="509"/>
      <c r="B443" s="510"/>
      <c r="C443" s="510"/>
      <c r="D443" s="511"/>
      <c r="E443" s="508"/>
      <c r="F443" s="508"/>
      <c r="G443" s="506"/>
      <c r="H443" s="506"/>
    </row>
    <row r="444" spans="1:8" x14ac:dyDescent="0.25">
      <c r="A444" s="509"/>
      <c r="B444" s="510"/>
      <c r="C444" s="510"/>
      <c r="D444" s="511"/>
      <c r="E444" s="508"/>
      <c r="F444" s="508"/>
      <c r="G444" s="506"/>
      <c r="H444" s="506"/>
    </row>
    <row r="445" spans="1:8" x14ac:dyDescent="0.25">
      <c r="A445" s="1249"/>
      <c r="B445" s="1250"/>
      <c r="C445" s="1250"/>
      <c r="D445" s="1250"/>
      <c r="E445" s="1250"/>
      <c r="F445" s="1251"/>
      <c r="G445" s="507" t="s">
        <v>31</v>
      </c>
      <c r="H445" s="507">
        <f>ROUND(SUM(H425:H444),0)</f>
        <v>800</v>
      </c>
    </row>
    <row r="446" spans="1:8" x14ac:dyDescent="0.25">
      <c r="A446" s="512"/>
      <c r="B446" s="513"/>
      <c r="C446" s="513"/>
      <c r="D446" s="513"/>
      <c r="E446" s="513"/>
      <c r="F446" s="513"/>
      <c r="G446" s="513"/>
      <c r="H446" s="514"/>
    </row>
    <row r="447" spans="1:8" x14ac:dyDescent="0.25">
      <c r="A447" s="1260" t="s">
        <v>1993</v>
      </c>
      <c r="B447" s="1260"/>
      <c r="C447" s="1260"/>
      <c r="D447" s="1259" t="s">
        <v>1994</v>
      </c>
      <c r="E447" s="1259"/>
      <c r="F447" s="515" t="s">
        <v>28</v>
      </c>
      <c r="G447" s="502" t="s">
        <v>1989</v>
      </c>
      <c r="H447" s="502" t="s">
        <v>1990</v>
      </c>
    </row>
    <row r="448" spans="1:8" x14ac:dyDescent="0.25">
      <c r="A448" s="1256" t="s">
        <v>1996</v>
      </c>
      <c r="B448" s="1256"/>
      <c r="C448" s="1256"/>
      <c r="D448" s="1261">
        <v>15000</v>
      </c>
      <c r="E448" s="1261"/>
      <c r="F448" s="503">
        <v>5</v>
      </c>
      <c r="G448" s="506">
        <f>+D448/F448</f>
        <v>3000</v>
      </c>
      <c r="H448" s="506">
        <f>+G448</f>
        <v>3000</v>
      </c>
    </row>
    <row r="449" spans="1:8" x14ac:dyDescent="0.25">
      <c r="A449" s="1262"/>
      <c r="B449" s="1262"/>
      <c r="C449" s="1262"/>
      <c r="D449" s="1261"/>
      <c r="E449" s="1261"/>
      <c r="F449" s="503"/>
      <c r="G449" s="506"/>
      <c r="H449" s="506">
        <f>+G449</f>
        <v>0</v>
      </c>
    </row>
    <row r="450" spans="1:8" x14ac:dyDescent="0.25">
      <c r="A450" s="1256"/>
      <c r="B450" s="1256"/>
      <c r="C450" s="1256"/>
      <c r="D450" s="1261"/>
      <c r="E450" s="1261"/>
      <c r="F450" s="503"/>
      <c r="G450" s="506"/>
      <c r="H450" s="506">
        <f>+G450</f>
        <v>0</v>
      </c>
    </row>
    <row r="451" spans="1:8" x14ac:dyDescent="0.25">
      <c r="A451" s="1257"/>
      <c r="B451" s="1257"/>
      <c r="C451" s="1257"/>
      <c r="D451" s="1257"/>
      <c r="E451" s="1257"/>
      <c r="F451" s="503"/>
      <c r="G451" s="506"/>
      <c r="H451" s="506"/>
    </row>
    <row r="452" spans="1:8" x14ac:dyDescent="0.25">
      <c r="A452" s="1249"/>
      <c r="B452" s="1250"/>
      <c r="C452" s="1250"/>
      <c r="D452" s="1250"/>
      <c r="E452" s="1250"/>
      <c r="F452" s="1251"/>
      <c r="G452" s="507" t="s">
        <v>31</v>
      </c>
      <c r="H452" s="507">
        <f>SUM(H448:H451)</f>
        <v>3000</v>
      </c>
    </row>
    <row r="453" spans="1:8" x14ac:dyDescent="0.25">
      <c r="A453" s="1249"/>
      <c r="B453" s="1250"/>
      <c r="C453" s="1250"/>
      <c r="D453" s="1250"/>
      <c r="E453" s="1250"/>
      <c r="F453" s="1250"/>
      <c r="G453" s="1250"/>
      <c r="H453" s="1251"/>
    </row>
    <row r="454" spans="1:8" ht="23.25" customHeight="1" x14ac:dyDescent="0.25">
      <c r="A454" s="1258" t="s">
        <v>1997</v>
      </c>
      <c r="B454" s="1258"/>
      <c r="C454" s="516" t="s">
        <v>1998</v>
      </c>
      <c r="D454" s="1259" t="s">
        <v>1999</v>
      </c>
      <c r="E454" s="1259"/>
      <c r="F454" s="515" t="s">
        <v>2000</v>
      </c>
      <c r="G454" s="517" t="s">
        <v>2001</v>
      </c>
      <c r="H454" s="517" t="s">
        <v>2002</v>
      </c>
    </row>
    <row r="455" spans="1:8" x14ac:dyDescent="0.25">
      <c r="A455" s="1253" t="s">
        <v>2003</v>
      </c>
      <c r="B455" s="1253"/>
      <c r="C455" s="518">
        <v>150000</v>
      </c>
      <c r="D455" s="1254">
        <f>C455*65%</f>
        <v>97500</v>
      </c>
      <c r="E455" s="1255"/>
      <c r="F455" s="518">
        <f>C455+D455</f>
        <v>247500</v>
      </c>
      <c r="G455" s="539">
        <v>3000</v>
      </c>
      <c r="H455" s="518">
        <f>F455/G455</f>
        <v>82.5</v>
      </c>
    </row>
    <row r="456" spans="1:8" x14ac:dyDescent="0.25">
      <c r="A456" s="1253" t="s">
        <v>2004</v>
      </c>
      <c r="B456" s="1253"/>
      <c r="C456" s="518">
        <v>70000</v>
      </c>
      <c r="D456" s="1254">
        <f>C456*65%</f>
        <v>45500</v>
      </c>
      <c r="E456" s="1255"/>
      <c r="F456" s="518">
        <f>C456+D456</f>
        <v>115500</v>
      </c>
      <c r="G456" s="539">
        <v>3000</v>
      </c>
      <c r="H456" s="518">
        <f>F456/G456</f>
        <v>38.5</v>
      </c>
    </row>
    <row r="457" spans="1:8" x14ac:dyDescent="0.25">
      <c r="A457" s="1253" t="s">
        <v>2005</v>
      </c>
      <c r="B457" s="1253"/>
      <c r="C457" s="518">
        <v>45000</v>
      </c>
      <c r="D457" s="1254">
        <f>C457*65%</f>
        <v>29250</v>
      </c>
      <c r="E457" s="1255"/>
      <c r="F457" s="518">
        <f>C457+D457</f>
        <v>74250</v>
      </c>
      <c r="G457" s="539">
        <v>3000</v>
      </c>
      <c r="H457" s="518">
        <f>F457/G457</f>
        <v>24.75</v>
      </c>
    </row>
    <row r="458" spans="1:8" x14ac:dyDescent="0.25">
      <c r="A458" s="1256" t="s">
        <v>2006</v>
      </c>
      <c r="B458" s="1256"/>
      <c r="C458" s="520">
        <v>120000</v>
      </c>
      <c r="D458" s="1257"/>
      <c r="E458" s="1257"/>
      <c r="F458" s="506">
        <f>C458</f>
        <v>120000</v>
      </c>
      <c r="G458" s="539">
        <v>3000</v>
      </c>
      <c r="H458" s="518">
        <f>F458/G458</f>
        <v>40</v>
      </c>
    </row>
    <row r="459" spans="1:8" x14ac:dyDescent="0.25">
      <c r="A459" s="1249"/>
      <c r="B459" s="1250"/>
      <c r="C459" s="1250"/>
      <c r="D459" s="1250"/>
      <c r="E459" s="1250"/>
      <c r="F459" s="1251"/>
      <c r="G459" s="507" t="s">
        <v>31</v>
      </c>
      <c r="H459" s="507">
        <f>SUM(H455:H458)</f>
        <v>185.75</v>
      </c>
    </row>
    <row r="460" spans="1:8" ht="15.75" thickBot="1" x14ac:dyDescent="0.3">
      <c r="A460" s="1249"/>
      <c r="B460" s="1250"/>
      <c r="C460" s="1250"/>
      <c r="D460" s="1250"/>
      <c r="E460" s="1250"/>
      <c r="F460" s="1250"/>
      <c r="G460" s="1250"/>
      <c r="H460" s="1251"/>
    </row>
    <row r="461" spans="1:8" ht="16.5" thickTop="1" thickBot="1" x14ac:dyDescent="0.3">
      <c r="A461" s="1252" t="s">
        <v>2007</v>
      </c>
      <c r="B461" s="1252"/>
      <c r="C461" s="1252"/>
      <c r="D461" s="1252"/>
      <c r="E461" s="1252"/>
      <c r="F461" s="1252"/>
      <c r="G461" s="1252"/>
      <c r="H461" s="499">
        <f>ROUND(H459+H452+H445+H422,0)</f>
        <v>2491986</v>
      </c>
    </row>
    <row r="462" spans="1:8" ht="15.75" thickBot="1" x14ac:dyDescent="0.3"/>
    <row r="463" spans="1:8" ht="15.75" thickBot="1" x14ac:dyDescent="0.3">
      <c r="A463" s="1279"/>
      <c r="B463" s="1280"/>
      <c r="C463" s="1280"/>
      <c r="D463" s="1280"/>
      <c r="E463" s="1280"/>
      <c r="F463" s="1280"/>
      <c r="G463" s="1280"/>
      <c r="H463" s="1281"/>
    </row>
    <row r="464" spans="1:8" ht="15.75" thickTop="1" x14ac:dyDescent="0.25">
      <c r="A464" s="1282"/>
      <c r="B464" s="1283"/>
      <c r="C464" s="1283"/>
      <c r="D464" s="1283"/>
      <c r="E464" s="1283"/>
      <c r="F464" s="1283"/>
      <c r="G464" s="1283"/>
      <c r="H464" s="1284"/>
    </row>
    <row r="465" spans="1:8" x14ac:dyDescent="0.25">
      <c r="A465" s="1274"/>
      <c r="B465" s="1274"/>
      <c r="C465" s="1274"/>
      <c r="D465" s="1274"/>
      <c r="E465" s="1274"/>
      <c r="F465" s="1275"/>
      <c r="G465" s="1275"/>
      <c r="H465" s="1275"/>
    </row>
    <row r="466" spans="1:8" x14ac:dyDescent="0.25">
      <c r="A466" s="1274"/>
      <c r="B466" s="1274"/>
      <c r="C466" s="1274"/>
      <c r="D466" s="1274"/>
      <c r="E466" s="1274"/>
      <c r="F466" s="500"/>
      <c r="G466" s="1276"/>
      <c r="H466" s="1276"/>
    </row>
    <row r="467" spans="1:8" x14ac:dyDescent="0.25">
      <c r="A467" s="1274"/>
      <c r="B467" s="1274"/>
      <c r="C467" s="1274"/>
      <c r="D467" s="1274"/>
      <c r="E467" s="1274"/>
      <c r="F467" s="1291"/>
      <c r="G467" s="1278"/>
      <c r="H467" s="1278"/>
    </row>
    <row r="468" spans="1:8" x14ac:dyDescent="0.25">
      <c r="A468" s="1249"/>
      <c r="B468" s="1250"/>
      <c r="C468" s="1250"/>
      <c r="D468" s="1250"/>
      <c r="E468" s="1250"/>
      <c r="F468" s="1250"/>
      <c r="G468" s="1250"/>
      <c r="H468" s="1251"/>
    </row>
    <row r="469" spans="1:8" x14ac:dyDescent="0.25">
      <c r="A469" s="1264" t="s">
        <v>1988</v>
      </c>
      <c r="B469" s="1264"/>
      <c r="C469" s="1264"/>
      <c r="D469" s="1264"/>
      <c r="E469" s="501" t="s">
        <v>24</v>
      </c>
      <c r="F469" s="501" t="s">
        <v>34</v>
      </c>
      <c r="G469" s="502" t="s">
        <v>1989</v>
      </c>
      <c r="H469" s="502" t="s">
        <v>1990</v>
      </c>
    </row>
    <row r="470" spans="1:8" x14ac:dyDescent="0.25">
      <c r="A470" s="524" t="s">
        <v>2062</v>
      </c>
      <c r="B470" s="525"/>
      <c r="C470" s="525"/>
      <c r="D470" s="526"/>
      <c r="E470" s="503" t="s">
        <v>53</v>
      </c>
      <c r="F470" s="522">
        <v>1</v>
      </c>
      <c r="G470" s="505">
        <v>9600000</v>
      </c>
      <c r="H470" s="506">
        <f t="shared" ref="H470:H489" si="6">+G470*F470</f>
        <v>9600000</v>
      </c>
    </row>
    <row r="471" spans="1:8" x14ac:dyDescent="0.25">
      <c r="A471" s="527"/>
      <c r="B471" s="528"/>
      <c r="C471" s="528"/>
      <c r="D471" s="529"/>
      <c r="E471" s="530"/>
      <c r="F471" s="531"/>
      <c r="G471" s="532"/>
      <c r="H471" s="506">
        <f t="shared" si="6"/>
        <v>0</v>
      </c>
    </row>
    <row r="472" spans="1:8" x14ac:dyDescent="0.25">
      <c r="A472" s="527"/>
      <c r="B472" s="528"/>
      <c r="C472" s="533"/>
      <c r="D472" s="534"/>
      <c r="E472" s="535"/>
      <c r="F472" s="536"/>
      <c r="G472" s="537"/>
      <c r="H472" s="506">
        <f t="shared" si="6"/>
        <v>0</v>
      </c>
    </row>
    <row r="473" spans="1:8" x14ac:dyDescent="0.25">
      <c r="A473" s="538"/>
      <c r="B473" s="533"/>
      <c r="C473" s="533"/>
      <c r="D473" s="534"/>
      <c r="E473" s="535"/>
      <c r="F473" s="536"/>
      <c r="G473" s="537"/>
      <c r="H473" s="506">
        <f t="shared" si="6"/>
        <v>0</v>
      </c>
    </row>
    <row r="474" spans="1:8" x14ac:dyDescent="0.25">
      <c r="A474" s="538"/>
      <c r="B474" s="533"/>
      <c r="C474" s="533"/>
      <c r="D474" s="534"/>
      <c r="E474" s="535"/>
      <c r="F474" s="536"/>
      <c r="G474" s="537"/>
      <c r="H474" s="506">
        <f t="shared" si="6"/>
        <v>0</v>
      </c>
    </row>
    <row r="475" spans="1:8" x14ac:dyDescent="0.25">
      <c r="A475" s="527"/>
      <c r="B475" s="528"/>
      <c r="C475" s="533"/>
      <c r="D475" s="534"/>
      <c r="E475" s="535"/>
      <c r="F475" s="536"/>
      <c r="G475" s="537"/>
      <c r="H475" s="506">
        <f t="shared" si="6"/>
        <v>0</v>
      </c>
    </row>
    <row r="476" spans="1:8" x14ac:dyDescent="0.25">
      <c r="A476" s="1288"/>
      <c r="B476" s="1289"/>
      <c r="C476" s="1289"/>
      <c r="D476" s="1290"/>
      <c r="E476" s="535"/>
      <c r="F476" s="536"/>
      <c r="G476" s="537"/>
      <c r="H476" s="506">
        <f t="shared" si="6"/>
        <v>0</v>
      </c>
    </row>
    <row r="477" spans="1:8" x14ac:dyDescent="0.25">
      <c r="A477" s="1271"/>
      <c r="B477" s="1272"/>
      <c r="C477" s="1272"/>
      <c r="D477" s="1273"/>
      <c r="E477" s="503"/>
      <c r="F477" s="522"/>
      <c r="G477" s="505"/>
      <c r="H477" s="506">
        <f t="shared" si="6"/>
        <v>0</v>
      </c>
    </row>
    <row r="478" spans="1:8" x14ac:dyDescent="0.25">
      <c r="A478" s="1271"/>
      <c r="B478" s="1272"/>
      <c r="C478" s="1272"/>
      <c r="D478" s="1273"/>
      <c r="E478" s="503"/>
      <c r="F478" s="522"/>
      <c r="G478" s="505"/>
      <c r="H478" s="506">
        <f t="shared" si="6"/>
        <v>0</v>
      </c>
    </row>
    <row r="479" spans="1:8" x14ac:dyDescent="0.25">
      <c r="A479" s="1271"/>
      <c r="B479" s="1272"/>
      <c r="C479" s="1272"/>
      <c r="D479" s="1273"/>
      <c r="E479" s="503"/>
      <c r="F479" s="522"/>
      <c r="G479" s="505"/>
      <c r="H479" s="506">
        <f t="shared" si="6"/>
        <v>0</v>
      </c>
    </row>
    <row r="480" spans="1:8" x14ac:dyDescent="0.25">
      <c r="A480" s="1271"/>
      <c r="B480" s="1272"/>
      <c r="C480" s="1272"/>
      <c r="D480" s="1273"/>
      <c r="E480" s="503"/>
      <c r="F480" s="522"/>
      <c r="G480" s="505"/>
      <c r="H480" s="506">
        <f t="shared" si="6"/>
        <v>0</v>
      </c>
    </row>
    <row r="481" spans="1:8" x14ac:dyDescent="0.25">
      <c r="A481" s="1271"/>
      <c r="B481" s="1272"/>
      <c r="C481" s="1272"/>
      <c r="D481" s="1273"/>
      <c r="E481" s="503"/>
      <c r="F481" s="522"/>
      <c r="G481" s="505"/>
      <c r="H481" s="506">
        <f t="shared" si="6"/>
        <v>0</v>
      </c>
    </row>
    <row r="482" spans="1:8" x14ac:dyDescent="0.25">
      <c r="A482" s="1263"/>
      <c r="B482" s="1263"/>
      <c r="C482" s="1263"/>
      <c r="D482" s="1263"/>
      <c r="E482" s="503" t="s">
        <v>53</v>
      </c>
      <c r="F482" s="504"/>
      <c r="G482" s="505"/>
      <c r="H482" s="506">
        <f t="shared" si="6"/>
        <v>0</v>
      </c>
    </row>
    <row r="483" spans="1:8" x14ac:dyDescent="0.25">
      <c r="A483" s="1263"/>
      <c r="B483" s="1263"/>
      <c r="C483" s="1263"/>
      <c r="D483" s="1263"/>
      <c r="E483" s="503" t="s">
        <v>53</v>
      </c>
      <c r="F483" s="504"/>
      <c r="G483" s="505"/>
      <c r="H483" s="506">
        <f t="shared" si="6"/>
        <v>0</v>
      </c>
    </row>
    <row r="484" spans="1:8" x14ac:dyDescent="0.25">
      <c r="A484" s="1263"/>
      <c r="B484" s="1263"/>
      <c r="C484" s="1263"/>
      <c r="D484" s="1263"/>
      <c r="E484" s="503" t="s">
        <v>53</v>
      </c>
      <c r="F484" s="504"/>
      <c r="G484" s="505"/>
      <c r="H484" s="506">
        <f t="shared" si="6"/>
        <v>0</v>
      </c>
    </row>
    <row r="485" spans="1:8" x14ac:dyDescent="0.25">
      <c r="A485" s="1263"/>
      <c r="B485" s="1263"/>
      <c r="C485" s="1263"/>
      <c r="D485" s="1263"/>
      <c r="E485" s="503" t="s">
        <v>53</v>
      </c>
      <c r="F485" s="504"/>
      <c r="G485" s="505"/>
      <c r="H485" s="506">
        <f t="shared" si="6"/>
        <v>0</v>
      </c>
    </row>
    <row r="486" spans="1:8" x14ac:dyDescent="0.25">
      <c r="A486" s="1263"/>
      <c r="B486" s="1263"/>
      <c r="C486" s="1263"/>
      <c r="D486" s="1263"/>
      <c r="E486" s="503" t="s">
        <v>53</v>
      </c>
      <c r="F486" s="504"/>
      <c r="G486" s="505"/>
      <c r="H486" s="506">
        <f t="shared" si="6"/>
        <v>0</v>
      </c>
    </row>
    <row r="487" spans="1:8" x14ac:dyDescent="0.25">
      <c r="A487" s="1263"/>
      <c r="B487" s="1263"/>
      <c r="C487" s="1263"/>
      <c r="D487" s="1263"/>
      <c r="E487" s="503" t="s">
        <v>53</v>
      </c>
      <c r="F487" s="504"/>
      <c r="G487" s="505"/>
      <c r="H487" s="506">
        <f t="shared" si="6"/>
        <v>0</v>
      </c>
    </row>
    <row r="488" spans="1:8" x14ac:dyDescent="0.25">
      <c r="A488" s="1263"/>
      <c r="B488" s="1263"/>
      <c r="C488" s="1263"/>
      <c r="D488" s="1263"/>
      <c r="E488" s="503" t="s">
        <v>53</v>
      </c>
      <c r="F488" s="504"/>
      <c r="G488" s="505"/>
      <c r="H488" s="506">
        <f t="shared" si="6"/>
        <v>0</v>
      </c>
    </row>
    <row r="489" spans="1:8" x14ac:dyDescent="0.25">
      <c r="A489" s="1263"/>
      <c r="B489" s="1263"/>
      <c r="C489" s="1263"/>
      <c r="D489" s="1263"/>
      <c r="E489" s="503" t="s">
        <v>53</v>
      </c>
      <c r="F489" s="504"/>
      <c r="G489" s="505"/>
      <c r="H489" s="506">
        <f t="shared" si="6"/>
        <v>0</v>
      </c>
    </row>
    <row r="490" spans="1:8" x14ac:dyDescent="0.25">
      <c r="A490" s="1249"/>
      <c r="B490" s="1250"/>
      <c r="C490" s="1250"/>
      <c r="D490" s="1250"/>
      <c r="E490" s="1250"/>
      <c r="F490" s="1251"/>
      <c r="G490" s="507" t="s">
        <v>31</v>
      </c>
      <c r="H490" s="507">
        <f>ROUND(SUM(H470:H489),0)</f>
        <v>9600000</v>
      </c>
    </row>
    <row r="491" spans="1:8" x14ac:dyDescent="0.25">
      <c r="A491" s="1249"/>
      <c r="B491" s="1250"/>
      <c r="C491" s="1250"/>
      <c r="D491" s="1250"/>
      <c r="E491" s="1250"/>
      <c r="F491" s="1250"/>
      <c r="G491" s="1250"/>
      <c r="H491" s="1251"/>
    </row>
    <row r="492" spans="1:8" x14ac:dyDescent="0.25">
      <c r="A492" s="1264" t="s">
        <v>1991</v>
      </c>
      <c r="B492" s="1264"/>
      <c r="C492" s="1264"/>
      <c r="D492" s="1264"/>
      <c r="E492" s="501" t="s">
        <v>1992</v>
      </c>
      <c r="F492" s="501" t="s">
        <v>34</v>
      </c>
      <c r="G492" s="502" t="s">
        <v>1989</v>
      </c>
      <c r="H492" s="502" t="s">
        <v>1990</v>
      </c>
    </row>
    <row r="493" spans="1:8" x14ac:dyDescent="0.25">
      <c r="A493" s="1265" t="s">
        <v>2053</v>
      </c>
      <c r="B493" s="1266"/>
      <c r="C493" s="1266"/>
      <c r="D493" s="1267"/>
      <c r="E493" s="503">
        <v>470</v>
      </c>
      <c r="F493" s="508">
        <v>1</v>
      </c>
      <c r="G493" s="506">
        <v>500</v>
      </c>
      <c r="H493" s="506">
        <f>E493*G493</f>
        <v>235000</v>
      </c>
    </row>
    <row r="494" spans="1:8" x14ac:dyDescent="0.25">
      <c r="A494" s="1285"/>
      <c r="B494" s="1286"/>
      <c r="C494" s="1286"/>
      <c r="D494" s="1287"/>
      <c r="E494" s="508"/>
      <c r="F494" s="508"/>
      <c r="G494" s="506"/>
      <c r="H494" s="506"/>
    </row>
    <row r="495" spans="1:8" x14ac:dyDescent="0.25">
      <c r="A495" s="1285"/>
      <c r="B495" s="1286"/>
      <c r="C495" s="1286"/>
      <c r="D495" s="1287"/>
      <c r="E495" s="508"/>
      <c r="F495" s="508"/>
      <c r="G495" s="506"/>
      <c r="H495" s="506"/>
    </row>
    <row r="496" spans="1:8" x14ac:dyDescent="0.25">
      <c r="A496" s="1285"/>
      <c r="B496" s="1286"/>
      <c r="C496" s="1286"/>
      <c r="D496" s="1287"/>
      <c r="E496" s="508"/>
      <c r="F496" s="508"/>
      <c r="G496" s="506"/>
      <c r="H496" s="506"/>
    </row>
    <row r="497" spans="1:8" x14ac:dyDescent="0.25">
      <c r="A497" s="1285"/>
      <c r="B497" s="1286"/>
      <c r="C497" s="1286"/>
      <c r="D497" s="1287"/>
      <c r="E497" s="508"/>
      <c r="F497" s="508"/>
      <c r="G497" s="506"/>
      <c r="H497" s="506"/>
    </row>
    <row r="498" spans="1:8" x14ac:dyDescent="0.25">
      <c r="A498" s="1285"/>
      <c r="B498" s="1286"/>
      <c r="C498" s="1286"/>
      <c r="D498" s="1287"/>
      <c r="E498" s="508"/>
      <c r="F498" s="508"/>
      <c r="G498" s="506"/>
      <c r="H498" s="506"/>
    </row>
    <row r="499" spans="1:8" x14ac:dyDescent="0.25">
      <c r="A499" s="509"/>
      <c r="B499" s="510"/>
      <c r="C499" s="510"/>
      <c r="D499" s="511"/>
      <c r="E499" s="508"/>
      <c r="F499" s="508"/>
      <c r="G499" s="506"/>
      <c r="H499" s="506"/>
    </row>
    <row r="500" spans="1:8" x14ac:dyDescent="0.25">
      <c r="A500" s="509"/>
      <c r="B500" s="510"/>
      <c r="C500" s="510"/>
      <c r="D500" s="511"/>
      <c r="E500" s="508"/>
      <c r="F500" s="508"/>
      <c r="G500" s="506"/>
      <c r="H500" s="506"/>
    </row>
    <row r="501" spans="1:8" x14ac:dyDescent="0.25">
      <c r="A501" s="509"/>
      <c r="B501" s="510"/>
      <c r="C501" s="510"/>
      <c r="D501" s="511"/>
      <c r="E501" s="508"/>
      <c r="F501" s="508"/>
      <c r="G501" s="506"/>
      <c r="H501" s="506"/>
    </row>
    <row r="502" spans="1:8" x14ac:dyDescent="0.25">
      <c r="A502" s="509"/>
      <c r="B502" s="510"/>
      <c r="C502" s="510"/>
      <c r="D502" s="511"/>
      <c r="E502" s="508"/>
      <c r="F502" s="508"/>
      <c r="G502" s="506"/>
      <c r="H502" s="506"/>
    </row>
    <row r="503" spans="1:8" x14ac:dyDescent="0.25">
      <c r="A503" s="509"/>
      <c r="B503" s="510"/>
      <c r="C503" s="510"/>
      <c r="D503" s="511"/>
      <c r="E503" s="508"/>
      <c r="F503" s="508"/>
      <c r="G503" s="506"/>
      <c r="H503" s="506"/>
    </row>
    <row r="504" spans="1:8" x14ac:dyDescent="0.25">
      <c r="A504" s="509"/>
      <c r="B504" s="510"/>
      <c r="C504" s="510"/>
      <c r="D504" s="511"/>
      <c r="E504" s="508"/>
      <c r="F504" s="508"/>
      <c r="G504" s="506"/>
      <c r="H504" s="506"/>
    </row>
    <row r="505" spans="1:8" x14ac:dyDescent="0.25">
      <c r="A505" s="509"/>
      <c r="B505" s="510"/>
      <c r="C505" s="510"/>
      <c r="D505" s="511"/>
      <c r="E505" s="508"/>
      <c r="F505" s="508"/>
      <c r="G505" s="506"/>
      <c r="H505" s="506"/>
    </row>
    <row r="506" spans="1:8" x14ac:dyDescent="0.25">
      <c r="A506" s="509"/>
      <c r="B506" s="510"/>
      <c r="C506" s="510"/>
      <c r="D506" s="511"/>
      <c r="E506" s="508"/>
      <c r="F506" s="508"/>
      <c r="G506" s="506"/>
      <c r="H506" s="506"/>
    </row>
    <row r="507" spans="1:8" x14ac:dyDescent="0.25">
      <c r="A507" s="509"/>
      <c r="B507" s="510"/>
      <c r="C507" s="510"/>
      <c r="D507" s="511"/>
      <c r="E507" s="508"/>
      <c r="F507" s="508"/>
      <c r="G507" s="506"/>
      <c r="H507" s="506"/>
    </row>
    <row r="508" spans="1:8" x14ac:dyDescent="0.25">
      <c r="A508" s="509"/>
      <c r="B508" s="510"/>
      <c r="C508" s="510"/>
      <c r="D508" s="511"/>
      <c r="E508" s="508"/>
      <c r="F508" s="508"/>
      <c r="G508" s="506"/>
      <c r="H508" s="506"/>
    </row>
    <row r="509" spans="1:8" x14ac:dyDescent="0.25">
      <c r="A509" s="509"/>
      <c r="B509" s="510"/>
      <c r="C509" s="510"/>
      <c r="D509" s="511"/>
      <c r="E509" s="508"/>
      <c r="F509" s="508"/>
      <c r="G509" s="506"/>
      <c r="H509" s="506"/>
    </row>
    <row r="510" spans="1:8" x14ac:dyDescent="0.25">
      <c r="A510" s="509"/>
      <c r="B510" s="510"/>
      <c r="C510" s="510"/>
      <c r="D510" s="511"/>
      <c r="E510" s="508"/>
      <c r="F510" s="508"/>
      <c r="G510" s="506"/>
      <c r="H510" s="506"/>
    </row>
    <row r="511" spans="1:8" x14ac:dyDescent="0.25">
      <c r="A511" s="509"/>
      <c r="B511" s="510"/>
      <c r="C511" s="510"/>
      <c r="D511" s="511"/>
      <c r="E511" s="508"/>
      <c r="F511" s="508"/>
      <c r="G511" s="506"/>
      <c r="H511" s="506"/>
    </row>
    <row r="512" spans="1:8" x14ac:dyDescent="0.25">
      <c r="A512" s="509"/>
      <c r="B512" s="510"/>
      <c r="C512" s="510"/>
      <c r="D512" s="511"/>
      <c r="E512" s="508"/>
      <c r="F512" s="508"/>
      <c r="G512" s="506"/>
      <c r="H512" s="506"/>
    </row>
    <row r="513" spans="1:8" x14ac:dyDescent="0.25">
      <c r="A513" s="1249"/>
      <c r="B513" s="1250"/>
      <c r="C513" s="1250"/>
      <c r="D513" s="1250"/>
      <c r="E513" s="1250"/>
      <c r="F513" s="1251"/>
      <c r="G513" s="507" t="s">
        <v>31</v>
      </c>
      <c r="H513" s="507">
        <f>ROUND(SUM(H493:H512),0)</f>
        <v>235000</v>
      </c>
    </row>
    <row r="514" spans="1:8" x14ac:dyDescent="0.25">
      <c r="A514" s="512"/>
      <c r="B514" s="513"/>
      <c r="C514" s="513"/>
      <c r="D514" s="513"/>
      <c r="E514" s="513"/>
      <c r="F514" s="513"/>
      <c r="G514" s="513"/>
      <c r="H514" s="514"/>
    </row>
    <row r="515" spans="1:8" x14ac:dyDescent="0.25">
      <c r="A515" s="1260" t="s">
        <v>1993</v>
      </c>
      <c r="B515" s="1260"/>
      <c r="C515" s="1260"/>
      <c r="D515" s="1259" t="s">
        <v>1994</v>
      </c>
      <c r="E515" s="1259"/>
      <c r="F515" s="515" t="s">
        <v>28</v>
      </c>
      <c r="G515" s="502" t="s">
        <v>1989</v>
      </c>
      <c r="H515" s="502" t="s">
        <v>1990</v>
      </c>
    </row>
    <row r="516" spans="1:8" x14ac:dyDescent="0.25">
      <c r="A516" s="1256" t="s">
        <v>1996</v>
      </c>
      <c r="B516" s="1256"/>
      <c r="C516" s="1256"/>
      <c r="D516" s="1261">
        <v>15000</v>
      </c>
      <c r="E516" s="1261"/>
      <c r="F516" s="503">
        <v>0.5</v>
      </c>
      <c r="G516" s="506">
        <f>+D516/F516</f>
        <v>30000</v>
      </c>
      <c r="H516" s="506">
        <f>+G516</f>
        <v>30000</v>
      </c>
    </row>
    <row r="517" spans="1:8" x14ac:dyDescent="0.25">
      <c r="A517" s="1262"/>
      <c r="B517" s="1262"/>
      <c r="C517" s="1262"/>
      <c r="D517" s="1261"/>
      <c r="E517" s="1261"/>
      <c r="F517" s="503"/>
      <c r="G517" s="506"/>
      <c r="H517" s="506">
        <f>+G517</f>
        <v>0</v>
      </c>
    </row>
    <row r="518" spans="1:8" x14ac:dyDescent="0.25">
      <c r="A518" s="1256"/>
      <c r="B518" s="1256"/>
      <c r="C518" s="1256"/>
      <c r="D518" s="1261"/>
      <c r="E518" s="1261"/>
      <c r="F518" s="503"/>
      <c r="G518" s="506"/>
      <c r="H518" s="506">
        <f>+G518</f>
        <v>0</v>
      </c>
    </row>
    <row r="519" spans="1:8" x14ac:dyDescent="0.25">
      <c r="A519" s="1257"/>
      <c r="B519" s="1257"/>
      <c r="C519" s="1257"/>
      <c r="D519" s="1257"/>
      <c r="E519" s="1257"/>
      <c r="F519" s="503"/>
      <c r="G519" s="506"/>
      <c r="H519" s="506"/>
    </row>
    <row r="520" spans="1:8" x14ac:dyDescent="0.25">
      <c r="A520" s="1249"/>
      <c r="B520" s="1250"/>
      <c r="C520" s="1250"/>
      <c r="D520" s="1250"/>
      <c r="E520" s="1250"/>
      <c r="F520" s="1251"/>
      <c r="G520" s="507" t="s">
        <v>31</v>
      </c>
      <c r="H520" s="507">
        <f>SUM(H516:H519)</f>
        <v>30000</v>
      </c>
    </row>
    <row r="521" spans="1:8" x14ac:dyDescent="0.25">
      <c r="A521" s="1249"/>
      <c r="B521" s="1250"/>
      <c r="C521" s="1250"/>
      <c r="D521" s="1250"/>
      <c r="E521" s="1250"/>
      <c r="F521" s="1250"/>
      <c r="G521" s="1250"/>
      <c r="H521" s="1251"/>
    </row>
    <row r="522" spans="1:8" x14ac:dyDescent="0.25">
      <c r="A522" s="1258" t="s">
        <v>1997</v>
      </c>
      <c r="B522" s="1258"/>
      <c r="C522" s="516" t="s">
        <v>1998</v>
      </c>
      <c r="D522" s="1259" t="s">
        <v>1999</v>
      </c>
      <c r="E522" s="1259"/>
      <c r="F522" s="515" t="s">
        <v>2000</v>
      </c>
      <c r="G522" s="517" t="s">
        <v>2001</v>
      </c>
      <c r="H522" s="517" t="s">
        <v>2002</v>
      </c>
    </row>
    <row r="523" spans="1:8" x14ac:dyDescent="0.25">
      <c r="A523" s="1253" t="s">
        <v>2003</v>
      </c>
      <c r="B523" s="1253"/>
      <c r="C523" s="518">
        <v>150000</v>
      </c>
      <c r="D523" s="1254">
        <f>C523*65%</f>
        <v>97500</v>
      </c>
      <c r="E523" s="1255"/>
      <c r="F523" s="518">
        <f>C523+D523</f>
        <v>247500</v>
      </c>
      <c r="G523" s="539">
        <v>4</v>
      </c>
      <c r="H523" s="518">
        <f>F523/G523</f>
        <v>61875</v>
      </c>
    </row>
    <row r="524" spans="1:8" x14ac:dyDescent="0.25">
      <c r="A524" s="1253" t="s">
        <v>2004</v>
      </c>
      <c r="B524" s="1253"/>
      <c r="C524" s="518">
        <v>70000</v>
      </c>
      <c r="D524" s="1254">
        <f>C524*65%</f>
        <v>45500</v>
      </c>
      <c r="E524" s="1255"/>
      <c r="F524" s="518">
        <f>C524+D524</f>
        <v>115500</v>
      </c>
      <c r="G524" s="539">
        <v>2</v>
      </c>
      <c r="H524" s="518">
        <f>F524/G524</f>
        <v>57750</v>
      </c>
    </row>
    <row r="525" spans="1:8" x14ac:dyDescent="0.25">
      <c r="A525" s="1253" t="s">
        <v>2005</v>
      </c>
      <c r="B525" s="1253"/>
      <c r="C525" s="518">
        <v>45000</v>
      </c>
      <c r="D525" s="1254">
        <f>C525*65%</f>
        <v>29250</v>
      </c>
      <c r="E525" s="1255"/>
      <c r="F525" s="518">
        <f>C525+D525</f>
        <v>74250</v>
      </c>
      <c r="G525" s="541">
        <v>1.4271984504458097</v>
      </c>
      <c r="H525" s="518">
        <f>F525/G525</f>
        <v>52025.000431304245</v>
      </c>
    </row>
    <row r="526" spans="1:8" x14ac:dyDescent="0.25">
      <c r="A526" s="1256" t="s">
        <v>2006</v>
      </c>
      <c r="B526" s="1256"/>
      <c r="C526" s="520">
        <v>120000</v>
      </c>
      <c r="D526" s="1257"/>
      <c r="E526" s="1257"/>
      <c r="F526" s="506">
        <f>C526</f>
        <v>120000</v>
      </c>
      <c r="G526" s="539">
        <v>1</v>
      </c>
      <c r="H526" s="518">
        <f>F526/G526</f>
        <v>120000</v>
      </c>
    </row>
    <row r="527" spans="1:8" x14ac:dyDescent="0.25">
      <c r="A527" s="1249"/>
      <c r="B527" s="1250"/>
      <c r="C527" s="1250"/>
      <c r="D527" s="1250"/>
      <c r="E527" s="1250"/>
      <c r="F527" s="1251"/>
      <c r="G527" s="507" t="s">
        <v>31</v>
      </c>
      <c r="H527" s="507">
        <f>SUM(H523:H526)</f>
        <v>291650.00043130422</v>
      </c>
    </row>
    <row r="528" spans="1:8" ht="15.75" thickBot="1" x14ac:dyDescent="0.3">
      <c r="A528" s="1249"/>
      <c r="B528" s="1250"/>
      <c r="C528" s="1250"/>
      <c r="D528" s="1250"/>
      <c r="E528" s="1250"/>
      <c r="F528" s="1250"/>
      <c r="G528" s="1250"/>
      <c r="H528" s="1251"/>
    </row>
    <row r="529" spans="1:8" ht="16.5" thickTop="1" thickBot="1" x14ac:dyDescent="0.3">
      <c r="A529" s="1252" t="s">
        <v>2007</v>
      </c>
      <c r="B529" s="1252"/>
      <c r="C529" s="1252"/>
      <c r="D529" s="1252"/>
      <c r="E529" s="1252"/>
      <c r="F529" s="1252"/>
      <c r="G529" s="1252"/>
      <c r="H529" s="499">
        <f>ROUND(H527+H520+H513+H490,0)</f>
        <v>10156650</v>
      </c>
    </row>
    <row r="530" spans="1:8" ht="15.75" thickBot="1" x14ac:dyDescent="0.3"/>
    <row r="531" spans="1:8" ht="15.75" thickBot="1" x14ac:dyDescent="0.3">
      <c r="A531" s="1279"/>
      <c r="B531" s="1280"/>
      <c r="C531" s="1280"/>
      <c r="D531" s="1280"/>
      <c r="E531" s="1280"/>
      <c r="F531" s="1280"/>
      <c r="G531" s="1280"/>
      <c r="H531" s="1281"/>
    </row>
    <row r="532" spans="1:8" ht="15.75" thickTop="1" x14ac:dyDescent="0.25">
      <c r="A532" s="1282"/>
      <c r="B532" s="1283"/>
      <c r="C532" s="1283"/>
      <c r="D532" s="1283"/>
      <c r="E532" s="1283"/>
      <c r="F532" s="1283"/>
      <c r="G532" s="1283"/>
      <c r="H532" s="1284"/>
    </row>
    <row r="533" spans="1:8" x14ac:dyDescent="0.25">
      <c r="A533" s="1274"/>
      <c r="B533" s="1274"/>
      <c r="C533" s="1274"/>
      <c r="D533" s="1274"/>
      <c r="E533" s="1274"/>
      <c r="F533" s="1275"/>
      <c r="G533" s="1275"/>
      <c r="H533" s="1275"/>
    </row>
    <row r="534" spans="1:8" x14ac:dyDescent="0.25">
      <c r="A534" s="1274"/>
      <c r="B534" s="1274"/>
      <c r="C534" s="1274"/>
      <c r="D534" s="1274"/>
      <c r="E534" s="1274"/>
      <c r="F534" s="500"/>
      <c r="G534" s="1276"/>
      <c r="H534" s="1276"/>
    </row>
    <row r="535" spans="1:8" x14ac:dyDescent="0.25">
      <c r="A535" s="1274"/>
      <c r="B535" s="1274"/>
      <c r="C535" s="1274"/>
      <c r="D535" s="1274"/>
      <c r="E535" s="1274"/>
      <c r="F535" s="1291"/>
      <c r="G535" s="1278"/>
      <c r="H535" s="1278"/>
    </row>
    <row r="536" spans="1:8" x14ac:dyDescent="0.25">
      <c r="A536" s="1249"/>
      <c r="B536" s="1250"/>
      <c r="C536" s="1250"/>
      <c r="D536" s="1250"/>
      <c r="E536" s="1250"/>
      <c r="F536" s="1250"/>
      <c r="G536" s="1250"/>
      <c r="H536" s="1251"/>
    </row>
    <row r="537" spans="1:8" x14ac:dyDescent="0.25">
      <c r="A537" s="1264" t="s">
        <v>1988</v>
      </c>
      <c r="B537" s="1264"/>
      <c r="C537" s="1264"/>
      <c r="D537" s="1264"/>
      <c r="E537" s="501" t="s">
        <v>24</v>
      </c>
      <c r="F537" s="501" t="s">
        <v>34</v>
      </c>
      <c r="G537" s="502" t="s">
        <v>1989</v>
      </c>
      <c r="H537" s="502" t="s">
        <v>1990</v>
      </c>
    </row>
    <row r="538" spans="1:8" x14ac:dyDescent="0.25">
      <c r="A538" s="524" t="s">
        <v>2063</v>
      </c>
      <c r="B538" s="525"/>
      <c r="C538" s="525"/>
      <c r="D538" s="526"/>
      <c r="E538" s="503" t="s">
        <v>77</v>
      </c>
      <c r="F538" s="522">
        <v>1</v>
      </c>
      <c r="G538" s="505">
        <v>11500</v>
      </c>
      <c r="H538" s="506">
        <f t="shared" ref="H538:H557" si="7">+G538*F538</f>
        <v>11500</v>
      </c>
    </row>
    <row r="539" spans="1:8" x14ac:dyDescent="0.25">
      <c r="A539" s="527"/>
      <c r="B539" s="528"/>
      <c r="C539" s="528"/>
      <c r="D539" s="529"/>
      <c r="E539" s="530"/>
      <c r="F539" s="531"/>
      <c r="G539" s="532"/>
      <c r="H539" s="506">
        <f t="shared" si="7"/>
        <v>0</v>
      </c>
    </row>
    <row r="540" spans="1:8" x14ac:dyDescent="0.25">
      <c r="A540" s="527"/>
      <c r="B540" s="528"/>
      <c r="C540" s="533"/>
      <c r="D540" s="534"/>
      <c r="E540" s="535"/>
      <c r="F540" s="536"/>
      <c r="G540" s="537"/>
      <c r="H540" s="506">
        <f t="shared" si="7"/>
        <v>0</v>
      </c>
    </row>
    <row r="541" spans="1:8" x14ac:dyDescent="0.25">
      <c r="A541" s="538"/>
      <c r="B541" s="533"/>
      <c r="C541" s="533"/>
      <c r="D541" s="534"/>
      <c r="E541" s="535"/>
      <c r="F541" s="536"/>
      <c r="G541" s="537"/>
      <c r="H541" s="506">
        <f t="shared" si="7"/>
        <v>0</v>
      </c>
    </row>
    <row r="542" spans="1:8" x14ac:dyDescent="0.25">
      <c r="A542" s="538"/>
      <c r="B542" s="533"/>
      <c r="C542" s="533"/>
      <c r="D542" s="534"/>
      <c r="E542" s="535"/>
      <c r="F542" s="536"/>
      <c r="G542" s="537"/>
      <c r="H542" s="506">
        <f t="shared" si="7"/>
        <v>0</v>
      </c>
    </row>
    <row r="543" spans="1:8" x14ac:dyDescent="0.25">
      <c r="A543" s="527"/>
      <c r="B543" s="528"/>
      <c r="C543" s="533"/>
      <c r="D543" s="534"/>
      <c r="E543" s="535"/>
      <c r="F543" s="536"/>
      <c r="G543" s="537"/>
      <c r="H543" s="506">
        <f t="shared" si="7"/>
        <v>0</v>
      </c>
    </row>
    <row r="544" spans="1:8" x14ac:dyDescent="0.25">
      <c r="A544" s="1288"/>
      <c r="B544" s="1289"/>
      <c r="C544" s="1289"/>
      <c r="D544" s="1290"/>
      <c r="E544" s="535"/>
      <c r="F544" s="536"/>
      <c r="G544" s="537"/>
      <c r="H544" s="506">
        <f t="shared" si="7"/>
        <v>0</v>
      </c>
    </row>
    <row r="545" spans="1:8" x14ac:dyDescent="0.25">
      <c r="A545" s="1271"/>
      <c r="B545" s="1272"/>
      <c r="C545" s="1272"/>
      <c r="D545" s="1273"/>
      <c r="E545" s="503"/>
      <c r="F545" s="522"/>
      <c r="G545" s="505"/>
      <c r="H545" s="506">
        <f t="shared" si="7"/>
        <v>0</v>
      </c>
    </row>
    <row r="546" spans="1:8" x14ac:dyDescent="0.25">
      <c r="A546" s="1271"/>
      <c r="B546" s="1272"/>
      <c r="C546" s="1272"/>
      <c r="D546" s="1273"/>
      <c r="E546" s="503"/>
      <c r="F546" s="522"/>
      <c r="G546" s="505"/>
      <c r="H546" s="506">
        <f t="shared" si="7"/>
        <v>0</v>
      </c>
    </row>
    <row r="547" spans="1:8" x14ac:dyDescent="0.25">
      <c r="A547" s="1271"/>
      <c r="B547" s="1272"/>
      <c r="C547" s="1272"/>
      <c r="D547" s="1273"/>
      <c r="E547" s="503"/>
      <c r="F547" s="522"/>
      <c r="G547" s="505"/>
      <c r="H547" s="506">
        <f t="shared" si="7"/>
        <v>0</v>
      </c>
    </row>
    <row r="548" spans="1:8" x14ac:dyDescent="0.25">
      <c r="A548" s="1271"/>
      <c r="B548" s="1272"/>
      <c r="C548" s="1272"/>
      <c r="D548" s="1273"/>
      <c r="E548" s="503"/>
      <c r="F548" s="522"/>
      <c r="G548" s="505"/>
      <c r="H548" s="506">
        <f t="shared" si="7"/>
        <v>0</v>
      </c>
    </row>
    <row r="549" spans="1:8" x14ac:dyDescent="0.25">
      <c r="A549" s="1271"/>
      <c r="B549" s="1272"/>
      <c r="C549" s="1272"/>
      <c r="D549" s="1273"/>
      <c r="E549" s="503"/>
      <c r="F549" s="522"/>
      <c r="G549" s="505"/>
      <c r="H549" s="506">
        <f t="shared" si="7"/>
        <v>0</v>
      </c>
    </row>
    <row r="550" spans="1:8" x14ac:dyDescent="0.25">
      <c r="A550" s="1263"/>
      <c r="B550" s="1263"/>
      <c r="C550" s="1263"/>
      <c r="D550" s="1263"/>
      <c r="E550" s="503" t="s">
        <v>53</v>
      </c>
      <c r="F550" s="504"/>
      <c r="G550" s="505"/>
      <c r="H550" s="506">
        <f t="shared" si="7"/>
        <v>0</v>
      </c>
    </row>
    <row r="551" spans="1:8" x14ac:dyDescent="0.25">
      <c r="A551" s="1263"/>
      <c r="B551" s="1263"/>
      <c r="C551" s="1263"/>
      <c r="D551" s="1263"/>
      <c r="E551" s="503" t="s">
        <v>53</v>
      </c>
      <c r="F551" s="504"/>
      <c r="G551" s="505"/>
      <c r="H551" s="506">
        <f t="shared" si="7"/>
        <v>0</v>
      </c>
    </row>
    <row r="552" spans="1:8" x14ac:dyDescent="0.25">
      <c r="A552" s="1263"/>
      <c r="B552" s="1263"/>
      <c r="C552" s="1263"/>
      <c r="D552" s="1263"/>
      <c r="E552" s="503" t="s">
        <v>53</v>
      </c>
      <c r="F552" s="504"/>
      <c r="G552" s="505"/>
      <c r="H552" s="506">
        <f t="shared" si="7"/>
        <v>0</v>
      </c>
    </row>
    <row r="553" spans="1:8" x14ac:dyDescent="0.25">
      <c r="A553" s="1263"/>
      <c r="B553" s="1263"/>
      <c r="C553" s="1263"/>
      <c r="D553" s="1263"/>
      <c r="E553" s="503" t="s">
        <v>53</v>
      </c>
      <c r="F553" s="504"/>
      <c r="G553" s="505"/>
      <c r="H553" s="506">
        <f t="shared" si="7"/>
        <v>0</v>
      </c>
    </row>
    <row r="554" spans="1:8" x14ac:dyDescent="0.25">
      <c r="A554" s="1263"/>
      <c r="B554" s="1263"/>
      <c r="C554" s="1263"/>
      <c r="D554" s="1263"/>
      <c r="E554" s="503" t="s">
        <v>53</v>
      </c>
      <c r="F554" s="504"/>
      <c r="G554" s="505"/>
      <c r="H554" s="506">
        <f t="shared" si="7"/>
        <v>0</v>
      </c>
    </row>
    <row r="555" spans="1:8" x14ac:dyDescent="0.25">
      <c r="A555" s="1263"/>
      <c r="B555" s="1263"/>
      <c r="C555" s="1263"/>
      <c r="D555" s="1263"/>
      <c r="E555" s="503" t="s">
        <v>53</v>
      </c>
      <c r="F555" s="504"/>
      <c r="G555" s="505"/>
      <c r="H555" s="506">
        <f t="shared" si="7"/>
        <v>0</v>
      </c>
    </row>
    <row r="556" spans="1:8" x14ac:dyDescent="0.25">
      <c r="A556" s="1263"/>
      <c r="B556" s="1263"/>
      <c r="C556" s="1263"/>
      <c r="D556" s="1263"/>
      <c r="E556" s="503" t="s">
        <v>53</v>
      </c>
      <c r="F556" s="504"/>
      <c r="G556" s="505"/>
      <c r="H556" s="506">
        <f t="shared" si="7"/>
        <v>0</v>
      </c>
    </row>
    <row r="557" spans="1:8" x14ac:dyDescent="0.25">
      <c r="A557" s="1263"/>
      <c r="B557" s="1263"/>
      <c r="C557" s="1263"/>
      <c r="D557" s="1263"/>
      <c r="E557" s="503" t="s">
        <v>53</v>
      </c>
      <c r="F557" s="504"/>
      <c r="G557" s="505"/>
      <c r="H557" s="506">
        <f t="shared" si="7"/>
        <v>0</v>
      </c>
    </row>
    <row r="558" spans="1:8" x14ac:dyDescent="0.25">
      <c r="A558" s="1249"/>
      <c r="B558" s="1250"/>
      <c r="C558" s="1250"/>
      <c r="D558" s="1250"/>
      <c r="E558" s="1250"/>
      <c r="F558" s="1251"/>
      <c r="G558" s="507" t="s">
        <v>31</v>
      </c>
      <c r="H558" s="507">
        <f>ROUND(SUM(H538:H557),0)</f>
        <v>11500</v>
      </c>
    </row>
    <row r="559" spans="1:8" x14ac:dyDescent="0.25">
      <c r="A559" s="1249"/>
      <c r="B559" s="1250"/>
      <c r="C559" s="1250"/>
      <c r="D559" s="1250"/>
      <c r="E559" s="1250"/>
      <c r="F559" s="1250"/>
      <c r="G559" s="1250"/>
      <c r="H559" s="1251"/>
    </row>
    <row r="560" spans="1:8" x14ac:dyDescent="0.25">
      <c r="A560" s="1264" t="s">
        <v>1991</v>
      </c>
      <c r="B560" s="1264"/>
      <c r="C560" s="1264"/>
      <c r="D560" s="1264"/>
      <c r="E560" s="501" t="s">
        <v>1992</v>
      </c>
      <c r="F560" s="501" t="s">
        <v>34</v>
      </c>
      <c r="G560" s="502" t="s">
        <v>1989</v>
      </c>
      <c r="H560" s="502" t="s">
        <v>1990</v>
      </c>
    </row>
    <row r="561" spans="1:8" x14ac:dyDescent="0.25">
      <c r="A561" s="1265" t="str">
        <f>A538</f>
        <v>Cable Aluminio Aislado 4/0 serie 8,000</v>
      </c>
      <c r="B561" s="1266"/>
      <c r="C561" s="1266"/>
      <c r="D561" s="1267"/>
      <c r="E561" s="503">
        <v>1</v>
      </c>
      <c r="F561" s="508">
        <v>1</v>
      </c>
      <c r="G561" s="506">
        <v>400</v>
      </c>
      <c r="H561" s="506">
        <f>E561*G561</f>
        <v>400</v>
      </c>
    </row>
    <row r="562" spans="1:8" x14ac:dyDescent="0.25">
      <c r="A562" s="1285"/>
      <c r="B562" s="1286"/>
      <c r="C562" s="1286"/>
      <c r="D562" s="1287"/>
      <c r="E562" s="508"/>
      <c r="F562" s="508"/>
      <c r="G562" s="506"/>
      <c r="H562" s="506"/>
    </row>
    <row r="563" spans="1:8" x14ac:dyDescent="0.25">
      <c r="A563" s="1285"/>
      <c r="B563" s="1286"/>
      <c r="C563" s="1286"/>
      <c r="D563" s="1287"/>
      <c r="E563" s="508"/>
      <c r="F563" s="508"/>
      <c r="G563" s="506"/>
      <c r="H563" s="506"/>
    </row>
    <row r="564" spans="1:8" x14ac:dyDescent="0.25">
      <c r="A564" s="1285"/>
      <c r="B564" s="1286"/>
      <c r="C564" s="1286"/>
      <c r="D564" s="1287"/>
      <c r="E564" s="508"/>
      <c r="F564" s="508"/>
      <c r="G564" s="506"/>
      <c r="H564" s="506"/>
    </row>
    <row r="565" spans="1:8" x14ac:dyDescent="0.25">
      <c r="A565" s="1285"/>
      <c r="B565" s="1286"/>
      <c r="C565" s="1286"/>
      <c r="D565" s="1287"/>
      <c r="E565" s="508"/>
      <c r="F565" s="508"/>
      <c r="G565" s="506"/>
      <c r="H565" s="506"/>
    </row>
    <row r="566" spans="1:8" x14ac:dyDescent="0.25">
      <c r="A566" s="1285"/>
      <c r="B566" s="1286"/>
      <c r="C566" s="1286"/>
      <c r="D566" s="1287"/>
      <c r="E566" s="508"/>
      <c r="F566" s="508"/>
      <c r="G566" s="506"/>
      <c r="H566" s="506"/>
    </row>
    <row r="567" spans="1:8" x14ac:dyDescent="0.25">
      <c r="A567" s="509"/>
      <c r="B567" s="510"/>
      <c r="C567" s="510"/>
      <c r="D567" s="511"/>
      <c r="E567" s="508"/>
      <c r="F567" s="508"/>
      <c r="G567" s="506"/>
      <c r="H567" s="506"/>
    </row>
    <row r="568" spans="1:8" x14ac:dyDescent="0.25">
      <c r="A568" s="509"/>
      <c r="B568" s="510"/>
      <c r="C568" s="510"/>
      <c r="D568" s="511"/>
      <c r="E568" s="508"/>
      <c r="F568" s="508"/>
      <c r="G568" s="506"/>
      <c r="H568" s="506"/>
    </row>
    <row r="569" spans="1:8" x14ac:dyDescent="0.25">
      <c r="A569" s="509"/>
      <c r="B569" s="510"/>
      <c r="C569" s="510"/>
      <c r="D569" s="511"/>
      <c r="E569" s="508"/>
      <c r="F569" s="508"/>
      <c r="G569" s="506"/>
      <c r="H569" s="506"/>
    </row>
    <row r="570" spans="1:8" x14ac:dyDescent="0.25">
      <c r="A570" s="509"/>
      <c r="B570" s="510"/>
      <c r="C570" s="510"/>
      <c r="D570" s="511"/>
      <c r="E570" s="508"/>
      <c r="F570" s="508"/>
      <c r="G570" s="506"/>
      <c r="H570" s="506"/>
    </row>
    <row r="571" spans="1:8" x14ac:dyDescent="0.25">
      <c r="A571" s="509"/>
      <c r="B571" s="510"/>
      <c r="C571" s="510"/>
      <c r="D571" s="511"/>
      <c r="E571" s="508"/>
      <c r="F571" s="508"/>
      <c r="G571" s="506"/>
      <c r="H571" s="506"/>
    </row>
    <row r="572" spans="1:8" x14ac:dyDescent="0.25">
      <c r="A572" s="509"/>
      <c r="B572" s="510"/>
      <c r="C572" s="510"/>
      <c r="D572" s="511"/>
      <c r="E572" s="508"/>
      <c r="F572" s="508"/>
      <c r="G572" s="506"/>
      <c r="H572" s="506"/>
    </row>
    <row r="573" spans="1:8" x14ac:dyDescent="0.25">
      <c r="A573" s="509"/>
      <c r="B573" s="510"/>
      <c r="C573" s="510"/>
      <c r="D573" s="511"/>
      <c r="E573" s="508"/>
      <c r="F573" s="508"/>
      <c r="G573" s="506"/>
      <c r="H573" s="506"/>
    </row>
    <row r="574" spans="1:8" x14ac:dyDescent="0.25">
      <c r="A574" s="509"/>
      <c r="B574" s="510"/>
      <c r="C574" s="510"/>
      <c r="D574" s="511"/>
      <c r="E574" s="508"/>
      <c r="F574" s="508"/>
      <c r="G574" s="506"/>
      <c r="H574" s="506"/>
    </row>
    <row r="575" spans="1:8" x14ac:dyDescent="0.25">
      <c r="A575" s="509"/>
      <c r="B575" s="510"/>
      <c r="C575" s="510"/>
      <c r="D575" s="511"/>
      <c r="E575" s="508"/>
      <c r="F575" s="508"/>
      <c r="G575" s="506"/>
      <c r="H575" s="506"/>
    </row>
    <row r="576" spans="1:8" x14ac:dyDescent="0.25">
      <c r="A576" s="509"/>
      <c r="B576" s="510"/>
      <c r="C576" s="510"/>
      <c r="D576" s="511"/>
      <c r="E576" s="508"/>
      <c r="F576" s="508"/>
      <c r="G576" s="506"/>
      <c r="H576" s="506"/>
    </row>
    <row r="577" spans="1:8" x14ac:dyDescent="0.25">
      <c r="A577" s="509"/>
      <c r="B577" s="510"/>
      <c r="C577" s="510"/>
      <c r="D577" s="511"/>
      <c r="E577" s="508"/>
      <c r="F577" s="508"/>
      <c r="G577" s="506"/>
      <c r="H577" s="506"/>
    </row>
    <row r="578" spans="1:8" x14ac:dyDescent="0.25">
      <c r="A578" s="509"/>
      <c r="B578" s="510"/>
      <c r="C578" s="510"/>
      <c r="D578" s="511"/>
      <c r="E578" s="508"/>
      <c r="F578" s="508"/>
      <c r="G578" s="506"/>
      <c r="H578" s="506"/>
    </row>
    <row r="579" spans="1:8" x14ac:dyDescent="0.25">
      <c r="A579" s="509"/>
      <c r="B579" s="510"/>
      <c r="C579" s="510"/>
      <c r="D579" s="511"/>
      <c r="E579" s="508"/>
      <c r="F579" s="508"/>
      <c r="G579" s="506"/>
      <c r="H579" s="506"/>
    </row>
    <row r="580" spans="1:8" x14ac:dyDescent="0.25">
      <c r="A580" s="509"/>
      <c r="B580" s="510"/>
      <c r="C580" s="510"/>
      <c r="D580" s="511"/>
      <c r="E580" s="508"/>
      <c r="F580" s="508"/>
      <c r="G580" s="506"/>
      <c r="H580" s="506"/>
    </row>
    <row r="581" spans="1:8" x14ac:dyDescent="0.25">
      <c r="A581" s="1249"/>
      <c r="B581" s="1250"/>
      <c r="C581" s="1250"/>
      <c r="D581" s="1250"/>
      <c r="E581" s="1250"/>
      <c r="F581" s="1251"/>
      <c r="G581" s="507" t="s">
        <v>31</v>
      </c>
      <c r="H581" s="507">
        <f>ROUND(SUM(H561:H580),0)</f>
        <v>400</v>
      </c>
    </row>
    <row r="582" spans="1:8" x14ac:dyDescent="0.25">
      <c r="A582" s="512"/>
      <c r="B582" s="513"/>
      <c r="C582" s="513"/>
      <c r="D582" s="513"/>
      <c r="E582" s="513"/>
      <c r="F582" s="513"/>
      <c r="G582" s="513"/>
      <c r="H582" s="514"/>
    </row>
    <row r="583" spans="1:8" x14ac:dyDescent="0.25">
      <c r="A583" s="1260" t="s">
        <v>1993</v>
      </c>
      <c r="B583" s="1260"/>
      <c r="C583" s="1260"/>
      <c r="D583" s="1259" t="s">
        <v>1994</v>
      </c>
      <c r="E583" s="1259"/>
      <c r="F583" s="515" t="s">
        <v>28</v>
      </c>
      <c r="G583" s="502" t="s">
        <v>1989</v>
      </c>
      <c r="H583" s="502" t="s">
        <v>1990</v>
      </c>
    </row>
    <row r="584" spans="1:8" x14ac:dyDescent="0.25">
      <c r="A584" s="1256" t="s">
        <v>1996</v>
      </c>
      <c r="B584" s="1256"/>
      <c r="C584" s="1256"/>
      <c r="D584" s="1261">
        <v>15000</v>
      </c>
      <c r="E584" s="1261"/>
      <c r="F584" s="503">
        <v>250</v>
      </c>
      <c r="G584" s="506">
        <f>+D584/F584</f>
        <v>60</v>
      </c>
      <c r="H584" s="506">
        <f>+G584</f>
        <v>60</v>
      </c>
    </row>
    <row r="585" spans="1:8" x14ac:dyDescent="0.25">
      <c r="A585" s="1262"/>
      <c r="B585" s="1262"/>
      <c r="C585" s="1262"/>
      <c r="D585" s="1261"/>
      <c r="E585" s="1261"/>
      <c r="F585" s="503"/>
      <c r="G585" s="506"/>
      <c r="H585" s="506">
        <f>+G585</f>
        <v>0</v>
      </c>
    </row>
    <row r="586" spans="1:8" x14ac:dyDescent="0.25">
      <c r="A586" s="1256"/>
      <c r="B586" s="1256"/>
      <c r="C586" s="1256"/>
      <c r="D586" s="1261"/>
      <c r="E586" s="1261"/>
      <c r="F586" s="503"/>
      <c r="G586" s="506"/>
      <c r="H586" s="506">
        <f>+G586</f>
        <v>0</v>
      </c>
    </row>
    <row r="587" spans="1:8" x14ac:dyDescent="0.25">
      <c r="A587" s="1257"/>
      <c r="B587" s="1257"/>
      <c r="C587" s="1257"/>
      <c r="D587" s="1257"/>
      <c r="E587" s="1257"/>
      <c r="F587" s="503"/>
      <c r="G587" s="506"/>
      <c r="H587" s="506"/>
    </row>
    <row r="588" spans="1:8" x14ac:dyDescent="0.25">
      <c r="A588" s="1249"/>
      <c r="B588" s="1250"/>
      <c r="C588" s="1250"/>
      <c r="D588" s="1250"/>
      <c r="E588" s="1250"/>
      <c r="F588" s="1251"/>
      <c r="G588" s="507" t="s">
        <v>31</v>
      </c>
      <c r="H588" s="507">
        <f>SUM(H584:H587)</f>
        <v>60</v>
      </c>
    </row>
    <row r="589" spans="1:8" x14ac:dyDescent="0.25">
      <c r="A589" s="1249"/>
      <c r="B589" s="1250"/>
      <c r="C589" s="1250"/>
      <c r="D589" s="1250"/>
      <c r="E589" s="1250"/>
      <c r="F589" s="1250"/>
      <c r="G589" s="1250"/>
      <c r="H589" s="1251"/>
    </row>
    <row r="590" spans="1:8" x14ac:dyDescent="0.25">
      <c r="A590" s="1258" t="s">
        <v>1997</v>
      </c>
      <c r="B590" s="1258"/>
      <c r="C590" s="516" t="s">
        <v>1998</v>
      </c>
      <c r="D590" s="1259" t="s">
        <v>1999</v>
      </c>
      <c r="E590" s="1259"/>
      <c r="F590" s="515" t="s">
        <v>2000</v>
      </c>
      <c r="G590" s="517" t="s">
        <v>2001</v>
      </c>
      <c r="H590" s="517" t="s">
        <v>2002</v>
      </c>
    </row>
    <row r="591" spans="1:8" x14ac:dyDescent="0.25">
      <c r="A591" s="1253" t="s">
        <v>2003</v>
      </c>
      <c r="B591" s="1253"/>
      <c r="C591" s="518">
        <v>150000</v>
      </c>
      <c r="D591" s="1254">
        <f>C591*65%</f>
        <v>97500</v>
      </c>
      <c r="E591" s="1255"/>
      <c r="F591" s="518">
        <f>C591+D591</f>
        <v>247500</v>
      </c>
      <c r="G591" s="542">
        <f>F584</f>
        <v>250</v>
      </c>
      <c r="H591" s="518">
        <f>F591/G591</f>
        <v>990</v>
      </c>
    </row>
    <row r="592" spans="1:8" x14ac:dyDescent="0.25">
      <c r="A592" s="1253" t="s">
        <v>2004</v>
      </c>
      <c r="B592" s="1253"/>
      <c r="C592" s="518">
        <v>70000</v>
      </c>
      <c r="D592" s="1254">
        <f>C592*65%</f>
        <v>45500</v>
      </c>
      <c r="E592" s="1255"/>
      <c r="F592" s="518">
        <f>C592+D592</f>
        <v>115500</v>
      </c>
      <c r="G592" s="542">
        <f>F584</f>
        <v>250</v>
      </c>
      <c r="H592" s="518">
        <f>F592/G592</f>
        <v>462</v>
      </c>
    </row>
    <row r="593" spans="1:8" x14ac:dyDescent="0.25">
      <c r="A593" s="1253" t="s">
        <v>2005</v>
      </c>
      <c r="B593" s="1253"/>
      <c r="C593" s="518">
        <v>45000</v>
      </c>
      <c r="D593" s="1254">
        <f>C593*65%</f>
        <v>29250</v>
      </c>
      <c r="E593" s="1255"/>
      <c r="F593" s="518">
        <f>C593+D593</f>
        <v>74250</v>
      </c>
      <c r="G593" s="542">
        <f>F584</f>
        <v>250</v>
      </c>
      <c r="H593" s="518">
        <f>F593/G593</f>
        <v>297</v>
      </c>
    </row>
    <row r="594" spans="1:8" x14ac:dyDescent="0.25">
      <c r="A594" s="1256" t="s">
        <v>2006</v>
      </c>
      <c r="B594" s="1256"/>
      <c r="C594" s="520">
        <v>120000</v>
      </c>
      <c r="D594" s="1257"/>
      <c r="E594" s="1257"/>
      <c r="F594" s="506">
        <f>C594</f>
        <v>120000</v>
      </c>
      <c r="G594" s="542">
        <f>F584</f>
        <v>250</v>
      </c>
      <c r="H594" s="518">
        <f>F594/G594</f>
        <v>480</v>
      </c>
    </row>
    <row r="595" spans="1:8" x14ac:dyDescent="0.25">
      <c r="A595" s="1249"/>
      <c r="B595" s="1250"/>
      <c r="C595" s="1250"/>
      <c r="D595" s="1250"/>
      <c r="E595" s="1250"/>
      <c r="F595" s="1251"/>
      <c r="G595" s="507" t="s">
        <v>31</v>
      </c>
      <c r="H595" s="507">
        <f>SUM(H591:H594)</f>
        <v>2229</v>
      </c>
    </row>
    <row r="596" spans="1:8" ht="15.75" thickBot="1" x14ac:dyDescent="0.3">
      <c r="A596" s="1249"/>
      <c r="B596" s="1250"/>
      <c r="C596" s="1250"/>
      <c r="D596" s="1250"/>
      <c r="E596" s="1250"/>
      <c r="F596" s="1250"/>
      <c r="G596" s="1250"/>
      <c r="H596" s="1251"/>
    </row>
    <row r="597" spans="1:8" ht="16.5" thickTop="1" thickBot="1" x14ac:dyDescent="0.3">
      <c r="A597" s="1252" t="s">
        <v>2007</v>
      </c>
      <c r="B597" s="1252"/>
      <c r="C597" s="1252"/>
      <c r="D597" s="1252"/>
      <c r="E597" s="1252"/>
      <c r="F597" s="1252"/>
      <c r="G597" s="1252"/>
      <c r="H597" s="499">
        <f>ROUND(H595+H588+H581+H558,0)</f>
        <v>14189</v>
      </c>
    </row>
    <row r="598" spans="1:8" ht="15.75" thickBot="1" x14ac:dyDescent="0.3"/>
    <row r="599" spans="1:8" ht="15.75" thickBot="1" x14ac:dyDescent="0.3">
      <c r="A599" s="1279"/>
      <c r="B599" s="1280"/>
      <c r="C599" s="1280"/>
      <c r="D599" s="1280"/>
      <c r="E599" s="1280"/>
      <c r="F599" s="1280"/>
      <c r="G599" s="1280"/>
      <c r="H599" s="1281"/>
    </row>
    <row r="600" spans="1:8" ht="15.75" thickTop="1" x14ac:dyDescent="0.25">
      <c r="A600" s="1282"/>
      <c r="B600" s="1283"/>
      <c r="C600" s="1283"/>
      <c r="D600" s="1283"/>
      <c r="E600" s="1283"/>
      <c r="F600" s="1283"/>
      <c r="G600" s="1283"/>
      <c r="H600" s="1284"/>
    </row>
    <row r="601" spans="1:8" x14ac:dyDescent="0.25">
      <c r="A601" s="1274"/>
      <c r="B601" s="1274"/>
      <c r="C601" s="1274"/>
      <c r="D601" s="1274"/>
      <c r="E601" s="1274"/>
      <c r="F601" s="1275"/>
      <c r="G601" s="1275"/>
      <c r="H601" s="1275"/>
    </row>
    <row r="602" spans="1:8" x14ac:dyDescent="0.25">
      <c r="A602" s="1274"/>
      <c r="B602" s="1274"/>
      <c r="C602" s="1274"/>
      <c r="D602" s="1274"/>
      <c r="E602" s="1274"/>
      <c r="F602" s="500"/>
      <c r="G602" s="1276"/>
      <c r="H602" s="1276"/>
    </row>
    <row r="603" spans="1:8" x14ac:dyDescent="0.25">
      <c r="A603" s="1274"/>
      <c r="B603" s="1274"/>
      <c r="C603" s="1274"/>
      <c r="D603" s="1274"/>
      <c r="E603" s="1274"/>
      <c r="F603" s="1291"/>
      <c r="G603" s="1278"/>
      <c r="H603" s="1278"/>
    </row>
    <row r="604" spans="1:8" x14ac:dyDescent="0.25">
      <c r="A604" s="1249"/>
      <c r="B604" s="1250"/>
      <c r="C604" s="1250"/>
      <c r="D604" s="1250"/>
      <c r="E604" s="1250"/>
      <c r="F604" s="1250"/>
      <c r="G604" s="1250"/>
      <c r="H604" s="1251"/>
    </row>
    <row r="605" spans="1:8" x14ac:dyDescent="0.25">
      <c r="A605" s="1264" t="s">
        <v>1988</v>
      </c>
      <c r="B605" s="1264"/>
      <c r="C605" s="1264"/>
      <c r="D605" s="1264"/>
      <c r="E605" s="501" t="s">
        <v>24</v>
      </c>
      <c r="F605" s="501" t="s">
        <v>34</v>
      </c>
      <c r="G605" s="502" t="s">
        <v>1989</v>
      </c>
      <c r="H605" s="502" t="s">
        <v>1990</v>
      </c>
    </row>
    <row r="606" spans="1:8" x14ac:dyDescent="0.25">
      <c r="A606" s="524" t="s">
        <v>2064</v>
      </c>
      <c r="B606" s="525"/>
      <c r="C606" s="525"/>
      <c r="D606" s="526"/>
      <c r="E606" s="503" t="s">
        <v>53</v>
      </c>
      <c r="F606" s="522">
        <v>1</v>
      </c>
      <c r="G606" s="505">
        <v>430000</v>
      </c>
      <c r="H606" s="506">
        <f t="shared" ref="H606:H625" si="8">+G606*F606</f>
        <v>430000</v>
      </c>
    </row>
    <row r="607" spans="1:8" x14ac:dyDescent="0.25">
      <c r="A607" s="527" t="s">
        <v>2065</v>
      </c>
      <c r="B607" s="528"/>
      <c r="C607" s="528"/>
      <c r="D607" s="529"/>
      <c r="E607" s="530" t="s">
        <v>53</v>
      </c>
      <c r="F607" s="531">
        <v>1</v>
      </c>
      <c r="G607" s="532">
        <v>65000</v>
      </c>
      <c r="H607" s="506">
        <f t="shared" si="8"/>
        <v>65000</v>
      </c>
    </row>
    <row r="608" spans="1:8" x14ac:dyDescent="0.25">
      <c r="A608" s="527" t="s">
        <v>2066</v>
      </c>
      <c r="B608" s="528"/>
      <c r="C608" s="533"/>
      <c r="D608" s="534"/>
      <c r="E608" s="535" t="s">
        <v>53</v>
      </c>
      <c r="F608" s="536">
        <v>3</v>
      </c>
      <c r="G608" s="537">
        <v>1500</v>
      </c>
      <c r="H608" s="506">
        <f t="shared" si="8"/>
        <v>4500</v>
      </c>
    </row>
    <row r="609" spans="1:8" x14ac:dyDescent="0.25">
      <c r="A609" s="538" t="s">
        <v>2067</v>
      </c>
      <c r="B609" s="533"/>
      <c r="C609" s="533"/>
      <c r="D609" s="534"/>
      <c r="E609" s="535" t="s">
        <v>77</v>
      </c>
      <c r="F609" s="536">
        <v>3</v>
      </c>
      <c r="G609" s="537">
        <v>5000</v>
      </c>
      <c r="H609" s="506">
        <f t="shared" si="8"/>
        <v>15000</v>
      </c>
    </row>
    <row r="610" spans="1:8" x14ac:dyDescent="0.25">
      <c r="A610" s="538" t="s">
        <v>2068</v>
      </c>
      <c r="B610" s="533"/>
      <c r="C610" s="533"/>
      <c r="D610" s="534"/>
      <c r="E610" s="535" t="s">
        <v>53</v>
      </c>
      <c r="F610" s="536">
        <v>3</v>
      </c>
      <c r="G610" s="537">
        <v>1000</v>
      </c>
      <c r="H610" s="506">
        <f t="shared" si="8"/>
        <v>3000</v>
      </c>
    </row>
    <row r="611" spans="1:8" x14ac:dyDescent="0.25">
      <c r="A611" s="527" t="s">
        <v>2069</v>
      </c>
      <c r="B611" s="528"/>
      <c r="C611" s="533"/>
      <c r="D611" s="534"/>
      <c r="E611" s="535" t="s">
        <v>53</v>
      </c>
      <c r="F611" s="536">
        <v>1</v>
      </c>
      <c r="G611" s="537">
        <v>3000</v>
      </c>
      <c r="H611" s="506">
        <f t="shared" si="8"/>
        <v>3000</v>
      </c>
    </row>
    <row r="612" spans="1:8" x14ac:dyDescent="0.25">
      <c r="A612" s="1288" t="s">
        <v>2070</v>
      </c>
      <c r="B612" s="1289"/>
      <c r="C612" s="1289"/>
      <c r="D612" s="1290"/>
      <c r="E612" s="535" t="s">
        <v>50</v>
      </c>
      <c r="F612" s="536">
        <v>0.5</v>
      </c>
      <c r="G612" s="537">
        <v>6900</v>
      </c>
      <c r="H612" s="506">
        <f t="shared" si="8"/>
        <v>3450</v>
      </c>
    </row>
    <row r="613" spans="1:8" x14ac:dyDescent="0.25">
      <c r="A613" s="1271" t="s">
        <v>2071</v>
      </c>
      <c r="B613" s="1272"/>
      <c r="C613" s="1272"/>
      <c r="D613" s="1273"/>
      <c r="E613" s="503" t="s">
        <v>53</v>
      </c>
      <c r="F613" s="522">
        <v>1</v>
      </c>
      <c r="G613" s="505">
        <v>5000</v>
      </c>
      <c r="H613" s="506">
        <f t="shared" si="8"/>
        <v>5000</v>
      </c>
    </row>
    <row r="614" spans="1:8" x14ac:dyDescent="0.25">
      <c r="A614" s="1271"/>
      <c r="B614" s="1272"/>
      <c r="C614" s="1272"/>
      <c r="D614" s="1273"/>
      <c r="E614" s="503"/>
      <c r="F614" s="522"/>
      <c r="G614" s="505"/>
      <c r="H614" s="506">
        <f t="shared" si="8"/>
        <v>0</v>
      </c>
    </row>
    <row r="615" spans="1:8" x14ac:dyDescent="0.25">
      <c r="A615" s="1271"/>
      <c r="B615" s="1272"/>
      <c r="C615" s="1272"/>
      <c r="D615" s="1273"/>
      <c r="E615" s="503"/>
      <c r="F615" s="522"/>
      <c r="G615" s="505"/>
      <c r="H615" s="506">
        <f t="shared" si="8"/>
        <v>0</v>
      </c>
    </row>
    <row r="616" spans="1:8" x14ac:dyDescent="0.25">
      <c r="A616" s="1271"/>
      <c r="B616" s="1272"/>
      <c r="C616" s="1272"/>
      <c r="D616" s="1273"/>
      <c r="E616" s="503"/>
      <c r="F616" s="522"/>
      <c r="G616" s="505"/>
      <c r="H616" s="506">
        <f t="shared" si="8"/>
        <v>0</v>
      </c>
    </row>
    <row r="617" spans="1:8" x14ac:dyDescent="0.25">
      <c r="A617" s="1271"/>
      <c r="B617" s="1272"/>
      <c r="C617" s="1272"/>
      <c r="D617" s="1273"/>
      <c r="E617" s="503"/>
      <c r="F617" s="522"/>
      <c r="G617" s="505"/>
      <c r="H617" s="506">
        <f t="shared" si="8"/>
        <v>0</v>
      </c>
    </row>
    <row r="618" spans="1:8" x14ac:dyDescent="0.25">
      <c r="A618" s="1263"/>
      <c r="B618" s="1263"/>
      <c r="C618" s="1263"/>
      <c r="D618" s="1263"/>
      <c r="E618" s="503" t="s">
        <v>53</v>
      </c>
      <c r="F618" s="504"/>
      <c r="G618" s="505"/>
      <c r="H618" s="506">
        <f t="shared" si="8"/>
        <v>0</v>
      </c>
    </row>
    <row r="619" spans="1:8" x14ac:dyDescent="0.25">
      <c r="A619" s="1263"/>
      <c r="B619" s="1263"/>
      <c r="C619" s="1263"/>
      <c r="D619" s="1263"/>
      <c r="E619" s="503" t="s">
        <v>53</v>
      </c>
      <c r="F619" s="504"/>
      <c r="G619" s="505"/>
      <c r="H619" s="506">
        <f t="shared" si="8"/>
        <v>0</v>
      </c>
    </row>
    <row r="620" spans="1:8" x14ac:dyDescent="0.25">
      <c r="A620" s="1263"/>
      <c r="B620" s="1263"/>
      <c r="C620" s="1263"/>
      <c r="D620" s="1263"/>
      <c r="E620" s="503" t="s">
        <v>53</v>
      </c>
      <c r="F620" s="504"/>
      <c r="G620" s="505"/>
      <c r="H620" s="506">
        <f t="shared" si="8"/>
        <v>0</v>
      </c>
    </row>
    <row r="621" spans="1:8" x14ac:dyDescent="0.25">
      <c r="A621" s="1263"/>
      <c r="B621" s="1263"/>
      <c r="C621" s="1263"/>
      <c r="D621" s="1263"/>
      <c r="E621" s="503" t="s">
        <v>53</v>
      </c>
      <c r="F621" s="504"/>
      <c r="G621" s="505"/>
      <c r="H621" s="506">
        <f t="shared" si="8"/>
        <v>0</v>
      </c>
    </row>
    <row r="622" spans="1:8" x14ac:dyDescent="0.25">
      <c r="A622" s="1263"/>
      <c r="B622" s="1263"/>
      <c r="C622" s="1263"/>
      <c r="D622" s="1263"/>
      <c r="E622" s="503" t="s">
        <v>53</v>
      </c>
      <c r="F622" s="504"/>
      <c r="G622" s="505"/>
      <c r="H622" s="506">
        <f t="shared" si="8"/>
        <v>0</v>
      </c>
    </row>
    <row r="623" spans="1:8" x14ac:dyDescent="0.25">
      <c r="A623" s="1263"/>
      <c r="B623" s="1263"/>
      <c r="C623" s="1263"/>
      <c r="D623" s="1263"/>
      <c r="E623" s="503" t="s">
        <v>53</v>
      </c>
      <c r="F623" s="504"/>
      <c r="G623" s="505"/>
      <c r="H623" s="506">
        <f t="shared" si="8"/>
        <v>0</v>
      </c>
    </row>
    <row r="624" spans="1:8" x14ac:dyDescent="0.25">
      <c r="A624" s="1263"/>
      <c r="B624" s="1263"/>
      <c r="C624" s="1263"/>
      <c r="D624" s="1263"/>
      <c r="E624" s="503" t="s">
        <v>53</v>
      </c>
      <c r="F624" s="504"/>
      <c r="G624" s="505"/>
      <c r="H624" s="506">
        <f t="shared" si="8"/>
        <v>0</v>
      </c>
    </row>
    <row r="625" spans="1:8" x14ac:dyDescent="0.25">
      <c r="A625" s="1263"/>
      <c r="B625" s="1263"/>
      <c r="C625" s="1263"/>
      <c r="D625" s="1263"/>
      <c r="E625" s="503" t="s">
        <v>53</v>
      </c>
      <c r="F625" s="504"/>
      <c r="G625" s="505"/>
      <c r="H625" s="506">
        <f t="shared" si="8"/>
        <v>0</v>
      </c>
    </row>
    <row r="626" spans="1:8" x14ac:dyDescent="0.25">
      <c r="A626" s="1249"/>
      <c r="B626" s="1250"/>
      <c r="C626" s="1250"/>
      <c r="D626" s="1250"/>
      <c r="E626" s="1250"/>
      <c r="F626" s="1251"/>
      <c r="G626" s="507" t="s">
        <v>31</v>
      </c>
      <c r="H626" s="507">
        <f>ROUND(SUM(H606:H625),0)</f>
        <v>528950</v>
      </c>
    </row>
    <row r="627" spans="1:8" x14ac:dyDescent="0.25">
      <c r="A627" s="1249"/>
      <c r="B627" s="1250"/>
      <c r="C627" s="1250"/>
      <c r="D627" s="1250"/>
      <c r="E627" s="1250"/>
      <c r="F627" s="1250"/>
      <c r="G627" s="1250"/>
      <c r="H627" s="1251"/>
    </row>
    <row r="628" spans="1:8" x14ac:dyDescent="0.25">
      <c r="A628" s="1264" t="s">
        <v>1991</v>
      </c>
      <c r="B628" s="1264"/>
      <c r="C628" s="1264"/>
      <c r="D628" s="1264"/>
      <c r="E628" s="501" t="s">
        <v>1992</v>
      </c>
      <c r="F628" s="501" t="s">
        <v>34</v>
      </c>
      <c r="G628" s="502" t="s">
        <v>1989</v>
      </c>
      <c r="H628" s="502" t="s">
        <v>1990</v>
      </c>
    </row>
    <row r="629" spans="1:8" x14ac:dyDescent="0.25">
      <c r="A629" s="1265" t="str">
        <f>A606</f>
        <v>tubo galvanizado para bajante de acometida de 4"</v>
      </c>
      <c r="B629" s="1266"/>
      <c r="C629" s="1266"/>
      <c r="D629" s="1267"/>
      <c r="E629" s="503">
        <v>90</v>
      </c>
      <c r="F629" s="508">
        <v>1</v>
      </c>
      <c r="G629" s="506">
        <v>400</v>
      </c>
      <c r="H629" s="506">
        <f>E629*G629</f>
        <v>36000</v>
      </c>
    </row>
    <row r="630" spans="1:8" x14ac:dyDescent="0.25">
      <c r="A630" s="1285"/>
      <c r="B630" s="1286"/>
      <c r="C630" s="1286"/>
      <c r="D630" s="1287"/>
      <c r="E630" s="508"/>
      <c r="F630" s="508"/>
      <c r="G630" s="506"/>
      <c r="H630" s="506"/>
    </row>
    <row r="631" spans="1:8" x14ac:dyDescent="0.25">
      <c r="A631" s="1285"/>
      <c r="B631" s="1286"/>
      <c r="C631" s="1286"/>
      <c r="D631" s="1287"/>
      <c r="E631" s="508"/>
      <c r="F631" s="508"/>
      <c r="G631" s="506"/>
      <c r="H631" s="506"/>
    </row>
    <row r="632" spans="1:8" x14ac:dyDescent="0.25">
      <c r="A632" s="1285"/>
      <c r="B632" s="1286"/>
      <c r="C632" s="1286"/>
      <c r="D632" s="1287"/>
      <c r="E632" s="508"/>
      <c r="F632" s="508"/>
      <c r="G632" s="506"/>
      <c r="H632" s="506"/>
    </row>
    <row r="633" spans="1:8" x14ac:dyDescent="0.25">
      <c r="A633" s="1285"/>
      <c r="B633" s="1286"/>
      <c r="C633" s="1286"/>
      <c r="D633" s="1287"/>
      <c r="E633" s="508"/>
      <c r="F633" s="508"/>
      <c r="G633" s="506"/>
      <c r="H633" s="506"/>
    </row>
    <row r="634" spans="1:8" x14ac:dyDescent="0.25">
      <c r="A634" s="1285"/>
      <c r="B634" s="1286"/>
      <c r="C634" s="1286"/>
      <c r="D634" s="1287"/>
      <c r="E634" s="508"/>
      <c r="F634" s="508"/>
      <c r="G634" s="506"/>
      <c r="H634" s="506"/>
    </row>
    <row r="635" spans="1:8" x14ac:dyDescent="0.25">
      <c r="A635" s="509"/>
      <c r="B635" s="510"/>
      <c r="C635" s="510"/>
      <c r="D635" s="511"/>
      <c r="E635" s="508"/>
      <c r="F635" s="508"/>
      <c r="G635" s="506"/>
      <c r="H635" s="506"/>
    </row>
    <row r="636" spans="1:8" x14ac:dyDescent="0.25">
      <c r="A636" s="509"/>
      <c r="B636" s="510"/>
      <c r="C636" s="510"/>
      <c r="D636" s="511"/>
      <c r="E636" s="508"/>
      <c r="F636" s="508"/>
      <c r="G636" s="506"/>
      <c r="H636" s="506"/>
    </row>
    <row r="637" spans="1:8" x14ac:dyDescent="0.25">
      <c r="A637" s="509"/>
      <c r="B637" s="510"/>
      <c r="C637" s="510"/>
      <c r="D637" s="511"/>
      <c r="E637" s="508"/>
      <c r="F637" s="508"/>
      <c r="G637" s="506"/>
      <c r="H637" s="506"/>
    </row>
    <row r="638" spans="1:8" x14ac:dyDescent="0.25">
      <c r="A638" s="509"/>
      <c r="B638" s="510"/>
      <c r="C638" s="510"/>
      <c r="D638" s="511"/>
      <c r="E638" s="508"/>
      <c r="F638" s="508"/>
      <c r="G638" s="506"/>
      <c r="H638" s="506"/>
    </row>
    <row r="639" spans="1:8" x14ac:dyDescent="0.25">
      <c r="A639" s="509"/>
      <c r="B639" s="510"/>
      <c r="C639" s="510"/>
      <c r="D639" s="511"/>
      <c r="E639" s="508"/>
      <c r="F639" s="508"/>
      <c r="G639" s="506"/>
      <c r="H639" s="506"/>
    </row>
    <row r="640" spans="1:8" x14ac:dyDescent="0.25">
      <c r="A640" s="509"/>
      <c r="B640" s="510"/>
      <c r="C640" s="510"/>
      <c r="D640" s="511"/>
      <c r="E640" s="508"/>
      <c r="F640" s="508"/>
      <c r="G640" s="506"/>
      <c r="H640" s="506"/>
    </row>
    <row r="641" spans="1:8" x14ac:dyDescent="0.25">
      <c r="A641" s="509"/>
      <c r="B641" s="510"/>
      <c r="C641" s="510"/>
      <c r="D641" s="511"/>
      <c r="E641" s="508"/>
      <c r="F641" s="508"/>
      <c r="G641" s="506"/>
      <c r="H641" s="506"/>
    </row>
    <row r="642" spans="1:8" x14ac:dyDescent="0.25">
      <c r="A642" s="509"/>
      <c r="B642" s="510"/>
      <c r="C642" s="510"/>
      <c r="D642" s="511"/>
      <c r="E642" s="508"/>
      <c r="F642" s="508"/>
      <c r="G642" s="506"/>
      <c r="H642" s="506"/>
    </row>
    <row r="643" spans="1:8" x14ac:dyDescent="0.25">
      <c r="A643" s="509"/>
      <c r="B643" s="510"/>
      <c r="C643" s="510"/>
      <c r="D643" s="511"/>
      <c r="E643" s="508"/>
      <c r="F643" s="508"/>
      <c r="G643" s="506"/>
      <c r="H643" s="506"/>
    </row>
    <row r="644" spans="1:8" x14ac:dyDescent="0.25">
      <c r="A644" s="509"/>
      <c r="B644" s="510"/>
      <c r="C644" s="510"/>
      <c r="D644" s="511"/>
      <c r="E644" s="508"/>
      <c r="F644" s="508"/>
      <c r="G644" s="506"/>
      <c r="H644" s="506"/>
    </row>
    <row r="645" spans="1:8" x14ac:dyDescent="0.25">
      <c r="A645" s="509"/>
      <c r="B645" s="510"/>
      <c r="C645" s="510"/>
      <c r="D645" s="511"/>
      <c r="E645" s="508"/>
      <c r="F645" s="508"/>
      <c r="G645" s="506"/>
      <c r="H645" s="506"/>
    </row>
    <row r="646" spans="1:8" x14ac:dyDescent="0.25">
      <c r="A646" s="509"/>
      <c r="B646" s="510"/>
      <c r="C646" s="510"/>
      <c r="D646" s="511"/>
      <c r="E646" s="508"/>
      <c r="F646" s="508"/>
      <c r="G646" s="506"/>
      <c r="H646" s="506"/>
    </row>
    <row r="647" spans="1:8" x14ac:dyDescent="0.25">
      <c r="A647" s="509"/>
      <c r="B647" s="510"/>
      <c r="C647" s="510"/>
      <c r="D647" s="511"/>
      <c r="E647" s="508"/>
      <c r="F647" s="508"/>
      <c r="G647" s="506"/>
      <c r="H647" s="506"/>
    </row>
    <row r="648" spans="1:8" x14ac:dyDescent="0.25">
      <c r="A648" s="509"/>
      <c r="B648" s="510"/>
      <c r="C648" s="510"/>
      <c r="D648" s="511"/>
      <c r="E648" s="508"/>
      <c r="F648" s="508"/>
      <c r="G648" s="506"/>
      <c r="H648" s="506"/>
    </row>
    <row r="649" spans="1:8" x14ac:dyDescent="0.25">
      <c r="A649" s="1249"/>
      <c r="B649" s="1250"/>
      <c r="C649" s="1250"/>
      <c r="D649" s="1250"/>
      <c r="E649" s="1250"/>
      <c r="F649" s="1251"/>
      <c r="G649" s="507" t="s">
        <v>31</v>
      </c>
      <c r="H649" s="507">
        <f>ROUND(SUM(H629:H648),0)</f>
        <v>36000</v>
      </c>
    </row>
    <row r="650" spans="1:8" x14ac:dyDescent="0.25">
      <c r="A650" s="512"/>
      <c r="B650" s="513"/>
      <c r="C650" s="513"/>
      <c r="D650" s="513"/>
      <c r="E650" s="513"/>
      <c r="F650" s="513"/>
      <c r="G650" s="513"/>
      <c r="H650" s="514"/>
    </row>
    <row r="651" spans="1:8" x14ac:dyDescent="0.25">
      <c r="A651" s="1260" t="s">
        <v>1993</v>
      </c>
      <c r="B651" s="1260"/>
      <c r="C651" s="1260"/>
      <c r="D651" s="1259" t="s">
        <v>1994</v>
      </c>
      <c r="E651" s="1259"/>
      <c r="F651" s="515" t="s">
        <v>28</v>
      </c>
      <c r="G651" s="502" t="s">
        <v>1989</v>
      </c>
      <c r="H651" s="502" t="s">
        <v>1990</v>
      </c>
    </row>
    <row r="652" spans="1:8" x14ac:dyDescent="0.25">
      <c r="A652" s="1256" t="s">
        <v>1996</v>
      </c>
      <c r="B652" s="1256"/>
      <c r="C652" s="1256"/>
      <c r="D652" s="1261">
        <v>15000</v>
      </c>
      <c r="E652" s="1261"/>
      <c r="F652" s="503">
        <v>4</v>
      </c>
      <c r="G652" s="506">
        <f>+D652/F652</f>
        <v>3750</v>
      </c>
      <c r="H652" s="506">
        <f>+G652</f>
        <v>3750</v>
      </c>
    </row>
    <row r="653" spans="1:8" x14ac:dyDescent="0.25">
      <c r="A653" s="1262"/>
      <c r="B653" s="1262"/>
      <c r="C653" s="1262"/>
      <c r="D653" s="1261"/>
      <c r="E653" s="1261"/>
      <c r="F653" s="503"/>
      <c r="G653" s="506"/>
      <c r="H653" s="506">
        <f>+G653</f>
        <v>0</v>
      </c>
    </row>
    <row r="654" spans="1:8" x14ac:dyDescent="0.25">
      <c r="A654" s="1256"/>
      <c r="B654" s="1256"/>
      <c r="C654" s="1256"/>
      <c r="D654" s="1261"/>
      <c r="E654" s="1261"/>
      <c r="F654" s="503"/>
      <c r="G654" s="506"/>
      <c r="H654" s="506">
        <f>+G654</f>
        <v>0</v>
      </c>
    </row>
    <row r="655" spans="1:8" x14ac:dyDescent="0.25">
      <c r="A655" s="1257"/>
      <c r="B655" s="1257"/>
      <c r="C655" s="1257"/>
      <c r="D655" s="1257"/>
      <c r="E655" s="1257"/>
      <c r="F655" s="503"/>
      <c r="G655" s="506"/>
      <c r="H655" s="506"/>
    </row>
    <row r="656" spans="1:8" x14ac:dyDescent="0.25">
      <c r="A656" s="1249"/>
      <c r="B656" s="1250"/>
      <c r="C656" s="1250"/>
      <c r="D656" s="1250"/>
      <c r="E656" s="1250"/>
      <c r="F656" s="1251"/>
      <c r="G656" s="507" t="s">
        <v>31</v>
      </c>
      <c r="H656" s="507">
        <f>SUM(H652:H655)</f>
        <v>3750</v>
      </c>
    </row>
    <row r="657" spans="1:8" x14ac:dyDescent="0.25">
      <c r="A657" s="1249"/>
      <c r="B657" s="1250"/>
      <c r="C657" s="1250"/>
      <c r="D657" s="1250"/>
      <c r="E657" s="1250"/>
      <c r="F657" s="1250"/>
      <c r="G657" s="1250"/>
      <c r="H657" s="1251"/>
    </row>
    <row r="658" spans="1:8" x14ac:dyDescent="0.25">
      <c r="A658" s="1258" t="s">
        <v>1997</v>
      </c>
      <c r="B658" s="1258"/>
      <c r="C658" s="516" t="s">
        <v>1998</v>
      </c>
      <c r="D658" s="1259" t="s">
        <v>1999</v>
      </c>
      <c r="E658" s="1259"/>
      <c r="F658" s="515" t="s">
        <v>2000</v>
      </c>
      <c r="G658" s="517" t="s">
        <v>2001</v>
      </c>
      <c r="H658" s="517" t="s">
        <v>2002</v>
      </c>
    </row>
    <row r="659" spans="1:8" x14ac:dyDescent="0.25">
      <c r="A659" s="1253" t="s">
        <v>2003</v>
      </c>
      <c r="B659" s="1253"/>
      <c r="C659" s="518">
        <v>150000</v>
      </c>
      <c r="D659" s="1254">
        <f>C659*65%</f>
        <v>97500</v>
      </c>
      <c r="E659" s="1255"/>
      <c r="F659" s="518">
        <f>C659+D659</f>
        <v>247500</v>
      </c>
      <c r="G659" s="542">
        <f>F652</f>
        <v>4</v>
      </c>
      <c r="H659" s="518">
        <f>F659/G659</f>
        <v>61875</v>
      </c>
    </row>
    <row r="660" spans="1:8" x14ac:dyDescent="0.25">
      <c r="A660" s="1253" t="s">
        <v>2004</v>
      </c>
      <c r="B660" s="1253"/>
      <c r="C660" s="518">
        <v>70000</v>
      </c>
      <c r="D660" s="1254">
        <f>C660*65%</f>
        <v>45500</v>
      </c>
      <c r="E660" s="1255"/>
      <c r="F660" s="518">
        <f>C660+D660</f>
        <v>115500</v>
      </c>
      <c r="G660" s="542">
        <f>F652</f>
        <v>4</v>
      </c>
      <c r="H660" s="518">
        <f>F660/G660</f>
        <v>28875</v>
      </c>
    </row>
    <row r="661" spans="1:8" x14ac:dyDescent="0.25">
      <c r="A661" s="1253" t="s">
        <v>2005</v>
      </c>
      <c r="B661" s="1253"/>
      <c r="C661" s="518">
        <v>45000</v>
      </c>
      <c r="D661" s="1254">
        <f>C661*65%</f>
        <v>29250</v>
      </c>
      <c r="E661" s="1255"/>
      <c r="F661" s="518">
        <f>C661+D661</f>
        <v>74250</v>
      </c>
      <c r="G661" s="542">
        <f>F652</f>
        <v>4</v>
      </c>
      <c r="H661" s="518">
        <f>F661/G661</f>
        <v>18562.5</v>
      </c>
    </row>
    <row r="662" spans="1:8" x14ac:dyDescent="0.25">
      <c r="A662" s="1256" t="s">
        <v>2006</v>
      </c>
      <c r="B662" s="1256"/>
      <c r="C662" s="520">
        <v>120000</v>
      </c>
      <c r="D662" s="1257"/>
      <c r="E662" s="1257"/>
      <c r="F662" s="506">
        <f>C662</f>
        <v>120000</v>
      </c>
      <c r="G662" s="542">
        <f>F652</f>
        <v>4</v>
      </c>
      <c r="H662" s="518">
        <f>F662/G662</f>
        <v>30000</v>
      </c>
    </row>
    <row r="663" spans="1:8" x14ac:dyDescent="0.25">
      <c r="A663" s="1249"/>
      <c r="B663" s="1250"/>
      <c r="C663" s="1250"/>
      <c r="D663" s="1250"/>
      <c r="E663" s="1250"/>
      <c r="F663" s="1251"/>
      <c r="G663" s="507" t="s">
        <v>31</v>
      </c>
      <c r="H663" s="507">
        <f>SUM(H659:H662)</f>
        <v>139312.5</v>
      </c>
    </row>
    <row r="664" spans="1:8" ht="15.75" thickBot="1" x14ac:dyDescent="0.3">
      <c r="A664" s="1249"/>
      <c r="B664" s="1250"/>
      <c r="C664" s="1250"/>
      <c r="D664" s="1250"/>
      <c r="E664" s="1250"/>
      <c r="F664" s="1250"/>
      <c r="G664" s="1250"/>
      <c r="H664" s="1251"/>
    </row>
    <row r="665" spans="1:8" ht="16.5" thickTop="1" thickBot="1" x14ac:dyDescent="0.3">
      <c r="A665" s="1252" t="s">
        <v>2007</v>
      </c>
      <c r="B665" s="1252"/>
      <c r="C665" s="1252"/>
      <c r="D665" s="1252"/>
      <c r="E665" s="1252"/>
      <c r="F665" s="1252"/>
      <c r="G665" s="1252"/>
      <c r="H665" s="499">
        <f>ROUND(H663+H656+H649+H626,0)</f>
        <v>708013</v>
      </c>
    </row>
    <row r="666" spans="1:8" ht="15.75" thickBot="1" x14ac:dyDescent="0.3"/>
    <row r="667" spans="1:8" ht="15.75" thickBot="1" x14ac:dyDescent="0.3">
      <c r="A667" s="1279"/>
      <c r="B667" s="1280"/>
      <c r="C667" s="1280"/>
      <c r="D667" s="1280"/>
      <c r="E667" s="1280"/>
      <c r="F667" s="1280"/>
      <c r="G667" s="1280"/>
      <c r="H667" s="1281"/>
    </row>
    <row r="668" spans="1:8" ht="15.75" thickTop="1" x14ac:dyDescent="0.25">
      <c r="A668" s="1282"/>
      <c r="B668" s="1283"/>
      <c r="C668" s="1283"/>
      <c r="D668" s="1283"/>
      <c r="E668" s="1283"/>
      <c r="F668" s="1283"/>
      <c r="G668" s="1283"/>
      <c r="H668" s="1284"/>
    </row>
    <row r="669" spans="1:8" x14ac:dyDescent="0.25">
      <c r="A669" s="1274"/>
      <c r="B669" s="1274"/>
      <c r="C669" s="1274"/>
      <c r="D669" s="1274"/>
      <c r="E669" s="1274"/>
      <c r="F669" s="1275"/>
      <c r="G669" s="1275"/>
      <c r="H669" s="1275"/>
    </row>
    <row r="670" spans="1:8" x14ac:dyDescent="0.25">
      <c r="A670" s="1274"/>
      <c r="B670" s="1274"/>
      <c r="C670" s="1274"/>
      <c r="D670" s="1274"/>
      <c r="E670" s="1274"/>
      <c r="F670" s="500"/>
      <c r="G670" s="1276"/>
      <c r="H670" s="1276"/>
    </row>
    <row r="671" spans="1:8" x14ac:dyDescent="0.25">
      <c r="A671" s="1274"/>
      <c r="B671" s="1274"/>
      <c r="C671" s="1274"/>
      <c r="D671" s="1274"/>
      <c r="E671" s="1274"/>
      <c r="F671" s="1277"/>
      <c r="G671" s="1278"/>
      <c r="H671" s="1278"/>
    </row>
    <row r="672" spans="1:8" x14ac:dyDescent="0.25">
      <c r="A672" s="1249"/>
      <c r="B672" s="1250"/>
      <c r="C672" s="1250"/>
      <c r="D672" s="1250"/>
      <c r="E672" s="1250"/>
      <c r="F672" s="1250"/>
      <c r="G672" s="1250"/>
      <c r="H672" s="1251"/>
    </row>
    <row r="673" spans="1:8" x14ac:dyDescent="0.25">
      <c r="A673" s="1264" t="s">
        <v>1988</v>
      </c>
      <c r="B673" s="1264"/>
      <c r="C673" s="1264"/>
      <c r="D673" s="1264"/>
      <c r="E673" s="501" t="s">
        <v>24</v>
      </c>
      <c r="F673" s="501" t="s">
        <v>34</v>
      </c>
      <c r="G673" s="502" t="s">
        <v>1989</v>
      </c>
      <c r="H673" s="502" t="s">
        <v>1990</v>
      </c>
    </row>
    <row r="674" spans="1:8" x14ac:dyDescent="0.25">
      <c r="A674" s="524" t="s">
        <v>2072</v>
      </c>
      <c r="B674" s="525"/>
      <c r="C674" s="525"/>
      <c r="D674" s="526"/>
      <c r="E674" s="503" t="s">
        <v>53</v>
      </c>
      <c r="F674" s="522">
        <v>1</v>
      </c>
      <c r="G674" s="505">
        <v>26500</v>
      </c>
      <c r="H674" s="506">
        <f t="shared" ref="H674:H693" si="9">+G674*F674</f>
        <v>26500</v>
      </c>
    </row>
    <row r="675" spans="1:8" x14ac:dyDescent="0.25">
      <c r="A675" s="527" t="s">
        <v>2073</v>
      </c>
      <c r="B675" s="528"/>
      <c r="C675" s="528"/>
      <c r="D675" s="529"/>
      <c r="E675" s="530" t="s">
        <v>53</v>
      </c>
      <c r="F675" s="531">
        <v>1</v>
      </c>
      <c r="G675" s="532">
        <v>23000</v>
      </c>
      <c r="H675" s="506">
        <f t="shared" si="9"/>
        <v>23000</v>
      </c>
    </row>
    <row r="676" spans="1:8" x14ac:dyDescent="0.25">
      <c r="A676" s="527" t="s">
        <v>2074</v>
      </c>
      <c r="B676" s="528"/>
      <c r="C676" s="533"/>
      <c r="D676" s="534"/>
      <c r="E676" s="535" t="s">
        <v>77</v>
      </c>
      <c r="F676" s="536">
        <v>10</v>
      </c>
      <c r="G676" s="537">
        <v>12500</v>
      </c>
      <c r="H676" s="506">
        <f t="shared" si="9"/>
        <v>125000</v>
      </c>
    </row>
    <row r="677" spans="1:8" x14ac:dyDescent="0.25">
      <c r="A677" s="538" t="s">
        <v>2075</v>
      </c>
      <c r="B677" s="533"/>
      <c r="C677" s="533"/>
      <c r="D677" s="534"/>
      <c r="E677" s="535" t="s">
        <v>53</v>
      </c>
      <c r="F677" s="536">
        <v>1</v>
      </c>
      <c r="G677" s="537">
        <v>5000</v>
      </c>
      <c r="H677" s="506">
        <f t="shared" si="9"/>
        <v>5000</v>
      </c>
    </row>
    <row r="678" spans="1:8" x14ac:dyDescent="0.25">
      <c r="A678" s="538"/>
      <c r="B678" s="533"/>
      <c r="C678" s="533"/>
      <c r="D678" s="534"/>
      <c r="E678" s="535"/>
      <c r="F678" s="536"/>
      <c r="G678" s="537"/>
      <c r="H678" s="506">
        <f t="shared" si="9"/>
        <v>0</v>
      </c>
    </row>
    <row r="679" spans="1:8" x14ac:dyDescent="0.25">
      <c r="A679" s="527"/>
      <c r="B679" s="528"/>
      <c r="C679" s="533"/>
      <c r="D679" s="534"/>
      <c r="E679" s="535"/>
      <c r="F679" s="536"/>
      <c r="G679" s="537"/>
      <c r="H679" s="506">
        <f t="shared" si="9"/>
        <v>0</v>
      </c>
    </row>
    <row r="680" spans="1:8" x14ac:dyDescent="0.25">
      <c r="A680" s="1288"/>
      <c r="B680" s="1289"/>
      <c r="C680" s="1289"/>
      <c r="D680" s="1290"/>
      <c r="E680" s="535"/>
      <c r="F680" s="536"/>
      <c r="G680" s="537"/>
      <c r="H680" s="506">
        <f t="shared" si="9"/>
        <v>0</v>
      </c>
    </row>
    <row r="681" spans="1:8" x14ac:dyDescent="0.25">
      <c r="A681" s="1271"/>
      <c r="B681" s="1272"/>
      <c r="C681" s="1272"/>
      <c r="D681" s="1273"/>
      <c r="E681" s="503"/>
      <c r="F681" s="522"/>
      <c r="G681" s="505"/>
      <c r="H681" s="506">
        <f t="shared" si="9"/>
        <v>0</v>
      </c>
    </row>
    <row r="682" spans="1:8" x14ac:dyDescent="0.25">
      <c r="A682" s="1271"/>
      <c r="B682" s="1272"/>
      <c r="C682" s="1272"/>
      <c r="D682" s="1273"/>
      <c r="E682" s="503"/>
      <c r="F682" s="522"/>
      <c r="G682" s="505"/>
      <c r="H682" s="506">
        <f t="shared" si="9"/>
        <v>0</v>
      </c>
    </row>
    <row r="683" spans="1:8" x14ac:dyDescent="0.25">
      <c r="A683" s="1271"/>
      <c r="B683" s="1272"/>
      <c r="C683" s="1272"/>
      <c r="D683" s="1273"/>
      <c r="E683" s="503"/>
      <c r="F683" s="522"/>
      <c r="G683" s="505"/>
      <c r="H683" s="506">
        <f t="shared" si="9"/>
        <v>0</v>
      </c>
    </row>
    <row r="684" spans="1:8" x14ac:dyDescent="0.25">
      <c r="A684" s="1271"/>
      <c r="B684" s="1272"/>
      <c r="C684" s="1272"/>
      <c r="D684" s="1273"/>
      <c r="E684" s="503"/>
      <c r="F684" s="522"/>
      <c r="G684" s="505"/>
      <c r="H684" s="506">
        <f t="shared" si="9"/>
        <v>0</v>
      </c>
    </row>
    <row r="685" spans="1:8" x14ac:dyDescent="0.25">
      <c r="A685" s="1271"/>
      <c r="B685" s="1272"/>
      <c r="C685" s="1272"/>
      <c r="D685" s="1273"/>
      <c r="E685" s="503"/>
      <c r="F685" s="522"/>
      <c r="G685" s="505"/>
      <c r="H685" s="506">
        <f t="shared" si="9"/>
        <v>0</v>
      </c>
    </row>
    <row r="686" spans="1:8" x14ac:dyDescent="0.25">
      <c r="A686" s="1263"/>
      <c r="B686" s="1263"/>
      <c r="C686" s="1263"/>
      <c r="D686" s="1263"/>
      <c r="E686" s="503" t="s">
        <v>53</v>
      </c>
      <c r="F686" s="504"/>
      <c r="G686" s="505"/>
      <c r="H686" s="506">
        <f t="shared" si="9"/>
        <v>0</v>
      </c>
    </row>
    <row r="687" spans="1:8" x14ac:dyDescent="0.25">
      <c r="A687" s="1263"/>
      <c r="B687" s="1263"/>
      <c r="C687" s="1263"/>
      <c r="D687" s="1263"/>
      <c r="E687" s="503" t="s">
        <v>53</v>
      </c>
      <c r="F687" s="504"/>
      <c r="G687" s="505"/>
      <c r="H687" s="506">
        <f t="shared" si="9"/>
        <v>0</v>
      </c>
    </row>
    <row r="688" spans="1:8" x14ac:dyDescent="0.25">
      <c r="A688" s="1263"/>
      <c r="B688" s="1263"/>
      <c r="C688" s="1263"/>
      <c r="D688" s="1263"/>
      <c r="E688" s="503" t="s">
        <v>53</v>
      </c>
      <c r="F688" s="504"/>
      <c r="G688" s="505"/>
      <c r="H688" s="506">
        <f t="shared" si="9"/>
        <v>0</v>
      </c>
    </row>
    <row r="689" spans="1:8" x14ac:dyDescent="0.25">
      <c r="A689" s="1263"/>
      <c r="B689" s="1263"/>
      <c r="C689" s="1263"/>
      <c r="D689" s="1263"/>
      <c r="E689" s="503" t="s">
        <v>53</v>
      </c>
      <c r="F689" s="504"/>
      <c r="G689" s="505"/>
      <c r="H689" s="506">
        <f t="shared" si="9"/>
        <v>0</v>
      </c>
    </row>
    <row r="690" spans="1:8" x14ac:dyDescent="0.25">
      <c r="A690" s="1263"/>
      <c r="B690" s="1263"/>
      <c r="C690" s="1263"/>
      <c r="D690" s="1263"/>
      <c r="E690" s="503" t="s">
        <v>53</v>
      </c>
      <c r="F690" s="504"/>
      <c r="G690" s="505"/>
      <c r="H690" s="506">
        <f t="shared" si="9"/>
        <v>0</v>
      </c>
    </row>
    <row r="691" spans="1:8" x14ac:dyDescent="0.25">
      <c r="A691" s="1263"/>
      <c r="B691" s="1263"/>
      <c r="C691" s="1263"/>
      <c r="D691" s="1263"/>
      <c r="E691" s="503" t="s">
        <v>53</v>
      </c>
      <c r="F691" s="504"/>
      <c r="G691" s="505"/>
      <c r="H691" s="506">
        <f t="shared" si="9"/>
        <v>0</v>
      </c>
    </row>
    <row r="692" spans="1:8" x14ac:dyDescent="0.25">
      <c r="A692" s="1263"/>
      <c r="B692" s="1263"/>
      <c r="C692" s="1263"/>
      <c r="D692" s="1263"/>
      <c r="E692" s="503" t="s">
        <v>53</v>
      </c>
      <c r="F692" s="504"/>
      <c r="G692" s="505"/>
      <c r="H692" s="506">
        <f t="shared" si="9"/>
        <v>0</v>
      </c>
    </row>
    <row r="693" spans="1:8" x14ac:dyDescent="0.25">
      <c r="A693" s="1263"/>
      <c r="B693" s="1263"/>
      <c r="C693" s="1263"/>
      <c r="D693" s="1263"/>
      <c r="E693" s="503" t="s">
        <v>53</v>
      </c>
      <c r="F693" s="504"/>
      <c r="G693" s="505"/>
      <c r="H693" s="506">
        <f t="shared" si="9"/>
        <v>0</v>
      </c>
    </row>
    <row r="694" spans="1:8" x14ac:dyDescent="0.25">
      <c r="A694" s="1249"/>
      <c r="B694" s="1250"/>
      <c r="C694" s="1250"/>
      <c r="D694" s="1250"/>
      <c r="E694" s="1250"/>
      <c r="F694" s="1251"/>
      <c r="G694" s="507" t="s">
        <v>31</v>
      </c>
      <c r="H694" s="507">
        <f>ROUND(SUM(H674:H693),0)</f>
        <v>179500</v>
      </c>
    </row>
    <row r="695" spans="1:8" x14ac:dyDescent="0.25">
      <c r="A695" s="1249"/>
      <c r="B695" s="1250"/>
      <c r="C695" s="1250"/>
      <c r="D695" s="1250"/>
      <c r="E695" s="1250"/>
      <c r="F695" s="1250"/>
      <c r="G695" s="1250"/>
      <c r="H695" s="1251"/>
    </row>
    <row r="696" spans="1:8" x14ac:dyDescent="0.25">
      <c r="A696" s="1264" t="s">
        <v>1991</v>
      </c>
      <c r="B696" s="1264"/>
      <c r="C696" s="1264"/>
      <c r="D696" s="1264"/>
      <c r="E696" s="501" t="s">
        <v>1992</v>
      </c>
      <c r="F696" s="501" t="s">
        <v>34</v>
      </c>
      <c r="G696" s="502" t="s">
        <v>1989</v>
      </c>
      <c r="H696" s="502" t="s">
        <v>1990</v>
      </c>
    </row>
    <row r="697" spans="1:8" x14ac:dyDescent="0.25">
      <c r="A697" s="1265" t="str">
        <f>A674</f>
        <v>Varilla Cooperweld de 2400 para sistema de puesta tierra</v>
      </c>
      <c r="B697" s="1266"/>
      <c r="C697" s="1266"/>
      <c r="D697" s="1267"/>
      <c r="E697" s="503">
        <v>10</v>
      </c>
      <c r="F697" s="508">
        <v>1</v>
      </c>
      <c r="G697" s="506">
        <v>400</v>
      </c>
      <c r="H697" s="506">
        <f>E697*G697</f>
        <v>4000</v>
      </c>
    </row>
    <row r="698" spans="1:8" x14ac:dyDescent="0.25">
      <c r="A698" s="1285"/>
      <c r="B698" s="1286"/>
      <c r="C698" s="1286"/>
      <c r="D698" s="1287"/>
      <c r="E698" s="508"/>
      <c r="F698" s="508"/>
      <c r="G698" s="506"/>
      <c r="H698" s="506"/>
    </row>
    <row r="699" spans="1:8" x14ac:dyDescent="0.25">
      <c r="A699" s="1285"/>
      <c r="B699" s="1286"/>
      <c r="C699" s="1286"/>
      <c r="D699" s="1287"/>
      <c r="E699" s="508"/>
      <c r="F699" s="508"/>
      <c r="G699" s="506"/>
      <c r="H699" s="506"/>
    </row>
    <row r="700" spans="1:8" x14ac:dyDescent="0.25">
      <c r="A700" s="1285"/>
      <c r="B700" s="1286"/>
      <c r="C700" s="1286"/>
      <c r="D700" s="1287"/>
      <c r="E700" s="508"/>
      <c r="F700" s="508"/>
      <c r="G700" s="506"/>
      <c r="H700" s="506"/>
    </row>
    <row r="701" spans="1:8" x14ac:dyDescent="0.25">
      <c r="A701" s="1285"/>
      <c r="B701" s="1286"/>
      <c r="C701" s="1286"/>
      <c r="D701" s="1287"/>
      <c r="E701" s="508"/>
      <c r="F701" s="508"/>
      <c r="G701" s="506"/>
      <c r="H701" s="506"/>
    </row>
    <row r="702" spans="1:8" x14ac:dyDescent="0.25">
      <c r="A702" s="1285"/>
      <c r="B702" s="1286"/>
      <c r="C702" s="1286"/>
      <c r="D702" s="1287"/>
      <c r="E702" s="508"/>
      <c r="F702" s="508"/>
      <c r="G702" s="506"/>
      <c r="H702" s="506"/>
    </row>
    <row r="703" spans="1:8" x14ac:dyDescent="0.25">
      <c r="A703" s="509"/>
      <c r="B703" s="510"/>
      <c r="C703" s="510"/>
      <c r="D703" s="511"/>
      <c r="E703" s="508"/>
      <c r="F703" s="508"/>
      <c r="G703" s="506"/>
      <c r="H703" s="506"/>
    </row>
    <row r="704" spans="1:8" x14ac:dyDescent="0.25">
      <c r="A704" s="509"/>
      <c r="B704" s="510"/>
      <c r="C704" s="510"/>
      <c r="D704" s="511"/>
      <c r="E704" s="508"/>
      <c r="F704" s="508"/>
      <c r="G704" s="506"/>
      <c r="H704" s="506"/>
    </row>
    <row r="705" spans="1:8" x14ac:dyDescent="0.25">
      <c r="A705" s="509"/>
      <c r="B705" s="510"/>
      <c r="C705" s="510"/>
      <c r="D705" s="511"/>
      <c r="E705" s="508"/>
      <c r="F705" s="508"/>
      <c r="G705" s="506"/>
      <c r="H705" s="506"/>
    </row>
    <row r="706" spans="1:8" x14ac:dyDescent="0.25">
      <c r="A706" s="509"/>
      <c r="B706" s="510"/>
      <c r="C706" s="510"/>
      <c r="D706" s="511"/>
      <c r="E706" s="508"/>
      <c r="F706" s="508"/>
      <c r="G706" s="506"/>
      <c r="H706" s="506"/>
    </row>
    <row r="707" spans="1:8" x14ac:dyDescent="0.25">
      <c r="A707" s="509"/>
      <c r="B707" s="510"/>
      <c r="C707" s="510"/>
      <c r="D707" s="511"/>
      <c r="E707" s="508"/>
      <c r="F707" s="508"/>
      <c r="G707" s="506"/>
      <c r="H707" s="506"/>
    </row>
    <row r="708" spans="1:8" x14ac:dyDescent="0.25">
      <c r="A708" s="509"/>
      <c r="B708" s="510"/>
      <c r="C708" s="510"/>
      <c r="D708" s="511"/>
      <c r="E708" s="508"/>
      <c r="F708" s="508"/>
      <c r="G708" s="506"/>
      <c r="H708" s="506"/>
    </row>
    <row r="709" spans="1:8" x14ac:dyDescent="0.25">
      <c r="A709" s="509"/>
      <c r="B709" s="510"/>
      <c r="C709" s="510"/>
      <c r="D709" s="511"/>
      <c r="E709" s="508"/>
      <c r="F709" s="508"/>
      <c r="G709" s="506"/>
      <c r="H709" s="506"/>
    </row>
    <row r="710" spans="1:8" x14ac:dyDescent="0.25">
      <c r="A710" s="509"/>
      <c r="B710" s="510"/>
      <c r="C710" s="510"/>
      <c r="D710" s="511"/>
      <c r="E710" s="508"/>
      <c r="F710" s="508"/>
      <c r="G710" s="506"/>
      <c r="H710" s="506"/>
    </row>
    <row r="711" spans="1:8" x14ac:dyDescent="0.25">
      <c r="A711" s="509"/>
      <c r="B711" s="510"/>
      <c r="C711" s="510"/>
      <c r="D711" s="511"/>
      <c r="E711" s="508"/>
      <c r="F711" s="508"/>
      <c r="G711" s="506"/>
      <c r="H711" s="506"/>
    </row>
    <row r="712" spans="1:8" x14ac:dyDescent="0.25">
      <c r="A712" s="509"/>
      <c r="B712" s="510"/>
      <c r="C712" s="510"/>
      <c r="D712" s="511"/>
      <c r="E712" s="508"/>
      <c r="F712" s="508"/>
      <c r="G712" s="506"/>
      <c r="H712" s="506"/>
    </row>
    <row r="713" spans="1:8" x14ac:dyDescent="0.25">
      <c r="A713" s="509"/>
      <c r="B713" s="510"/>
      <c r="C713" s="510"/>
      <c r="D713" s="511"/>
      <c r="E713" s="508"/>
      <c r="F713" s="508"/>
      <c r="G713" s="506"/>
      <c r="H713" s="506"/>
    </row>
    <row r="714" spans="1:8" x14ac:dyDescent="0.25">
      <c r="A714" s="509"/>
      <c r="B714" s="510"/>
      <c r="C714" s="510"/>
      <c r="D714" s="511"/>
      <c r="E714" s="508"/>
      <c r="F714" s="508"/>
      <c r="G714" s="506"/>
      <c r="H714" s="506"/>
    </row>
    <row r="715" spans="1:8" x14ac:dyDescent="0.25">
      <c r="A715" s="509"/>
      <c r="B715" s="510"/>
      <c r="C715" s="510"/>
      <c r="D715" s="511"/>
      <c r="E715" s="508"/>
      <c r="F715" s="508"/>
      <c r="G715" s="506"/>
      <c r="H715" s="506"/>
    </row>
    <row r="716" spans="1:8" x14ac:dyDescent="0.25">
      <c r="A716" s="509"/>
      <c r="B716" s="510"/>
      <c r="C716" s="510"/>
      <c r="D716" s="511"/>
      <c r="E716" s="508"/>
      <c r="F716" s="508"/>
      <c r="G716" s="506"/>
      <c r="H716" s="506"/>
    </row>
    <row r="717" spans="1:8" x14ac:dyDescent="0.25">
      <c r="A717" s="1249"/>
      <c r="B717" s="1250"/>
      <c r="C717" s="1250"/>
      <c r="D717" s="1250"/>
      <c r="E717" s="1250"/>
      <c r="F717" s="1251"/>
      <c r="G717" s="507" t="s">
        <v>31</v>
      </c>
      <c r="H717" s="507">
        <f>ROUND(SUM(H697:H716),0)</f>
        <v>4000</v>
      </c>
    </row>
    <row r="718" spans="1:8" x14ac:dyDescent="0.25">
      <c r="A718" s="512"/>
      <c r="B718" s="513"/>
      <c r="C718" s="513"/>
      <c r="D718" s="513"/>
      <c r="E718" s="513"/>
      <c r="F718" s="513"/>
      <c r="G718" s="513"/>
      <c r="H718" s="514"/>
    </row>
    <row r="719" spans="1:8" x14ac:dyDescent="0.25">
      <c r="A719" s="1260" t="s">
        <v>1993</v>
      </c>
      <c r="B719" s="1260"/>
      <c r="C719" s="1260"/>
      <c r="D719" s="1259" t="s">
        <v>1994</v>
      </c>
      <c r="E719" s="1259"/>
      <c r="F719" s="515" t="s">
        <v>28</v>
      </c>
      <c r="G719" s="502" t="s">
        <v>1989</v>
      </c>
      <c r="H719" s="502" t="s">
        <v>1990</v>
      </c>
    </row>
    <row r="720" spans="1:8" x14ac:dyDescent="0.25">
      <c r="A720" s="1256" t="s">
        <v>1996</v>
      </c>
      <c r="B720" s="1256"/>
      <c r="C720" s="1256"/>
      <c r="D720" s="1261">
        <v>15000</v>
      </c>
      <c r="E720" s="1261"/>
      <c r="F720" s="503">
        <v>10</v>
      </c>
      <c r="G720" s="506">
        <f>+D720/F720</f>
        <v>1500</v>
      </c>
      <c r="H720" s="506">
        <f>+G720</f>
        <v>1500</v>
      </c>
    </row>
    <row r="721" spans="1:8" x14ac:dyDescent="0.25">
      <c r="A721" s="1262"/>
      <c r="B721" s="1262"/>
      <c r="C721" s="1262"/>
      <c r="D721" s="1261"/>
      <c r="E721" s="1261"/>
      <c r="F721" s="503"/>
      <c r="G721" s="506"/>
      <c r="H721" s="506">
        <f>+G721</f>
        <v>0</v>
      </c>
    </row>
    <row r="722" spans="1:8" x14ac:dyDescent="0.25">
      <c r="A722" s="1256"/>
      <c r="B722" s="1256"/>
      <c r="C722" s="1256"/>
      <c r="D722" s="1261"/>
      <c r="E722" s="1261"/>
      <c r="F722" s="503"/>
      <c r="G722" s="506"/>
      <c r="H722" s="506">
        <f>+G722</f>
        <v>0</v>
      </c>
    </row>
    <row r="723" spans="1:8" x14ac:dyDescent="0.25">
      <c r="A723" s="1257"/>
      <c r="B723" s="1257"/>
      <c r="C723" s="1257"/>
      <c r="D723" s="1257"/>
      <c r="E723" s="1257"/>
      <c r="F723" s="503"/>
      <c r="G723" s="506"/>
      <c r="H723" s="506"/>
    </row>
    <row r="724" spans="1:8" x14ac:dyDescent="0.25">
      <c r="A724" s="1249"/>
      <c r="B724" s="1250"/>
      <c r="C724" s="1250"/>
      <c r="D724" s="1250"/>
      <c r="E724" s="1250"/>
      <c r="F724" s="1251"/>
      <c r="G724" s="507" t="s">
        <v>31</v>
      </c>
      <c r="H724" s="507">
        <f>SUM(H720:H723)</f>
        <v>1500</v>
      </c>
    </row>
    <row r="725" spans="1:8" x14ac:dyDescent="0.25">
      <c r="A725" s="1249"/>
      <c r="B725" s="1250"/>
      <c r="C725" s="1250"/>
      <c r="D725" s="1250"/>
      <c r="E725" s="1250"/>
      <c r="F725" s="1250"/>
      <c r="G725" s="1250"/>
      <c r="H725" s="1251"/>
    </row>
    <row r="726" spans="1:8" x14ac:dyDescent="0.25">
      <c r="A726" s="1258" t="s">
        <v>1997</v>
      </c>
      <c r="B726" s="1258"/>
      <c r="C726" s="516" t="s">
        <v>1998</v>
      </c>
      <c r="D726" s="1259" t="s">
        <v>1999</v>
      </c>
      <c r="E726" s="1259"/>
      <c r="F726" s="515" t="s">
        <v>2000</v>
      </c>
      <c r="G726" s="517" t="s">
        <v>2001</v>
      </c>
      <c r="H726" s="517" t="s">
        <v>2002</v>
      </c>
    </row>
    <row r="727" spans="1:8" x14ac:dyDescent="0.25">
      <c r="A727" s="1253" t="s">
        <v>2003</v>
      </c>
      <c r="B727" s="1253"/>
      <c r="C727" s="518">
        <v>150000</v>
      </c>
      <c r="D727" s="1254">
        <f>C727*65%</f>
        <v>97500</v>
      </c>
      <c r="E727" s="1255"/>
      <c r="F727" s="518">
        <f>C727+D727</f>
        <v>247500</v>
      </c>
      <c r="G727" s="542">
        <f>F720</f>
        <v>10</v>
      </c>
      <c r="H727" s="518">
        <f>F727/G727</f>
        <v>24750</v>
      </c>
    </row>
    <row r="728" spans="1:8" x14ac:dyDescent="0.25">
      <c r="A728" s="1253" t="s">
        <v>2004</v>
      </c>
      <c r="B728" s="1253"/>
      <c r="C728" s="518">
        <v>70000</v>
      </c>
      <c r="D728" s="1254">
        <f>C728*65%</f>
        <v>45500</v>
      </c>
      <c r="E728" s="1255"/>
      <c r="F728" s="518">
        <f>C728+D728</f>
        <v>115500</v>
      </c>
      <c r="G728" s="542">
        <f>F720</f>
        <v>10</v>
      </c>
      <c r="H728" s="518">
        <f>F728/G728</f>
        <v>11550</v>
      </c>
    </row>
    <row r="729" spans="1:8" x14ac:dyDescent="0.25">
      <c r="A729" s="1253" t="s">
        <v>2005</v>
      </c>
      <c r="B729" s="1253"/>
      <c r="C729" s="518">
        <v>45000</v>
      </c>
      <c r="D729" s="1254">
        <f>C729*65%</f>
        <v>29250</v>
      </c>
      <c r="E729" s="1255"/>
      <c r="F729" s="518">
        <f>C729+D729</f>
        <v>74250</v>
      </c>
      <c r="G729" s="542">
        <f>F720</f>
        <v>10</v>
      </c>
      <c r="H729" s="518">
        <f>F729/G729</f>
        <v>7425</v>
      </c>
    </row>
    <row r="730" spans="1:8" x14ac:dyDescent="0.25">
      <c r="A730" s="1256" t="s">
        <v>2006</v>
      </c>
      <c r="B730" s="1256"/>
      <c r="C730" s="520">
        <v>120000</v>
      </c>
      <c r="D730" s="1257"/>
      <c r="E730" s="1257"/>
      <c r="F730" s="506">
        <f>C730</f>
        <v>120000</v>
      </c>
      <c r="G730" s="542">
        <f>F720</f>
        <v>10</v>
      </c>
      <c r="H730" s="518">
        <f>F730/G730</f>
        <v>12000</v>
      </c>
    </row>
    <row r="731" spans="1:8" x14ac:dyDescent="0.25">
      <c r="A731" s="1249"/>
      <c r="B731" s="1250"/>
      <c r="C731" s="1250"/>
      <c r="D731" s="1250"/>
      <c r="E731" s="1250"/>
      <c r="F731" s="1251"/>
      <c r="G731" s="507" t="s">
        <v>31</v>
      </c>
      <c r="H731" s="507">
        <f>SUM(H727:H730)</f>
        <v>55725</v>
      </c>
    </row>
    <row r="732" spans="1:8" ht="15.75" thickBot="1" x14ac:dyDescent="0.3">
      <c r="A732" s="1249"/>
      <c r="B732" s="1250"/>
      <c r="C732" s="1250"/>
      <c r="D732" s="1250"/>
      <c r="E732" s="1250"/>
      <c r="F732" s="1250"/>
      <c r="G732" s="1250"/>
      <c r="H732" s="1251"/>
    </row>
    <row r="733" spans="1:8" ht="16.5" thickTop="1" thickBot="1" x14ac:dyDescent="0.3">
      <c r="A733" s="1252" t="s">
        <v>2007</v>
      </c>
      <c r="B733" s="1252"/>
      <c r="C733" s="1252"/>
      <c r="D733" s="1252"/>
      <c r="E733" s="1252"/>
      <c r="F733" s="1252"/>
      <c r="G733" s="1252"/>
      <c r="H733" s="499">
        <f>ROUND(H731+H724+H717+H694,0)</f>
        <v>240725</v>
      </c>
    </row>
    <row r="734" spans="1:8" ht="15.75" thickBot="1" x14ac:dyDescent="0.3"/>
    <row r="735" spans="1:8" ht="15.75" thickBot="1" x14ac:dyDescent="0.3">
      <c r="A735" s="1279"/>
      <c r="B735" s="1280"/>
      <c r="C735" s="1280"/>
      <c r="D735" s="1280"/>
      <c r="E735" s="1280"/>
      <c r="F735" s="1280"/>
      <c r="G735" s="1280"/>
      <c r="H735" s="1281"/>
    </row>
    <row r="736" spans="1:8" ht="15.75" thickTop="1" x14ac:dyDescent="0.25">
      <c r="A736" s="1282"/>
      <c r="B736" s="1283"/>
      <c r="C736" s="1283"/>
      <c r="D736" s="1283"/>
      <c r="E736" s="1283"/>
      <c r="F736" s="1283"/>
      <c r="G736" s="1283"/>
      <c r="H736" s="1284"/>
    </row>
    <row r="737" spans="1:8" x14ac:dyDescent="0.25">
      <c r="A737" s="1274"/>
      <c r="B737" s="1274"/>
      <c r="C737" s="1274"/>
      <c r="D737" s="1274"/>
      <c r="E737" s="1274"/>
      <c r="F737" s="1275"/>
      <c r="G737" s="1275"/>
      <c r="H737" s="1275"/>
    </row>
    <row r="738" spans="1:8" x14ac:dyDescent="0.25">
      <c r="A738" s="1274"/>
      <c r="B738" s="1274"/>
      <c r="C738" s="1274"/>
      <c r="D738" s="1274"/>
      <c r="E738" s="1274"/>
      <c r="F738" s="500"/>
      <c r="G738" s="1276"/>
      <c r="H738" s="1276"/>
    </row>
    <row r="739" spans="1:8" x14ac:dyDescent="0.25">
      <c r="A739" s="1274"/>
      <c r="B739" s="1274"/>
      <c r="C739" s="1274"/>
      <c r="D739" s="1274"/>
      <c r="E739" s="1274"/>
      <c r="F739" s="1277"/>
      <c r="G739" s="1278"/>
      <c r="H739" s="1278"/>
    </row>
    <row r="740" spans="1:8" x14ac:dyDescent="0.25">
      <c r="A740" s="1249"/>
      <c r="B740" s="1250"/>
      <c r="C740" s="1250"/>
      <c r="D740" s="1250"/>
      <c r="E740" s="1250"/>
      <c r="F740" s="1250"/>
      <c r="G740" s="1250"/>
      <c r="H740" s="1251"/>
    </row>
    <row r="741" spans="1:8" x14ac:dyDescent="0.25">
      <c r="A741" s="1264" t="s">
        <v>1988</v>
      </c>
      <c r="B741" s="1264"/>
      <c r="C741" s="1264"/>
      <c r="D741" s="1264"/>
      <c r="E741" s="501" t="s">
        <v>24</v>
      </c>
      <c r="F741" s="501" t="s">
        <v>34</v>
      </c>
      <c r="G741" s="502" t="s">
        <v>1989</v>
      </c>
      <c r="H741" s="502" t="s">
        <v>1990</v>
      </c>
    </row>
    <row r="742" spans="1:8" x14ac:dyDescent="0.25">
      <c r="A742" s="1271" t="s">
        <v>2076</v>
      </c>
      <c r="B742" s="1272"/>
      <c r="C742" s="1272"/>
      <c r="D742" s="1273"/>
      <c r="E742" s="503" t="s">
        <v>53</v>
      </c>
      <c r="F742" s="522">
        <v>1</v>
      </c>
      <c r="G742" s="505">
        <v>4893500</v>
      </c>
      <c r="H742" s="506">
        <f t="shared" ref="H742:H747" si="10">+G742*F742</f>
        <v>4893500</v>
      </c>
    </row>
    <row r="743" spans="1:8" x14ac:dyDescent="0.25">
      <c r="A743" s="1263"/>
      <c r="B743" s="1263"/>
      <c r="C743" s="1263"/>
      <c r="D743" s="1263"/>
      <c r="E743" s="503"/>
      <c r="F743" s="504"/>
      <c r="G743" s="505"/>
      <c r="H743" s="506">
        <f t="shared" si="10"/>
        <v>0</v>
      </c>
    </row>
    <row r="744" spans="1:8" x14ac:dyDescent="0.25">
      <c r="A744" s="1263"/>
      <c r="B744" s="1263"/>
      <c r="C744" s="1263"/>
      <c r="D744" s="1263"/>
      <c r="E744" s="503"/>
      <c r="F744" s="504"/>
      <c r="G744" s="505"/>
      <c r="H744" s="506">
        <f t="shared" si="10"/>
        <v>0</v>
      </c>
    </row>
    <row r="745" spans="1:8" x14ac:dyDescent="0.25">
      <c r="A745" s="1263"/>
      <c r="B745" s="1263"/>
      <c r="C745" s="1263"/>
      <c r="D745" s="1263"/>
      <c r="E745" s="503"/>
      <c r="F745" s="504"/>
      <c r="G745" s="505"/>
      <c r="H745" s="506">
        <f t="shared" si="10"/>
        <v>0</v>
      </c>
    </row>
    <row r="746" spans="1:8" x14ac:dyDescent="0.25">
      <c r="A746" s="1263"/>
      <c r="B746" s="1263"/>
      <c r="C746" s="1263"/>
      <c r="D746" s="1263"/>
      <c r="E746" s="503"/>
      <c r="F746" s="504"/>
      <c r="G746" s="505"/>
      <c r="H746" s="506">
        <f t="shared" si="10"/>
        <v>0</v>
      </c>
    </row>
    <row r="747" spans="1:8" x14ac:dyDescent="0.25">
      <c r="A747" s="1263"/>
      <c r="B747" s="1263"/>
      <c r="C747" s="1263"/>
      <c r="D747" s="1263"/>
      <c r="E747" s="503"/>
      <c r="F747" s="504"/>
      <c r="G747" s="505"/>
      <c r="H747" s="506">
        <f t="shared" si="10"/>
        <v>0</v>
      </c>
    </row>
    <row r="748" spans="1:8" x14ac:dyDescent="0.25">
      <c r="A748" s="1249"/>
      <c r="B748" s="1250"/>
      <c r="C748" s="1250"/>
      <c r="D748" s="1250"/>
      <c r="E748" s="1250"/>
      <c r="F748" s="1251"/>
      <c r="G748" s="507" t="s">
        <v>31</v>
      </c>
      <c r="H748" s="507">
        <f>ROUND(SUM(H742:H747),0)</f>
        <v>4893500</v>
      </c>
    </row>
    <row r="749" spans="1:8" x14ac:dyDescent="0.25">
      <c r="A749" s="1249"/>
      <c r="B749" s="1250"/>
      <c r="C749" s="1250"/>
      <c r="D749" s="1250"/>
      <c r="E749" s="1250"/>
      <c r="F749" s="1250"/>
      <c r="G749" s="1250"/>
      <c r="H749" s="1251"/>
    </row>
    <row r="750" spans="1:8" x14ac:dyDescent="0.25">
      <c r="A750" s="1264" t="s">
        <v>1991</v>
      </c>
      <c r="B750" s="1264"/>
      <c r="C750" s="1264"/>
      <c r="D750" s="1264"/>
      <c r="E750" s="501" t="s">
        <v>1992</v>
      </c>
      <c r="F750" s="501" t="s">
        <v>34</v>
      </c>
      <c r="G750" s="502" t="s">
        <v>1989</v>
      </c>
      <c r="H750" s="502" t="s">
        <v>1990</v>
      </c>
    </row>
    <row r="751" spans="1:8" x14ac:dyDescent="0.25">
      <c r="A751" s="1265" t="str">
        <f>A742</f>
        <v>gabinete Principal</v>
      </c>
      <c r="B751" s="1266"/>
      <c r="C751" s="1266"/>
      <c r="D751" s="1267"/>
      <c r="E751" s="503">
        <v>10</v>
      </c>
      <c r="F751" s="508">
        <v>1</v>
      </c>
      <c r="G751" s="506">
        <v>400</v>
      </c>
      <c r="H751" s="506">
        <f>E751*G751</f>
        <v>4000</v>
      </c>
    </row>
    <row r="752" spans="1:8" x14ac:dyDescent="0.25">
      <c r="A752" s="1249"/>
      <c r="B752" s="1250"/>
      <c r="C752" s="1250"/>
      <c r="D752" s="1250"/>
      <c r="E752" s="1250"/>
      <c r="F752" s="1251"/>
      <c r="G752" s="507" t="s">
        <v>31</v>
      </c>
      <c r="H752" s="507">
        <f>ROUND(SUM(H751:H751),0)</f>
        <v>4000</v>
      </c>
    </row>
    <row r="753" spans="1:8" x14ac:dyDescent="0.25">
      <c r="A753" s="512"/>
      <c r="B753" s="513"/>
      <c r="C753" s="513"/>
      <c r="D753" s="513"/>
      <c r="E753" s="513"/>
      <c r="F753" s="513"/>
      <c r="G753" s="513"/>
      <c r="H753" s="514"/>
    </row>
    <row r="754" spans="1:8" x14ac:dyDescent="0.25">
      <c r="A754" s="1260" t="s">
        <v>1993</v>
      </c>
      <c r="B754" s="1260"/>
      <c r="C754" s="1260"/>
      <c r="D754" s="1259" t="s">
        <v>1994</v>
      </c>
      <c r="E754" s="1259"/>
      <c r="F754" s="515" t="s">
        <v>28</v>
      </c>
      <c r="G754" s="502" t="s">
        <v>1989</v>
      </c>
      <c r="H754" s="502" t="s">
        <v>1990</v>
      </c>
    </row>
    <row r="755" spans="1:8" x14ac:dyDescent="0.25">
      <c r="A755" s="1256" t="s">
        <v>2077</v>
      </c>
      <c r="B755" s="1256"/>
      <c r="C755" s="1256"/>
      <c r="D755" s="1261">
        <v>15000</v>
      </c>
      <c r="E755" s="1261"/>
      <c r="F755" s="503">
        <v>10</v>
      </c>
      <c r="G755" s="506">
        <f>+D755/F755</f>
        <v>1500</v>
      </c>
      <c r="H755" s="506">
        <f>+G755</f>
        <v>1500</v>
      </c>
    </row>
    <row r="756" spans="1:8" x14ac:dyDescent="0.25">
      <c r="A756" s="1262"/>
      <c r="B756" s="1262"/>
      <c r="C756" s="1262"/>
      <c r="D756" s="1261"/>
      <c r="E756" s="1261"/>
      <c r="F756" s="503"/>
      <c r="G756" s="506"/>
      <c r="H756" s="506">
        <f>+G756</f>
        <v>0</v>
      </c>
    </row>
    <row r="757" spans="1:8" x14ac:dyDescent="0.25">
      <c r="A757" s="1249"/>
      <c r="B757" s="1250"/>
      <c r="C757" s="1250"/>
      <c r="D757" s="1250"/>
      <c r="E757" s="1250"/>
      <c r="F757" s="1251"/>
      <c r="G757" s="507" t="s">
        <v>31</v>
      </c>
      <c r="H757" s="507">
        <f>SUM(H755:H756)</f>
        <v>1500</v>
      </c>
    </row>
    <row r="758" spans="1:8" x14ac:dyDescent="0.25">
      <c r="A758" s="1249"/>
      <c r="B758" s="1250"/>
      <c r="C758" s="1250"/>
      <c r="D758" s="1250"/>
      <c r="E758" s="1250"/>
      <c r="F758" s="1250"/>
      <c r="G758" s="1250"/>
      <c r="H758" s="1251"/>
    </row>
    <row r="759" spans="1:8" x14ac:dyDescent="0.25">
      <c r="A759" s="1258" t="s">
        <v>1997</v>
      </c>
      <c r="B759" s="1258"/>
      <c r="C759" s="516" t="s">
        <v>1998</v>
      </c>
      <c r="D759" s="1259" t="s">
        <v>1999</v>
      </c>
      <c r="E759" s="1259"/>
      <c r="F759" s="515" t="s">
        <v>2000</v>
      </c>
      <c r="G759" s="517" t="s">
        <v>2001</v>
      </c>
      <c r="H759" s="517" t="s">
        <v>2002</v>
      </c>
    </row>
    <row r="760" spans="1:8" x14ac:dyDescent="0.25">
      <c r="A760" s="1253" t="s">
        <v>2003</v>
      </c>
      <c r="B760" s="1253"/>
      <c r="C760" s="518">
        <v>150000</v>
      </c>
      <c r="D760" s="1254">
        <f>C760*65%</f>
        <v>97500</v>
      </c>
      <c r="E760" s="1255"/>
      <c r="F760" s="518">
        <f>C760+D760</f>
        <v>247500</v>
      </c>
      <c r="G760" s="542">
        <v>1</v>
      </c>
      <c r="H760" s="518">
        <f>F760/G760</f>
        <v>247500</v>
      </c>
    </row>
    <row r="761" spans="1:8" x14ac:dyDescent="0.25">
      <c r="A761" s="1253" t="s">
        <v>2004</v>
      </c>
      <c r="B761" s="1253"/>
      <c r="C761" s="518">
        <v>70000</v>
      </c>
      <c r="D761" s="1254">
        <f>C761*65%</f>
        <v>45500</v>
      </c>
      <c r="E761" s="1255"/>
      <c r="F761" s="518">
        <f>C761+D761</f>
        <v>115500</v>
      </c>
      <c r="G761" s="542">
        <v>1</v>
      </c>
      <c r="H761" s="518">
        <f>F761/G761</f>
        <v>115500</v>
      </c>
    </row>
    <row r="762" spans="1:8" x14ac:dyDescent="0.25">
      <c r="A762" s="1253" t="s">
        <v>2005</v>
      </c>
      <c r="B762" s="1253"/>
      <c r="C762" s="518">
        <v>45000</v>
      </c>
      <c r="D762" s="1254">
        <f>C762*65%</f>
        <v>29250</v>
      </c>
      <c r="E762" s="1255"/>
      <c r="F762" s="518">
        <f>C762+D762</f>
        <v>74250</v>
      </c>
      <c r="G762" s="542">
        <v>1</v>
      </c>
      <c r="H762" s="518">
        <f>F762/G762</f>
        <v>74250</v>
      </c>
    </row>
    <row r="763" spans="1:8" x14ac:dyDescent="0.25">
      <c r="A763" s="1256"/>
      <c r="B763" s="1256"/>
      <c r="C763" s="520"/>
      <c r="D763" s="1257"/>
      <c r="E763" s="1257"/>
      <c r="F763" s="506">
        <f>C763</f>
        <v>0</v>
      </c>
      <c r="G763" s="542">
        <v>1</v>
      </c>
      <c r="H763" s="518">
        <f>F763/G763</f>
        <v>0</v>
      </c>
    </row>
    <row r="764" spans="1:8" x14ac:dyDescent="0.25">
      <c r="A764" s="1249"/>
      <c r="B764" s="1250"/>
      <c r="C764" s="1250"/>
      <c r="D764" s="1250"/>
      <c r="E764" s="1250"/>
      <c r="F764" s="1251"/>
      <c r="G764" s="507" t="s">
        <v>31</v>
      </c>
      <c r="H764" s="507">
        <f>SUM(H760:H763)</f>
        <v>437250</v>
      </c>
    </row>
    <row r="765" spans="1:8" ht="15.75" thickBot="1" x14ac:dyDescent="0.3">
      <c r="A765" s="1249"/>
      <c r="B765" s="1250"/>
      <c r="C765" s="1250"/>
      <c r="D765" s="1250"/>
      <c r="E765" s="1250"/>
      <c r="F765" s="1250"/>
      <c r="G765" s="1250"/>
      <c r="H765" s="1251"/>
    </row>
    <row r="766" spans="1:8" ht="16.5" thickTop="1" thickBot="1" x14ac:dyDescent="0.3">
      <c r="A766" s="1252" t="s">
        <v>2007</v>
      </c>
      <c r="B766" s="1252"/>
      <c r="C766" s="1252"/>
      <c r="D766" s="1252"/>
      <c r="E766" s="1252"/>
      <c r="F766" s="1252"/>
      <c r="G766" s="1252"/>
      <c r="H766" s="499">
        <f>ROUND(H764+H757+H748+H752,0)</f>
        <v>5336250</v>
      </c>
    </row>
    <row r="767" spans="1:8" ht="15.75" thickBot="1" x14ac:dyDescent="0.3"/>
    <row r="768" spans="1:8" ht="15.75" thickBot="1" x14ac:dyDescent="0.3">
      <c r="A768" s="1279"/>
      <c r="B768" s="1280"/>
      <c r="C768" s="1280"/>
      <c r="D768" s="1280"/>
      <c r="E768" s="1280"/>
      <c r="F768" s="1280"/>
      <c r="G768" s="1280"/>
      <c r="H768" s="1281"/>
    </row>
    <row r="769" spans="1:8" ht="15.75" thickTop="1" x14ac:dyDescent="0.25">
      <c r="A769" s="1282"/>
      <c r="B769" s="1283"/>
      <c r="C769" s="1283"/>
      <c r="D769" s="1283"/>
      <c r="E769" s="1283"/>
      <c r="F769" s="1283"/>
      <c r="G769" s="1283"/>
      <c r="H769" s="1284"/>
    </row>
    <row r="770" spans="1:8" x14ac:dyDescent="0.25">
      <c r="A770" s="1274"/>
      <c r="B770" s="1274"/>
      <c r="C770" s="1274"/>
      <c r="D770" s="1274"/>
      <c r="E770" s="1274"/>
      <c r="F770" s="1275"/>
      <c r="G770" s="1275"/>
      <c r="H770" s="1275"/>
    </row>
    <row r="771" spans="1:8" x14ac:dyDescent="0.25">
      <c r="A771" s="1274"/>
      <c r="B771" s="1274"/>
      <c r="C771" s="1274"/>
      <c r="D771" s="1274"/>
      <c r="E771" s="1274"/>
      <c r="F771" s="500"/>
      <c r="G771" s="1276"/>
      <c r="H771" s="1276"/>
    </row>
    <row r="772" spans="1:8" x14ac:dyDescent="0.25">
      <c r="A772" s="1274"/>
      <c r="B772" s="1274"/>
      <c r="C772" s="1274"/>
      <c r="D772" s="1274"/>
      <c r="E772" s="1274"/>
      <c r="F772" s="1277"/>
      <c r="G772" s="1278"/>
      <c r="H772" s="1278"/>
    </row>
    <row r="773" spans="1:8" x14ac:dyDescent="0.25">
      <c r="A773" s="1249"/>
      <c r="B773" s="1250"/>
      <c r="C773" s="1250"/>
      <c r="D773" s="1250"/>
      <c r="E773" s="1250"/>
      <c r="F773" s="1250"/>
      <c r="G773" s="1250"/>
      <c r="H773" s="1251"/>
    </row>
    <row r="774" spans="1:8" x14ac:dyDescent="0.25">
      <c r="A774" s="1264" t="s">
        <v>1988</v>
      </c>
      <c r="B774" s="1264"/>
      <c r="C774" s="1264"/>
      <c r="D774" s="1264"/>
      <c r="E774" s="501" t="s">
        <v>24</v>
      </c>
      <c r="F774" s="501" t="s">
        <v>34</v>
      </c>
      <c r="G774" s="502" t="s">
        <v>1989</v>
      </c>
      <c r="H774" s="502" t="s">
        <v>1990</v>
      </c>
    </row>
    <row r="775" spans="1:8" x14ac:dyDescent="0.25">
      <c r="A775" s="524" t="s">
        <v>2078</v>
      </c>
      <c r="B775" s="525"/>
      <c r="C775" s="525"/>
      <c r="D775" s="526"/>
      <c r="E775" s="503" t="s">
        <v>53</v>
      </c>
      <c r="F775" s="522">
        <v>1</v>
      </c>
      <c r="G775" s="505">
        <v>520000</v>
      </c>
      <c r="H775" s="506">
        <f t="shared" ref="H775:H780" si="11">+G775*F775</f>
        <v>520000</v>
      </c>
    </row>
    <row r="776" spans="1:8" x14ac:dyDescent="0.25">
      <c r="A776" s="1263" t="s">
        <v>660</v>
      </c>
      <c r="B776" s="1263"/>
      <c r="C776" s="1263"/>
      <c r="D776" s="1263"/>
      <c r="E776" s="503"/>
      <c r="F776" s="504"/>
      <c r="G776" s="505"/>
      <c r="H776" s="506">
        <f t="shared" si="11"/>
        <v>0</v>
      </c>
    </row>
    <row r="777" spans="1:8" x14ac:dyDescent="0.25">
      <c r="A777" s="1263" t="s">
        <v>2079</v>
      </c>
      <c r="B777" s="1263"/>
      <c r="C777" s="1263"/>
      <c r="D777" s="1263"/>
      <c r="E777" s="503"/>
      <c r="F777" s="504"/>
      <c r="G777" s="505"/>
      <c r="H777" s="506">
        <f t="shared" si="11"/>
        <v>0</v>
      </c>
    </row>
    <row r="778" spans="1:8" x14ac:dyDescent="0.25">
      <c r="A778" s="1263" t="s">
        <v>2080</v>
      </c>
      <c r="B778" s="1263"/>
      <c r="C778" s="1263"/>
      <c r="D778" s="1263"/>
      <c r="E778" s="503"/>
      <c r="F778" s="504"/>
      <c r="G778" s="505"/>
      <c r="H778" s="506">
        <f t="shared" si="11"/>
        <v>0</v>
      </c>
    </row>
    <row r="779" spans="1:8" x14ac:dyDescent="0.25">
      <c r="A779" s="1263" t="s">
        <v>2081</v>
      </c>
      <c r="B779" s="1263"/>
      <c r="C779" s="1263"/>
      <c r="D779" s="1263"/>
      <c r="E779" s="503"/>
      <c r="F779" s="504"/>
      <c r="G779" s="505"/>
      <c r="H779" s="506">
        <f t="shared" si="11"/>
        <v>0</v>
      </c>
    </row>
    <row r="780" spans="1:8" x14ac:dyDescent="0.25">
      <c r="A780" s="1263"/>
      <c r="B780" s="1263"/>
      <c r="C780" s="1263"/>
      <c r="D780" s="1263"/>
      <c r="E780" s="503"/>
      <c r="F780" s="504"/>
      <c r="G780" s="505"/>
      <c r="H780" s="506">
        <f t="shared" si="11"/>
        <v>0</v>
      </c>
    </row>
    <row r="781" spans="1:8" x14ac:dyDescent="0.25">
      <c r="A781" s="1249"/>
      <c r="B781" s="1250"/>
      <c r="C781" s="1250"/>
      <c r="D781" s="1250"/>
      <c r="E781" s="1250"/>
      <c r="F781" s="1251"/>
      <c r="G781" s="507" t="s">
        <v>31</v>
      </c>
      <c r="H781" s="507">
        <f>ROUND(SUM(H775:H780),0)</f>
        <v>520000</v>
      </c>
    </row>
    <row r="782" spans="1:8" x14ac:dyDescent="0.25">
      <c r="A782" s="1249"/>
      <c r="B782" s="1250"/>
      <c r="C782" s="1250"/>
      <c r="D782" s="1250"/>
      <c r="E782" s="1250"/>
      <c r="F782" s="1250"/>
      <c r="G782" s="1250"/>
      <c r="H782" s="1251"/>
    </row>
    <row r="783" spans="1:8" x14ac:dyDescent="0.25">
      <c r="A783" s="1264" t="s">
        <v>1991</v>
      </c>
      <c r="B783" s="1264"/>
      <c r="C783" s="1264"/>
      <c r="D783" s="1264"/>
      <c r="E783" s="501" t="s">
        <v>1992</v>
      </c>
      <c r="F783" s="501" t="s">
        <v>34</v>
      </c>
      <c r="G783" s="502" t="s">
        <v>1989</v>
      </c>
      <c r="H783" s="502" t="s">
        <v>1990</v>
      </c>
    </row>
    <row r="784" spans="1:8" x14ac:dyDescent="0.25">
      <c r="A784" s="1265" t="str">
        <f>A775</f>
        <v>Tablero de 12 Circuitos con espacio para Totalizador</v>
      </c>
      <c r="B784" s="1266"/>
      <c r="C784" s="1266"/>
      <c r="D784" s="1267"/>
      <c r="E784" s="503">
        <v>10</v>
      </c>
      <c r="F784" s="508">
        <v>1</v>
      </c>
      <c r="G784" s="506">
        <v>400</v>
      </c>
      <c r="H784" s="506">
        <f>E784*G784</f>
        <v>4000</v>
      </c>
    </row>
    <row r="785" spans="1:9" x14ac:dyDescent="0.25">
      <c r="A785" s="1249"/>
      <c r="B785" s="1250"/>
      <c r="C785" s="1250"/>
      <c r="D785" s="1250"/>
      <c r="E785" s="1250"/>
      <c r="F785" s="1251"/>
      <c r="G785" s="507" t="s">
        <v>31</v>
      </c>
      <c r="H785" s="507">
        <f>ROUND(SUM(H784:H784),0)</f>
        <v>4000</v>
      </c>
    </row>
    <row r="786" spans="1:9" x14ac:dyDescent="0.25">
      <c r="A786" s="512"/>
      <c r="B786" s="513"/>
      <c r="C786" s="513"/>
      <c r="D786" s="513"/>
      <c r="E786" s="513"/>
      <c r="F786" s="513"/>
      <c r="G786" s="513"/>
      <c r="H786" s="514"/>
    </row>
    <row r="787" spans="1:9" x14ac:dyDescent="0.25">
      <c r="A787" s="1260" t="s">
        <v>1993</v>
      </c>
      <c r="B787" s="1260"/>
      <c r="C787" s="1260"/>
      <c r="D787" s="1259" t="s">
        <v>1994</v>
      </c>
      <c r="E787" s="1259"/>
      <c r="F787" s="515" t="s">
        <v>28</v>
      </c>
      <c r="G787" s="502" t="s">
        <v>1989</v>
      </c>
      <c r="H787" s="502" t="s">
        <v>1990</v>
      </c>
    </row>
    <row r="788" spans="1:9" x14ac:dyDescent="0.25">
      <c r="A788" s="1256" t="s">
        <v>2082</v>
      </c>
      <c r="B788" s="1256"/>
      <c r="C788" s="1256"/>
      <c r="D788" s="1261">
        <v>15000</v>
      </c>
      <c r="E788" s="1261"/>
      <c r="F788" s="503">
        <v>10</v>
      </c>
      <c r="G788" s="506">
        <f>+D788/F788</f>
        <v>1500</v>
      </c>
      <c r="H788" s="506">
        <f>+G788</f>
        <v>1500</v>
      </c>
    </row>
    <row r="789" spans="1:9" x14ac:dyDescent="0.25">
      <c r="A789" s="1262"/>
      <c r="B789" s="1262"/>
      <c r="C789" s="1262"/>
      <c r="D789" s="1261"/>
      <c r="E789" s="1261"/>
      <c r="F789" s="503"/>
      <c r="G789" s="506"/>
      <c r="H789" s="506">
        <f>+G789</f>
        <v>0</v>
      </c>
    </row>
    <row r="790" spans="1:9" x14ac:dyDescent="0.25">
      <c r="A790" s="1249"/>
      <c r="B790" s="1250"/>
      <c r="C790" s="1250"/>
      <c r="D790" s="1250"/>
      <c r="E790" s="1250"/>
      <c r="F790" s="1251"/>
      <c r="G790" s="507" t="s">
        <v>31</v>
      </c>
      <c r="H790" s="507">
        <f>SUM(H788:H789)</f>
        <v>1500</v>
      </c>
    </row>
    <row r="791" spans="1:9" x14ac:dyDescent="0.25">
      <c r="A791" s="1249"/>
      <c r="B791" s="1250"/>
      <c r="C791" s="1250"/>
      <c r="D791" s="1250"/>
      <c r="E791" s="1250"/>
      <c r="F791" s="1250"/>
      <c r="G791" s="1250"/>
      <c r="H791" s="1251"/>
    </row>
    <row r="792" spans="1:9" x14ac:dyDescent="0.25">
      <c r="A792" s="1258" t="s">
        <v>1997</v>
      </c>
      <c r="B792" s="1258"/>
      <c r="C792" s="516" t="s">
        <v>1998</v>
      </c>
      <c r="D792" s="1259" t="s">
        <v>1999</v>
      </c>
      <c r="E792" s="1259"/>
      <c r="F792" s="515" t="s">
        <v>2000</v>
      </c>
      <c r="G792" s="517" t="s">
        <v>2001</v>
      </c>
      <c r="H792" s="517" t="s">
        <v>2002</v>
      </c>
    </row>
    <row r="793" spans="1:9" x14ac:dyDescent="0.25">
      <c r="A793" s="1253" t="s">
        <v>2003</v>
      </c>
      <c r="B793" s="1253"/>
      <c r="C793" s="518">
        <v>150000</v>
      </c>
      <c r="D793" s="1254">
        <f>C793*65%</f>
        <v>97500</v>
      </c>
      <c r="E793" s="1255"/>
      <c r="F793" s="518">
        <f>C793+D793</f>
        <v>247500</v>
      </c>
      <c r="G793" s="542">
        <v>4</v>
      </c>
      <c r="H793" s="518">
        <f>F793/G793</f>
        <v>61875</v>
      </c>
    </row>
    <row r="794" spans="1:9" x14ac:dyDescent="0.25">
      <c r="A794" s="1253" t="s">
        <v>2004</v>
      </c>
      <c r="B794" s="1253"/>
      <c r="C794" s="518">
        <v>70000</v>
      </c>
      <c r="D794" s="1254">
        <f>C794*65%</f>
        <v>45500</v>
      </c>
      <c r="E794" s="1255"/>
      <c r="F794" s="518">
        <f>C794+D794</f>
        <v>115500</v>
      </c>
      <c r="G794" s="542">
        <v>4</v>
      </c>
      <c r="H794" s="518">
        <f>F794/G794</f>
        <v>28875</v>
      </c>
    </row>
    <row r="795" spans="1:9" x14ac:dyDescent="0.25">
      <c r="A795" s="1253" t="s">
        <v>2005</v>
      </c>
      <c r="B795" s="1253"/>
      <c r="C795" s="518">
        <v>45000</v>
      </c>
      <c r="D795" s="1254">
        <f>C795*65%</f>
        <v>29250</v>
      </c>
      <c r="E795" s="1255"/>
      <c r="F795" s="518">
        <f>C795+D795</f>
        <v>74250</v>
      </c>
      <c r="G795" s="542">
        <v>5</v>
      </c>
      <c r="H795" s="518">
        <f>F795/G795</f>
        <v>14850</v>
      </c>
    </row>
    <row r="796" spans="1:9" x14ac:dyDescent="0.25">
      <c r="A796" s="1256"/>
      <c r="B796" s="1256"/>
      <c r="C796" s="520"/>
      <c r="D796" s="1257"/>
      <c r="E796" s="1257"/>
      <c r="F796" s="506">
        <f>C796</f>
        <v>0</v>
      </c>
      <c r="G796" s="542"/>
      <c r="H796" s="518"/>
    </row>
    <row r="797" spans="1:9" x14ac:dyDescent="0.25">
      <c r="A797" s="1249"/>
      <c r="B797" s="1250"/>
      <c r="C797" s="1250"/>
      <c r="D797" s="1250"/>
      <c r="E797" s="1250"/>
      <c r="F797" s="1251"/>
      <c r="G797" s="507" t="s">
        <v>31</v>
      </c>
      <c r="H797" s="507">
        <f>SUM(H793:H796)</f>
        <v>105600</v>
      </c>
    </row>
    <row r="798" spans="1:9" ht="15.75" thickBot="1" x14ac:dyDescent="0.3">
      <c r="A798" s="1249"/>
      <c r="B798" s="1250"/>
      <c r="C798" s="1250"/>
      <c r="D798" s="1250"/>
      <c r="E798" s="1250"/>
      <c r="F798" s="1250"/>
      <c r="G798" s="1250"/>
      <c r="H798" s="1251"/>
    </row>
    <row r="799" spans="1:9" ht="16.5" thickTop="1" thickBot="1" x14ac:dyDescent="0.3">
      <c r="A799" s="1252" t="s">
        <v>2007</v>
      </c>
      <c r="B799" s="1252"/>
      <c r="C799" s="1252"/>
      <c r="D799" s="1252"/>
      <c r="E799" s="1252"/>
      <c r="F799" s="1252"/>
      <c r="G799" s="1252"/>
      <c r="H799" s="499">
        <f>ROUND(H797+H790+H781+H785,0)</f>
        <v>631100</v>
      </c>
      <c r="I799" s="543"/>
    </row>
    <row r="800" spans="1:9" ht="15.75" thickBot="1" x14ac:dyDescent="0.3"/>
    <row r="801" spans="1:8" ht="15.75" thickBot="1" x14ac:dyDescent="0.3">
      <c r="A801" s="1279"/>
      <c r="B801" s="1280"/>
      <c r="C801" s="1280"/>
      <c r="D801" s="1280"/>
      <c r="E801" s="1280"/>
      <c r="F801" s="1280"/>
      <c r="G801" s="1280"/>
      <c r="H801" s="1281"/>
    </row>
    <row r="802" spans="1:8" ht="15.75" thickTop="1" x14ac:dyDescent="0.25">
      <c r="A802" s="1282"/>
      <c r="B802" s="1283"/>
      <c r="C802" s="1283"/>
      <c r="D802" s="1283"/>
      <c r="E802" s="1283"/>
      <c r="F802" s="1283"/>
      <c r="G802" s="1283"/>
      <c r="H802" s="1284"/>
    </row>
    <row r="803" spans="1:8" x14ac:dyDescent="0.25">
      <c r="A803" s="1274"/>
      <c r="B803" s="1274"/>
      <c r="C803" s="1274"/>
      <c r="D803" s="1274"/>
      <c r="E803" s="1274"/>
      <c r="F803" s="1275"/>
      <c r="G803" s="1275"/>
      <c r="H803" s="1275"/>
    </row>
    <row r="804" spans="1:8" x14ac:dyDescent="0.25">
      <c r="A804" s="1274"/>
      <c r="B804" s="1274"/>
      <c r="C804" s="1274"/>
      <c r="D804" s="1274"/>
      <c r="E804" s="1274"/>
      <c r="F804" s="500"/>
      <c r="G804" s="1276"/>
      <c r="H804" s="1276"/>
    </row>
    <row r="805" spans="1:8" x14ac:dyDescent="0.25">
      <c r="A805" s="1274"/>
      <c r="B805" s="1274"/>
      <c r="C805" s="1274"/>
      <c r="D805" s="1274"/>
      <c r="E805" s="1274"/>
      <c r="F805" s="1277"/>
      <c r="G805" s="1278"/>
      <c r="H805" s="1278"/>
    </row>
    <row r="806" spans="1:8" x14ac:dyDescent="0.25">
      <c r="A806" s="1249"/>
      <c r="B806" s="1250"/>
      <c r="C806" s="1250"/>
      <c r="D806" s="1250"/>
      <c r="E806" s="1250"/>
      <c r="F806" s="1250"/>
      <c r="G806" s="1250"/>
      <c r="H806" s="1251"/>
    </row>
    <row r="807" spans="1:8" x14ac:dyDescent="0.25">
      <c r="A807" s="1264" t="s">
        <v>1988</v>
      </c>
      <c r="B807" s="1264"/>
      <c r="C807" s="1264"/>
      <c r="D807" s="1264"/>
      <c r="E807" s="501" t="s">
        <v>24</v>
      </c>
      <c r="F807" s="501" t="s">
        <v>34</v>
      </c>
      <c r="G807" s="502" t="s">
        <v>1989</v>
      </c>
      <c r="H807" s="502" t="s">
        <v>1990</v>
      </c>
    </row>
    <row r="808" spans="1:8" x14ac:dyDescent="0.25">
      <c r="A808" s="524" t="s">
        <v>2083</v>
      </c>
      <c r="B808" s="525"/>
      <c r="C808" s="525"/>
      <c r="D808" s="526"/>
      <c r="E808" s="503" t="s">
        <v>53</v>
      </c>
      <c r="F808" s="522">
        <v>1</v>
      </c>
      <c r="G808" s="505">
        <v>250000</v>
      </c>
      <c r="H808" s="506">
        <f t="shared" ref="H808:H813" si="12">+G808*F808</f>
        <v>250000</v>
      </c>
    </row>
    <row r="809" spans="1:8" x14ac:dyDescent="0.25">
      <c r="A809" s="1263"/>
      <c r="B809" s="1263"/>
      <c r="C809" s="1263"/>
      <c r="D809" s="1263"/>
      <c r="E809" s="503"/>
      <c r="F809" s="504"/>
      <c r="G809" s="505"/>
      <c r="H809" s="506">
        <f t="shared" si="12"/>
        <v>0</v>
      </c>
    </row>
    <row r="810" spans="1:8" x14ac:dyDescent="0.25">
      <c r="A810" s="1263"/>
      <c r="B810" s="1263"/>
      <c r="C810" s="1263"/>
      <c r="D810" s="1263"/>
      <c r="E810" s="503"/>
      <c r="F810" s="504"/>
      <c r="G810" s="505"/>
      <c r="H810" s="506">
        <f t="shared" si="12"/>
        <v>0</v>
      </c>
    </row>
    <row r="811" spans="1:8" x14ac:dyDescent="0.25">
      <c r="A811" s="1263"/>
      <c r="B811" s="1263"/>
      <c r="C811" s="1263"/>
      <c r="D811" s="1263"/>
      <c r="E811" s="503"/>
      <c r="F811" s="504"/>
      <c r="G811" s="505"/>
      <c r="H811" s="506">
        <f t="shared" si="12"/>
        <v>0</v>
      </c>
    </row>
    <row r="812" spans="1:8" x14ac:dyDescent="0.25">
      <c r="A812" s="1263"/>
      <c r="B812" s="1263"/>
      <c r="C812" s="1263"/>
      <c r="D812" s="1263"/>
      <c r="E812" s="503"/>
      <c r="F812" s="504"/>
      <c r="G812" s="505"/>
      <c r="H812" s="506">
        <f t="shared" si="12"/>
        <v>0</v>
      </c>
    </row>
    <row r="813" spans="1:8" x14ac:dyDescent="0.25">
      <c r="A813" s="1263"/>
      <c r="B813" s="1263"/>
      <c r="C813" s="1263"/>
      <c r="D813" s="1263"/>
      <c r="E813" s="503"/>
      <c r="F813" s="504"/>
      <c r="G813" s="505"/>
      <c r="H813" s="506">
        <f t="shared" si="12"/>
        <v>0</v>
      </c>
    </row>
    <row r="814" spans="1:8" x14ac:dyDescent="0.25">
      <c r="A814" s="1249"/>
      <c r="B814" s="1250"/>
      <c r="C814" s="1250"/>
      <c r="D814" s="1250"/>
      <c r="E814" s="1250"/>
      <c r="F814" s="1251"/>
      <c r="G814" s="507" t="s">
        <v>31</v>
      </c>
      <c r="H814" s="507">
        <f>ROUND(SUM(H808:H813),0)</f>
        <v>250000</v>
      </c>
    </row>
    <row r="815" spans="1:8" x14ac:dyDescent="0.25">
      <c r="A815" s="1249"/>
      <c r="B815" s="1250"/>
      <c r="C815" s="1250"/>
      <c r="D815" s="1250"/>
      <c r="E815" s="1250"/>
      <c r="F815" s="1250"/>
      <c r="G815" s="1250"/>
      <c r="H815" s="1251"/>
    </row>
    <row r="816" spans="1:8" x14ac:dyDescent="0.25">
      <c r="A816" s="1264" t="s">
        <v>1991</v>
      </c>
      <c r="B816" s="1264"/>
      <c r="C816" s="1264"/>
      <c r="D816" s="1264"/>
      <c r="E816" s="501" t="s">
        <v>1992</v>
      </c>
      <c r="F816" s="501" t="s">
        <v>34</v>
      </c>
      <c r="G816" s="502" t="s">
        <v>1989</v>
      </c>
      <c r="H816" s="502" t="s">
        <v>1990</v>
      </c>
    </row>
    <row r="817" spans="1:8" x14ac:dyDescent="0.25">
      <c r="A817" s="1265" t="str">
        <f>A808</f>
        <v>tablero de 18 circuitos con espacio para totalizador</v>
      </c>
      <c r="B817" s="1266"/>
      <c r="C817" s="1266"/>
      <c r="D817" s="1267"/>
      <c r="E817" s="503">
        <v>10</v>
      </c>
      <c r="F817" s="508">
        <v>1</v>
      </c>
      <c r="G817" s="506">
        <v>400</v>
      </c>
      <c r="H817" s="506">
        <f>E817*G817</f>
        <v>4000</v>
      </c>
    </row>
    <row r="818" spans="1:8" x14ac:dyDescent="0.25">
      <c r="A818" s="1249"/>
      <c r="B818" s="1250"/>
      <c r="C818" s="1250"/>
      <c r="D818" s="1250"/>
      <c r="E818" s="1250"/>
      <c r="F818" s="1251"/>
      <c r="G818" s="507" t="s">
        <v>31</v>
      </c>
      <c r="H818" s="507">
        <f>ROUND(SUM(H817:H817),0)</f>
        <v>4000</v>
      </c>
    </row>
    <row r="819" spans="1:8" x14ac:dyDescent="0.25">
      <c r="A819" s="512"/>
      <c r="B819" s="513"/>
      <c r="C819" s="513"/>
      <c r="D819" s="513"/>
      <c r="E819" s="513"/>
      <c r="F819" s="513"/>
      <c r="G819" s="513"/>
      <c r="H819" s="514"/>
    </row>
    <row r="820" spans="1:8" x14ac:dyDescent="0.25">
      <c r="A820" s="1260" t="s">
        <v>1993</v>
      </c>
      <c r="B820" s="1260"/>
      <c r="C820" s="1260"/>
      <c r="D820" s="1259" t="s">
        <v>1994</v>
      </c>
      <c r="E820" s="1259"/>
      <c r="F820" s="515" t="s">
        <v>28</v>
      </c>
      <c r="G820" s="502" t="s">
        <v>1989</v>
      </c>
      <c r="H820" s="502" t="s">
        <v>1990</v>
      </c>
    </row>
    <row r="821" spans="1:8" x14ac:dyDescent="0.25">
      <c r="A821" s="1256" t="s">
        <v>2077</v>
      </c>
      <c r="B821" s="1256"/>
      <c r="C821" s="1256"/>
      <c r="D821" s="1261">
        <v>15000</v>
      </c>
      <c r="E821" s="1261"/>
      <c r="F821" s="503">
        <v>10</v>
      </c>
      <c r="G821" s="506">
        <f>+D821/F821</f>
        <v>1500</v>
      </c>
      <c r="H821" s="506">
        <f>+G821</f>
        <v>1500</v>
      </c>
    </row>
    <row r="822" spans="1:8" x14ac:dyDescent="0.25">
      <c r="A822" s="1262"/>
      <c r="B822" s="1262"/>
      <c r="C822" s="1262"/>
      <c r="D822" s="1261"/>
      <c r="E822" s="1261"/>
      <c r="F822" s="503"/>
      <c r="G822" s="506"/>
      <c r="H822" s="506">
        <f>+G822</f>
        <v>0</v>
      </c>
    </row>
    <row r="823" spans="1:8" x14ac:dyDescent="0.25">
      <c r="A823" s="1249"/>
      <c r="B823" s="1250"/>
      <c r="C823" s="1250"/>
      <c r="D823" s="1250"/>
      <c r="E823" s="1250"/>
      <c r="F823" s="1251"/>
      <c r="G823" s="507" t="s">
        <v>31</v>
      </c>
      <c r="H823" s="507">
        <f>SUM(H821:H822)</f>
        <v>1500</v>
      </c>
    </row>
    <row r="824" spans="1:8" x14ac:dyDescent="0.25">
      <c r="A824" s="1249"/>
      <c r="B824" s="1250"/>
      <c r="C824" s="1250"/>
      <c r="D824" s="1250"/>
      <c r="E824" s="1250"/>
      <c r="F824" s="1250"/>
      <c r="G824" s="1250"/>
      <c r="H824" s="1251"/>
    </row>
    <row r="825" spans="1:8" x14ac:dyDescent="0.25">
      <c r="A825" s="1258" t="s">
        <v>1997</v>
      </c>
      <c r="B825" s="1258"/>
      <c r="C825" s="516" t="s">
        <v>1998</v>
      </c>
      <c r="D825" s="1259" t="s">
        <v>1999</v>
      </c>
      <c r="E825" s="1259"/>
      <c r="F825" s="515" t="s">
        <v>2000</v>
      </c>
      <c r="G825" s="517" t="s">
        <v>2001</v>
      </c>
      <c r="H825" s="517" t="s">
        <v>2002</v>
      </c>
    </row>
    <row r="826" spans="1:8" x14ac:dyDescent="0.25">
      <c r="A826" s="1253" t="s">
        <v>2003</v>
      </c>
      <c r="B826" s="1253"/>
      <c r="C826" s="518">
        <v>150000</v>
      </c>
      <c r="D826" s="1254">
        <f>C826*65%</f>
        <v>97500</v>
      </c>
      <c r="E826" s="1255"/>
      <c r="F826" s="518">
        <f>C826+D826</f>
        <v>247500</v>
      </c>
      <c r="G826" s="542">
        <v>2</v>
      </c>
      <c r="H826" s="518">
        <f>F826/G826</f>
        <v>123750</v>
      </c>
    </row>
    <row r="827" spans="1:8" x14ac:dyDescent="0.25">
      <c r="A827" s="1253" t="s">
        <v>2004</v>
      </c>
      <c r="B827" s="1253"/>
      <c r="C827" s="518">
        <v>70000</v>
      </c>
      <c r="D827" s="1254">
        <f>C827*65%</f>
        <v>45500</v>
      </c>
      <c r="E827" s="1255"/>
      <c r="F827" s="518">
        <f>C827+D827</f>
        <v>115500</v>
      </c>
      <c r="G827" s="542">
        <v>1</v>
      </c>
      <c r="H827" s="518">
        <f>F827/G827</f>
        <v>115500</v>
      </c>
    </row>
    <row r="828" spans="1:8" x14ac:dyDescent="0.25">
      <c r="A828" s="1253" t="s">
        <v>2005</v>
      </c>
      <c r="B828" s="1253"/>
      <c r="C828" s="518">
        <v>45000</v>
      </c>
      <c r="D828" s="1254">
        <f>C828*65%</f>
        <v>29250</v>
      </c>
      <c r="E828" s="1255"/>
      <c r="F828" s="518">
        <f>C828+D828</f>
        <v>74250</v>
      </c>
      <c r="G828" s="542">
        <v>1</v>
      </c>
      <c r="H828" s="518">
        <f>F828/G828</f>
        <v>74250</v>
      </c>
    </row>
    <row r="829" spans="1:8" x14ac:dyDescent="0.25">
      <c r="A829" s="1256"/>
      <c r="B829" s="1256"/>
      <c r="C829" s="520"/>
      <c r="D829" s="1257"/>
      <c r="E829" s="1257"/>
      <c r="F829" s="506"/>
      <c r="G829" s="542"/>
      <c r="H829" s="518"/>
    </row>
    <row r="830" spans="1:8" x14ac:dyDescent="0.25">
      <c r="A830" s="1249"/>
      <c r="B830" s="1250"/>
      <c r="C830" s="1250"/>
      <c r="D830" s="1250"/>
      <c r="E830" s="1250"/>
      <c r="F830" s="1251"/>
      <c r="G830" s="507" t="s">
        <v>31</v>
      </c>
      <c r="H830" s="507">
        <f>SUM(H826:H829)</f>
        <v>313500</v>
      </c>
    </row>
    <row r="831" spans="1:8" ht="15.75" thickBot="1" x14ac:dyDescent="0.3">
      <c r="A831" s="1249"/>
      <c r="B831" s="1250"/>
      <c r="C831" s="1250"/>
      <c r="D831" s="1250"/>
      <c r="E831" s="1250"/>
      <c r="F831" s="1250"/>
      <c r="G831" s="1250"/>
      <c r="H831" s="1251"/>
    </row>
    <row r="832" spans="1:8" ht="16.5" thickTop="1" thickBot="1" x14ac:dyDescent="0.3">
      <c r="A832" s="1252" t="s">
        <v>2007</v>
      </c>
      <c r="B832" s="1252"/>
      <c r="C832" s="1252"/>
      <c r="D832" s="1252"/>
      <c r="E832" s="1252"/>
      <c r="F832" s="1252"/>
      <c r="G832" s="1252"/>
      <c r="H832" s="499">
        <f>ROUND(H830+H823+H814+H818,0)</f>
        <v>569000</v>
      </c>
    </row>
    <row r="833" spans="1:8" ht="15.75" thickBot="1" x14ac:dyDescent="0.3"/>
    <row r="834" spans="1:8" ht="15.75" thickBot="1" x14ac:dyDescent="0.3">
      <c r="A834" s="1279"/>
      <c r="B834" s="1280"/>
      <c r="C834" s="1280"/>
      <c r="D834" s="1280"/>
      <c r="E834" s="1280"/>
      <c r="F834" s="1280"/>
      <c r="G834" s="1280"/>
      <c r="H834" s="1281"/>
    </row>
    <row r="835" spans="1:8" ht="15.75" thickTop="1" x14ac:dyDescent="0.25">
      <c r="A835" s="1282"/>
      <c r="B835" s="1283"/>
      <c r="C835" s="1283"/>
      <c r="D835" s="1283"/>
      <c r="E835" s="1283"/>
      <c r="F835" s="1283"/>
      <c r="G835" s="1283"/>
      <c r="H835" s="1284"/>
    </row>
    <row r="836" spans="1:8" x14ac:dyDescent="0.25">
      <c r="A836" s="1274"/>
      <c r="B836" s="1274"/>
      <c r="C836" s="1274"/>
      <c r="D836" s="1274"/>
      <c r="E836" s="1274"/>
      <c r="F836" s="1275"/>
      <c r="G836" s="1275"/>
      <c r="H836" s="1275"/>
    </row>
    <row r="837" spans="1:8" x14ac:dyDescent="0.25">
      <c r="A837" s="1274"/>
      <c r="B837" s="1274"/>
      <c r="C837" s="1274"/>
      <c r="D837" s="1274"/>
      <c r="E837" s="1274"/>
      <c r="F837" s="500"/>
      <c r="G837" s="1276"/>
      <c r="H837" s="1276"/>
    </row>
    <row r="838" spans="1:8" x14ac:dyDescent="0.25">
      <c r="A838" s="1274"/>
      <c r="B838" s="1274"/>
      <c r="C838" s="1274"/>
      <c r="D838" s="1274"/>
      <c r="E838" s="1274"/>
      <c r="F838" s="1277"/>
      <c r="G838" s="1278"/>
      <c r="H838" s="1278"/>
    </row>
    <row r="839" spans="1:8" x14ac:dyDescent="0.25">
      <c r="A839" s="1249"/>
      <c r="B839" s="1250"/>
      <c r="C839" s="1250"/>
      <c r="D839" s="1250"/>
      <c r="E839" s="1250"/>
      <c r="F839" s="1250"/>
      <c r="G839" s="1250"/>
      <c r="H839" s="1251"/>
    </row>
    <row r="840" spans="1:8" x14ac:dyDescent="0.25">
      <c r="A840" s="1264" t="s">
        <v>1988</v>
      </c>
      <c r="B840" s="1264"/>
      <c r="C840" s="1264"/>
      <c r="D840" s="1264"/>
      <c r="E840" s="501" t="s">
        <v>24</v>
      </c>
      <c r="F840" s="501" t="s">
        <v>34</v>
      </c>
      <c r="G840" s="502" t="s">
        <v>1989</v>
      </c>
      <c r="H840" s="502" t="s">
        <v>1990</v>
      </c>
    </row>
    <row r="841" spans="1:8" x14ac:dyDescent="0.25">
      <c r="A841" s="1271" t="s">
        <v>2084</v>
      </c>
      <c r="B841" s="1272"/>
      <c r="C841" s="1272"/>
      <c r="D841" s="1273"/>
      <c r="E841" s="503" t="s">
        <v>15</v>
      </c>
      <c r="F841" s="522">
        <v>1</v>
      </c>
      <c r="G841" s="505">
        <v>12000</v>
      </c>
      <c r="H841" s="506">
        <f t="shared" ref="H841:H847" si="13">+G841*F841</f>
        <v>12000</v>
      </c>
    </row>
    <row r="842" spans="1:8" x14ac:dyDescent="0.25">
      <c r="A842" s="1263" t="s">
        <v>2085</v>
      </c>
      <c r="B842" s="1263"/>
      <c r="C842" s="1263"/>
      <c r="D842" s="1263"/>
      <c r="E842" s="503" t="s">
        <v>24</v>
      </c>
      <c r="F842" s="522">
        <v>2</v>
      </c>
      <c r="G842" s="505">
        <v>5000</v>
      </c>
      <c r="H842" s="506">
        <f t="shared" si="13"/>
        <v>10000</v>
      </c>
    </row>
    <row r="843" spans="1:8" x14ac:dyDescent="0.25">
      <c r="A843" s="1263" t="s">
        <v>2086</v>
      </c>
      <c r="B843" s="1263"/>
      <c r="C843" s="1263"/>
      <c r="D843" s="1263"/>
      <c r="E843" s="503" t="s">
        <v>24</v>
      </c>
      <c r="F843" s="522">
        <v>2</v>
      </c>
      <c r="G843" s="505">
        <v>2500</v>
      </c>
      <c r="H843" s="506">
        <f t="shared" si="13"/>
        <v>5000</v>
      </c>
    </row>
    <row r="844" spans="1:8" x14ac:dyDescent="0.25">
      <c r="A844" s="1263" t="s">
        <v>2087</v>
      </c>
      <c r="B844" s="1263"/>
      <c r="C844" s="1263"/>
      <c r="D844" s="1263"/>
      <c r="E844" s="503" t="s">
        <v>24</v>
      </c>
      <c r="F844" s="522">
        <v>1</v>
      </c>
      <c r="G844" s="505">
        <v>5000</v>
      </c>
      <c r="H844" s="506">
        <f t="shared" si="13"/>
        <v>5000</v>
      </c>
    </row>
    <row r="845" spans="1:8" x14ac:dyDescent="0.25">
      <c r="A845" s="1263" t="s">
        <v>2088</v>
      </c>
      <c r="B845" s="1263"/>
      <c r="C845" s="1263"/>
      <c r="D845" s="1263"/>
      <c r="E845" s="503" t="s">
        <v>15</v>
      </c>
      <c r="F845" s="522">
        <v>18</v>
      </c>
      <c r="G845" s="505">
        <v>1500</v>
      </c>
      <c r="H845" s="506">
        <f t="shared" si="13"/>
        <v>27000</v>
      </c>
    </row>
    <row r="846" spans="1:8" x14ac:dyDescent="0.25">
      <c r="A846" s="1263" t="s">
        <v>2089</v>
      </c>
      <c r="B846" s="1263"/>
      <c r="C846" s="1263"/>
      <c r="D846" s="1263"/>
      <c r="E846" s="503" t="s">
        <v>24</v>
      </c>
      <c r="F846" s="522">
        <v>3</v>
      </c>
      <c r="G846" s="505">
        <v>200</v>
      </c>
      <c r="H846" s="506">
        <f t="shared" si="13"/>
        <v>600</v>
      </c>
    </row>
    <row r="847" spans="1:8" x14ac:dyDescent="0.25">
      <c r="A847" s="524" t="s">
        <v>2090</v>
      </c>
      <c r="B847" s="525"/>
      <c r="C847" s="525"/>
      <c r="D847" s="525"/>
      <c r="E847" s="544" t="s">
        <v>24</v>
      </c>
      <c r="F847" s="545">
        <v>1</v>
      </c>
      <c r="G847" s="505">
        <v>160000</v>
      </c>
      <c r="H847" s="506">
        <f t="shared" si="13"/>
        <v>160000</v>
      </c>
    </row>
    <row r="848" spans="1:8" x14ac:dyDescent="0.25">
      <c r="A848" s="1249"/>
      <c r="B848" s="1250"/>
      <c r="C848" s="1250"/>
      <c r="D848" s="1250"/>
      <c r="E848" s="1250"/>
      <c r="F848" s="1251"/>
      <c r="G848" s="507" t="s">
        <v>31</v>
      </c>
      <c r="H848" s="507">
        <f>ROUND(SUM(H841:H847),0)</f>
        <v>219600</v>
      </c>
    </row>
    <row r="849" spans="1:8" x14ac:dyDescent="0.25">
      <c r="A849" s="1249"/>
      <c r="B849" s="1250"/>
      <c r="C849" s="1250"/>
      <c r="D849" s="1250"/>
      <c r="E849" s="1250"/>
      <c r="F849" s="1250"/>
      <c r="G849" s="1250"/>
      <c r="H849" s="1251"/>
    </row>
    <row r="850" spans="1:8" x14ac:dyDescent="0.25">
      <c r="A850" s="1264" t="s">
        <v>1991</v>
      </c>
      <c r="B850" s="1264"/>
      <c r="C850" s="1264"/>
      <c r="D850" s="1264"/>
      <c r="E850" s="501" t="s">
        <v>1992</v>
      </c>
      <c r="F850" s="501" t="s">
        <v>34</v>
      </c>
      <c r="G850" s="502" t="s">
        <v>1989</v>
      </c>
      <c r="H850" s="502" t="s">
        <v>1990</v>
      </c>
    </row>
    <row r="851" spans="1:8" x14ac:dyDescent="0.25">
      <c r="A851" s="1265" t="str">
        <f>A841</f>
        <v>Tubo EMT 3/4"</v>
      </c>
      <c r="B851" s="1266"/>
      <c r="C851" s="1266"/>
      <c r="D851" s="1267"/>
      <c r="E851" s="503">
        <v>10</v>
      </c>
      <c r="F851" s="508">
        <v>1</v>
      </c>
      <c r="G851" s="506">
        <v>400</v>
      </c>
      <c r="H851" s="506">
        <f>E851*G851</f>
        <v>4000</v>
      </c>
    </row>
    <row r="852" spans="1:8" x14ac:dyDescent="0.25">
      <c r="A852" s="1249"/>
      <c r="B852" s="1250"/>
      <c r="C852" s="1250"/>
      <c r="D852" s="1250"/>
      <c r="E852" s="1250"/>
      <c r="F852" s="1251"/>
      <c r="G852" s="507" t="s">
        <v>31</v>
      </c>
      <c r="H852" s="507">
        <f>ROUND(SUM(H851:H851),0)</f>
        <v>4000</v>
      </c>
    </row>
    <row r="853" spans="1:8" x14ac:dyDescent="0.25">
      <c r="A853" s="512"/>
      <c r="B853" s="513"/>
      <c r="C853" s="513"/>
      <c r="D853" s="513"/>
      <c r="E853" s="513"/>
      <c r="F853" s="513"/>
      <c r="G853" s="513"/>
      <c r="H853" s="514"/>
    </row>
    <row r="854" spans="1:8" x14ac:dyDescent="0.25">
      <c r="A854" s="1260" t="s">
        <v>1993</v>
      </c>
      <c r="B854" s="1260"/>
      <c r="C854" s="1260"/>
      <c r="D854" s="1259" t="s">
        <v>1994</v>
      </c>
      <c r="E854" s="1259"/>
      <c r="F854" s="515" t="s">
        <v>28</v>
      </c>
      <c r="G854" s="502" t="s">
        <v>1989</v>
      </c>
      <c r="H854" s="502" t="s">
        <v>1990</v>
      </c>
    </row>
    <row r="855" spans="1:8" x14ac:dyDescent="0.25">
      <c r="A855" s="1256" t="s">
        <v>2077</v>
      </c>
      <c r="B855" s="1256"/>
      <c r="C855" s="1256"/>
      <c r="D855" s="1261">
        <v>15000</v>
      </c>
      <c r="E855" s="1261"/>
      <c r="F855" s="503">
        <v>10</v>
      </c>
      <c r="G855" s="506">
        <f>+D855/F855</f>
        <v>1500</v>
      </c>
      <c r="H855" s="506">
        <f>+G855</f>
        <v>1500</v>
      </c>
    </row>
    <row r="856" spans="1:8" x14ac:dyDescent="0.25">
      <c r="A856" s="1262"/>
      <c r="B856" s="1262"/>
      <c r="C856" s="1262"/>
      <c r="D856" s="1261"/>
      <c r="E856" s="1261"/>
      <c r="F856" s="503"/>
      <c r="G856" s="506"/>
      <c r="H856" s="506">
        <f>+G856</f>
        <v>0</v>
      </c>
    </row>
    <row r="857" spans="1:8" x14ac:dyDescent="0.25">
      <c r="A857" s="1249"/>
      <c r="B857" s="1250"/>
      <c r="C857" s="1250"/>
      <c r="D857" s="1250"/>
      <c r="E857" s="1250"/>
      <c r="F857" s="1251"/>
      <c r="G857" s="507" t="s">
        <v>31</v>
      </c>
      <c r="H857" s="507">
        <f>SUM(H855:H856)</f>
        <v>1500</v>
      </c>
    </row>
    <row r="858" spans="1:8" x14ac:dyDescent="0.25">
      <c r="A858" s="1249"/>
      <c r="B858" s="1250"/>
      <c r="C858" s="1250"/>
      <c r="D858" s="1250"/>
      <c r="E858" s="1250"/>
      <c r="F858" s="1250"/>
      <c r="G858" s="1250"/>
      <c r="H858" s="1251"/>
    </row>
    <row r="859" spans="1:8" x14ac:dyDescent="0.25">
      <c r="A859" s="1258" t="s">
        <v>1997</v>
      </c>
      <c r="B859" s="1258"/>
      <c r="C859" s="516" t="s">
        <v>1998</v>
      </c>
      <c r="D859" s="1259" t="s">
        <v>1999</v>
      </c>
      <c r="E859" s="1259"/>
      <c r="F859" s="515" t="s">
        <v>2000</v>
      </c>
      <c r="G859" s="517" t="s">
        <v>2001</v>
      </c>
      <c r="H859" s="517" t="s">
        <v>2002</v>
      </c>
    </row>
    <row r="860" spans="1:8" x14ac:dyDescent="0.25">
      <c r="A860" s="1253" t="s">
        <v>2003</v>
      </c>
      <c r="B860" s="1253"/>
      <c r="C860" s="518">
        <v>150000</v>
      </c>
      <c r="D860" s="1254">
        <f>C860*65%</f>
        <v>97500</v>
      </c>
      <c r="E860" s="1255"/>
      <c r="F860" s="518">
        <f>C860+D860</f>
        <v>247500</v>
      </c>
      <c r="G860" s="542">
        <v>9</v>
      </c>
      <c r="H860" s="518">
        <f>F860/G860</f>
        <v>27500</v>
      </c>
    </row>
    <row r="861" spans="1:8" x14ac:dyDescent="0.25">
      <c r="A861" s="1253" t="s">
        <v>2004</v>
      </c>
      <c r="B861" s="1253"/>
      <c r="C861" s="518">
        <v>70000</v>
      </c>
      <c r="D861" s="1254">
        <f>C861*65%</f>
        <v>45500</v>
      </c>
      <c r="E861" s="1255"/>
      <c r="F861" s="518">
        <f>C861+D861</f>
        <v>115500</v>
      </c>
      <c r="G861" s="542">
        <v>9</v>
      </c>
      <c r="H861" s="518">
        <f>F861/G861</f>
        <v>12833.333333333334</v>
      </c>
    </row>
    <row r="862" spans="1:8" x14ac:dyDescent="0.25">
      <c r="A862" s="1253" t="s">
        <v>2005</v>
      </c>
      <c r="B862" s="1253"/>
      <c r="C862" s="518">
        <v>45000</v>
      </c>
      <c r="D862" s="1254">
        <f>C862*65%</f>
        <v>29250</v>
      </c>
      <c r="E862" s="1255"/>
      <c r="F862" s="518">
        <f>C862+D862</f>
        <v>74250</v>
      </c>
      <c r="G862" s="542">
        <v>9</v>
      </c>
      <c r="H862" s="518">
        <f>F862/G862</f>
        <v>8250</v>
      </c>
    </row>
    <row r="863" spans="1:8" x14ac:dyDescent="0.25">
      <c r="A863" s="1256"/>
      <c r="B863" s="1256"/>
      <c r="C863" s="520"/>
      <c r="D863" s="1257"/>
      <c r="E863" s="1257"/>
      <c r="F863" s="506"/>
      <c r="G863" s="542"/>
      <c r="H863" s="518"/>
    </row>
    <row r="864" spans="1:8" x14ac:dyDescent="0.25">
      <c r="A864" s="1249"/>
      <c r="B864" s="1250"/>
      <c r="C864" s="1250"/>
      <c r="D864" s="1250"/>
      <c r="E864" s="1250"/>
      <c r="F864" s="1251"/>
      <c r="G864" s="507" t="s">
        <v>31</v>
      </c>
      <c r="H864" s="507">
        <f>SUM(H860:H863)</f>
        <v>48583.333333333336</v>
      </c>
    </row>
    <row r="865" spans="1:8" ht="15.75" thickBot="1" x14ac:dyDescent="0.3">
      <c r="A865" s="1249"/>
      <c r="B865" s="1250"/>
      <c r="C865" s="1250"/>
      <c r="D865" s="1250"/>
      <c r="E865" s="1250"/>
      <c r="F865" s="1250"/>
      <c r="G865" s="1250"/>
      <c r="H865" s="1251"/>
    </row>
    <row r="866" spans="1:8" ht="16.5" thickTop="1" thickBot="1" x14ac:dyDescent="0.3">
      <c r="A866" s="1252" t="s">
        <v>2007</v>
      </c>
      <c r="B866" s="1252"/>
      <c r="C866" s="1252"/>
      <c r="D866" s="1252"/>
      <c r="E866" s="1252"/>
      <c r="F866" s="1252"/>
      <c r="G866" s="1252"/>
      <c r="H866" s="499">
        <f>ROUND(H864+H857+H848+H852,0)</f>
        <v>273683</v>
      </c>
    </row>
    <row r="867" spans="1:8" ht="15.75" thickBot="1" x14ac:dyDescent="0.3"/>
    <row r="868" spans="1:8" ht="15.75" thickBot="1" x14ac:dyDescent="0.3">
      <c r="A868" s="1279"/>
      <c r="B868" s="1280"/>
      <c r="C868" s="1280"/>
      <c r="D868" s="1280"/>
      <c r="E868" s="1280"/>
      <c r="F868" s="1280"/>
      <c r="G868" s="1280"/>
      <c r="H868" s="1281"/>
    </row>
    <row r="869" spans="1:8" ht="15.75" thickTop="1" x14ac:dyDescent="0.25">
      <c r="A869" s="1282"/>
      <c r="B869" s="1283"/>
      <c r="C869" s="1283"/>
      <c r="D869" s="1283"/>
      <c r="E869" s="1283"/>
      <c r="F869" s="1283"/>
      <c r="G869" s="1283"/>
      <c r="H869" s="1284"/>
    </row>
    <row r="870" spans="1:8" x14ac:dyDescent="0.25">
      <c r="A870" s="1274"/>
      <c r="B870" s="1274"/>
      <c r="C870" s="1274"/>
      <c r="D870" s="1274"/>
      <c r="E870" s="1274"/>
      <c r="F870" s="1275"/>
      <c r="G870" s="1275"/>
      <c r="H870" s="1275"/>
    </row>
    <row r="871" spans="1:8" x14ac:dyDescent="0.25">
      <c r="A871" s="1274"/>
      <c r="B871" s="1274"/>
      <c r="C871" s="1274"/>
      <c r="D871" s="1274"/>
      <c r="E871" s="1274"/>
      <c r="F871" s="500"/>
      <c r="G871" s="1276"/>
      <c r="H871" s="1276"/>
    </row>
    <row r="872" spans="1:8" x14ac:dyDescent="0.25">
      <c r="A872" s="1274"/>
      <c r="B872" s="1274"/>
      <c r="C872" s="1274"/>
      <c r="D872" s="1274"/>
      <c r="E872" s="1274"/>
      <c r="F872" s="1277"/>
      <c r="G872" s="1278"/>
      <c r="H872" s="1278"/>
    </row>
    <row r="873" spans="1:8" x14ac:dyDescent="0.25">
      <c r="A873" s="1249"/>
      <c r="B873" s="1250"/>
      <c r="C873" s="1250"/>
      <c r="D873" s="1250"/>
      <c r="E873" s="1250"/>
      <c r="F873" s="1250"/>
      <c r="G873" s="1250"/>
      <c r="H873" s="1251"/>
    </row>
    <row r="874" spans="1:8" x14ac:dyDescent="0.25">
      <c r="A874" s="1264" t="s">
        <v>1988</v>
      </c>
      <c r="B874" s="1264"/>
      <c r="C874" s="1264"/>
      <c r="D874" s="1264"/>
      <c r="E874" s="501" t="s">
        <v>24</v>
      </c>
      <c r="F874" s="501" t="s">
        <v>34</v>
      </c>
      <c r="G874" s="502" t="s">
        <v>1989</v>
      </c>
      <c r="H874" s="502" t="s">
        <v>1990</v>
      </c>
    </row>
    <row r="875" spans="1:8" x14ac:dyDescent="0.25">
      <c r="A875" s="1271" t="s">
        <v>2091</v>
      </c>
      <c r="B875" s="1272"/>
      <c r="C875" s="1272"/>
      <c r="D875" s="1273"/>
      <c r="E875" s="503" t="s">
        <v>53</v>
      </c>
      <c r="F875" s="522">
        <v>1</v>
      </c>
      <c r="G875" s="505">
        <v>120000</v>
      </c>
      <c r="H875" s="506">
        <f t="shared" ref="H875:H880" si="14">+G875*F875</f>
        <v>120000</v>
      </c>
    </row>
    <row r="876" spans="1:8" x14ac:dyDescent="0.25">
      <c r="A876" s="1263"/>
      <c r="B876" s="1263"/>
      <c r="C876" s="1263"/>
      <c r="D876" s="1263"/>
      <c r="E876" s="503"/>
      <c r="F876" s="504"/>
      <c r="G876" s="505"/>
      <c r="H876" s="506">
        <f t="shared" si="14"/>
        <v>0</v>
      </c>
    </row>
    <row r="877" spans="1:8" x14ac:dyDescent="0.25">
      <c r="A877" s="1263"/>
      <c r="B877" s="1263"/>
      <c r="C877" s="1263"/>
      <c r="D877" s="1263"/>
      <c r="E877" s="503"/>
      <c r="F877" s="504"/>
      <c r="G877" s="505"/>
      <c r="H877" s="506">
        <f t="shared" si="14"/>
        <v>0</v>
      </c>
    </row>
    <row r="878" spans="1:8" x14ac:dyDescent="0.25">
      <c r="A878" s="1263"/>
      <c r="B878" s="1263"/>
      <c r="C878" s="1263"/>
      <c r="D878" s="1263"/>
      <c r="E878" s="503"/>
      <c r="F878" s="504"/>
      <c r="G878" s="505"/>
      <c r="H878" s="506">
        <f t="shared" si="14"/>
        <v>0</v>
      </c>
    </row>
    <row r="879" spans="1:8" x14ac:dyDescent="0.25">
      <c r="A879" s="1263"/>
      <c r="B879" s="1263"/>
      <c r="C879" s="1263"/>
      <c r="D879" s="1263"/>
      <c r="E879" s="503"/>
      <c r="F879" s="504"/>
      <c r="G879" s="505"/>
      <c r="H879" s="506">
        <f t="shared" si="14"/>
        <v>0</v>
      </c>
    </row>
    <row r="880" spans="1:8" x14ac:dyDescent="0.25">
      <c r="A880" s="1263"/>
      <c r="B880" s="1263"/>
      <c r="C880" s="1263"/>
      <c r="D880" s="1263"/>
      <c r="E880" s="503"/>
      <c r="F880" s="504"/>
      <c r="G880" s="505"/>
      <c r="H880" s="506">
        <f t="shared" si="14"/>
        <v>0</v>
      </c>
    </row>
    <row r="881" spans="1:8" x14ac:dyDescent="0.25">
      <c r="A881" s="1249"/>
      <c r="B881" s="1250"/>
      <c r="C881" s="1250"/>
      <c r="D881" s="1250"/>
      <c r="E881" s="1250"/>
      <c r="F881" s="1251"/>
      <c r="G881" s="507" t="s">
        <v>31</v>
      </c>
      <c r="H881" s="507">
        <f>ROUND(SUM(H875:H880),0)</f>
        <v>120000</v>
      </c>
    </row>
    <row r="882" spans="1:8" x14ac:dyDescent="0.25">
      <c r="A882" s="1249"/>
      <c r="B882" s="1250"/>
      <c r="C882" s="1250"/>
      <c r="D882" s="1250"/>
      <c r="E882" s="1250"/>
      <c r="F882" s="1250"/>
      <c r="G882" s="1250"/>
      <c r="H882" s="1251"/>
    </row>
    <row r="883" spans="1:8" x14ac:dyDescent="0.25">
      <c r="A883" s="1264" t="s">
        <v>1991</v>
      </c>
      <c r="B883" s="1264"/>
      <c r="C883" s="1264"/>
      <c r="D883" s="1264"/>
      <c r="E883" s="501" t="s">
        <v>1992</v>
      </c>
      <c r="F883" s="501" t="s">
        <v>34</v>
      </c>
      <c r="G883" s="502" t="s">
        <v>1989</v>
      </c>
      <c r="H883" s="502" t="s">
        <v>1990</v>
      </c>
    </row>
    <row r="884" spans="1:8" x14ac:dyDescent="0.25">
      <c r="A884" s="1265" t="str">
        <f>A875</f>
        <v>luminaria tipo Led 2x32</v>
      </c>
      <c r="B884" s="1266"/>
      <c r="C884" s="1266"/>
      <c r="D884" s="1267"/>
      <c r="E884" s="503">
        <v>10</v>
      </c>
      <c r="F884" s="508">
        <v>1</v>
      </c>
      <c r="G884" s="506">
        <v>400</v>
      </c>
      <c r="H884" s="506">
        <f>E884*G884</f>
        <v>4000</v>
      </c>
    </row>
    <row r="885" spans="1:8" x14ac:dyDescent="0.25">
      <c r="A885" s="1249"/>
      <c r="B885" s="1250"/>
      <c r="C885" s="1250"/>
      <c r="D885" s="1250"/>
      <c r="E885" s="1250"/>
      <c r="F885" s="1251"/>
      <c r="G885" s="507" t="s">
        <v>31</v>
      </c>
      <c r="H885" s="507">
        <f>ROUND(SUM(H884:H884),0)</f>
        <v>4000</v>
      </c>
    </row>
    <row r="886" spans="1:8" x14ac:dyDescent="0.25">
      <c r="A886" s="512"/>
      <c r="B886" s="513"/>
      <c r="C886" s="513"/>
      <c r="D886" s="513"/>
      <c r="E886" s="513"/>
      <c r="F886" s="513"/>
      <c r="G886" s="513"/>
      <c r="H886" s="514"/>
    </row>
    <row r="887" spans="1:8" x14ac:dyDescent="0.25">
      <c r="A887" s="1260" t="s">
        <v>1993</v>
      </c>
      <c r="B887" s="1260"/>
      <c r="C887" s="1260"/>
      <c r="D887" s="1259" t="s">
        <v>1994</v>
      </c>
      <c r="E887" s="1259"/>
      <c r="F887" s="515" t="s">
        <v>28</v>
      </c>
      <c r="G887" s="502" t="s">
        <v>1989</v>
      </c>
      <c r="H887" s="502" t="s">
        <v>1990</v>
      </c>
    </row>
    <row r="888" spans="1:8" x14ac:dyDescent="0.25">
      <c r="A888" s="1256" t="s">
        <v>2077</v>
      </c>
      <c r="B888" s="1256"/>
      <c r="C888" s="1256"/>
      <c r="D888" s="1261">
        <v>15000</v>
      </c>
      <c r="E888" s="1261"/>
      <c r="F888" s="503">
        <v>10</v>
      </c>
      <c r="G888" s="506">
        <f>+D888/F888</f>
        <v>1500</v>
      </c>
      <c r="H888" s="506">
        <f>+G888</f>
        <v>1500</v>
      </c>
    </row>
    <row r="889" spans="1:8" x14ac:dyDescent="0.25">
      <c r="A889" s="1262"/>
      <c r="B889" s="1262"/>
      <c r="C889" s="1262"/>
      <c r="D889" s="1261"/>
      <c r="E889" s="1261"/>
      <c r="F889" s="503"/>
      <c r="G889" s="506"/>
      <c r="H889" s="506">
        <f>+G889</f>
        <v>0</v>
      </c>
    </row>
    <row r="890" spans="1:8" x14ac:dyDescent="0.25">
      <c r="A890" s="1249"/>
      <c r="B890" s="1250"/>
      <c r="C890" s="1250"/>
      <c r="D890" s="1250"/>
      <c r="E890" s="1250"/>
      <c r="F890" s="1251"/>
      <c r="G890" s="507" t="s">
        <v>31</v>
      </c>
      <c r="H890" s="507">
        <f>SUM(H888:H889)</f>
        <v>1500</v>
      </c>
    </row>
    <row r="891" spans="1:8" x14ac:dyDescent="0.25">
      <c r="A891" s="1249"/>
      <c r="B891" s="1250"/>
      <c r="C891" s="1250"/>
      <c r="D891" s="1250"/>
      <c r="E891" s="1250"/>
      <c r="F891" s="1250"/>
      <c r="G891" s="1250"/>
      <c r="H891" s="1251"/>
    </row>
    <row r="892" spans="1:8" x14ac:dyDescent="0.25">
      <c r="A892" s="1258" t="s">
        <v>1997</v>
      </c>
      <c r="B892" s="1258"/>
      <c r="C892" s="516" t="s">
        <v>1998</v>
      </c>
      <c r="D892" s="1259" t="s">
        <v>1999</v>
      </c>
      <c r="E892" s="1259"/>
      <c r="F892" s="515" t="s">
        <v>2000</v>
      </c>
      <c r="G892" s="517" t="s">
        <v>2001</v>
      </c>
      <c r="H892" s="517" t="s">
        <v>2002</v>
      </c>
    </row>
    <row r="893" spans="1:8" x14ac:dyDescent="0.25">
      <c r="A893" s="1253" t="s">
        <v>2003</v>
      </c>
      <c r="B893" s="1253"/>
      <c r="C893" s="518">
        <v>150000</v>
      </c>
      <c r="D893" s="1254">
        <f>C893*65%</f>
        <v>97500</v>
      </c>
      <c r="E893" s="1255"/>
      <c r="F893" s="518">
        <f>C893+D893</f>
        <v>247500</v>
      </c>
      <c r="G893" s="542">
        <v>10</v>
      </c>
      <c r="H893" s="518">
        <f>F893/G893</f>
        <v>24750</v>
      </c>
    </row>
    <row r="894" spans="1:8" x14ac:dyDescent="0.25">
      <c r="A894" s="1253" t="s">
        <v>2004</v>
      </c>
      <c r="B894" s="1253"/>
      <c r="C894" s="518">
        <v>70000</v>
      </c>
      <c r="D894" s="1254">
        <f>C894*65%</f>
        <v>45500</v>
      </c>
      <c r="E894" s="1255"/>
      <c r="F894" s="518">
        <f>C894+D894</f>
        <v>115500</v>
      </c>
      <c r="G894" s="542">
        <v>10</v>
      </c>
      <c r="H894" s="518">
        <f>F894/G894</f>
        <v>11550</v>
      </c>
    </row>
    <row r="895" spans="1:8" x14ac:dyDescent="0.25">
      <c r="A895" s="1253" t="s">
        <v>2005</v>
      </c>
      <c r="B895" s="1253"/>
      <c r="C895" s="518">
        <v>45000</v>
      </c>
      <c r="D895" s="1254">
        <f>C895*65%</f>
        <v>29250</v>
      </c>
      <c r="E895" s="1255"/>
      <c r="F895" s="518">
        <f>C895+D895</f>
        <v>74250</v>
      </c>
      <c r="G895" s="542">
        <v>10</v>
      </c>
      <c r="H895" s="518">
        <f>F895/G895</f>
        <v>7425</v>
      </c>
    </row>
    <row r="896" spans="1:8" x14ac:dyDescent="0.25">
      <c r="A896" s="1256"/>
      <c r="B896" s="1256"/>
      <c r="C896" s="520"/>
      <c r="D896" s="1257"/>
      <c r="E896" s="1257"/>
      <c r="F896" s="506"/>
      <c r="G896" s="542"/>
      <c r="H896" s="518"/>
    </row>
    <row r="897" spans="1:8" x14ac:dyDescent="0.25">
      <c r="A897" s="1249"/>
      <c r="B897" s="1250"/>
      <c r="C897" s="1250"/>
      <c r="D897" s="1250"/>
      <c r="E897" s="1250"/>
      <c r="F897" s="1251"/>
      <c r="G897" s="507" t="s">
        <v>31</v>
      </c>
      <c r="H897" s="507">
        <f>SUM(H893:H896)</f>
        <v>43725</v>
      </c>
    </row>
    <row r="898" spans="1:8" ht="15.75" thickBot="1" x14ac:dyDescent="0.3">
      <c r="A898" s="1249"/>
      <c r="B898" s="1250"/>
      <c r="C898" s="1250"/>
      <c r="D898" s="1250"/>
      <c r="E898" s="1250"/>
      <c r="F898" s="1250"/>
      <c r="G898" s="1250"/>
      <c r="H898" s="1251"/>
    </row>
    <row r="899" spans="1:8" ht="16.5" thickTop="1" thickBot="1" x14ac:dyDescent="0.3">
      <c r="A899" s="1252" t="s">
        <v>2007</v>
      </c>
      <c r="B899" s="1252"/>
      <c r="C899" s="1252"/>
      <c r="D899" s="1252"/>
      <c r="E899" s="1252"/>
      <c r="F899" s="1252"/>
      <c r="G899" s="1252"/>
      <c r="H899" s="499">
        <f>ROUND(H897+H890+H881+H885,0)</f>
        <v>169225</v>
      </c>
    </row>
    <row r="900" spans="1:8" ht="15.75" thickBot="1" x14ac:dyDescent="0.3"/>
    <row r="901" spans="1:8" ht="15.75" thickBot="1" x14ac:dyDescent="0.3">
      <c r="A901" s="1279"/>
      <c r="B901" s="1280"/>
      <c r="C901" s="1280"/>
      <c r="D901" s="1280"/>
      <c r="E901" s="1280"/>
      <c r="F901" s="1280"/>
      <c r="G901" s="1280"/>
      <c r="H901" s="1281"/>
    </row>
    <row r="902" spans="1:8" ht="15.75" thickTop="1" x14ac:dyDescent="0.25">
      <c r="A902" s="1282"/>
      <c r="B902" s="1283"/>
      <c r="C902" s="1283"/>
      <c r="D902" s="1283"/>
      <c r="E902" s="1283"/>
      <c r="F902" s="1283"/>
      <c r="G902" s="1283"/>
      <c r="H902" s="1284"/>
    </row>
    <row r="903" spans="1:8" x14ac:dyDescent="0.25">
      <c r="A903" s="1274"/>
      <c r="B903" s="1274"/>
      <c r="C903" s="1274"/>
      <c r="D903" s="1274"/>
      <c r="E903" s="1274"/>
      <c r="F903" s="1275"/>
      <c r="G903" s="1275"/>
      <c r="H903" s="1275"/>
    </row>
    <row r="904" spans="1:8" x14ac:dyDescent="0.25">
      <c r="A904" s="1274"/>
      <c r="B904" s="1274"/>
      <c r="C904" s="1274"/>
      <c r="D904" s="1274"/>
      <c r="E904" s="1274"/>
      <c r="F904" s="500"/>
      <c r="G904" s="1276"/>
      <c r="H904" s="1276"/>
    </row>
    <row r="905" spans="1:8" x14ac:dyDescent="0.25">
      <c r="A905" s="1274"/>
      <c r="B905" s="1274"/>
      <c r="C905" s="1274"/>
      <c r="D905" s="1274"/>
      <c r="E905" s="1274"/>
      <c r="F905" s="1277"/>
      <c r="G905" s="1278"/>
      <c r="H905" s="1278"/>
    </row>
    <row r="906" spans="1:8" x14ac:dyDescent="0.25">
      <c r="A906" s="1249"/>
      <c r="B906" s="1250"/>
      <c r="C906" s="1250"/>
      <c r="D906" s="1250"/>
      <c r="E906" s="1250"/>
      <c r="F906" s="1250"/>
      <c r="G906" s="1250"/>
      <c r="H906" s="1251"/>
    </row>
    <row r="907" spans="1:8" x14ac:dyDescent="0.25">
      <c r="A907" s="1264" t="s">
        <v>1988</v>
      </c>
      <c r="B907" s="1264"/>
      <c r="C907" s="1264"/>
      <c r="D907" s="1264"/>
      <c r="E907" s="501" t="s">
        <v>24</v>
      </c>
      <c r="F907" s="501" t="s">
        <v>34</v>
      </c>
      <c r="G907" s="502" t="s">
        <v>1989</v>
      </c>
      <c r="H907" s="502" t="s">
        <v>1990</v>
      </c>
    </row>
    <row r="908" spans="1:8" x14ac:dyDescent="0.25">
      <c r="A908" s="1271" t="s">
        <v>2092</v>
      </c>
      <c r="B908" s="1272"/>
      <c r="C908" s="1272"/>
      <c r="D908" s="1273"/>
      <c r="E908" s="503" t="s">
        <v>53</v>
      </c>
      <c r="F908" s="522">
        <v>1</v>
      </c>
      <c r="G908" s="505">
        <v>18000</v>
      </c>
      <c r="H908" s="506">
        <f t="shared" ref="H908:H913" si="15">+G908*F908</f>
        <v>18000</v>
      </c>
    </row>
    <row r="909" spans="1:8" x14ac:dyDescent="0.25">
      <c r="A909" s="1263"/>
      <c r="B909" s="1263"/>
      <c r="C909" s="1263"/>
      <c r="D909" s="1263"/>
      <c r="E909" s="503"/>
      <c r="F909" s="504"/>
      <c r="G909" s="505"/>
      <c r="H909" s="506">
        <f t="shared" si="15"/>
        <v>0</v>
      </c>
    </row>
    <row r="910" spans="1:8" x14ac:dyDescent="0.25">
      <c r="A910" s="1263"/>
      <c r="B910" s="1263"/>
      <c r="C910" s="1263"/>
      <c r="D910" s="1263"/>
      <c r="E910" s="503"/>
      <c r="F910" s="504"/>
      <c r="G910" s="505"/>
      <c r="H910" s="506">
        <f t="shared" si="15"/>
        <v>0</v>
      </c>
    </row>
    <row r="911" spans="1:8" x14ac:dyDescent="0.25">
      <c r="A911" s="1263"/>
      <c r="B911" s="1263"/>
      <c r="C911" s="1263"/>
      <c r="D911" s="1263"/>
      <c r="E911" s="503"/>
      <c r="F911" s="504"/>
      <c r="G911" s="505"/>
      <c r="H911" s="506">
        <f t="shared" si="15"/>
        <v>0</v>
      </c>
    </row>
    <row r="912" spans="1:8" x14ac:dyDescent="0.25">
      <c r="A912" s="1263"/>
      <c r="B912" s="1263"/>
      <c r="C912" s="1263"/>
      <c r="D912" s="1263"/>
      <c r="E912" s="503"/>
      <c r="F912" s="504"/>
      <c r="G912" s="505"/>
      <c r="H912" s="506">
        <f t="shared" si="15"/>
        <v>0</v>
      </c>
    </row>
    <row r="913" spans="1:8" x14ac:dyDescent="0.25">
      <c r="A913" s="1263"/>
      <c r="B913" s="1263"/>
      <c r="C913" s="1263"/>
      <c r="D913" s="1263"/>
      <c r="E913" s="503"/>
      <c r="F913" s="504"/>
      <c r="G913" s="505"/>
      <c r="H913" s="506">
        <f t="shared" si="15"/>
        <v>0</v>
      </c>
    </row>
    <row r="914" spans="1:8" x14ac:dyDescent="0.25">
      <c r="A914" s="1249"/>
      <c r="B914" s="1250"/>
      <c r="C914" s="1250"/>
      <c r="D914" s="1250"/>
      <c r="E914" s="1250"/>
      <c r="F914" s="1251"/>
      <c r="G914" s="507" t="s">
        <v>31</v>
      </c>
      <c r="H914" s="507">
        <f>ROUND(SUM(H908:H913),0)</f>
        <v>18000</v>
      </c>
    </row>
    <row r="915" spans="1:8" x14ac:dyDescent="0.25">
      <c r="A915" s="1249"/>
      <c r="B915" s="1250"/>
      <c r="C915" s="1250"/>
      <c r="D915" s="1250"/>
      <c r="E915" s="1250"/>
      <c r="F915" s="1250"/>
      <c r="G915" s="1250"/>
      <c r="H915" s="1251"/>
    </row>
    <row r="916" spans="1:8" x14ac:dyDescent="0.25">
      <c r="A916" s="1264" t="s">
        <v>1991</v>
      </c>
      <c r="B916" s="1264"/>
      <c r="C916" s="1264"/>
      <c r="D916" s="1264"/>
      <c r="E916" s="501" t="s">
        <v>1992</v>
      </c>
      <c r="F916" s="501" t="s">
        <v>34</v>
      </c>
      <c r="G916" s="502" t="s">
        <v>1989</v>
      </c>
      <c r="H916" s="502" t="s">
        <v>1990</v>
      </c>
    </row>
    <row r="917" spans="1:8" x14ac:dyDescent="0.25">
      <c r="A917" s="1265" t="str">
        <f>A908</f>
        <v>lampara tipo led 9w</v>
      </c>
      <c r="B917" s="1266"/>
      <c r="C917" s="1266"/>
      <c r="D917" s="1267"/>
      <c r="E917" s="503">
        <v>10</v>
      </c>
      <c r="F917" s="508">
        <v>1</v>
      </c>
      <c r="G917" s="506">
        <v>400</v>
      </c>
      <c r="H917" s="506">
        <f>E917*G917</f>
        <v>4000</v>
      </c>
    </row>
    <row r="918" spans="1:8" x14ac:dyDescent="0.25">
      <c r="A918" s="1249"/>
      <c r="B918" s="1250"/>
      <c r="C918" s="1250"/>
      <c r="D918" s="1250"/>
      <c r="E918" s="1250"/>
      <c r="F918" s="1251"/>
      <c r="G918" s="507" t="s">
        <v>31</v>
      </c>
      <c r="H918" s="507">
        <f>ROUND(SUM(H917:H917),0)</f>
        <v>4000</v>
      </c>
    </row>
    <row r="919" spans="1:8" x14ac:dyDescent="0.25">
      <c r="A919" s="512"/>
      <c r="B919" s="513"/>
      <c r="C919" s="513"/>
      <c r="D919" s="513"/>
      <c r="E919" s="513"/>
      <c r="F919" s="513"/>
      <c r="G919" s="513"/>
      <c r="H919" s="514"/>
    </row>
    <row r="920" spans="1:8" x14ac:dyDescent="0.25">
      <c r="A920" s="1260" t="s">
        <v>1993</v>
      </c>
      <c r="B920" s="1260"/>
      <c r="C920" s="1260"/>
      <c r="D920" s="1259" t="s">
        <v>1994</v>
      </c>
      <c r="E920" s="1259"/>
      <c r="F920" s="515" t="s">
        <v>28</v>
      </c>
      <c r="G920" s="502" t="s">
        <v>1989</v>
      </c>
      <c r="H920" s="502" t="s">
        <v>1990</v>
      </c>
    </row>
    <row r="921" spans="1:8" x14ac:dyDescent="0.25">
      <c r="A921" s="1256" t="s">
        <v>2077</v>
      </c>
      <c r="B921" s="1256"/>
      <c r="C921" s="1256"/>
      <c r="D921" s="1261">
        <v>15000</v>
      </c>
      <c r="E921" s="1261"/>
      <c r="F921" s="503">
        <v>10</v>
      </c>
      <c r="G921" s="506">
        <f>+D921/F921</f>
        <v>1500</v>
      </c>
      <c r="H921" s="506">
        <f>+G921</f>
        <v>1500</v>
      </c>
    </row>
    <row r="922" spans="1:8" x14ac:dyDescent="0.25">
      <c r="A922" s="1262"/>
      <c r="B922" s="1262"/>
      <c r="C922" s="1262"/>
      <c r="D922" s="1261"/>
      <c r="E922" s="1261"/>
      <c r="F922" s="503"/>
      <c r="G922" s="506"/>
      <c r="H922" s="506">
        <f>+G922</f>
        <v>0</v>
      </c>
    </row>
    <row r="923" spans="1:8" x14ac:dyDescent="0.25">
      <c r="A923" s="1249"/>
      <c r="B923" s="1250"/>
      <c r="C923" s="1250"/>
      <c r="D923" s="1250"/>
      <c r="E923" s="1250"/>
      <c r="F923" s="1251"/>
      <c r="G923" s="507" t="s">
        <v>31</v>
      </c>
      <c r="H923" s="507">
        <f>SUM(H921:H922)</f>
        <v>1500</v>
      </c>
    </row>
    <row r="924" spans="1:8" x14ac:dyDescent="0.25">
      <c r="A924" s="1249"/>
      <c r="B924" s="1250"/>
      <c r="C924" s="1250"/>
      <c r="D924" s="1250"/>
      <c r="E924" s="1250"/>
      <c r="F924" s="1250"/>
      <c r="G924" s="1250"/>
      <c r="H924" s="1251"/>
    </row>
    <row r="925" spans="1:8" x14ac:dyDescent="0.25">
      <c r="A925" s="1258" t="s">
        <v>1997</v>
      </c>
      <c r="B925" s="1258"/>
      <c r="C925" s="516" t="s">
        <v>1998</v>
      </c>
      <c r="D925" s="1259" t="s">
        <v>1999</v>
      </c>
      <c r="E925" s="1259"/>
      <c r="F925" s="515" t="s">
        <v>2000</v>
      </c>
      <c r="G925" s="517" t="s">
        <v>2001</v>
      </c>
      <c r="H925" s="517" t="s">
        <v>2002</v>
      </c>
    </row>
    <row r="926" spans="1:8" x14ac:dyDescent="0.25">
      <c r="A926" s="1253" t="s">
        <v>2003</v>
      </c>
      <c r="B926" s="1253"/>
      <c r="C926" s="518">
        <v>150000</v>
      </c>
      <c r="D926" s="1254">
        <f>C926*65%</f>
        <v>97500</v>
      </c>
      <c r="E926" s="1255"/>
      <c r="F926" s="518">
        <f>C926+D926</f>
        <v>247500</v>
      </c>
      <c r="G926" s="542">
        <v>5</v>
      </c>
      <c r="H926" s="518">
        <f>F926/G926</f>
        <v>49500</v>
      </c>
    </row>
    <row r="927" spans="1:8" x14ac:dyDescent="0.25">
      <c r="A927" s="1253" t="s">
        <v>2004</v>
      </c>
      <c r="B927" s="1253"/>
      <c r="C927" s="518">
        <v>70000</v>
      </c>
      <c r="D927" s="1254">
        <f>C927*65%</f>
        <v>45500</v>
      </c>
      <c r="E927" s="1255"/>
      <c r="F927" s="518">
        <f>C927+D927</f>
        <v>115500</v>
      </c>
      <c r="G927" s="542">
        <v>2</v>
      </c>
      <c r="H927" s="518">
        <f>F927/G927</f>
        <v>57750</v>
      </c>
    </row>
    <row r="928" spans="1:8" x14ac:dyDescent="0.25">
      <c r="A928" s="1253" t="s">
        <v>2005</v>
      </c>
      <c r="B928" s="1253"/>
      <c r="C928" s="518">
        <v>45000</v>
      </c>
      <c r="D928" s="1254">
        <f>C928*65%</f>
        <v>29250</v>
      </c>
      <c r="E928" s="1255"/>
      <c r="F928" s="518">
        <f>C928+D928</f>
        <v>74250</v>
      </c>
      <c r="G928" s="542">
        <v>2</v>
      </c>
      <c r="H928" s="518">
        <f>F928/G928</f>
        <v>37125</v>
      </c>
    </row>
    <row r="929" spans="1:8" x14ac:dyDescent="0.25">
      <c r="A929" s="1256"/>
      <c r="B929" s="1256"/>
      <c r="C929" s="520"/>
      <c r="D929" s="1257"/>
      <c r="E929" s="1257"/>
      <c r="F929" s="506"/>
      <c r="G929" s="542"/>
      <c r="H929" s="518"/>
    </row>
    <row r="930" spans="1:8" x14ac:dyDescent="0.25">
      <c r="A930" s="1249"/>
      <c r="B930" s="1250"/>
      <c r="C930" s="1250"/>
      <c r="D930" s="1250"/>
      <c r="E930" s="1250"/>
      <c r="F930" s="1251"/>
      <c r="G930" s="507" t="s">
        <v>31</v>
      </c>
      <c r="H930" s="507">
        <f>SUM(H926:H929)</f>
        <v>144375</v>
      </c>
    </row>
    <row r="931" spans="1:8" ht="15.75" thickBot="1" x14ac:dyDescent="0.3">
      <c r="A931" s="1249"/>
      <c r="B931" s="1250"/>
      <c r="C931" s="1250"/>
      <c r="D931" s="1250"/>
      <c r="E931" s="1250"/>
      <c r="F931" s="1250"/>
      <c r="G931" s="1250"/>
      <c r="H931" s="1251"/>
    </row>
    <row r="932" spans="1:8" ht="16.5" thickTop="1" thickBot="1" x14ac:dyDescent="0.3">
      <c r="A932" s="1252" t="s">
        <v>2007</v>
      </c>
      <c r="B932" s="1252"/>
      <c r="C932" s="1252"/>
      <c r="D932" s="1252"/>
      <c r="E932" s="1252"/>
      <c r="F932" s="1252"/>
      <c r="G932" s="1252"/>
      <c r="H932" s="499">
        <f>ROUND(H930+H923+H914+H918,0)</f>
        <v>167875</v>
      </c>
    </row>
    <row r="933" spans="1:8" ht="15.75" thickBot="1" x14ac:dyDescent="0.3"/>
    <row r="934" spans="1:8" ht="15.75" thickBot="1" x14ac:dyDescent="0.3">
      <c r="A934" s="1279"/>
      <c r="B934" s="1280"/>
      <c r="C934" s="1280"/>
      <c r="D934" s="1280"/>
      <c r="E934" s="1280"/>
      <c r="F934" s="1280"/>
      <c r="G934" s="1280"/>
      <c r="H934" s="1281"/>
    </row>
    <row r="935" spans="1:8" ht="15.75" thickTop="1" x14ac:dyDescent="0.25">
      <c r="A935" s="1282"/>
      <c r="B935" s="1283"/>
      <c r="C935" s="1283"/>
      <c r="D935" s="1283"/>
      <c r="E935" s="1283"/>
      <c r="F935" s="1283"/>
      <c r="G935" s="1283"/>
      <c r="H935" s="1284"/>
    </row>
    <row r="936" spans="1:8" x14ac:dyDescent="0.25">
      <c r="A936" s="1274"/>
      <c r="B936" s="1274"/>
      <c r="C936" s="1274"/>
      <c r="D936" s="1274"/>
      <c r="E936" s="1274"/>
      <c r="F936" s="1275"/>
      <c r="G936" s="1275"/>
      <c r="H936" s="1275"/>
    </row>
    <row r="937" spans="1:8" x14ac:dyDescent="0.25">
      <c r="A937" s="1274"/>
      <c r="B937" s="1274"/>
      <c r="C937" s="1274"/>
      <c r="D937" s="1274"/>
      <c r="E937" s="1274"/>
      <c r="F937" s="500"/>
      <c r="G937" s="1276"/>
      <c r="H937" s="1276"/>
    </row>
    <row r="938" spans="1:8" x14ac:dyDescent="0.25">
      <c r="A938" s="1274"/>
      <c r="B938" s="1274"/>
      <c r="C938" s="1274"/>
      <c r="D938" s="1274"/>
      <c r="E938" s="1274"/>
      <c r="F938" s="1277"/>
      <c r="G938" s="1278"/>
      <c r="H938" s="1278"/>
    </row>
    <row r="939" spans="1:8" x14ac:dyDescent="0.25">
      <c r="A939" s="1249"/>
      <c r="B939" s="1250"/>
      <c r="C939" s="1250"/>
      <c r="D939" s="1250"/>
      <c r="E939" s="1250"/>
      <c r="F939" s="1250"/>
      <c r="G939" s="1250"/>
      <c r="H939" s="1251"/>
    </row>
    <row r="940" spans="1:8" x14ac:dyDescent="0.25">
      <c r="A940" s="1264" t="s">
        <v>1988</v>
      </c>
      <c r="B940" s="1264"/>
      <c r="C940" s="1264"/>
      <c r="D940" s="1264"/>
      <c r="E940" s="501" t="s">
        <v>24</v>
      </c>
      <c r="F940" s="501" t="s">
        <v>34</v>
      </c>
      <c r="G940" s="502" t="s">
        <v>1989</v>
      </c>
      <c r="H940" s="502" t="s">
        <v>1990</v>
      </c>
    </row>
    <row r="941" spans="1:8" x14ac:dyDescent="0.25">
      <c r="A941" s="1271" t="s">
        <v>2093</v>
      </c>
      <c r="B941" s="1272"/>
      <c r="C941" s="1272"/>
      <c r="D941" s="1273"/>
      <c r="E941" s="503" t="s">
        <v>53</v>
      </c>
      <c r="F941" s="522">
        <v>1</v>
      </c>
      <c r="G941" s="505">
        <v>250000</v>
      </c>
      <c r="H941" s="506">
        <f t="shared" ref="H941:H946" si="16">+G941*F941</f>
        <v>250000</v>
      </c>
    </row>
    <row r="942" spans="1:8" x14ac:dyDescent="0.25">
      <c r="A942" s="1263"/>
      <c r="B942" s="1263"/>
      <c r="C942" s="1263"/>
      <c r="D942" s="1263"/>
      <c r="E942" s="503"/>
      <c r="F942" s="504"/>
      <c r="G942" s="505"/>
      <c r="H942" s="506">
        <f t="shared" si="16"/>
        <v>0</v>
      </c>
    </row>
    <row r="943" spans="1:8" x14ac:dyDescent="0.25">
      <c r="A943" s="1263"/>
      <c r="B943" s="1263"/>
      <c r="C943" s="1263"/>
      <c r="D943" s="1263"/>
      <c r="E943" s="503"/>
      <c r="F943" s="504"/>
      <c r="G943" s="505"/>
      <c r="H943" s="506">
        <f t="shared" si="16"/>
        <v>0</v>
      </c>
    </row>
    <row r="944" spans="1:8" x14ac:dyDescent="0.25">
      <c r="A944" s="1263"/>
      <c r="B944" s="1263"/>
      <c r="C944" s="1263"/>
      <c r="D944" s="1263"/>
      <c r="E944" s="503"/>
      <c r="F944" s="504"/>
      <c r="G944" s="505"/>
      <c r="H944" s="506">
        <f t="shared" si="16"/>
        <v>0</v>
      </c>
    </row>
    <row r="945" spans="1:8" x14ac:dyDescent="0.25">
      <c r="A945" s="1263"/>
      <c r="B945" s="1263"/>
      <c r="C945" s="1263"/>
      <c r="D945" s="1263"/>
      <c r="E945" s="503"/>
      <c r="F945" s="504"/>
      <c r="G945" s="505"/>
      <c r="H945" s="506">
        <f t="shared" si="16"/>
        <v>0</v>
      </c>
    </row>
    <row r="946" spans="1:8" x14ac:dyDescent="0.25">
      <c r="A946" s="1263"/>
      <c r="B946" s="1263"/>
      <c r="C946" s="1263"/>
      <c r="D946" s="1263"/>
      <c r="E946" s="503"/>
      <c r="F946" s="504"/>
      <c r="G946" s="505"/>
      <c r="H946" s="506">
        <f t="shared" si="16"/>
        <v>0</v>
      </c>
    </row>
    <row r="947" spans="1:8" x14ac:dyDescent="0.25">
      <c r="A947" s="1249"/>
      <c r="B947" s="1250"/>
      <c r="C947" s="1250"/>
      <c r="D947" s="1250"/>
      <c r="E947" s="1250"/>
      <c r="F947" s="1251"/>
      <c r="G947" s="507" t="s">
        <v>31</v>
      </c>
      <c r="H947" s="507">
        <f>ROUND(SUM(H941:H946),0)</f>
        <v>250000</v>
      </c>
    </row>
    <row r="948" spans="1:8" x14ac:dyDescent="0.25">
      <c r="A948" s="1249"/>
      <c r="B948" s="1250"/>
      <c r="C948" s="1250"/>
      <c r="D948" s="1250"/>
      <c r="E948" s="1250"/>
      <c r="F948" s="1250"/>
      <c r="G948" s="1250"/>
      <c r="H948" s="1251"/>
    </row>
    <row r="949" spans="1:8" x14ac:dyDescent="0.25">
      <c r="A949" s="1264" t="s">
        <v>1991</v>
      </c>
      <c r="B949" s="1264"/>
      <c r="C949" s="1264"/>
      <c r="D949" s="1264"/>
      <c r="E949" s="501" t="s">
        <v>1992</v>
      </c>
      <c r="F949" s="501" t="s">
        <v>34</v>
      </c>
      <c r="G949" s="502" t="s">
        <v>1989</v>
      </c>
      <c r="H949" s="502" t="s">
        <v>1990</v>
      </c>
    </row>
    <row r="950" spans="1:8" x14ac:dyDescent="0.25">
      <c r="A950" s="1265" t="str">
        <f>A941</f>
        <v>lampara tipo led 4x17</v>
      </c>
      <c r="B950" s="1266"/>
      <c r="C950" s="1266"/>
      <c r="D950" s="1267"/>
      <c r="E950" s="503">
        <v>10</v>
      </c>
      <c r="F950" s="508">
        <v>1</v>
      </c>
      <c r="G950" s="506">
        <v>400</v>
      </c>
      <c r="H950" s="506">
        <f>E950*G950</f>
        <v>4000</v>
      </c>
    </row>
    <row r="951" spans="1:8" x14ac:dyDescent="0.25">
      <c r="A951" s="1249"/>
      <c r="B951" s="1250"/>
      <c r="C951" s="1250"/>
      <c r="D951" s="1250"/>
      <c r="E951" s="1250"/>
      <c r="F951" s="1251"/>
      <c r="G951" s="507" t="s">
        <v>31</v>
      </c>
      <c r="H951" s="507">
        <f>ROUND(SUM(H950:H950),0)</f>
        <v>4000</v>
      </c>
    </row>
    <row r="952" spans="1:8" x14ac:dyDescent="0.25">
      <c r="A952" s="512"/>
      <c r="B952" s="513"/>
      <c r="C952" s="513"/>
      <c r="D952" s="513"/>
      <c r="E952" s="513"/>
      <c r="F952" s="513"/>
      <c r="G952" s="513"/>
      <c r="H952" s="514"/>
    </row>
    <row r="953" spans="1:8" x14ac:dyDescent="0.25">
      <c r="A953" s="1260" t="s">
        <v>1993</v>
      </c>
      <c r="B953" s="1260"/>
      <c r="C953" s="1260"/>
      <c r="D953" s="1259" t="s">
        <v>1994</v>
      </c>
      <c r="E953" s="1259"/>
      <c r="F953" s="515" t="s">
        <v>28</v>
      </c>
      <c r="G953" s="502" t="s">
        <v>1989</v>
      </c>
      <c r="H953" s="502" t="s">
        <v>1990</v>
      </c>
    </row>
    <row r="954" spans="1:8" x14ac:dyDescent="0.25">
      <c r="A954" s="1256" t="s">
        <v>1996</v>
      </c>
      <c r="B954" s="1256"/>
      <c r="C954" s="1256"/>
      <c r="D954" s="1261">
        <v>15000</v>
      </c>
      <c r="E954" s="1261"/>
      <c r="F954" s="503">
        <v>10</v>
      </c>
      <c r="G954" s="506">
        <f>+D954/F954</f>
        <v>1500</v>
      </c>
      <c r="H954" s="506">
        <f>+G954</f>
        <v>1500</v>
      </c>
    </row>
    <row r="955" spans="1:8" x14ac:dyDescent="0.25">
      <c r="A955" s="1262"/>
      <c r="B955" s="1262"/>
      <c r="C955" s="1262"/>
      <c r="D955" s="1261"/>
      <c r="E955" s="1261"/>
      <c r="F955" s="503"/>
      <c r="G955" s="506"/>
      <c r="H955" s="506">
        <f>+G955</f>
        <v>0</v>
      </c>
    </row>
    <row r="956" spans="1:8" x14ac:dyDescent="0.25">
      <c r="A956" s="1249"/>
      <c r="B956" s="1250"/>
      <c r="C956" s="1250"/>
      <c r="D956" s="1250"/>
      <c r="E956" s="1250"/>
      <c r="F956" s="1251"/>
      <c r="G956" s="507" t="s">
        <v>31</v>
      </c>
      <c r="H956" s="507">
        <f>SUM(H954:H955)</f>
        <v>1500</v>
      </c>
    </row>
    <row r="957" spans="1:8" x14ac:dyDescent="0.25">
      <c r="A957" s="1249"/>
      <c r="B957" s="1250"/>
      <c r="C957" s="1250"/>
      <c r="D957" s="1250"/>
      <c r="E957" s="1250"/>
      <c r="F957" s="1250"/>
      <c r="G957" s="1250"/>
      <c r="H957" s="1251"/>
    </row>
    <row r="958" spans="1:8" x14ac:dyDescent="0.25">
      <c r="A958" s="1258" t="s">
        <v>1997</v>
      </c>
      <c r="B958" s="1258"/>
      <c r="C958" s="516" t="s">
        <v>1998</v>
      </c>
      <c r="D958" s="1259" t="s">
        <v>1999</v>
      </c>
      <c r="E958" s="1259"/>
      <c r="F958" s="515" t="s">
        <v>2000</v>
      </c>
      <c r="G958" s="517" t="s">
        <v>2001</v>
      </c>
      <c r="H958" s="517" t="s">
        <v>2002</v>
      </c>
    </row>
    <row r="959" spans="1:8" x14ac:dyDescent="0.25">
      <c r="A959" s="1253" t="s">
        <v>2003</v>
      </c>
      <c r="B959" s="1253"/>
      <c r="C959" s="518">
        <v>150000</v>
      </c>
      <c r="D959" s="1254">
        <f>C959*65%</f>
        <v>97500</v>
      </c>
      <c r="E959" s="1255"/>
      <c r="F959" s="518">
        <f>C959+D959</f>
        <v>247500</v>
      </c>
      <c r="G959" s="542">
        <v>12</v>
      </c>
      <c r="H959" s="518">
        <f>F959/G959</f>
        <v>20625</v>
      </c>
    </row>
    <row r="960" spans="1:8" x14ac:dyDescent="0.25">
      <c r="A960" s="1253" t="s">
        <v>2004</v>
      </c>
      <c r="B960" s="1253"/>
      <c r="C960" s="518">
        <v>70000</v>
      </c>
      <c r="D960" s="1254">
        <f>C960*65%</f>
        <v>45500</v>
      </c>
      <c r="E960" s="1255"/>
      <c r="F960" s="518">
        <f>C960+D960</f>
        <v>115500</v>
      </c>
      <c r="G960" s="542">
        <v>15</v>
      </c>
      <c r="H960" s="518">
        <f>F960/G960</f>
        <v>7700</v>
      </c>
    </row>
    <row r="961" spans="1:8" x14ac:dyDescent="0.25">
      <c r="A961" s="1253" t="s">
        <v>2005</v>
      </c>
      <c r="B961" s="1253"/>
      <c r="C961" s="518">
        <v>45000</v>
      </c>
      <c r="D961" s="1254">
        <f>C961*65%</f>
        <v>29250</v>
      </c>
      <c r="E961" s="1255"/>
      <c r="F961" s="518">
        <f>C961+D961</f>
        <v>74250</v>
      </c>
      <c r="G961" s="542">
        <v>15</v>
      </c>
      <c r="H961" s="518">
        <f>F961/G961</f>
        <v>4950</v>
      </c>
    </row>
    <row r="962" spans="1:8" x14ac:dyDescent="0.25">
      <c r="A962" s="1256"/>
      <c r="B962" s="1256"/>
      <c r="C962" s="520"/>
      <c r="D962" s="1257"/>
      <c r="E962" s="1257"/>
      <c r="F962" s="506"/>
      <c r="G962" s="542"/>
      <c r="H962" s="518"/>
    </row>
    <row r="963" spans="1:8" x14ac:dyDescent="0.25">
      <c r="A963" s="1249"/>
      <c r="B963" s="1250"/>
      <c r="C963" s="1250"/>
      <c r="D963" s="1250"/>
      <c r="E963" s="1250"/>
      <c r="F963" s="1251"/>
      <c r="G963" s="507" t="s">
        <v>31</v>
      </c>
      <c r="H963" s="507">
        <f>SUM(H959:H962)</f>
        <v>33275</v>
      </c>
    </row>
    <row r="964" spans="1:8" ht="15.75" thickBot="1" x14ac:dyDescent="0.3">
      <c r="A964" s="1249"/>
      <c r="B964" s="1250"/>
      <c r="C964" s="1250"/>
      <c r="D964" s="1250"/>
      <c r="E964" s="1250"/>
      <c r="F964" s="1250"/>
      <c r="G964" s="1250"/>
      <c r="H964" s="1251"/>
    </row>
    <row r="965" spans="1:8" ht="16.5" thickTop="1" thickBot="1" x14ac:dyDescent="0.3">
      <c r="A965" s="1252" t="s">
        <v>2007</v>
      </c>
      <c r="B965" s="1252"/>
      <c r="C965" s="1252"/>
      <c r="D965" s="1252"/>
      <c r="E965" s="1252"/>
      <c r="F965" s="1252"/>
      <c r="G965" s="1252"/>
      <c r="H965" s="499">
        <f>ROUND(H963+H956+H947+H951,0)</f>
        <v>288775</v>
      </c>
    </row>
    <row r="966" spans="1:8" ht="15.75" thickBot="1" x14ac:dyDescent="0.3"/>
    <row r="967" spans="1:8" ht="15.75" thickBot="1" x14ac:dyDescent="0.3">
      <c r="A967" s="1279"/>
      <c r="B967" s="1280"/>
      <c r="C967" s="1280"/>
      <c r="D967" s="1280"/>
      <c r="E967" s="1280"/>
      <c r="F967" s="1280"/>
      <c r="G967" s="1280"/>
      <c r="H967" s="1281"/>
    </row>
    <row r="968" spans="1:8" ht="15.75" thickTop="1" x14ac:dyDescent="0.25">
      <c r="A968" s="1282"/>
      <c r="B968" s="1283"/>
      <c r="C968" s="1283"/>
      <c r="D968" s="1283"/>
      <c r="E968" s="1283"/>
      <c r="F968" s="1283"/>
      <c r="G968" s="1283"/>
      <c r="H968" s="1284"/>
    </row>
    <row r="969" spans="1:8" x14ac:dyDescent="0.25">
      <c r="A969" s="1274"/>
      <c r="B969" s="1274"/>
      <c r="C969" s="1274"/>
      <c r="D969" s="1274"/>
      <c r="E969" s="1274"/>
      <c r="F969" s="1275"/>
      <c r="G969" s="1275"/>
      <c r="H969" s="1275"/>
    </row>
    <row r="970" spans="1:8" x14ac:dyDescent="0.25">
      <c r="A970" s="1274"/>
      <c r="B970" s="1274"/>
      <c r="C970" s="1274"/>
      <c r="D970" s="1274"/>
      <c r="E970" s="1274"/>
      <c r="F970" s="500"/>
      <c r="G970" s="1276"/>
      <c r="H970" s="1276"/>
    </row>
    <row r="971" spans="1:8" x14ac:dyDescent="0.25">
      <c r="A971" s="1274"/>
      <c r="B971" s="1274"/>
      <c r="C971" s="1274"/>
      <c r="D971" s="1274"/>
      <c r="E971" s="1274"/>
      <c r="F971" s="1277"/>
      <c r="G971" s="1278"/>
      <c r="H971" s="1278"/>
    </row>
    <row r="972" spans="1:8" x14ac:dyDescent="0.25">
      <c r="A972" s="1249"/>
      <c r="B972" s="1250"/>
      <c r="C972" s="1250"/>
      <c r="D972" s="1250"/>
      <c r="E972" s="1250"/>
      <c r="F972" s="1250"/>
      <c r="G972" s="1250"/>
      <c r="H972" s="1251"/>
    </row>
    <row r="973" spans="1:8" x14ac:dyDescent="0.25">
      <c r="A973" s="1264" t="s">
        <v>1988</v>
      </c>
      <c r="B973" s="1264"/>
      <c r="C973" s="1264"/>
      <c r="D973" s="1264"/>
      <c r="E973" s="501" t="s">
        <v>24</v>
      </c>
      <c r="F973" s="501" t="s">
        <v>34</v>
      </c>
      <c r="G973" s="502" t="s">
        <v>1989</v>
      </c>
      <c r="H973" s="502" t="s">
        <v>1990</v>
      </c>
    </row>
    <row r="974" spans="1:8" x14ac:dyDescent="0.25">
      <c r="A974" s="1271" t="s">
        <v>2084</v>
      </c>
      <c r="B974" s="1272"/>
      <c r="C974" s="1272"/>
      <c r="D974" s="1273"/>
      <c r="E974" s="503" t="s">
        <v>15</v>
      </c>
      <c r="F974" s="522">
        <v>1</v>
      </c>
      <c r="G974" s="505">
        <v>12000</v>
      </c>
      <c r="H974" s="506">
        <f t="shared" ref="H974:H979" si="17">+G974*F974</f>
        <v>12000</v>
      </c>
    </row>
    <row r="975" spans="1:8" x14ac:dyDescent="0.25">
      <c r="A975" s="1263" t="s">
        <v>2085</v>
      </c>
      <c r="B975" s="1263"/>
      <c r="C975" s="1263"/>
      <c r="D975" s="1263"/>
      <c r="E975" s="503" t="s">
        <v>24</v>
      </c>
      <c r="F975" s="522">
        <v>2</v>
      </c>
      <c r="G975" s="505">
        <v>5000</v>
      </c>
      <c r="H975" s="506">
        <f t="shared" si="17"/>
        <v>10000</v>
      </c>
    </row>
    <row r="976" spans="1:8" x14ac:dyDescent="0.25">
      <c r="A976" s="1263" t="s">
        <v>2086</v>
      </c>
      <c r="B976" s="1263"/>
      <c r="C976" s="1263"/>
      <c r="D976" s="1263"/>
      <c r="E976" s="503" t="s">
        <v>24</v>
      </c>
      <c r="F976" s="522">
        <v>2</v>
      </c>
      <c r="G976" s="505">
        <v>2500</v>
      </c>
      <c r="H976" s="506">
        <f t="shared" si="17"/>
        <v>5000</v>
      </c>
    </row>
    <row r="977" spans="1:8" x14ac:dyDescent="0.25">
      <c r="A977" s="1263" t="s">
        <v>2087</v>
      </c>
      <c r="B977" s="1263"/>
      <c r="C977" s="1263"/>
      <c r="D977" s="1263"/>
      <c r="E977" s="503" t="s">
        <v>24</v>
      </c>
      <c r="F977" s="522">
        <v>1</v>
      </c>
      <c r="G977" s="505">
        <v>5000</v>
      </c>
      <c r="H977" s="506">
        <f t="shared" si="17"/>
        <v>5000</v>
      </c>
    </row>
    <row r="978" spans="1:8" x14ac:dyDescent="0.25">
      <c r="A978" s="1263" t="s">
        <v>2088</v>
      </c>
      <c r="B978" s="1263"/>
      <c r="C978" s="1263"/>
      <c r="D978" s="1263"/>
      <c r="E978" s="503" t="s">
        <v>15</v>
      </c>
      <c r="F978" s="522">
        <v>18</v>
      </c>
      <c r="G978" s="505">
        <v>1500</v>
      </c>
      <c r="H978" s="506">
        <f t="shared" si="17"/>
        <v>27000</v>
      </c>
    </row>
    <row r="979" spans="1:8" x14ac:dyDescent="0.25">
      <c r="A979" s="1263" t="s">
        <v>2089</v>
      </c>
      <c r="B979" s="1263"/>
      <c r="C979" s="1263"/>
      <c r="D979" s="1263"/>
      <c r="E979" s="503" t="s">
        <v>24</v>
      </c>
      <c r="F979" s="522">
        <v>3</v>
      </c>
      <c r="G979" s="505">
        <v>200</v>
      </c>
      <c r="H979" s="506">
        <f t="shared" si="17"/>
        <v>600</v>
      </c>
    </row>
    <row r="980" spans="1:8" x14ac:dyDescent="0.25">
      <c r="A980" s="1249"/>
      <c r="B980" s="1250"/>
      <c r="C980" s="1250"/>
      <c r="D980" s="1250"/>
      <c r="E980" s="1250"/>
      <c r="F980" s="1251"/>
      <c r="G980" s="507" t="s">
        <v>31</v>
      </c>
      <c r="H980" s="507">
        <f>ROUND(SUM(H974:H979),0)</f>
        <v>59600</v>
      </c>
    </row>
    <row r="981" spans="1:8" x14ac:dyDescent="0.25">
      <c r="A981" s="1249"/>
      <c r="B981" s="1250"/>
      <c r="C981" s="1250"/>
      <c r="D981" s="1250"/>
      <c r="E981" s="1250"/>
      <c r="F981" s="1250"/>
      <c r="G981" s="1250"/>
      <c r="H981" s="1251"/>
    </row>
    <row r="982" spans="1:8" x14ac:dyDescent="0.25">
      <c r="A982" s="1264" t="s">
        <v>1991</v>
      </c>
      <c r="B982" s="1264"/>
      <c r="C982" s="1264"/>
      <c r="D982" s="1264"/>
      <c r="E982" s="501" t="s">
        <v>1992</v>
      </c>
      <c r="F982" s="501" t="s">
        <v>34</v>
      </c>
      <c r="G982" s="502" t="s">
        <v>1989</v>
      </c>
      <c r="H982" s="502" t="s">
        <v>1990</v>
      </c>
    </row>
    <row r="983" spans="1:8" x14ac:dyDescent="0.25">
      <c r="A983" s="1265" t="str">
        <f>A974</f>
        <v>Tubo EMT 3/4"</v>
      </c>
      <c r="B983" s="1266"/>
      <c r="C983" s="1266"/>
      <c r="D983" s="1267"/>
      <c r="E983" s="503">
        <v>10</v>
      </c>
      <c r="F983" s="508">
        <v>1</v>
      </c>
      <c r="G983" s="506">
        <v>400</v>
      </c>
      <c r="H983" s="506">
        <f>E983*G983</f>
        <v>4000</v>
      </c>
    </row>
    <row r="984" spans="1:8" x14ac:dyDescent="0.25">
      <c r="A984" s="1249"/>
      <c r="B984" s="1250"/>
      <c r="C984" s="1250"/>
      <c r="D984" s="1250"/>
      <c r="E984" s="1250"/>
      <c r="F984" s="1251"/>
      <c r="G984" s="507" t="s">
        <v>31</v>
      </c>
      <c r="H984" s="507">
        <f>ROUND(SUM(H983:H983),0)</f>
        <v>4000</v>
      </c>
    </row>
    <row r="985" spans="1:8" x14ac:dyDescent="0.25">
      <c r="A985" s="512"/>
      <c r="B985" s="513"/>
      <c r="C985" s="513"/>
      <c r="D985" s="513"/>
      <c r="E985" s="513"/>
      <c r="F985" s="513"/>
      <c r="G985" s="513"/>
      <c r="H985" s="514"/>
    </row>
    <row r="986" spans="1:8" x14ac:dyDescent="0.25">
      <c r="A986" s="1260" t="s">
        <v>1993</v>
      </c>
      <c r="B986" s="1260"/>
      <c r="C986" s="1260"/>
      <c r="D986" s="1259" t="s">
        <v>1994</v>
      </c>
      <c r="E986" s="1259"/>
      <c r="F986" s="515" t="s">
        <v>28</v>
      </c>
      <c r="G986" s="502" t="s">
        <v>1989</v>
      </c>
      <c r="H986" s="502" t="s">
        <v>1990</v>
      </c>
    </row>
    <row r="987" spans="1:8" x14ac:dyDescent="0.25">
      <c r="A987" s="1256" t="s">
        <v>2077</v>
      </c>
      <c r="B987" s="1256"/>
      <c r="C987" s="1256"/>
      <c r="D987" s="1261">
        <v>15000</v>
      </c>
      <c r="E987" s="1261"/>
      <c r="F987" s="503">
        <v>10</v>
      </c>
      <c r="G987" s="506">
        <f>+D987/F987</f>
        <v>1500</v>
      </c>
      <c r="H987" s="506">
        <f>+G987</f>
        <v>1500</v>
      </c>
    </row>
    <row r="988" spans="1:8" x14ac:dyDescent="0.25">
      <c r="A988" s="1262"/>
      <c r="B988" s="1262"/>
      <c r="C988" s="1262"/>
      <c r="D988" s="1261"/>
      <c r="E988" s="1261"/>
      <c r="F988" s="503"/>
      <c r="G988" s="506"/>
      <c r="H988" s="506">
        <f>+G988</f>
        <v>0</v>
      </c>
    </row>
    <row r="989" spans="1:8" x14ac:dyDescent="0.25">
      <c r="A989" s="1249"/>
      <c r="B989" s="1250"/>
      <c r="C989" s="1250"/>
      <c r="D989" s="1250"/>
      <c r="E989" s="1250"/>
      <c r="F989" s="1251"/>
      <c r="G989" s="507" t="s">
        <v>31</v>
      </c>
      <c r="H989" s="507">
        <f>SUM(H987:H988)</f>
        <v>1500</v>
      </c>
    </row>
    <row r="990" spans="1:8" x14ac:dyDescent="0.25">
      <c r="A990" s="1249"/>
      <c r="B990" s="1250"/>
      <c r="C990" s="1250"/>
      <c r="D990" s="1250"/>
      <c r="E990" s="1250"/>
      <c r="F990" s="1250"/>
      <c r="G990" s="1250"/>
      <c r="H990" s="1251"/>
    </row>
    <row r="991" spans="1:8" x14ac:dyDescent="0.25">
      <c r="A991" s="1258" t="s">
        <v>1997</v>
      </c>
      <c r="B991" s="1258"/>
      <c r="C991" s="516" t="s">
        <v>1998</v>
      </c>
      <c r="D991" s="1259" t="s">
        <v>1999</v>
      </c>
      <c r="E991" s="1259"/>
      <c r="F991" s="515" t="s">
        <v>2000</v>
      </c>
      <c r="G991" s="517" t="s">
        <v>2001</v>
      </c>
      <c r="H991" s="517" t="s">
        <v>2002</v>
      </c>
    </row>
    <row r="992" spans="1:8" x14ac:dyDescent="0.25">
      <c r="A992" s="1253" t="s">
        <v>2003</v>
      </c>
      <c r="B992" s="1253"/>
      <c r="C992" s="518">
        <v>150000</v>
      </c>
      <c r="D992" s="1254">
        <f>C992*65%</f>
        <v>97500</v>
      </c>
      <c r="E992" s="1255"/>
      <c r="F992" s="518">
        <f>C992+D992</f>
        <v>247500</v>
      </c>
      <c r="G992" s="542">
        <v>6</v>
      </c>
      <c r="H992" s="518">
        <f>F992/G992</f>
        <v>41250</v>
      </c>
    </row>
    <row r="993" spans="1:8" x14ac:dyDescent="0.25">
      <c r="A993" s="1253" t="s">
        <v>2004</v>
      </c>
      <c r="B993" s="1253"/>
      <c r="C993" s="518">
        <v>70000</v>
      </c>
      <c r="D993" s="1254">
        <f>C993*65%</f>
        <v>45500</v>
      </c>
      <c r="E993" s="1255"/>
      <c r="F993" s="518">
        <f>C993+D993</f>
        <v>115500</v>
      </c>
      <c r="G993" s="542">
        <v>5</v>
      </c>
      <c r="H993" s="518">
        <f>F993/G993</f>
        <v>23100</v>
      </c>
    </row>
    <row r="994" spans="1:8" x14ac:dyDescent="0.25">
      <c r="A994" s="1253" t="s">
        <v>2005</v>
      </c>
      <c r="B994" s="1253"/>
      <c r="C994" s="518">
        <v>45000</v>
      </c>
      <c r="D994" s="1254">
        <f>C994*65%</f>
        <v>29250</v>
      </c>
      <c r="E994" s="1255"/>
      <c r="F994" s="518">
        <f>C994+D994</f>
        <v>74250</v>
      </c>
      <c r="G994" s="542">
        <v>5</v>
      </c>
      <c r="H994" s="518">
        <f>F994/G994</f>
        <v>14850</v>
      </c>
    </row>
    <row r="995" spans="1:8" x14ac:dyDescent="0.25">
      <c r="A995" s="1256"/>
      <c r="B995" s="1256"/>
      <c r="C995" s="520"/>
      <c r="D995" s="1257"/>
      <c r="E995" s="1257"/>
      <c r="F995" s="506"/>
      <c r="G995" s="542"/>
      <c r="H995" s="518"/>
    </row>
    <row r="996" spans="1:8" x14ac:dyDescent="0.25">
      <c r="A996" s="1249"/>
      <c r="B996" s="1250"/>
      <c r="C996" s="1250"/>
      <c r="D996" s="1250"/>
      <c r="E996" s="1250"/>
      <c r="F996" s="1251"/>
      <c r="G996" s="507" t="s">
        <v>31</v>
      </c>
      <c r="H996" s="507">
        <f>SUM(H992:H995)</f>
        <v>79200</v>
      </c>
    </row>
    <row r="997" spans="1:8" ht="15.75" thickBot="1" x14ac:dyDescent="0.3">
      <c r="A997" s="1249"/>
      <c r="B997" s="1250"/>
      <c r="C997" s="1250"/>
      <c r="D997" s="1250"/>
      <c r="E997" s="1250"/>
      <c r="F997" s="1250"/>
      <c r="G997" s="1250"/>
      <c r="H997" s="1251"/>
    </row>
    <row r="998" spans="1:8" ht="16.5" thickTop="1" thickBot="1" x14ac:dyDescent="0.3">
      <c r="A998" s="1252" t="s">
        <v>2007</v>
      </c>
      <c r="B998" s="1252"/>
      <c r="C998" s="1252"/>
      <c r="D998" s="1252"/>
      <c r="E998" s="1252"/>
      <c r="F998" s="1252"/>
      <c r="G998" s="1252"/>
      <c r="H998" s="499">
        <f>ROUND(H996+H989+H980+H984,0)</f>
        <v>144300</v>
      </c>
    </row>
    <row r="999" spans="1:8" ht="15.75" thickBot="1" x14ac:dyDescent="0.3"/>
    <row r="1000" spans="1:8" ht="15.75" thickBot="1" x14ac:dyDescent="0.3">
      <c r="A1000" s="1279"/>
      <c r="B1000" s="1280"/>
      <c r="C1000" s="1280"/>
      <c r="D1000" s="1280"/>
      <c r="E1000" s="1280"/>
      <c r="F1000" s="1280"/>
      <c r="G1000" s="1280"/>
      <c r="H1000" s="1281"/>
    </row>
    <row r="1001" spans="1:8" ht="15.75" thickTop="1" x14ac:dyDescent="0.25">
      <c r="A1001" s="1282"/>
      <c r="B1001" s="1283"/>
      <c r="C1001" s="1283"/>
      <c r="D1001" s="1283"/>
      <c r="E1001" s="1283"/>
      <c r="F1001" s="1283"/>
      <c r="G1001" s="1283"/>
      <c r="H1001" s="1284"/>
    </row>
    <row r="1002" spans="1:8" x14ac:dyDescent="0.25">
      <c r="A1002" s="1274"/>
      <c r="B1002" s="1274"/>
      <c r="C1002" s="1274"/>
      <c r="D1002" s="1274"/>
      <c r="E1002" s="1274"/>
      <c r="F1002" s="1275"/>
      <c r="G1002" s="1275"/>
      <c r="H1002" s="1275"/>
    </row>
    <row r="1003" spans="1:8" x14ac:dyDescent="0.25">
      <c r="A1003" s="1274"/>
      <c r="B1003" s="1274"/>
      <c r="C1003" s="1274"/>
      <c r="D1003" s="1274"/>
      <c r="E1003" s="1274"/>
      <c r="F1003" s="500"/>
      <c r="G1003" s="1276"/>
      <c r="H1003" s="1276"/>
    </row>
    <row r="1004" spans="1:8" x14ac:dyDescent="0.25">
      <c r="A1004" s="1274"/>
      <c r="B1004" s="1274"/>
      <c r="C1004" s="1274"/>
      <c r="D1004" s="1274"/>
      <c r="E1004" s="1274"/>
      <c r="F1004" s="1277"/>
      <c r="G1004" s="1278"/>
      <c r="H1004" s="1278"/>
    </row>
    <row r="1005" spans="1:8" x14ac:dyDescent="0.25">
      <c r="A1005" s="1249"/>
      <c r="B1005" s="1250"/>
      <c r="C1005" s="1250"/>
      <c r="D1005" s="1250"/>
      <c r="E1005" s="1250"/>
      <c r="F1005" s="1250"/>
      <c r="G1005" s="1250"/>
      <c r="H1005" s="1251"/>
    </row>
    <row r="1006" spans="1:8" x14ac:dyDescent="0.25">
      <c r="A1006" s="1264" t="s">
        <v>1988</v>
      </c>
      <c r="B1006" s="1264"/>
      <c r="C1006" s="1264"/>
      <c r="D1006" s="1264"/>
      <c r="E1006" s="501" t="s">
        <v>24</v>
      </c>
      <c r="F1006" s="501" t="s">
        <v>34</v>
      </c>
      <c r="G1006" s="502" t="s">
        <v>1989</v>
      </c>
      <c r="H1006" s="502" t="s">
        <v>1990</v>
      </c>
    </row>
    <row r="1007" spans="1:8" x14ac:dyDescent="0.25">
      <c r="A1007" s="1271" t="s">
        <v>2094</v>
      </c>
      <c r="B1007" s="1272"/>
      <c r="C1007" s="1272"/>
      <c r="D1007" s="1273"/>
      <c r="E1007" s="503" t="s">
        <v>1987</v>
      </c>
      <c r="F1007" s="522">
        <v>1</v>
      </c>
      <c r="G1007" s="505">
        <v>12000</v>
      </c>
      <c r="H1007" s="506">
        <f t="shared" ref="H1007:H1014" si="18">+G1007*F1007</f>
        <v>12000</v>
      </c>
    </row>
    <row r="1008" spans="1:8" x14ac:dyDescent="0.25">
      <c r="A1008" s="1271" t="s">
        <v>2084</v>
      </c>
      <c r="B1008" s="1272"/>
      <c r="C1008" s="1272"/>
      <c r="D1008" s="1273"/>
      <c r="E1008" s="503" t="s">
        <v>15</v>
      </c>
      <c r="F1008" s="522">
        <v>1</v>
      </c>
      <c r="G1008" s="505">
        <v>12000</v>
      </c>
      <c r="H1008" s="506">
        <f t="shared" si="18"/>
        <v>12000</v>
      </c>
    </row>
    <row r="1009" spans="1:8" x14ac:dyDescent="0.25">
      <c r="A1009" s="1271" t="s">
        <v>2085</v>
      </c>
      <c r="B1009" s="1272"/>
      <c r="C1009" s="1272"/>
      <c r="D1009" s="1273"/>
      <c r="E1009" s="503" t="s">
        <v>24</v>
      </c>
      <c r="F1009" s="522">
        <v>2</v>
      </c>
      <c r="G1009" s="505">
        <v>5000</v>
      </c>
      <c r="H1009" s="506">
        <f t="shared" si="18"/>
        <v>10000</v>
      </c>
    </row>
    <row r="1010" spans="1:8" x14ac:dyDescent="0.25">
      <c r="A1010" s="1271" t="s">
        <v>2086</v>
      </c>
      <c r="B1010" s="1272"/>
      <c r="C1010" s="1272"/>
      <c r="D1010" s="1273"/>
      <c r="E1010" s="503" t="s">
        <v>24</v>
      </c>
      <c r="F1010" s="522">
        <v>2</v>
      </c>
      <c r="G1010" s="505">
        <v>2500</v>
      </c>
      <c r="H1010" s="506">
        <f t="shared" si="18"/>
        <v>5000</v>
      </c>
    </row>
    <row r="1011" spans="1:8" x14ac:dyDescent="0.25">
      <c r="A1011" s="1271" t="s">
        <v>2087</v>
      </c>
      <c r="B1011" s="1272"/>
      <c r="C1011" s="1272"/>
      <c r="D1011" s="1273"/>
      <c r="E1011" s="503" t="s">
        <v>24</v>
      </c>
      <c r="F1011" s="522">
        <v>1</v>
      </c>
      <c r="G1011" s="505">
        <v>5000</v>
      </c>
      <c r="H1011" s="506">
        <f t="shared" si="18"/>
        <v>5000</v>
      </c>
    </row>
    <row r="1012" spans="1:8" x14ac:dyDescent="0.25">
      <c r="A1012" s="1271" t="s">
        <v>2088</v>
      </c>
      <c r="B1012" s="1272"/>
      <c r="C1012" s="1272"/>
      <c r="D1012" s="1273"/>
      <c r="E1012" s="503" t="s">
        <v>15</v>
      </c>
      <c r="F1012" s="522">
        <v>18</v>
      </c>
      <c r="G1012" s="505">
        <v>1500</v>
      </c>
      <c r="H1012" s="506">
        <f t="shared" si="18"/>
        <v>27000</v>
      </c>
    </row>
    <row r="1013" spans="1:8" x14ac:dyDescent="0.25">
      <c r="A1013" s="1271" t="s">
        <v>2089</v>
      </c>
      <c r="B1013" s="1272"/>
      <c r="C1013" s="1272"/>
      <c r="D1013" s="1273"/>
      <c r="E1013" s="503" t="s">
        <v>24</v>
      </c>
      <c r="F1013" s="522">
        <v>3</v>
      </c>
      <c r="G1013" s="505">
        <v>200</v>
      </c>
      <c r="H1013" s="506">
        <f t="shared" si="18"/>
        <v>600</v>
      </c>
    </row>
    <row r="1014" spans="1:8" x14ac:dyDescent="0.25">
      <c r="A1014" s="1271"/>
      <c r="B1014" s="1272"/>
      <c r="C1014" s="1272"/>
      <c r="D1014" s="1273"/>
      <c r="E1014" s="503"/>
      <c r="F1014" s="504"/>
      <c r="G1014" s="505"/>
      <c r="H1014" s="506">
        <f t="shared" si="18"/>
        <v>0</v>
      </c>
    </row>
    <row r="1015" spans="1:8" x14ac:dyDescent="0.25">
      <c r="A1015" s="1249"/>
      <c r="B1015" s="1250"/>
      <c r="C1015" s="1250"/>
      <c r="D1015" s="1250"/>
      <c r="E1015" s="1250"/>
      <c r="F1015" s="1251"/>
      <c r="G1015" s="507" t="s">
        <v>31</v>
      </c>
      <c r="H1015" s="507">
        <f>ROUND(SUM(H1007:H1014),0)</f>
        <v>71600</v>
      </c>
    </row>
    <row r="1016" spans="1:8" x14ac:dyDescent="0.25">
      <c r="A1016" s="1249"/>
      <c r="B1016" s="1250"/>
      <c r="C1016" s="1250"/>
      <c r="D1016" s="1250"/>
      <c r="E1016" s="1250"/>
      <c r="F1016" s="1250"/>
      <c r="G1016" s="1250"/>
      <c r="H1016" s="1251"/>
    </row>
    <row r="1017" spans="1:8" x14ac:dyDescent="0.25">
      <c r="A1017" s="1264" t="s">
        <v>1991</v>
      </c>
      <c r="B1017" s="1264"/>
      <c r="C1017" s="1264"/>
      <c r="D1017" s="1264"/>
      <c r="E1017" s="501" t="s">
        <v>1992</v>
      </c>
      <c r="F1017" s="501" t="s">
        <v>34</v>
      </c>
      <c r="G1017" s="502" t="s">
        <v>1989</v>
      </c>
      <c r="H1017" s="502" t="s">
        <v>1990</v>
      </c>
    </row>
    <row r="1018" spans="1:8" x14ac:dyDescent="0.25">
      <c r="A1018" s="1265" t="str">
        <f>A1007</f>
        <v>Tomacorrientedoble con polo a tierra 125V;15A</v>
      </c>
      <c r="B1018" s="1266"/>
      <c r="C1018" s="1266"/>
      <c r="D1018" s="1267"/>
      <c r="E1018" s="503">
        <v>10</v>
      </c>
      <c r="F1018" s="508">
        <v>1</v>
      </c>
      <c r="G1018" s="506">
        <v>100</v>
      </c>
      <c r="H1018" s="506">
        <f>E1018*G1018</f>
        <v>1000</v>
      </c>
    </row>
    <row r="1019" spans="1:8" x14ac:dyDescent="0.25">
      <c r="A1019" s="1249"/>
      <c r="B1019" s="1250"/>
      <c r="C1019" s="1250"/>
      <c r="D1019" s="1250"/>
      <c r="E1019" s="1250"/>
      <c r="F1019" s="1251"/>
      <c r="G1019" s="507" t="s">
        <v>31</v>
      </c>
      <c r="H1019" s="507">
        <f>ROUND(SUM(H1018:H1018),0)</f>
        <v>1000</v>
      </c>
    </row>
    <row r="1020" spans="1:8" x14ac:dyDescent="0.25">
      <c r="A1020" s="512"/>
      <c r="B1020" s="513"/>
      <c r="C1020" s="513"/>
      <c r="D1020" s="513"/>
      <c r="E1020" s="513"/>
      <c r="F1020" s="513"/>
      <c r="G1020" s="513"/>
      <c r="H1020" s="514"/>
    </row>
    <row r="1021" spans="1:8" x14ac:dyDescent="0.25">
      <c r="A1021" s="1260" t="s">
        <v>1993</v>
      </c>
      <c r="B1021" s="1260"/>
      <c r="C1021" s="1260"/>
      <c r="D1021" s="1259" t="s">
        <v>1994</v>
      </c>
      <c r="E1021" s="1259"/>
      <c r="F1021" s="515" t="s">
        <v>28</v>
      </c>
      <c r="G1021" s="502" t="s">
        <v>1989</v>
      </c>
      <c r="H1021" s="502" t="s">
        <v>1990</v>
      </c>
    </row>
    <row r="1022" spans="1:8" x14ac:dyDescent="0.25">
      <c r="A1022" s="1256" t="s">
        <v>2077</v>
      </c>
      <c r="B1022" s="1256"/>
      <c r="C1022" s="1256"/>
      <c r="D1022" s="1261">
        <v>3000</v>
      </c>
      <c r="E1022" s="1261"/>
      <c r="F1022" s="503">
        <v>10</v>
      </c>
      <c r="G1022" s="506">
        <f>+D1022/F1022</f>
        <v>300</v>
      </c>
      <c r="H1022" s="506">
        <f>+G1022</f>
        <v>300</v>
      </c>
    </row>
    <row r="1023" spans="1:8" x14ac:dyDescent="0.25">
      <c r="A1023" s="1262"/>
      <c r="B1023" s="1262"/>
      <c r="C1023" s="1262"/>
      <c r="D1023" s="1261"/>
      <c r="E1023" s="1261"/>
      <c r="F1023" s="503"/>
      <c r="G1023" s="506"/>
      <c r="H1023" s="506">
        <f>+G1023</f>
        <v>0</v>
      </c>
    </row>
    <row r="1024" spans="1:8" x14ac:dyDescent="0.25">
      <c r="A1024" s="1249"/>
      <c r="B1024" s="1250"/>
      <c r="C1024" s="1250"/>
      <c r="D1024" s="1250"/>
      <c r="E1024" s="1250"/>
      <c r="F1024" s="1251"/>
      <c r="G1024" s="507" t="s">
        <v>31</v>
      </c>
      <c r="H1024" s="507">
        <f>SUM(H1022:H1023)</f>
        <v>300</v>
      </c>
    </row>
    <row r="1025" spans="1:8" x14ac:dyDescent="0.25">
      <c r="A1025" s="1249"/>
      <c r="B1025" s="1250"/>
      <c r="C1025" s="1250"/>
      <c r="D1025" s="1250"/>
      <c r="E1025" s="1250"/>
      <c r="F1025" s="1250"/>
      <c r="G1025" s="1250"/>
      <c r="H1025" s="1251"/>
    </row>
    <row r="1026" spans="1:8" x14ac:dyDescent="0.25">
      <c r="A1026" s="1258" t="s">
        <v>1997</v>
      </c>
      <c r="B1026" s="1258"/>
      <c r="C1026" s="516" t="s">
        <v>1998</v>
      </c>
      <c r="D1026" s="1259" t="s">
        <v>1999</v>
      </c>
      <c r="E1026" s="1259"/>
      <c r="F1026" s="515" t="s">
        <v>2000</v>
      </c>
      <c r="G1026" s="517" t="s">
        <v>2001</v>
      </c>
      <c r="H1026" s="517" t="s">
        <v>2002</v>
      </c>
    </row>
    <row r="1027" spans="1:8" x14ac:dyDescent="0.25">
      <c r="A1027" s="1253" t="s">
        <v>2003</v>
      </c>
      <c r="B1027" s="1253"/>
      <c r="C1027" s="518">
        <v>150000</v>
      </c>
      <c r="D1027" s="1254">
        <f>C1027*65%</f>
        <v>97500</v>
      </c>
      <c r="E1027" s="1255"/>
      <c r="F1027" s="518">
        <f>C1027+D1027</f>
        <v>247500</v>
      </c>
      <c r="G1027" s="542">
        <v>10</v>
      </c>
      <c r="H1027" s="518">
        <f>F1027/G1027</f>
        <v>24750</v>
      </c>
    </row>
    <row r="1028" spans="1:8" x14ac:dyDescent="0.25">
      <c r="A1028" s="1253" t="s">
        <v>2004</v>
      </c>
      <c r="B1028" s="1253"/>
      <c r="C1028" s="518">
        <v>70000</v>
      </c>
      <c r="D1028" s="1254">
        <f>C1028*65%</f>
        <v>45500</v>
      </c>
      <c r="E1028" s="1255"/>
      <c r="F1028" s="518">
        <f>C1028+D1028</f>
        <v>115500</v>
      </c>
      <c r="G1028" s="542">
        <v>22</v>
      </c>
      <c r="H1028" s="518">
        <f>F1028/G1028</f>
        <v>5250</v>
      </c>
    </row>
    <row r="1029" spans="1:8" x14ac:dyDescent="0.25">
      <c r="A1029" s="1253" t="s">
        <v>2005</v>
      </c>
      <c r="B1029" s="1253"/>
      <c r="C1029" s="518">
        <v>45000</v>
      </c>
      <c r="D1029" s="1254">
        <f>C1029*65%</f>
        <v>29250</v>
      </c>
      <c r="E1029" s="1255"/>
      <c r="F1029" s="518">
        <f>C1029+D1029</f>
        <v>74250</v>
      </c>
      <c r="G1029" s="542">
        <v>22</v>
      </c>
      <c r="H1029" s="518">
        <f>F1029/G1029</f>
        <v>3375</v>
      </c>
    </row>
    <row r="1030" spans="1:8" x14ac:dyDescent="0.25">
      <c r="A1030" s="1256"/>
      <c r="B1030" s="1256"/>
      <c r="C1030" s="520"/>
      <c r="D1030" s="1257"/>
      <c r="E1030" s="1257"/>
      <c r="F1030" s="506"/>
      <c r="G1030" s="542"/>
      <c r="H1030" s="518"/>
    </row>
    <row r="1031" spans="1:8" x14ac:dyDescent="0.25">
      <c r="A1031" s="1249"/>
      <c r="B1031" s="1250"/>
      <c r="C1031" s="1250"/>
      <c r="D1031" s="1250"/>
      <c r="E1031" s="1250"/>
      <c r="F1031" s="1251"/>
      <c r="G1031" s="507" t="s">
        <v>31</v>
      </c>
      <c r="H1031" s="507">
        <f>SUM(H1027:H1030)</f>
        <v>33375</v>
      </c>
    </row>
    <row r="1032" spans="1:8" ht="15.75" thickBot="1" x14ac:dyDescent="0.3">
      <c r="A1032" s="1249"/>
      <c r="B1032" s="1250"/>
      <c r="C1032" s="1250"/>
      <c r="D1032" s="1250"/>
      <c r="E1032" s="1250"/>
      <c r="F1032" s="1250"/>
      <c r="G1032" s="1250"/>
      <c r="H1032" s="1251"/>
    </row>
    <row r="1033" spans="1:8" ht="16.5" thickTop="1" thickBot="1" x14ac:dyDescent="0.3">
      <c r="A1033" s="1252" t="s">
        <v>2007</v>
      </c>
      <c r="B1033" s="1252"/>
      <c r="C1033" s="1252"/>
      <c r="D1033" s="1252"/>
      <c r="E1033" s="1252"/>
      <c r="F1033" s="1252"/>
      <c r="G1033" s="1252"/>
      <c r="H1033" s="499">
        <f>ROUND(H1031+H1024+H1015+H1019,0)</f>
        <v>106275</v>
      </c>
    </row>
    <row r="1034" spans="1:8" ht="15.75" thickBot="1" x14ac:dyDescent="0.3"/>
    <row r="1035" spans="1:8" ht="15.75" thickBot="1" x14ac:dyDescent="0.3">
      <c r="A1035" s="1279"/>
      <c r="B1035" s="1280"/>
      <c r="C1035" s="1280"/>
      <c r="D1035" s="1280"/>
      <c r="E1035" s="1280"/>
      <c r="F1035" s="1280"/>
      <c r="G1035" s="1280"/>
      <c r="H1035" s="1281"/>
    </row>
    <row r="1036" spans="1:8" ht="15.75" thickTop="1" x14ac:dyDescent="0.25">
      <c r="A1036" s="1282"/>
      <c r="B1036" s="1283"/>
      <c r="C1036" s="1283"/>
      <c r="D1036" s="1283"/>
      <c r="E1036" s="1283"/>
      <c r="F1036" s="1283"/>
      <c r="G1036" s="1283"/>
      <c r="H1036" s="1284"/>
    </row>
    <row r="1037" spans="1:8" x14ac:dyDescent="0.25">
      <c r="A1037" s="1274"/>
      <c r="B1037" s="1274"/>
      <c r="C1037" s="1274"/>
      <c r="D1037" s="1274"/>
      <c r="E1037" s="1274"/>
      <c r="F1037" s="1275"/>
      <c r="G1037" s="1275"/>
      <c r="H1037" s="1275"/>
    </row>
    <row r="1038" spans="1:8" x14ac:dyDescent="0.25">
      <c r="A1038" s="1274"/>
      <c r="B1038" s="1274"/>
      <c r="C1038" s="1274"/>
      <c r="D1038" s="1274"/>
      <c r="E1038" s="1274"/>
      <c r="F1038" s="500"/>
      <c r="G1038" s="1276"/>
      <c r="H1038" s="1276"/>
    </row>
    <row r="1039" spans="1:8" x14ac:dyDescent="0.25">
      <c r="A1039" s="1274"/>
      <c r="B1039" s="1274"/>
      <c r="C1039" s="1274"/>
      <c r="D1039" s="1274"/>
      <c r="E1039" s="1274"/>
      <c r="F1039" s="1277"/>
      <c r="G1039" s="1278"/>
      <c r="H1039" s="1278"/>
    </row>
    <row r="1040" spans="1:8" x14ac:dyDescent="0.25">
      <c r="A1040" s="1249"/>
      <c r="B1040" s="1250"/>
      <c r="C1040" s="1250"/>
      <c r="D1040" s="1250"/>
      <c r="E1040" s="1250"/>
      <c r="F1040" s="1250"/>
      <c r="G1040" s="1250"/>
      <c r="H1040" s="1251"/>
    </row>
    <row r="1041" spans="1:8" x14ac:dyDescent="0.25">
      <c r="A1041" s="1264" t="s">
        <v>1988</v>
      </c>
      <c r="B1041" s="1264"/>
      <c r="C1041" s="1264"/>
      <c r="D1041" s="1264"/>
      <c r="E1041" s="501" t="s">
        <v>24</v>
      </c>
      <c r="F1041" s="501" t="s">
        <v>34</v>
      </c>
      <c r="G1041" s="502" t="s">
        <v>1989</v>
      </c>
      <c r="H1041" s="502" t="s">
        <v>1990</v>
      </c>
    </row>
    <row r="1042" spans="1:8" x14ac:dyDescent="0.25">
      <c r="A1042" s="1271" t="s">
        <v>2095</v>
      </c>
      <c r="B1042" s="1272"/>
      <c r="C1042" s="1272"/>
      <c r="D1042" s="1273"/>
      <c r="E1042" s="503" t="s">
        <v>1987</v>
      </c>
      <c r="F1042" s="522">
        <v>1</v>
      </c>
      <c r="G1042" s="505">
        <v>30000</v>
      </c>
      <c r="H1042" s="506">
        <f t="shared" ref="H1042:H1049" si="19">+G1042*F1042</f>
        <v>30000</v>
      </c>
    </row>
    <row r="1043" spans="1:8" x14ac:dyDescent="0.25">
      <c r="A1043" s="1271" t="s">
        <v>2084</v>
      </c>
      <c r="B1043" s="1272"/>
      <c r="C1043" s="1272"/>
      <c r="D1043" s="1273"/>
      <c r="E1043" s="503" t="s">
        <v>15</v>
      </c>
      <c r="F1043" s="522">
        <v>1</v>
      </c>
      <c r="G1043" s="505">
        <v>12000</v>
      </c>
      <c r="H1043" s="506">
        <f t="shared" si="19"/>
        <v>12000</v>
      </c>
    </row>
    <row r="1044" spans="1:8" x14ac:dyDescent="0.25">
      <c r="A1044" s="1263" t="s">
        <v>2085</v>
      </c>
      <c r="B1044" s="1263"/>
      <c r="C1044" s="1263"/>
      <c r="D1044" s="1263"/>
      <c r="E1044" s="503" t="s">
        <v>24</v>
      </c>
      <c r="F1044" s="522">
        <v>2</v>
      </c>
      <c r="G1044" s="505">
        <v>5000</v>
      </c>
      <c r="H1044" s="506">
        <f t="shared" si="19"/>
        <v>10000</v>
      </c>
    </row>
    <row r="1045" spans="1:8" x14ac:dyDescent="0.25">
      <c r="A1045" s="1263" t="s">
        <v>2086</v>
      </c>
      <c r="B1045" s="1263"/>
      <c r="C1045" s="1263"/>
      <c r="D1045" s="1263"/>
      <c r="E1045" s="503" t="s">
        <v>24</v>
      </c>
      <c r="F1045" s="522">
        <v>2</v>
      </c>
      <c r="G1045" s="505">
        <v>2500</v>
      </c>
      <c r="H1045" s="506">
        <f t="shared" si="19"/>
        <v>5000</v>
      </c>
    </row>
    <row r="1046" spans="1:8" x14ac:dyDescent="0.25">
      <c r="A1046" s="1263" t="s">
        <v>2087</v>
      </c>
      <c r="B1046" s="1263"/>
      <c r="C1046" s="1263"/>
      <c r="D1046" s="1263"/>
      <c r="E1046" s="503" t="s">
        <v>24</v>
      </c>
      <c r="F1046" s="522">
        <v>1</v>
      </c>
      <c r="G1046" s="505">
        <v>5000</v>
      </c>
      <c r="H1046" s="506">
        <f t="shared" si="19"/>
        <v>5000</v>
      </c>
    </row>
    <row r="1047" spans="1:8" x14ac:dyDescent="0.25">
      <c r="A1047" s="1263" t="s">
        <v>2088</v>
      </c>
      <c r="B1047" s="1263"/>
      <c r="C1047" s="1263"/>
      <c r="D1047" s="1263"/>
      <c r="E1047" s="503" t="s">
        <v>15</v>
      </c>
      <c r="F1047" s="522">
        <v>18</v>
      </c>
      <c r="G1047" s="505">
        <v>1500</v>
      </c>
      <c r="H1047" s="506">
        <f t="shared" si="19"/>
        <v>27000</v>
      </c>
    </row>
    <row r="1048" spans="1:8" x14ac:dyDescent="0.25">
      <c r="A1048" s="1263" t="s">
        <v>2089</v>
      </c>
      <c r="B1048" s="1263"/>
      <c r="C1048" s="1263"/>
      <c r="D1048" s="1263"/>
      <c r="E1048" s="503" t="s">
        <v>24</v>
      </c>
      <c r="F1048" s="522">
        <v>3</v>
      </c>
      <c r="G1048" s="505">
        <v>200</v>
      </c>
      <c r="H1048" s="506">
        <f t="shared" si="19"/>
        <v>600</v>
      </c>
    </row>
    <row r="1049" spans="1:8" x14ac:dyDescent="0.25">
      <c r="A1049" s="1263"/>
      <c r="B1049" s="1263"/>
      <c r="C1049" s="1263"/>
      <c r="D1049" s="1263"/>
      <c r="E1049" s="503"/>
      <c r="F1049" s="504"/>
      <c r="G1049" s="505"/>
      <c r="H1049" s="506">
        <f t="shared" si="19"/>
        <v>0</v>
      </c>
    </row>
    <row r="1050" spans="1:8" x14ac:dyDescent="0.25">
      <c r="A1050" s="1249"/>
      <c r="B1050" s="1250"/>
      <c r="C1050" s="1250"/>
      <c r="D1050" s="1250"/>
      <c r="E1050" s="1250"/>
      <c r="F1050" s="1251"/>
      <c r="G1050" s="507" t="s">
        <v>31</v>
      </c>
      <c r="H1050" s="507">
        <f>ROUND(SUM(H1042:H1049),0)</f>
        <v>89600</v>
      </c>
    </row>
    <row r="1051" spans="1:8" x14ac:dyDescent="0.25">
      <c r="A1051" s="1249"/>
      <c r="B1051" s="1250"/>
      <c r="C1051" s="1250"/>
      <c r="D1051" s="1250"/>
      <c r="E1051" s="1250"/>
      <c r="F1051" s="1250"/>
      <c r="G1051" s="1250"/>
      <c r="H1051" s="1251"/>
    </row>
    <row r="1052" spans="1:8" x14ac:dyDescent="0.25">
      <c r="A1052" s="1264" t="s">
        <v>1991</v>
      </c>
      <c r="B1052" s="1264"/>
      <c r="C1052" s="1264"/>
      <c r="D1052" s="1264"/>
      <c r="E1052" s="501" t="s">
        <v>1992</v>
      </c>
      <c r="F1052" s="501" t="s">
        <v>34</v>
      </c>
      <c r="G1052" s="502" t="s">
        <v>1989</v>
      </c>
      <c r="H1052" s="502" t="s">
        <v>1990</v>
      </c>
    </row>
    <row r="1053" spans="1:8" x14ac:dyDescent="0.25">
      <c r="A1053" s="1265" t="str">
        <f>A1042</f>
        <v>Tomacorrientetipo GFCI</v>
      </c>
      <c r="B1053" s="1266"/>
      <c r="C1053" s="1266"/>
      <c r="D1053" s="1267"/>
      <c r="E1053" s="503">
        <v>10</v>
      </c>
      <c r="F1053" s="508">
        <v>1</v>
      </c>
      <c r="G1053" s="506">
        <v>400</v>
      </c>
      <c r="H1053" s="506">
        <f>E1053*G1053</f>
        <v>4000</v>
      </c>
    </row>
    <row r="1054" spans="1:8" x14ac:dyDescent="0.25">
      <c r="A1054" s="1249"/>
      <c r="B1054" s="1250"/>
      <c r="C1054" s="1250"/>
      <c r="D1054" s="1250"/>
      <c r="E1054" s="1250"/>
      <c r="F1054" s="1251"/>
      <c r="G1054" s="507" t="s">
        <v>31</v>
      </c>
      <c r="H1054" s="507">
        <f>ROUND(SUM(H1053:H1053),0)</f>
        <v>4000</v>
      </c>
    </row>
    <row r="1055" spans="1:8" x14ac:dyDescent="0.25">
      <c r="A1055" s="512"/>
      <c r="B1055" s="513"/>
      <c r="C1055" s="513"/>
      <c r="D1055" s="513"/>
      <c r="E1055" s="513"/>
      <c r="F1055" s="513"/>
      <c r="G1055" s="513"/>
      <c r="H1055" s="514"/>
    </row>
    <row r="1056" spans="1:8" x14ac:dyDescent="0.25">
      <c r="A1056" s="1260" t="s">
        <v>1993</v>
      </c>
      <c r="B1056" s="1260"/>
      <c r="C1056" s="1260"/>
      <c r="D1056" s="1259" t="s">
        <v>1994</v>
      </c>
      <c r="E1056" s="1259"/>
      <c r="F1056" s="515" t="s">
        <v>28</v>
      </c>
      <c r="G1056" s="502" t="s">
        <v>1989</v>
      </c>
      <c r="H1056" s="502" t="s">
        <v>1990</v>
      </c>
    </row>
    <row r="1057" spans="1:8" x14ac:dyDescent="0.25">
      <c r="A1057" s="1256" t="s">
        <v>2077</v>
      </c>
      <c r="B1057" s="1256"/>
      <c r="C1057" s="1256"/>
      <c r="D1057" s="1261">
        <v>15000</v>
      </c>
      <c r="E1057" s="1261"/>
      <c r="F1057" s="503">
        <v>10</v>
      </c>
      <c r="G1057" s="506">
        <f>+D1057/F1057</f>
        <v>1500</v>
      </c>
      <c r="H1057" s="506">
        <f>+G1057</f>
        <v>1500</v>
      </c>
    </row>
    <row r="1058" spans="1:8" x14ac:dyDescent="0.25">
      <c r="A1058" s="1262"/>
      <c r="B1058" s="1262"/>
      <c r="C1058" s="1262"/>
      <c r="D1058" s="1261"/>
      <c r="E1058" s="1261"/>
      <c r="F1058" s="503"/>
      <c r="G1058" s="506"/>
      <c r="H1058" s="506">
        <f>+G1058</f>
        <v>0</v>
      </c>
    </row>
    <row r="1059" spans="1:8" x14ac:dyDescent="0.25">
      <c r="A1059" s="1249"/>
      <c r="B1059" s="1250"/>
      <c r="C1059" s="1250"/>
      <c r="D1059" s="1250"/>
      <c r="E1059" s="1250"/>
      <c r="F1059" s="1251"/>
      <c r="G1059" s="507" t="s">
        <v>31</v>
      </c>
      <c r="H1059" s="507">
        <f>SUM(H1057:H1058)</f>
        <v>1500</v>
      </c>
    </row>
    <row r="1060" spans="1:8" x14ac:dyDescent="0.25">
      <c r="A1060" s="1249"/>
      <c r="B1060" s="1250"/>
      <c r="C1060" s="1250"/>
      <c r="D1060" s="1250"/>
      <c r="E1060" s="1250"/>
      <c r="F1060" s="1250"/>
      <c r="G1060" s="1250"/>
      <c r="H1060" s="1251"/>
    </row>
    <row r="1061" spans="1:8" x14ac:dyDescent="0.25">
      <c r="A1061" s="1258" t="s">
        <v>1997</v>
      </c>
      <c r="B1061" s="1258"/>
      <c r="C1061" s="516" t="s">
        <v>1998</v>
      </c>
      <c r="D1061" s="1259" t="s">
        <v>1999</v>
      </c>
      <c r="E1061" s="1259"/>
      <c r="F1061" s="515" t="s">
        <v>2000</v>
      </c>
      <c r="G1061" s="517" t="s">
        <v>2001</v>
      </c>
      <c r="H1061" s="517" t="s">
        <v>2002</v>
      </c>
    </row>
    <row r="1062" spans="1:8" x14ac:dyDescent="0.25">
      <c r="A1062" s="1253" t="s">
        <v>2003</v>
      </c>
      <c r="B1062" s="1253"/>
      <c r="C1062" s="518">
        <v>150000</v>
      </c>
      <c r="D1062" s="1254">
        <f>C1062*65%</f>
        <v>97500</v>
      </c>
      <c r="E1062" s="1255"/>
      <c r="F1062" s="518">
        <f>C1062+D1062</f>
        <v>247500</v>
      </c>
      <c r="G1062" s="542">
        <v>10</v>
      </c>
      <c r="H1062" s="518">
        <f>F1062/G1062</f>
        <v>24750</v>
      </c>
    </row>
    <row r="1063" spans="1:8" x14ac:dyDescent="0.25">
      <c r="A1063" s="1253" t="s">
        <v>2004</v>
      </c>
      <c r="B1063" s="1253"/>
      <c r="C1063" s="518">
        <v>70000</v>
      </c>
      <c r="D1063" s="1254">
        <f>C1063*65%</f>
        <v>45500</v>
      </c>
      <c r="E1063" s="1255"/>
      <c r="F1063" s="518">
        <f>C1063+D1063</f>
        <v>115500</v>
      </c>
      <c r="G1063" s="542">
        <v>12</v>
      </c>
      <c r="H1063" s="518">
        <f>F1063/G1063</f>
        <v>9625</v>
      </c>
    </row>
    <row r="1064" spans="1:8" x14ac:dyDescent="0.25">
      <c r="A1064" s="1253" t="s">
        <v>2005</v>
      </c>
      <c r="B1064" s="1253"/>
      <c r="C1064" s="518">
        <v>45000</v>
      </c>
      <c r="D1064" s="1254">
        <f>C1064*65%</f>
        <v>29250</v>
      </c>
      <c r="E1064" s="1255"/>
      <c r="F1064" s="518">
        <f>C1064+D1064</f>
        <v>74250</v>
      </c>
      <c r="G1064" s="542">
        <v>10</v>
      </c>
      <c r="H1064" s="518">
        <f>F1064/G1064</f>
        <v>7425</v>
      </c>
    </row>
    <row r="1065" spans="1:8" x14ac:dyDescent="0.25">
      <c r="A1065" s="1256"/>
      <c r="B1065" s="1256"/>
      <c r="C1065" s="520"/>
      <c r="D1065" s="1257"/>
      <c r="E1065" s="1257"/>
      <c r="F1065" s="506"/>
      <c r="G1065" s="542"/>
      <c r="H1065" s="518"/>
    </row>
    <row r="1066" spans="1:8" x14ac:dyDescent="0.25">
      <c r="A1066" s="1249"/>
      <c r="B1066" s="1250"/>
      <c r="C1066" s="1250"/>
      <c r="D1066" s="1250"/>
      <c r="E1066" s="1250"/>
      <c r="F1066" s="1251"/>
      <c r="G1066" s="507" t="s">
        <v>31</v>
      </c>
      <c r="H1066" s="507">
        <f>SUM(H1062:H1065)</f>
        <v>41800</v>
      </c>
    </row>
    <row r="1067" spans="1:8" ht="15.75" thickBot="1" x14ac:dyDescent="0.3">
      <c r="A1067" s="1249"/>
      <c r="B1067" s="1250"/>
      <c r="C1067" s="1250"/>
      <c r="D1067" s="1250"/>
      <c r="E1067" s="1250"/>
      <c r="F1067" s="1250"/>
      <c r="G1067" s="1250"/>
      <c r="H1067" s="1251"/>
    </row>
    <row r="1068" spans="1:8" ht="16.5" thickTop="1" thickBot="1" x14ac:dyDescent="0.3">
      <c r="A1068" s="1252" t="s">
        <v>2007</v>
      </c>
      <c r="B1068" s="1252"/>
      <c r="C1068" s="1252"/>
      <c r="D1068" s="1252"/>
      <c r="E1068" s="1252"/>
      <c r="F1068" s="1252"/>
      <c r="G1068" s="1252"/>
      <c r="H1068" s="499">
        <f>ROUND(H1066+H1059+H1050+H1054,0)</f>
        <v>136900</v>
      </c>
    </row>
    <row r="1069" spans="1:8" ht="15.75" thickBot="1" x14ac:dyDescent="0.3"/>
    <row r="1070" spans="1:8" ht="15.75" thickBot="1" x14ac:dyDescent="0.3">
      <c r="A1070" s="1279"/>
      <c r="B1070" s="1280"/>
      <c r="C1070" s="1280"/>
      <c r="D1070" s="1280"/>
      <c r="E1070" s="1280"/>
      <c r="F1070" s="1280"/>
      <c r="G1070" s="1280"/>
      <c r="H1070" s="1281"/>
    </row>
    <row r="1071" spans="1:8" ht="15.75" thickTop="1" x14ac:dyDescent="0.25">
      <c r="A1071" s="1282"/>
      <c r="B1071" s="1283"/>
      <c r="C1071" s="1283"/>
      <c r="D1071" s="1283"/>
      <c r="E1071" s="1283"/>
      <c r="F1071" s="1283"/>
      <c r="G1071" s="1283"/>
      <c r="H1071" s="1284"/>
    </row>
    <row r="1072" spans="1:8" x14ac:dyDescent="0.25">
      <c r="A1072" s="1274"/>
      <c r="B1072" s="1274"/>
      <c r="C1072" s="1274"/>
      <c r="D1072" s="1274"/>
      <c r="E1072" s="1274"/>
      <c r="F1072" s="1275"/>
      <c r="G1072" s="1275"/>
      <c r="H1072" s="1275"/>
    </row>
    <row r="1073" spans="1:8" x14ac:dyDescent="0.25">
      <c r="A1073" s="1274"/>
      <c r="B1073" s="1274"/>
      <c r="C1073" s="1274"/>
      <c r="D1073" s="1274"/>
      <c r="E1073" s="1274"/>
      <c r="F1073" s="500"/>
      <c r="G1073" s="1276"/>
      <c r="H1073" s="1276"/>
    </row>
    <row r="1074" spans="1:8" x14ac:dyDescent="0.25">
      <c r="A1074" s="1274"/>
      <c r="B1074" s="1274"/>
      <c r="C1074" s="1274"/>
      <c r="D1074" s="1274"/>
      <c r="E1074" s="1274"/>
      <c r="F1074" s="1277"/>
      <c r="G1074" s="1278"/>
      <c r="H1074" s="1278"/>
    </row>
    <row r="1075" spans="1:8" x14ac:dyDescent="0.25">
      <c r="A1075" s="1249"/>
      <c r="B1075" s="1250"/>
      <c r="C1075" s="1250"/>
      <c r="D1075" s="1250"/>
      <c r="E1075" s="1250"/>
      <c r="F1075" s="1250"/>
      <c r="G1075" s="1250"/>
      <c r="H1075" s="1251"/>
    </row>
    <row r="1076" spans="1:8" x14ac:dyDescent="0.25">
      <c r="A1076" s="1264" t="s">
        <v>1988</v>
      </c>
      <c r="B1076" s="1264"/>
      <c r="C1076" s="1264"/>
      <c r="D1076" s="1264"/>
      <c r="E1076" s="501" t="s">
        <v>24</v>
      </c>
      <c r="F1076" s="501" t="s">
        <v>34</v>
      </c>
      <c r="G1076" s="502" t="s">
        <v>1989</v>
      </c>
      <c r="H1076" s="502" t="s">
        <v>1990</v>
      </c>
    </row>
    <row r="1077" spans="1:8" x14ac:dyDescent="0.25">
      <c r="A1077" s="1271" t="s">
        <v>678</v>
      </c>
      <c r="B1077" s="1272"/>
      <c r="C1077" s="1272"/>
      <c r="D1077" s="1273"/>
      <c r="E1077" s="503" t="s">
        <v>15</v>
      </c>
      <c r="F1077" s="522">
        <v>12</v>
      </c>
      <c r="G1077" s="505">
        <v>35000</v>
      </c>
      <c r="H1077" s="506">
        <f t="shared" ref="H1077:H1082" si="20">+G1077*F1077</f>
        <v>420000</v>
      </c>
    </row>
    <row r="1078" spans="1:8" x14ac:dyDescent="0.25">
      <c r="A1078" s="1263" t="s">
        <v>676</v>
      </c>
      <c r="B1078" s="1263"/>
      <c r="C1078" s="1263"/>
      <c r="D1078" s="1263"/>
      <c r="E1078" s="503" t="s">
        <v>24</v>
      </c>
      <c r="F1078" s="522">
        <v>3</v>
      </c>
      <c r="G1078" s="505">
        <v>2300</v>
      </c>
      <c r="H1078" s="506">
        <f t="shared" si="20"/>
        <v>6900</v>
      </c>
    </row>
    <row r="1079" spans="1:8" x14ac:dyDescent="0.25">
      <c r="A1079" s="1263" t="s">
        <v>677</v>
      </c>
      <c r="B1079" s="1263"/>
      <c r="C1079" s="1263"/>
      <c r="D1079" s="1263"/>
      <c r="E1079" s="503" t="s">
        <v>24</v>
      </c>
      <c r="F1079" s="522">
        <v>3</v>
      </c>
      <c r="G1079" s="505">
        <v>500</v>
      </c>
      <c r="H1079" s="506">
        <f t="shared" si="20"/>
        <v>1500</v>
      </c>
    </row>
    <row r="1080" spans="1:8" x14ac:dyDescent="0.25">
      <c r="A1080" s="1263" t="s">
        <v>2096</v>
      </c>
      <c r="B1080" s="1263"/>
      <c r="C1080" s="1263"/>
      <c r="D1080" s="1263"/>
      <c r="E1080" s="503" t="s">
        <v>24</v>
      </c>
      <c r="F1080" s="522">
        <v>1</v>
      </c>
      <c r="G1080" s="505">
        <v>2500</v>
      </c>
      <c r="H1080" s="506">
        <f t="shared" si="20"/>
        <v>2500</v>
      </c>
    </row>
    <row r="1081" spans="1:8" x14ac:dyDescent="0.25">
      <c r="A1081" s="1263" t="s">
        <v>2097</v>
      </c>
      <c r="B1081" s="1263"/>
      <c r="C1081" s="1263"/>
      <c r="D1081" s="1263"/>
      <c r="E1081" s="503" t="s">
        <v>15</v>
      </c>
      <c r="F1081" s="522">
        <v>45</v>
      </c>
      <c r="G1081" s="505">
        <v>3600</v>
      </c>
      <c r="H1081" s="506">
        <f t="shared" si="20"/>
        <v>162000</v>
      </c>
    </row>
    <row r="1082" spans="1:8" x14ac:dyDescent="0.25">
      <c r="A1082" s="1263"/>
      <c r="B1082" s="1263"/>
      <c r="C1082" s="1263"/>
      <c r="D1082" s="1263"/>
      <c r="E1082" s="503"/>
      <c r="F1082" s="504"/>
      <c r="G1082" s="505"/>
      <c r="H1082" s="506">
        <f t="shared" si="20"/>
        <v>0</v>
      </c>
    </row>
    <row r="1083" spans="1:8" x14ac:dyDescent="0.25">
      <c r="A1083" s="1249"/>
      <c r="B1083" s="1250"/>
      <c r="C1083" s="1250"/>
      <c r="D1083" s="1250"/>
      <c r="E1083" s="1250"/>
      <c r="F1083" s="1251"/>
      <c r="G1083" s="507" t="s">
        <v>31</v>
      </c>
      <c r="H1083" s="507">
        <f>ROUND(SUM(H1077:H1082),0)</f>
        <v>592900</v>
      </c>
    </row>
    <row r="1084" spans="1:8" x14ac:dyDescent="0.25">
      <c r="A1084" s="1249"/>
      <c r="B1084" s="1250"/>
      <c r="C1084" s="1250"/>
      <c r="D1084" s="1250"/>
      <c r="E1084" s="1250"/>
      <c r="F1084" s="1250"/>
      <c r="G1084" s="1250"/>
      <c r="H1084" s="1251"/>
    </row>
    <row r="1085" spans="1:8" x14ac:dyDescent="0.25">
      <c r="A1085" s="1264" t="s">
        <v>1991</v>
      </c>
      <c r="B1085" s="1264"/>
      <c r="C1085" s="1264"/>
      <c r="D1085" s="1264"/>
      <c r="E1085" s="501" t="s">
        <v>1992</v>
      </c>
      <c r="F1085" s="501" t="s">
        <v>34</v>
      </c>
      <c r="G1085" s="502" t="s">
        <v>1989</v>
      </c>
      <c r="H1085" s="502" t="s">
        <v>1990</v>
      </c>
    </row>
    <row r="1086" spans="1:8" x14ac:dyDescent="0.25">
      <c r="A1086" s="1265" t="str">
        <f>A1077</f>
        <v>Tubo PVC 3/4"</v>
      </c>
      <c r="B1086" s="1266"/>
      <c r="C1086" s="1266"/>
      <c r="D1086" s="1267"/>
      <c r="E1086" s="503">
        <v>10</v>
      </c>
      <c r="F1086" s="508">
        <v>1</v>
      </c>
      <c r="G1086" s="506">
        <v>400</v>
      </c>
      <c r="H1086" s="506">
        <f>E1086*G1086</f>
        <v>4000</v>
      </c>
    </row>
    <row r="1087" spans="1:8" x14ac:dyDescent="0.25">
      <c r="A1087" s="1249"/>
      <c r="B1087" s="1250"/>
      <c r="C1087" s="1250"/>
      <c r="D1087" s="1250"/>
      <c r="E1087" s="1250"/>
      <c r="F1087" s="1251"/>
      <c r="G1087" s="507" t="s">
        <v>31</v>
      </c>
      <c r="H1087" s="507">
        <f>ROUND(SUM(H1086:H1086),0)</f>
        <v>4000</v>
      </c>
    </row>
    <row r="1088" spans="1:8" x14ac:dyDescent="0.25">
      <c r="A1088" s="512"/>
      <c r="B1088" s="513"/>
      <c r="C1088" s="513"/>
      <c r="D1088" s="513"/>
      <c r="E1088" s="513"/>
      <c r="F1088" s="513"/>
      <c r="G1088" s="513"/>
      <c r="H1088" s="514"/>
    </row>
    <row r="1089" spans="1:8" x14ac:dyDescent="0.25">
      <c r="A1089" s="1260" t="s">
        <v>1993</v>
      </c>
      <c r="B1089" s="1260"/>
      <c r="C1089" s="1260"/>
      <c r="D1089" s="1259" t="s">
        <v>1994</v>
      </c>
      <c r="E1089" s="1259"/>
      <c r="F1089" s="515" t="s">
        <v>28</v>
      </c>
      <c r="G1089" s="502" t="s">
        <v>1989</v>
      </c>
      <c r="H1089" s="502" t="s">
        <v>1990</v>
      </c>
    </row>
    <row r="1090" spans="1:8" x14ac:dyDescent="0.25">
      <c r="A1090" s="1256" t="s">
        <v>1996</v>
      </c>
      <c r="B1090" s="1256"/>
      <c r="C1090" s="1256"/>
      <c r="D1090" s="1261">
        <v>15000</v>
      </c>
      <c r="E1090" s="1261"/>
      <c r="F1090" s="503">
        <v>10</v>
      </c>
      <c r="G1090" s="506">
        <f>+D1090/F1090</f>
        <v>1500</v>
      </c>
      <c r="H1090" s="506">
        <f>+G1090</f>
        <v>1500</v>
      </c>
    </row>
    <row r="1091" spans="1:8" x14ac:dyDescent="0.25">
      <c r="A1091" s="1262"/>
      <c r="B1091" s="1262"/>
      <c r="C1091" s="1262"/>
      <c r="D1091" s="1261"/>
      <c r="E1091" s="1261"/>
      <c r="F1091" s="503"/>
      <c r="G1091" s="506"/>
      <c r="H1091" s="506">
        <f>+G1091</f>
        <v>0</v>
      </c>
    </row>
    <row r="1092" spans="1:8" x14ac:dyDescent="0.25">
      <c r="A1092" s="1249"/>
      <c r="B1092" s="1250"/>
      <c r="C1092" s="1250"/>
      <c r="D1092" s="1250"/>
      <c r="E1092" s="1250"/>
      <c r="F1092" s="1251"/>
      <c r="G1092" s="507" t="s">
        <v>31</v>
      </c>
      <c r="H1092" s="507">
        <f>SUM(H1090:H1091)</f>
        <v>1500</v>
      </c>
    </row>
    <row r="1093" spans="1:8" x14ac:dyDescent="0.25">
      <c r="A1093" s="1249"/>
      <c r="B1093" s="1250"/>
      <c r="C1093" s="1250"/>
      <c r="D1093" s="1250"/>
      <c r="E1093" s="1250"/>
      <c r="F1093" s="1250"/>
      <c r="G1093" s="1250"/>
      <c r="H1093" s="1251"/>
    </row>
    <row r="1094" spans="1:8" x14ac:dyDescent="0.25">
      <c r="A1094" s="1258" t="s">
        <v>1997</v>
      </c>
      <c r="B1094" s="1258"/>
      <c r="C1094" s="516" t="s">
        <v>1998</v>
      </c>
      <c r="D1094" s="1259" t="s">
        <v>1999</v>
      </c>
      <c r="E1094" s="1259"/>
      <c r="F1094" s="515" t="s">
        <v>2000</v>
      </c>
      <c r="G1094" s="517" t="s">
        <v>2001</v>
      </c>
      <c r="H1094" s="517" t="s">
        <v>2002</v>
      </c>
    </row>
    <row r="1095" spans="1:8" x14ac:dyDescent="0.25">
      <c r="A1095" s="1253" t="s">
        <v>2003</v>
      </c>
      <c r="B1095" s="1253"/>
      <c r="C1095" s="518">
        <v>150000</v>
      </c>
      <c r="D1095" s="1254">
        <f>C1095*65%</f>
        <v>97500</v>
      </c>
      <c r="E1095" s="1255"/>
      <c r="F1095" s="518">
        <f>C1095+D1095</f>
        <v>247500</v>
      </c>
      <c r="G1095" s="542">
        <v>6</v>
      </c>
      <c r="H1095" s="518">
        <f>F1095/G1095</f>
        <v>41250</v>
      </c>
    </row>
    <row r="1096" spans="1:8" x14ac:dyDescent="0.25">
      <c r="A1096" s="1253" t="s">
        <v>2004</v>
      </c>
      <c r="B1096" s="1253"/>
      <c r="C1096" s="518">
        <v>70000</v>
      </c>
      <c r="D1096" s="1254">
        <f>C1096*65%</f>
        <v>45500</v>
      </c>
      <c r="E1096" s="1255"/>
      <c r="F1096" s="518">
        <f>C1096+D1096</f>
        <v>115500</v>
      </c>
      <c r="G1096" s="542">
        <v>7</v>
      </c>
      <c r="H1096" s="518">
        <f>F1096/G1096</f>
        <v>16500</v>
      </c>
    </row>
    <row r="1097" spans="1:8" x14ac:dyDescent="0.25">
      <c r="A1097" s="1253" t="s">
        <v>2005</v>
      </c>
      <c r="B1097" s="1253"/>
      <c r="C1097" s="518">
        <v>45000</v>
      </c>
      <c r="D1097" s="1254">
        <f>C1097*65%</f>
        <v>29250</v>
      </c>
      <c r="E1097" s="1255"/>
      <c r="F1097" s="518">
        <f>C1097+D1097</f>
        <v>74250</v>
      </c>
      <c r="G1097" s="542">
        <v>7</v>
      </c>
      <c r="H1097" s="518">
        <f>F1097/G1097</f>
        <v>10607.142857142857</v>
      </c>
    </row>
    <row r="1098" spans="1:8" x14ac:dyDescent="0.25">
      <c r="A1098" s="1256"/>
      <c r="B1098" s="1256"/>
      <c r="C1098" s="520"/>
      <c r="D1098" s="1257"/>
      <c r="E1098" s="1257"/>
      <c r="F1098" s="506"/>
      <c r="G1098" s="542"/>
      <c r="H1098" s="518"/>
    </row>
    <row r="1099" spans="1:8" x14ac:dyDescent="0.25">
      <c r="A1099" s="1249"/>
      <c r="B1099" s="1250"/>
      <c r="C1099" s="1250"/>
      <c r="D1099" s="1250"/>
      <c r="E1099" s="1250"/>
      <c r="F1099" s="1251"/>
      <c r="G1099" s="507" t="s">
        <v>31</v>
      </c>
      <c r="H1099" s="507">
        <f>SUM(H1095:H1098)</f>
        <v>68357.142857142855</v>
      </c>
    </row>
    <row r="1100" spans="1:8" ht="15.75" thickBot="1" x14ac:dyDescent="0.3">
      <c r="A1100" s="1249"/>
      <c r="B1100" s="1250"/>
      <c r="C1100" s="1250"/>
      <c r="D1100" s="1250"/>
      <c r="E1100" s="1250"/>
      <c r="F1100" s="1250"/>
      <c r="G1100" s="1250"/>
      <c r="H1100" s="1251"/>
    </row>
    <row r="1101" spans="1:8" ht="16.5" thickTop="1" thickBot="1" x14ac:dyDescent="0.3">
      <c r="A1101" s="1252" t="s">
        <v>2007</v>
      </c>
      <c r="B1101" s="1252"/>
      <c r="C1101" s="1252"/>
      <c r="D1101" s="1252"/>
      <c r="E1101" s="1252"/>
      <c r="F1101" s="1252"/>
      <c r="G1101" s="1252"/>
      <c r="H1101" s="499">
        <f>ROUND(H1099+H1092+H1083+H1087,0)</f>
        <v>666757</v>
      </c>
    </row>
    <row r="1102" spans="1:8" ht="15.75" thickBot="1" x14ac:dyDescent="0.3"/>
    <row r="1103" spans="1:8" ht="15.75" thickBot="1" x14ac:dyDescent="0.3">
      <c r="A1103" s="1279"/>
      <c r="B1103" s="1280"/>
      <c r="C1103" s="1280"/>
      <c r="D1103" s="1280"/>
      <c r="E1103" s="1280"/>
      <c r="F1103" s="1280"/>
      <c r="G1103" s="1280"/>
      <c r="H1103" s="1281"/>
    </row>
    <row r="1104" spans="1:8" ht="15.75" thickTop="1" x14ac:dyDescent="0.25">
      <c r="A1104" s="1282"/>
      <c r="B1104" s="1283"/>
      <c r="C1104" s="1283"/>
      <c r="D1104" s="1283"/>
      <c r="E1104" s="1283"/>
      <c r="F1104" s="1283"/>
      <c r="G1104" s="1283"/>
      <c r="H1104" s="1284"/>
    </row>
    <row r="1105" spans="1:8" x14ac:dyDescent="0.25">
      <c r="A1105" s="1274"/>
      <c r="B1105" s="1274"/>
      <c r="C1105" s="1274"/>
      <c r="D1105" s="1274"/>
      <c r="E1105" s="1274"/>
      <c r="F1105" s="1275"/>
      <c r="G1105" s="1275"/>
      <c r="H1105" s="1275"/>
    </row>
    <row r="1106" spans="1:8" x14ac:dyDescent="0.25">
      <c r="A1106" s="1274"/>
      <c r="B1106" s="1274"/>
      <c r="C1106" s="1274"/>
      <c r="D1106" s="1274"/>
      <c r="E1106" s="1274"/>
      <c r="F1106" s="500"/>
      <c r="G1106" s="1276"/>
      <c r="H1106" s="1276"/>
    </row>
    <row r="1107" spans="1:8" x14ac:dyDescent="0.25">
      <c r="A1107" s="1274"/>
      <c r="B1107" s="1274"/>
      <c r="C1107" s="1274"/>
      <c r="D1107" s="1274"/>
      <c r="E1107" s="1274"/>
      <c r="F1107" s="1277"/>
      <c r="G1107" s="1278"/>
      <c r="H1107" s="1278"/>
    </row>
    <row r="1108" spans="1:8" x14ac:dyDescent="0.25">
      <c r="A1108" s="1249"/>
      <c r="B1108" s="1250"/>
      <c r="C1108" s="1250"/>
      <c r="D1108" s="1250"/>
      <c r="E1108" s="1250"/>
      <c r="F1108" s="1250"/>
      <c r="G1108" s="1250"/>
      <c r="H1108" s="1251"/>
    </row>
    <row r="1109" spans="1:8" x14ac:dyDescent="0.25">
      <c r="A1109" s="1264" t="s">
        <v>1988</v>
      </c>
      <c r="B1109" s="1264"/>
      <c r="C1109" s="1264"/>
      <c r="D1109" s="1264"/>
      <c r="E1109" s="501" t="s">
        <v>24</v>
      </c>
      <c r="F1109" s="501" t="s">
        <v>34</v>
      </c>
      <c r="G1109" s="502" t="s">
        <v>1989</v>
      </c>
      <c r="H1109" s="502" t="s">
        <v>1990</v>
      </c>
    </row>
    <row r="1110" spans="1:8" x14ac:dyDescent="0.25">
      <c r="A1110" s="524" t="s">
        <v>2098</v>
      </c>
      <c r="B1110" s="525"/>
      <c r="C1110" s="525"/>
      <c r="D1110" s="526"/>
      <c r="E1110" s="503" t="s">
        <v>13</v>
      </c>
      <c r="F1110" s="522">
        <v>1</v>
      </c>
      <c r="G1110" s="505">
        <v>25000000</v>
      </c>
      <c r="H1110" s="506">
        <f t="shared" ref="H1110:H1115" si="21">+G1110*F1110</f>
        <v>25000000</v>
      </c>
    </row>
    <row r="1111" spans="1:8" x14ac:dyDescent="0.25">
      <c r="A1111" s="1263"/>
      <c r="B1111" s="1263"/>
      <c r="C1111" s="1263"/>
      <c r="D1111" s="1263"/>
      <c r="E1111" s="503"/>
      <c r="F1111" s="504"/>
      <c r="G1111" s="505"/>
      <c r="H1111" s="506">
        <f t="shared" si="21"/>
        <v>0</v>
      </c>
    </row>
    <row r="1112" spans="1:8" x14ac:dyDescent="0.25">
      <c r="A1112" s="1263"/>
      <c r="B1112" s="1263"/>
      <c r="C1112" s="1263"/>
      <c r="D1112" s="1263"/>
      <c r="E1112" s="503"/>
      <c r="F1112" s="504"/>
      <c r="G1112" s="505"/>
      <c r="H1112" s="506">
        <f t="shared" si="21"/>
        <v>0</v>
      </c>
    </row>
    <row r="1113" spans="1:8" x14ac:dyDescent="0.25">
      <c r="A1113" s="1263"/>
      <c r="B1113" s="1263"/>
      <c r="C1113" s="1263"/>
      <c r="D1113" s="1263"/>
      <c r="E1113" s="503"/>
      <c r="F1113" s="504"/>
      <c r="G1113" s="505"/>
      <c r="H1113" s="506">
        <f t="shared" si="21"/>
        <v>0</v>
      </c>
    </row>
    <row r="1114" spans="1:8" x14ac:dyDescent="0.25">
      <c r="A1114" s="1263"/>
      <c r="B1114" s="1263"/>
      <c r="C1114" s="1263"/>
      <c r="D1114" s="1263"/>
      <c r="E1114" s="503"/>
      <c r="F1114" s="504"/>
      <c r="G1114" s="505"/>
      <c r="H1114" s="506">
        <f t="shared" si="21"/>
        <v>0</v>
      </c>
    </row>
    <row r="1115" spans="1:8" x14ac:dyDescent="0.25">
      <c r="A1115" s="1263"/>
      <c r="B1115" s="1263"/>
      <c r="C1115" s="1263"/>
      <c r="D1115" s="1263"/>
      <c r="E1115" s="503"/>
      <c r="F1115" s="504"/>
      <c r="G1115" s="505"/>
      <c r="H1115" s="506">
        <f t="shared" si="21"/>
        <v>0</v>
      </c>
    </row>
    <row r="1116" spans="1:8" x14ac:dyDescent="0.25">
      <c r="A1116" s="1249"/>
      <c r="B1116" s="1250"/>
      <c r="C1116" s="1250"/>
      <c r="D1116" s="1250"/>
      <c r="E1116" s="1250"/>
      <c r="F1116" s="1251"/>
      <c r="G1116" s="507" t="s">
        <v>31</v>
      </c>
      <c r="H1116" s="507">
        <f>ROUND(SUM(H1110:H1115),0)</f>
        <v>25000000</v>
      </c>
    </row>
    <row r="1117" spans="1:8" x14ac:dyDescent="0.25">
      <c r="A1117" s="1249"/>
      <c r="B1117" s="1250"/>
      <c r="C1117" s="1250"/>
      <c r="D1117" s="1250"/>
      <c r="E1117" s="1250"/>
      <c r="F1117" s="1250"/>
      <c r="G1117" s="1250"/>
      <c r="H1117" s="1251"/>
    </row>
    <row r="1118" spans="1:8" x14ac:dyDescent="0.25">
      <c r="A1118" s="1264" t="s">
        <v>1991</v>
      </c>
      <c r="B1118" s="1264"/>
      <c r="C1118" s="1264"/>
      <c r="D1118" s="1264"/>
      <c r="E1118" s="501" t="s">
        <v>1992</v>
      </c>
      <c r="F1118" s="501" t="s">
        <v>34</v>
      </c>
      <c r="G1118" s="502" t="s">
        <v>1989</v>
      </c>
      <c r="H1118" s="502" t="s">
        <v>1990</v>
      </c>
    </row>
    <row r="1119" spans="1:8" x14ac:dyDescent="0.25">
      <c r="A1119" s="1265" t="str">
        <f>A1110</f>
        <v>inspeccion RETIE,retilap</v>
      </c>
      <c r="B1119" s="1266"/>
      <c r="C1119" s="1266"/>
      <c r="D1119" s="1267"/>
      <c r="E1119" s="503">
        <v>10</v>
      </c>
      <c r="F1119" s="508">
        <v>1</v>
      </c>
      <c r="G1119" s="506">
        <v>400</v>
      </c>
      <c r="H1119" s="506">
        <f>E1119*G1119</f>
        <v>4000</v>
      </c>
    </row>
    <row r="1120" spans="1:8" x14ac:dyDescent="0.25">
      <c r="A1120" s="1249"/>
      <c r="B1120" s="1250"/>
      <c r="C1120" s="1250"/>
      <c r="D1120" s="1250"/>
      <c r="E1120" s="1250"/>
      <c r="F1120" s="1251"/>
      <c r="G1120" s="507" t="s">
        <v>31</v>
      </c>
      <c r="H1120" s="507">
        <f>ROUND(SUM(H1119:H1119),0)</f>
        <v>4000</v>
      </c>
    </row>
    <row r="1121" spans="1:8" x14ac:dyDescent="0.25">
      <c r="A1121" s="512"/>
      <c r="B1121" s="513"/>
      <c r="C1121" s="513"/>
      <c r="D1121" s="513"/>
      <c r="E1121" s="513"/>
      <c r="F1121" s="513"/>
      <c r="G1121" s="513"/>
      <c r="H1121" s="514"/>
    </row>
    <row r="1122" spans="1:8" x14ac:dyDescent="0.25">
      <c r="A1122" s="1260" t="s">
        <v>1993</v>
      </c>
      <c r="B1122" s="1260"/>
      <c r="C1122" s="1260"/>
      <c r="D1122" s="1259" t="s">
        <v>1994</v>
      </c>
      <c r="E1122" s="1259"/>
      <c r="F1122" s="515" t="s">
        <v>28</v>
      </c>
      <c r="G1122" s="502" t="s">
        <v>1989</v>
      </c>
      <c r="H1122" s="502" t="s">
        <v>1990</v>
      </c>
    </row>
    <row r="1123" spans="1:8" x14ac:dyDescent="0.25">
      <c r="A1123" s="1256" t="s">
        <v>1996</v>
      </c>
      <c r="B1123" s="1256"/>
      <c r="C1123" s="1256"/>
      <c r="D1123" s="1261">
        <v>0</v>
      </c>
      <c r="E1123" s="1261"/>
      <c r="F1123" s="503">
        <v>10</v>
      </c>
      <c r="G1123" s="506">
        <f>+D1123/F1123</f>
        <v>0</v>
      </c>
      <c r="H1123" s="506">
        <f>+G1123</f>
        <v>0</v>
      </c>
    </row>
    <row r="1124" spans="1:8" x14ac:dyDescent="0.25">
      <c r="A1124" s="1262"/>
      <c r="B1124" s="1262"/>
      <c r="C1124" s="1262"/>
      <c r="D1124" s="1261"/>
      <c r="E1124" s="1261"/>
      <c r="F1124" s="503"/>
      <c r="G1124" s="506"/>
      <c r="H1124" s="506">
        <f>+G1124</f>
        <v>0</v>
      </c>
    </row>
    <row r="1125" spans="1:8" x14ac:dyDescent="0.25">
      <c r="A1125" s="1249"/>
      <c r="B1125" s="1250"/>
      <c r="C1125" s="1250"/>
      <c r="D1125" s="1250"/>
      <c r="E1125" s="1250"/>
      <c r="F1125" s="1251"/>
      <c r="G1125" s="507" t="s">
        <v>31</v>
      </c>
      <c r="H1125" s="507">
        <f>SUM(H1123:H1124)</f>
        <v>0</v>
      </c>
    </row>
    <row r="1126" spans="1:8" x14ac:dyDescent="0.25">
      <c r="A1126" s="1249"/>
      <c r="B1126" s="1250"/>
      <c r="C1126" s="1250"/>
      <c r="D1126" s="1250"/>
      <c r="E1126" s="1250"/>
      <c r="F1126" s="1250"/>
      <c r="G1126" s="1250"/>
      <c r="H1126" s="1251"/>
    </row>
    <row r="1127" spans="1:8" x14ac:dyDescent="0.25">
      <c r="A1127" s="1258" t="s">
        <v>1997</v>
      </c>
      <c r="B1127" s="1258"/>
      <c r="C1127" s="516" t="s">
        <v>1998</v>
      </c>
      <c r="D1127" s="1259" t="s">
        <v>1999</v>
      </c>
      <c r="E1127" s="1259"/>
      <c r="F1127" s="515" t="s">
        <v>2000</v>
      </c>
      <c r="G1127" s="517" t="s">
        <v>2001</v>
      </c>
      <c r="H1127" s="517" t="s">
        <v>2002</v>
      </c>
    </row>
    <row r="1128" spans="1:8" x14ac:dyDescent="0.25">
      <c r="A1128" s="1253" t="s">
        <v>2003</v>
      </c>
      <c r="B1128" s="1253"/>
      <c r="C1128" s="518"/>
      <c r="D1128" s="1254">
        <f>C1128*65%</f>
        <v>0</v>
      </c>
      <c r="E1128" s="1255"/>
      <c r="F1128" s="518">
        <f>C1128+D1128</f>
        <v>0</v>
      </c>
      <c r="G1128" s="542">
        <v>1</v>
      </c>
      <c r="H1128" s="518">
        <f>F1128/G1128</f>
        <v>0</v>
      </c>
    </row>
    <row r="1129" spans="1:8" x14ac:dyDescent="0.25">
      <c r="A1129" s="1253" t="s">
        <v>2004</v>
      </c>
      <c r="B1129" s="1253"/>
      <c r="C1129" s="518"/>
      <c r="D1129" s="1254">
        <f>C1129*65%</f>
        <v>0</v>
      </c>
      <c r="E1129" s="1255"/>
      <c r="F1129" s="518">
        <f>C1129+D1129</f>
        <v>0</v>
      </c>
      <c r="G1129" s="542">
        <v>2</v>
      </c>
      <c r="H1129" s="518">
        <f>F1129/G1129</f>
        <v>0</v>
      </c>
    </row>
    <row r="1130" spans="1:8" x14ac:dyDescent="0.25">
      <c r="A1130" s="1253" t="s">
        <v>2005</v>
      </c>
      <c r="B1130" s="1253"/>
      <c r="C1130" s="518"/>
      <c r="D1130" s="1254">
        <f>C1130*65%</f>
        <v>0</v>
      </c>
      <c r="E1130" s="1255"/>
      <c r="F1130" s="518">
        <f>C1130+D1130</f>
        <v>0</v>
      </c>
      <c r="G1130" s="542">
        <v>2</v>
      </c>
      <c r="H1130" s="518">
        <f>F1130/G1130</f>
        <v>0</v>
      </c>
    </row>
    <row r="1131" spans="1:8" x14ac:dyDescent="0.25">
      <c r="A1131" s="1256" t="s">
        <v>2006</v>
      </c>
      <c r="B1131" s="1256"/>
      <c r="C1131" s="520"/>
      <c r="D1131" s="1257"/>
      <c r="E1131" s="1257"/>
      <c r="F1131" s="506">
        <f>C1131</f>
        <v>0</v>
      </c>
      <c r="G1131" s="542">
        <v>2</v>
      </c>
      <c r="H1131" s="518">
        <f>F1131/G1131</f>
        <v>0</v>
      </c>
    </row>
    <row r="1132" spans="1:8" x14ac:dyDescent="0.25">
      <c r="A1132" s="1249"/>
      <c r="B1132" s="1250"/>
      <c r="C1132" s="1250"/>
      <c r="D1132" s="1250"/>
      <c r="E1132" s="1250"/>
      <c r="F1132" s="1251"/>
      <c r="G1132" s="507" t="s">
        <v>31</v>
      </c>
      <c r="H1132" s="507">
        <f>SUM(H1128:H1131)</f>
        <v>0</v>
      </c>
    </row>
    <row r="1133" spans="1:8" ht="15.75" thickBot="1" x14ac:dyDescent="0.3">
      <c r="A1133" s="1249"/>
      <c r="B1133" s="1250"/>
      <c r="C1133" s="1250"/>
      <c r="D1133" s="1250"/>
      <c r="E1133" s="1250"/>
      <c r="F1133" s="1250"/>
      <c r="G1133" s="1250"/>
      <c r="H1133" s="1251"/>
    </row>
    <row r="1134" spans="1:8" ht="16.5" thickTop="1" thickBot="1" x14ac:dyDescent="0.3">
      <c r="A1134" s="1252" t="s">
        <v>2007</v>
      </c>
      <c r="B1134" s="1252"/>
      <c r="C1134" s="1252"/>
      <c r="D1134" s="1252"/>
      <c r="E1134" s="1252"/>
      <c r="F1134" s="1252"/>
      <c r="G1134" s="1252"/>
      <c r="H1134" s="499">
        <f>ROUND(H1132+H1125+H1116+H1120,0)</f>
        <v>25004000</v>
      </c>
    </row>
    <row r="1135" spans="1:8" ht="15.75" thickBot="1" x14ac:dyDescent="0.3"/>
    <row r="1136" spans="1:8" ht="15.75" thickBot="1" x14ac:dyDescent="0.3">
      <c r="A1136" s="1279"/>
      <c r="B1136" s="1280"/>
      <c r="C1136" s="1280"/>
      <c r="D1136" s="1280"/>
      <c r="E1136" s="1280"/>
      <c r="F1136" s="1280"/>
      <c r="G1136" s="1280"/>
      <c r="H1136" s="1281"/>
    </row>
    <row r="1137" spans="1:8" ht="15.75" thickTop="1" x14ac:dyDescent="0.25">
      <c r="A1137" s="1282"/>
      <c r="B1137" s="1283"/>
      <c r="C1137" s="1283"/>
      <c r="D1137" s="1283"/>
      <c r="E1137" s="1283"/>
      <c r="F1137" s="1283"/>
      <c r="G1137" s="1283"/>
      <c r="H1137" s="1284"/>
    </row>
    <row r="1138" spans="1:8" x14ac:dyDescent="0.25">
      <c r="A1138" s="1274"/>
      <c r="B1138" s="1274"/>
      <c r="C1138" s="1274"/>
      <c r="D1138" s="1274"/>
      <c r="E1138" s="1274"/>
      <c r="F1138" s="1275"/>
      <c r="G1138" s="1275"/>
      <c r="H1138" s="1275"/>
    </row>
    <row r="1139" spans="1:8" x14ac:dyDescent="0.25">
      <c r="A1139" s="1274"/>
      <c r="B1139" s="1274"/>
      <c r="C1139" s="1274"/>
      <c r="D1139" s="1274"/>
      <c r="E1139" s="1274"/>
      <c r="F1139" s="500"/>
      <c r="G1139" s="1276"/>
      <c r="H1139" s="1276"/>
    </row>
    <row r="1140" spans="1:8" x14ac:dyDescent="0.25">
      <c r="A1140" s="1274"/>
      <c r="B1140" s="1274"/>
      <c r="C1140" s="1274"/>
      <c r="D1140" s="1274"/>
      <c r="E1140" s="1274"/>
      <c r="F1140" s="1277"/>
      <c r="G1140" s="1278"/>
      <c r="H1140" s="1278"/>
    </row>
    <row r="1141" spans="1:8" x14ac:dyDescent="0.25">
      <c r="A1141" s="1249"/>
      <c r="B1141" s="1250"/>
      <c r="C1141" s="1250"/>
      <c r="D1141" s="1250"/>
      <c r="E1141" s="1250"/>
      <c r="F1141" s="1250"/>
      <c r="G1141" s="1250"/>
      <c r="H1141" s="1251"/>
    </row>
    <row r="1142" spans="1:8" x14ac:dyDescent="0.25">
      <c r="A1142" s="1264" t="s">
        <v>1988</v>
      </c>
      <c r="B1142" s="1264"/>
      <c r="C1142" s="1264"/>
      <c r="D1142" s="1264"/>
      <c r="E1142" s="501" t="s">
        <v>24</v>
      </c>
      <c r="F1142" s="501" t="s">
        <v>34</v>
      </c>
      <c r="G1142" s="502" t="s">
        <v>1989</v>
      </c>
      <c r="H1142" s="502" t="s">
        <v>1990</v>
      </c>
    </row>
    <row r="1143" spans="1:8" x14ac:dyDescent="0.25">
      <c r="A1143" s="1271"/>
      <c r="B1143" s="1272"/>
      <c r="C1143" s="1272"/>
      <c r="D1143" s="1273"/>
      <c r="E1143" s="503" t="s">
        <v>53</v>
      </c>
      <c r="F1143" s="522">
        <v>1</v>
      </c>
      <c r="G1143" s="505">
        <v>8200000</v>
      </c>
      <c r="H1143" s="506">
        <f t="shared" ref="H1143:H1148" si="22">+G1143*F1143</f>
        <v>8200000</v>
      </c>
    </row>
    <row r="1144" spans="1:8" x14ac:dyDescent="0.25">
      <c r="A1144" s="1263"/>
      <c r="B1144" s="1263"/>
      <c r="C1144" s="1263"/>
      <c r="D1144" s="1263"/>
      <c r="E1144" s="503"/>
      <c r="F1144" s="504"/>
      <c r="G1144" s="505"/>
      <c r="H1144" s="506">
        <f t="shared" si="22"/>
        <v>0</v>
      </c>
    </row>
    <row r="1145" spans="1:8" x14ac:dyDescent="0.25">
      <c r="A1145" s="1263"/>
      <c r="B1145" s="1263"/>
      <c r="C1145" s="1263"/>
      <c r="D1145" s="1263"/>
      <c r="E1145" s="503"/>
      <c r="F1145" s="504"/>
      <c r="G1145" s="505"/>
      <c r="H1145" s="506">
        <f t="shared" si="22"/>
        <v>0</v>
      </c>
    </row>
    <row r="1146" spans="1:8" x14ac:dyDescent="0.25">
      <c r="A1146" s="1263"/>
      <c r="B1146" s="1263"/>
      <c r="C1146" s="1263"/>
      <c r="D1146" s="1263"/>
      <c r="E1146" s="503"/>
      <c r="F1146" s="504"/>
      <c r="G1146" s="505"/>
      <c r="H1146" s="506">
        <f t="shared" si="22"/>
        <v>0</v>
      </c>
    </row>
    <row r="1147" spans="1:8" x14ac:dyDescent="0.25">
      <c r="A1147" s="1263"/>
      <c r="B1147" s="1263"/>
      <c r="C1147" s="1263"/>
      <c r="D1147" s="1263"/>
      <c r="E1147" s="503"/>
      <c r="F1147" s="504"/>
      <c r="G1147" s="505"/>
      <c r="H1147" s="506">
        <f t="shared" si="22"/>
        <v>0</v>
      </c>
    </row>
    <row r="1148" spans="1:8" x14ac:dyDescent="0.25">
      <c r="A1148" s="1263"/>
      <c r="B1148" s="1263"/>
      <c r="C1148" s="1263"/>
      <c r="D1148" s="1263"/>
      <c r="E1148" s="503"/>
      <c r="F1148" s="504"/>
      <c r="G1148" s="505"/>
      <c r="H1148" s="506">
        <f t="shared" si="22"/>
        <v>0</v>
      </c>
    </row>
    <row r="1149" spans="1:8" x14ac:dyDescent="0.25">
      <c r="A1149" s="1249"/>
      <c r="B1149" s="1250"/>
      <c r="C1149" s="1250"/>
      <c r="D1149" s="1250"/>
      <c r="E1149" s="1250"/>
      <c r="F1149" s="1251"/>
      <c r="G1149" s="507" t="s">
        <v>31</v>
      </c>
      <c r="H1149" s="507">
        <f>ROUND(SUM(H1143:H1148),0)</f>
        <v>8200000</v>
      </c>
    </row>
    <row r="1150" spans="1:8" x14ac:dyDescent="0.25">
      <c r="A1150" s="1249"/>
      <c r="B1150" s="1250"/>
      <c r="C1150" s="1250"/>
      <c r="D1150" s="1250"/>
      <c r="E1150" s="1250"/>
      <c r="F1150" s="1250"/>
      <c r="G1150" s="1250"/>
      <c r="H1150" s="1251"/>
    </row>
    <row r="1151" spans="1:8" x14ac:dyDescent="0.25">
      <c r="A1151" s="1264" t="s">
        <v>1991</v>
      </c>
      <c r="B1151" s="1264"/>
      <c r="C1151" s="1264"/>
      <c r="D1151" s="1264"/>
      <c r="E1151" s="501" t="s">
        <v>1992</v>
      </c>
      <c r="F1151" s="501" t="s">
        <v>34</v>
      </c>
      <c r="G1151" s="502" t="s">
        <v>1989</v>
      </c>
      <c r="H1151" s="502" t="s">
        <v>1990</v>
      </c>
    </row>
    <row r="1152" spans="1:8" x14ac:dyDescent="0.25">
      <c r="A1152" s="1265">
        <f>A1143</f>
        <v>0</v>
      </c>
      <c r="B1152" s="1266"/>
      <c r="C1152" s="1266"/>
      <c r="D1152" s="1267"/>
      <c r="E1152" s="503">
        <v>10</v>
      </c>
      <c r="F1152" s="508">
        <v>1</v>
      </c>
      <c r="G1152" s="506">
        <v>400</v>
      </c>
      <c r="H1152" s="506">
        <f>E1152*G1152</f>
        <v>4000</v>
      </c>
    </row>
    <row r="1153" spans="1:8" x14ac:dyDescent="0.25">
      <c r="A1153" s="1249"/>
      <c r="B1153" s="1250"/>
      <c r="C1153" s="1250"/>
      <c r="D1153" s="1250"/>
      <c r="E1153" s="1250"/>
      <c r="F1153" s="1251"/>
      <c r="G1153" s="507" t="s">
        <v>31</v>
      </c>
      <c r="H1153" s="507">
        <f>ROUND(SUM(H1152:H1152),0)</f>
        <v>4000</v>
      </c>
    </row>
    <row r="1154" spans="1:8" x14ac:dyDescent="0.25">
      <c r="A1154" s="512"/>
      <c r="B1154" s="513"/>
      <c r="C1154" s="513"/>
      <c r="D1154" s="513"/>
      <c r="E1154" s="513"/>
      <c r="F1154" s="513"/>
      <c r="G1154" s="513"/>
      <c r="H1154" s="514"/>
    </row>
    <row r="1155" spans="1:8" x14ac:dyDescent="0.25">
      <c r="A1155" s="1260" t="s">
        <v>1993</v>
      </c>
      <c r="B1155" s="1260"/>
      <c r="C1155" s="1260"/>
      <c r="D1155" s="1259" t="s">
        <v>1994</v>
      </c>
      <c r="E1155" s="1259"/>
      <c r="F1155" s="515" t="s">
        <v>28</v>
      </c>
      <c r="G1155" s="502" t="s">
        <v>1989</v>
      </c>
      <c r="H1155" s="502" t="s">
        <v>1990</v>
      </c>
    </row>
    <row r="1156" spans="1:8" x14ac:dyDescent="0.25">
      <c r="A1156" s="1256" t="s">
        <v>1996</v>
      </c>
      <c r="B1156" s="1256"/>
      <c r="C1156" s="1256"/>
      <c r="D1156" s="1261">
        <v>15000</v>
      </c>
      <c r="E1156" s="1261"/>
      <c r="F1156" s="503">
        <v>10</v>
      </c>
      <c r="G1156" s="506">
        <f>+D1156/F1156</f>
        <v>1500</v>
      </c>
      <c r="H1156" s="506">
        <f>+G1156</f>
        <v>1500</v>
      </c>
    </row>
    <row r="1157" spans="1:8" x14ac:dyDescent="0.25">
      <c r="A1157" s="1262"/>
      <c r="B1157" s="1262"/>
      <c r="C1157" s="1262"/>
      <c r="D1157" s="1261"/>
      <c r="E1157" s="1261"/>
      <c r="F1157" s="503"/>
      <c r="G1157" s="506"/>
      <c r="H1157" s="506">
        <f>+G1157</f>
        <v>0</v>
      </c>
    </row>
    <row r="1158" spans="1:8" x14ac:dyDescent="0.25">
      <c r="A1158" s="1249"/>
      <c r="B1158" s="1250"/>
      <c r="C1158" s="1250"/>
      <c r="D1158" s="1250"/>
      <c r="E1158" s="1250"/>
      <c r="F1158" s="1251"/>
      <c r="G1158" s="507" t="s">
        <v>31</v>
      </c>
      <c r="H1158" s="507">
        <f>SUM(H1156:H1157)</f>
        <v>1500</v>
      </c>
    </row>
    <row r="1159" spans="1:8" x14ac:dyDescent="0.25">
      <c r="A1159" s="1249"/>
      <c r="B1159" s="1250"/>
      <c r="C1159" s="1250"/>
      <c r="D1159" s="1250"/>
      <c r="E1159" s="1250"/>
      <c r="F1159" s="1250"/>
      <c r="G1159" s="1250"/>
      <c r="H1159" s="1251"/>
    </row>
    <row r="1160" spans="1:8" x14ac:dyDescent="0.25">
      <c r="A1160" s="1258" t="s">
        <v>1997</v>
      </c>
      <c r="B1160" s="1258"/>
      <c r="C1160" s="516" t="s">
        <v>1998</v>
      </c>
      <c r="D1160" s="1259" t="s">
        <v>1999</v>
      </c>
      <c r="E1160" s="1259"/>
      <c r="F1160" s="515" t="s">
        <v>2000</v>
      </c>
      <c r="G1160" s="517" t="s">
        <v>2001</v>
      </c>
      <c r="H1160" s="517" t="s">
        <v>2002</v>
      </c>
    </row>
    <row r="1161" spans="1:8" x14ac:dyDescent="0.25">
      <c r="A1161" s="1253" t="s">
        <v>2003</v>
      </c>
      <c r="B1161" s="1253"/>
      <c r="C1161" s="518"/>
      <c r="D1161" s="1254">
        <f>C1161*65%</f>
        <v>0</v>
      </c>
      <c r="E1161" s="1255"/>
      <c r="F1161" s="518">
        <f>C1161+D1161</f>
        <v>0</v>
      </c>
      <c r="G1161" s="542">
        <v>1</v>
      </c>
      <c r="H1161" s="518">
        <f>F1161/G1161</f>
        <v>0</v>
      </c>
    </row>
    <row r="1162" spans="1:8" x14ac:dyDescent="0.25">
      <c r="A1162" s="1253" t="s">
        <v>2004</v>
      </c>
      <c r="B1162" s="1253"/>
      <c r="C1162" s="518"/>
      <c r="D1162" s="1254">
        <f>C1162*65%</f>
        <v>0</v>
      </c>
      <c r="E1162" s="1255"/>
      <c r="F1162" s="518">
        <f>C1162+D1162</f>
        <v>0</v>
      </c>
      <c r="G1162" s="542">
        <v>2</v>
      </c>
      <c r="H1162" s="518">
        <f>F1162/G1162</f>
        <v>0</v>
      </c>
    </row>
    <row r="1163" spans="1:8" x14ac:dyDescent="0.25">
      <c r="A1163" s="1253" t="s">
        <v>2005</v>
      </c>
      <c r="B1163" s="1253"/>
      <c r="C1163" s="518"/>
      <c r="D1163" s="1254">
        <f>C1163*65%</f>
        <v>0</v>
      </c>
      <c r="E1163" s="1255"/>
      <c r="F1163" s="518">
        <f>C1163+D1163</f>
        <v>0</v>
      </c>
      <c r="G1163" s="542">
        <v>2</v>
      </c>
      <c r="H1163" s="518">
        <f>F1163/G1163</f>
        <v>0</v>
      </c>
    </row>
    <row r="1164" spans="1:8" x14ac:dyDescent="0.25">
      <c r="A1164" s="1256" t="s">
        <v>2006</v>
      </c>
      <c r="B1164" s="1256"/>
      <c r="C1164" s="520"/>
      <c r="D1164" s="1257"/>
      <c r="E1164" s="1257"/>
      <c r="F1164" s="506">
        <f>C1164</f>
        <v>0</v>
      </c>
      <c r="G1164" s="542">
        <v>2</v>
      </c>
      <c r="H1164" s="518">
        <f>F1164/G1164</f>
        <v>0</v>
      </c>
    </row>
    <row r="1165" spans="1:8" x14ac:dyDescent="0.25">
      <c r="A1165" s="1249"/>
      <c r="B1165" s="1250"/>
      <c r="C1165" s="1250"/>
      <c r="D1165" s="1250"/>
      <c r="E1165" s="1250"/>
      <c r="F1165" s="1251"/>
      <c r="G1165" s="507" t="s">
        <v>31</v>
      </c>
      <c r="H1165" s="507">
        <f>SUM(H1161:H1164)</f>
        <v>0</v>
      </c>
    </row>
    <row r="1166" spans="1:8" ht="15.75" thickBot="1" x14ac:dyDescent="0.3">
      <c r="A1166" s="1249"/>
      <c r="B1166" s="1250"/>
      <c r="C1166" s="1250"/>
      <c r="D1166" s="1250"/>
      <c r="E1166" s="1250"/>
      <c r="F1166" s="1250"/>
      <c r="G1166" s="1250"/>
      <c r="H1166" s="1251"/>
    </row>
    <row r="1167" spans="1:8" ht="16.5" thickTop="1" thickBot="1" x14ac:dyDescent="0.3">
      <c r="A1167" s="1252" t="s">
        <v>2007</v>
      </c>
      <c r="B1167" s="1252"/>
      <c r="C1167" s="1252"/>
      <c r="D1167" s="1252"/>
      <c r="E1167" s="1252"/>
      <c r="F1167" s="1252"/>
      <c r="G1167" s="1252"/>
      <c r="H1167" s="499">
        <f>ROUND(H1165+H1158+H1149+H1153,0)</f>
        <v>8205500</v>
      </c>
    </row>
    <row r="1168" spans="1:8" ht="15.75" thickBot="1" x14ac:dyDescent="0.3"/>
    <row r="1169" spans="1:8" ht="15.75" thickBot="1" x14ac:dyDescent="0.3">
      <c r="A1169" s="1279"/>
      <c r="B1169" s="1280"/>
      <c r="C1169" s="1280"/>
      <c r="D1169" s="1280"/>
      <c r="E1169" s="1280"/>
      <c r="F1169" s="1280"/>
      <c r="G1169" s="1280"/>
      <c r="H1169" s="1281"/>
    </row>
    <row r="1170" spans="1:8" ht="15.75" thickTop="1" x14ac:dyDescent="0.25">
      <c r="A1170" s="1282"/>
      <c r="B1170" s="1283"/>
      <c r="C1170" s="1283"/>
      <c r="D1170" s="1283"/>
      <c r="E1170" s="1283"/>
      <c r="F1170" s="1283"/>
      <c r="G1170" s="1283"/>
      <c r="H1170" s="1284"/>
    </row>
    <row r="1171" spans="1:8" x14ac:dyDescent="0.25">
      <c r="A1171" s="1274"/>
      <c r="B1171" s="1274"/>
      <c r="C1171" s="1274"/>
      <c r="D1171" s="1274"/>
      <c r="E1171" s="1274"/>
      <c r="F1171" s="1275"/>
      <c r="G1171" s="1275"/>
      <c r="H1171" s="1275"/>
    </row>
    <row r="1172" spans="1:8" x14ac:dyDescent="0.25">
      <c r="A1172" s="1274"/>
      <c r="B1172" s="1274"/>
      <c r="C1172" s="1274"/>
      <c r="D1172" s="1274"/>
      <c r="E1172" s="1274"/>
      <c r="F1172" s="500"/>
      <c r="G1172" s="1276"/>
      <c r="H1172" s="1276"/>
    </row>
    <row r="1173" spans="1:8" x14ac:dyDescent="0.25">
      <c r="A1173" s="1274"/>
      <c r="B1173" s="1274"/>
      <c r="C1173" s="1274"/>
      <c r="D1173" s="1274"/>
      <c r="E1173" s="1274"/>
      <c r="F1173" s="1277"/>
      <c r="G1173" s="1278"/>
      <c r="H1173" s="1278"/>
    </row>
    <row r="1174" spans="1:8" x14ac:dyDescent="0.25">
      <c r="A1174" s="1249"/>
      <c r="B1174" s="1250"/>
      <c r="C1174" s="1250"/>
      <c r="D1174" s="1250"/>
      <c r="E1174" s="1250"/>
      <c r="F1174" s="1250"/>
      <c r="G1174" s="1250"/>
      <c r="H1174" s="1251"/>
    </row>
    <row r="1175" spans="1:8" x14ac:dyDescent="0.25">
      <c r="A1175" s="1264" t="s">
        <v>1988</v>
      </c>
      <c r="B1175" s="1264"/>
      <c r="C1175" s="1264"/>
      <c r="D1175" s="1264"/>
      <c r="E1175" s="501" t="s">
        <v>24</v>
      </c>
      <c r="F1175" s="501" t="s">
        <v>34</v>
      </c>
      <c r="G1175" s="502" t="s">
        <v>1989</v>
      </c>
      <c r="H1175" s="502" t="s">
        <v>1990</v>
      </c>
    </row>
    <row r="1176" spans="1:8" x14ac:dyDescent="0.25">
      <c r="A1176" s="1271"/>
      <c r="B1176" s="1272"/>
      <c r="C1176" s="1272"/>
      <c r="D1176" s="1273"/>
      <c r="E1176" s="503" t="s">
        <v>53</v>
      </c>
      <c r="F1176" s="522">
        <v>1</v>
      </c>
      <c r="G1176" s="505">
        <v>6100000</v>
      </c>
      <c r="H1176" s="506">
        <f t="shared" ref="H1176:H1181" si="23">+G1176*F1176</f>
        <v>6100000</v>
      </c>
    </row>
    <row r="1177" spans="1:8" x14ac:dyDescent="0.25">
      <c r="A1177" s="1263"/>
      <c r="B1177" s="1263"/>
      <c r="C1177" s="1263"/>
      <c r="D1177" s="1263"/>
      <c r="E1177" s="503"/>
      <c r="F1177" s="504"/>
      <c r="G1177" s="505"/>
      <c r="H1177" s="506">
        <f t="shared" si="23"/>
        <v>0</v>
      </c>
    </row>
    <row r="1178" spans="1:8" x14ac:dyDescent="0.25">
      <c r="A1178" s="1263"/>
      <c r="B1178" s="1263"/>
      <c r="C1178" s="1263"/>
      <c r="D1178" s="1263"/>
      <c r="E1178" s="503"/>
      <c r="F1178" s="504"/>
      <c r="G1178" s="505"/>
      <c r="H1178" s="506">
        <f t="shared" si="23"/>
        <v>0</v>
      </c>
    </row>
    <row r="1179" spans="1:8" x14ac:dyDescent="0.25">
      <c r="A1179" s="1263"/>
      <c r="B1179" s="1263"/>
      <c r="C1179" s="1263"/>
      <c r="D1179" s="1263"/>
      <c r="E1179" s="503"/>
      <c r="F1179" s="504"/>
      <c r="G1179" s="505"/>
      <c r="H1179" s="506">
        <f t="shared" si="23"/>
        <v>0</v>
      </c>
    </row>
    <row r="1180" spans="1:8" x14ac:dyDescent="0.25">
      <c r="A1180" s="1263"/>
      <c r="B1180" s="1263"/>
      <c r="C1180" s="1263"/>
      <c r="D1180" s="1263"/>
      <c r="E1180" s="503"/>
      <c r="F1180" s="504"/>
      <c r="G1180" s="505"/>
      <c r="H1180" s="506">
        <f t="shared" si="23"/>
        <v>0</v>
      </c>
    </row>
    <row r="1181" spans="1:8" x14ac:dyDescent="0.25">
      <c r="A1181" s="1263"/>
      <c r="B1181" s="1263"/>
      <c r="C1181" s="1263"/>
      <c r="D1181" s="1263"/>
      <c r="E1181" s="503"/>
      <c r="F1181" s="504"/>
      <c r="G1181" s="505"/>
      <c r="H1181" s="506">
        <f t="shared" si="23"/>
        <v>0</v>
      </c>
    </row>
    <row r="1182" spans="1:8" x14ac:dyDescent="0.25">
      <c r="A1182" s="1249"/>
      <c r="B1182" s="1250"/>
      <c r="C1182" s="1250"/>
      <c r="D1182" s="1250"/>
      <c r="E1182" s="1250"/>
      <c r="F1182" s="1251"/>
      <c r="G1182" s="507" t="s">
        <v>31</v>
      </c>
      <c r="H1182" s="507">
        <f>ROUND(SUM(H1176:H1181),0)</f>
        <v>6100000</v>
      </c>
    </row>
    <row r="1183" spans="1:8" x14ac:dyDescent="0.25">
      <c r="A1183" s="1249"/>
      <c r="B1183" s="1250"/>
      <c r="C1183" s="1250"/>
      <c r="D1183" s="1250"/>
      <c r="E1183" s="1250"/>
      <c r="F1183" s="1250"/>
      <c r="G1183" s="1250"/>
      <c r="H1183" s="1251"/>
    </row>
    <row r="1184" spans="1:8" x14ac:dyDescent="0.25">
      <c r="A1184" s="1264" t="s">
        <v>1991</v>
      </c>
      <c r="B1184" s="1264"/>
      <c r="C1184" s="1264"/>
      <c r="D1184" s="1264"/>
      <c r="E1184" s="501" t="s">
        <v>1992</v>
      </c>
      <c r="F1184" s="501" t="s">
        <v>34</v>
      </c>
      <c r="G1184" s="502" t="s">
        <v>1989</v>
      </c>
      <c r="H1184" s="502" t="s">
        <v>1990</v>
      </c>
    </row>
    <row r="1185" spans="1:8" x14ac:dyDescent="0.25">
      <c r="A1185" s="1265">
        <f>A1176</f>
        <v>0</v>
      </c>
      <c r="B1185" s="1266"/>
      <c r="C1185" s="1266"/>
      <c r="D1185" s="1267"/>
      <c r="E1185" s="503">
        <v>10</v>
      </c>
      <c r="F1185" s="508">
        <v>1</v>
      </c>
      <c r="G1185" s="506">
        <v>400</v>
      </c>
      <c r="H1185" s="506">
        <f>E1185*G1185</f>
        <v>4000</v>
      </c>
    </row>
    <row r="1186" spans="1:8" x14ac:dyDescent="0.25">
      <c r="A1186" s="1249"/>
      <c r="B1186" s="1250"/>
      <c r="C1186" s="1250"/>
      <c r="D1186" s="1250"/>
      <c r="E1186" s="1250"/>
      <c r="F1186" s="1251"/>
      <c r="G1186" s="507" t="s">
        <v>31</v>
      </c>
      <c r="H1186" s="507">
        <f>ROUND(SUM(H1185:H1185),0)</f>
        <v>4000</v>
      </c>
    </row>
    <row r="1187" spans="1:8" x14ac:dyDescent="0.25">
      <c r="A1187" s="512"/>
      <c r="B1187" s="513"/>
      <c r="C1187" s="513"/>
      <c r="D1187" s="513"/>
      <c r="E1187" s="513"/>
      <c r="F1187" s="513"/>
      <c r="G1187" s="513"/>
      <c r="H1187" s="514"/>
    </row>
    <row r="1188" spans="1:8" x14ac:dyDescent="0.25">
      <c r="A1188" s="1260" t="s">
        <v>1993</v>
      </c>
      <c r="B1188" s="1260"/>
      <c r="C1188" s="1260"/>
      <c r="D1188" s="1259" t="s">
        <v>1994</v>
      </c>
      <c r="E1188" s="1259"/>
      <c r="F1188" s="515" t="s">
        <v>28</v>
      </c>
      <c r="G1188" s="502" t="s">
        <v>1989</v>
      </c>
      <c r="H1188" s="502" t="s">
        <v>1990</v>
      </c>
    </row>
    <row r="1189" spans="1:8" x14ac:dyDescent="0.25">
      <c r="A1189" s="1256" t="s">
        <v>1996</v>
      </c>
      <c r="B1189" s="1256"/>
      <c r="C1189" s="1256"/>
      <c r="D1189" s="1261"/>
      <c r="E1189" s="1261"/>
      <c r="F1189" s="503">
        <v>10</v>
      </c>
      <c r="G1189" s="506">
        <f>+D1189/F1189</f>
        <v>0</v>
      </c>
      <c r="H1189" s="506">
        <f>+G1189</f>
        <v>0</v>
      </c>
    </row>
    <row r="1190" spans="1:8" x14ac:dyDescent="0.25">
      <c r="A1190" s="1262"/>
      <c r="B1190" s="1262"/>
      <c r="C1190" s="1262"/>
      <c r="D1190" s="1261"/>
      <c r="E1190" s="1261"/>
      <c r="F1190" s="503"/>
      <c r="G1190" s="506"/>
      <c r="H1190" s="506">
        <f>+G1190</f>
        <v>0</v>
      </c>
    </row>
    <row r="1191" spans="1:8" x14ac:dyDescent="0.25">
      <c r="A1191" s="1249"/>
      <c r="B1191" s="1250"/>
      <c r="C1191" s="1250"/>
      <c r="D1191" s="1250"/>
      <c r="E1191" s="1250"/>
      <c r="F1191" s="1251"/>
      <c r="G1191" s="507" t="s">
        <v>31</v>
      </c>
      <c r="H1191" s="507">
        <f>SUM(H1189:H1190)</f>
        <v>0</v>
      </c>
    </row>
    <row r="1192" spans="1:8" x14ac:dyDescent="0.25">
      <c r="A1192" s="1249"/>
      <c r="B1192" s="1250"/>
      <c r="C1192" s="1250"/>
      <c r="D1192" s="1250"/>
      <c r="E1192" s="1250"/>
      <c r="F1192" s="1250"/>
      <c r="G1192" s="1250"/>
      <c r="H1192" s="1251"/>
    </row>
    <row r="1193" spans="1:8" x14ac:dyDescent="0.25">
      <c r="A1193" s="1258" t="s">
        <v>1997</v>
      </c>
      <c r="B1193" s="1258"/>
      <c r="C1193" s="516" t="s">
        <v>1998</v>
      </c>
      <c r="D1193" s="1259" t="s">
        <v>1999</v>
      </c>
      <c r="E1193" s="1259"/>
      <c r="F1193" s="515" t="s">
        <v>2000</v>
      </c>
      <c r="G1193" s="517" t="s">
        <v>2001</v>
      </c>
      <c r="H1193" s="517" t="s">
        <v>2002</v>
      </c>
    </row>
    <row r="1194" spans="1:8" x14ac:dyDescent="0.25">
      <c r="A1194" s="1253" t="s">
        <v>2003</v>
      </c>
      <c r="B1194" s="1253"/>
      <c r="C1194" s="518"/>
      <c r="D1194" s="1254">
        <f>C1194*65%</f>
        <v>0</v>
      </c>
      <c r="E1194" s="1255"/>
      <c r="F1194" s="518">
        <f>C1194+D1194</f>
        <v>0</v>
      </c>
      <c r="G1194" s="542">
        <v>1</v>
      </c>
      <c r="H1194" s="518">
        <f>F1194/G1194</f>
        <v>0</v>
      </c>
    </row>
    <row r="1195" spans="1:8" x14ac:dyDescent="0.25">
      <c r="A1195" s="1253" t="s">
        <v>2004</v>
      </c>
      <c r="B1195" s="1253"/>
      <c r="C1195" s="518"/>
      <c r="D1195" s="1254">
        <f>C1195*65%</f>
        <v>0</v>
      </c>
      <c r="E1195" s="1255"/>
      <c r="F1195" s="518">
        <f>C1195+D1195</f>
        <v>0</v>
      </c>
      <c r="G1195" s="542">
        <v>2</v>
      </c>
      <c r="H1195" s="518">
        <f>F1195/G1195</f>
        <v>0</v>
      </c>
    </row>
    <row r="1196" spans="1:8" x14ac:dyDescent="0.25">
      <c r="A1196" s="1253" t="s">
        <v>2005</v>
      </c>
      <c r="B1196" s="1253"/>
      <c r="C1196" s="518"/>
      <c r="D1196" s="1254">
        <f>C1196*65%</f>
        <v>0</v>
      </c>
      <c r="E1196" s="1255"/>
      <c r="F1196" s="518">
        <f>C1196+D1196</f>
        <v>0</v>
      </c>
      <c r="G1196" s="542">
        <v>2</v>
      </c>
      <c r="H1196" s="518">
        <f>F1196/G1196</f>
        <v>0</v>
      </c>
    </row>
    <row r="1197" spans="1:8" x14ac:dyDescent="0.25">
      <c r="A1197" s="1256" t="s">
        <v>2006</v>
      </c>
      <c r="B1197" s="1256"/>
      <c r="C1197" s="520"/>
      <c r="D1197" s="1257"/>
      <c r="E1197" s="1257"/>
      <c r="F1197" s="506">
        <f>C1197</f>
        <v>0</v>
      </c>
      <c r="G1197" s="542">
        <v>2</v>
      </c>
      <c r="H1197" s="518">
        <f>F1197/G1197</f>
        <v>0</v>
      </c>
    </row>
    <row r="1198" spans="1:8" x14ac:dyDescent="0.25">
      <c r="A1198" s="1249"/>
      <c r="B1198" s="1250"/>
      <c r="C1198" s="1250"/>
      <c r="D1198" s="1250"/>
      <c r="E1198" s="1250"/>
      <c r="F1198" s="1251"/>
      <c r="G1198" s="507" t="s">
        <v>31</v>
      </c>
      <c r="H1198" s="507">
        <f>SUM(H1194:H1197)</f>
        <v>0</v>
      </c>
    </row>
    <row r="1199" spans="1:8" ht="15.75" thickBot="1" x14ac:dyDescent="0.3">
      <c r="A1199" s="1249"/>
      <c r="B1199" s="1250"/>
      <c r="C1199" s="1250"/>
      <c r="D1199" s="1250"/>
      <c r="E1199" s="1250"/>
      <c r="F1199" s="1250"/>
      <c r="G1199" s="1250"/>
      <c r="H1199" s="1251"/>
    </row>
    <row r="1200" spans="1:8" ht="16.5" thickTop="1" thickBot="1" x14ac:dyDescent="0.3">
      <c r="A1200" s="1252" t="s">
        <v>2007</v>
      </c>
      <c r="B1200" s="1252"/>
      <c r="C1200" s="1252"/>
      <c r="D1200" s="1252"/>
      <c r="E1200" s="1252"/>
      <c r="F1200" s="1252"/>
      <c r="G1200" s="1252"/>
      <c r="H1200" s="499">
        <f>ROUND(H1198+H1191+H1182+H1186,0)</f>
        <v>6104000</v>
      </c>
    </row>
    <row r="1201" spans="1:8" ht="15.75" thickBot="1" x14ac:dyDescent="0.3"/>
    <row r="1202" spans="1:8" ht="15.75" thickBot="1" x14ac:dyDescent="0.3">
      <c r="A1202" s="1279"/>
      <c r="B1202" s="1280"/>
      <c r="C1202" s="1280"/>
      <c r="D1202" s="1280"/>
      <c r="E1202" s="1280"/>
      <c r="F1202" s="1280"/>
      <c r="G1202" s="1280"/>
      <c r="H1202" s="1281"/>
    </row>
    <row r="1203" spans="1:8" ht="15.75" thickTop="1" x14ac:dyDescent="0.25">
      <c r="A1203" s="1282"/>
      <c r="B1203" s="1283"/>
      <c r="C1203" s="1283"/>
      <c r="D1203" s="1283"/>
      <c r="E1203" s="1283"/>
      <c r="F1203" s="1283"/>
      <c r="G1203" s="1283"/>
      <c r="H1203" s="1284"/>
    </row>
    <row r="1204" spans="1:8" x14ac:dyDescent="0.25">
      <c r="A1204" s="1274"/>
      <c r="B1204" s="1274"/>
      <c r="C1204" s="1274"/>
      <c r="D1204" s="1274"/>
      <c r="E1204" s="1274"/>
      <c r="F1204" s="1275"/>
      <c r="G1204" s="1275"/>
      <c r="H1204" s="1275"/>
    </row>
    <row r="1205" spans="1:8" x14ac:dyDescent="0.25">
      <c r="A1205" s="1274"/>
      <c r="B1205" s="1274"/>
      <c r="C1205" s="1274"/>
      <c r="D1205" s="1274"/>
      <c r="E1205" s="1274"/>
      <c r="F1205" s="500"/>
      <c r="G1205" s="1276"/>
      <c r="H1205" s="1276"/>
    </row>
    <row r="1206" spans="1:8" x14ac:dyDescent="0.25">
      <c r="A1206" s="1274"/>
      <c r="B1206" s="1274"/>
      <c r="C1206" s="1274"/>
      <c r="D1206" s="1274"/>
      <c r="E1206" s="1274"/>
      <c r="F1206" s="1277"/>
      <c r="G1206" s="1278"/>
      <c r="H1206" s="1278"/>
    </row>
    <row r="1207" spans="1:8" x14ac:dyDescent="0.25">
      <c r="A1207" s="1249"/>
      <c r="B1207" s="1250"/>
      <c r="C1207" s="1250"/>
      <c r="D1207" s="1250"/>
      <c r="E1207" s="1250"/>
      <c r="F1207" s="1250"/>
      <c r="G1207" s="1250"/>
      <c r="H1207" s="1251"/>
    </row>
    <row r="1208" spans="1:8" x14ac:dyDescent="0.25">
      <c r="A1208" s="1264" t="s">
        <v>1988</v>
      </c>
      <c r="B1208" s="1264"/>
      <c r="C1208" s="1264"/>
      <c r="D1208" s="1264"/>
      <c r="E1208" s="501" t="s">
        <v>24</v>
      </c>
      <c r="F1208" s="501" t="s">
        <v>34</v>
      </c>
      <c r="G1208" s="502" t="s">
        <v>1989</v>
      </c>
      <c r="H1208" s="502" t="s">
        <v>1990</v>
      </c>
    </row>
    <row r="1209" spans="1:8" x14ac:dyDescent="0.25">
      <c r="A1209" s="1271" t="s">
        <v>2099</v>
      </c>
      <c r="B1209" s="1272"/>
      <c r="C1209" s="1272"/>
      <c r="D1209" s="1273"/>
      <c r="E1209" s="503" t="s">
        <v>53</v>
      </c>
      <c r="F1209" s="522">
        <v>1</v>
      </c>
      <c r="G1209" s="505">
        <v>37000000</v>
      </c>
      <c r="H1209" s="506">
        <f t="shared" ref="H1209:H1214" si="24">+G1209*F1209</f>
        <v>37000000</v>
      </c>
    </row>
    <row r="1210" spans="1:8" x14ac:dyDescent="0.25">
      <c r="A1210" s="1263" t="s">
        <v>2100</v>
      </c>
      <c r="B1210" s="1263"/>
      <c r="C1210" s="1263"/>
      <c r="D1210" s="1263"/>
      <c r="E1210" s="503" t="s">
        <v>53</v>
      </c>
      <c r="F1210" s="504">
        <v>1</v>
      </c>
      <c r="G1210" s="505">
        <v>12000000</v>
      </c>
      <c r="H1210" s="506">
        <f t="shared" si="24"/>
        <v>12000000</v>
      </c>
    </row>
    <row r="1211" spans="1:8" x14ac:dyDescent="0.25">
      <c r="A1211" s="1263"/>
      <c r="B1211" s="1263"/>
      <c r="C1211" s="1263"/>
      <c r="D1211" s="1263"/>
      <c r="E1211" s="503"/>
      <c r="F1211" s="504"/>
      <c r="G1211" s="505"/>
      <c r="H1211" s="506">
        <f t="shared" si="24"/>
        <v>0</v>
      </c>
    </row>
    <row r="1212" spans="1:8" x14ac:dyDescent="0.25">
      <c r="A1212" s="1263"/>
      <c r="B1212" s="1263"/>
      <c r="C1212" s="1263"/>
      <c r="D1212" s="1263"/>
      <c r="E1212" s="503"/>
      <c r="F1212" s="504"/>
      <c r="G1212" s="505"/>
      <c r="H1212" s="506">
        <f t="shared" si="24"/>
        <v>0</v>
      </c>
    </row>
    <row r="1213" spans="1:8" x14ac:dyDescent="0.25">
      <c r="A1213" s="1263"/>
      <c r="B1213" s="1263"/>
      <c r="C1213" s="1263"/>
      <c r="D1213" s="1263"/>
      <c r="E1213" s="503"/>
      <c r="F1213" s="504"/>
      <c r="G1213" s="505"/>
      <c r="H1213" s="506">
        <f t="shared" si="24"/>
        <v>0</v>
      </c>
    </row>
    <row r="1214" spans="1:8" x14ac:dyDescent="0.25">
      <c r="A1214" s="1263"/>
      <c r="B1214" s="1263"/>
      <c r="C1214" s="1263"/>
      <c r="D1214" s="1263"/>
      <c r="E1214" s="503"/>
      <c r="F1214" s="504"/>
      <c r="G1214" s="505"/>
      <c r="H1214" s="506">
        <f t="shared" si="24"/>
        <v>0</v>
      </c>
    </row>
    <row r="1215" spans="1:8" x14ac:dyDescent="0.25">
      <c r="A1215" s="1249"/>
      <c r="B1215" s="1250"/>
      <c r="C1215" s="1250"/>
      <c r="D1215" s="1250"/>
      <c r="E1215" s="1250"/>
      <c r="F1215" s="1251"/>
      <c r="G1215" s="507" t="s">
        <v>31</v>
      </c>
      <c r="H1215" s="507">
        <f>ROUND(SUM(H1209:H1214),0)</f>
        <v>49000000</v>
      </c>
    </row>
    <row r="1216" spans="1:8" x14ac:dyDescent="0.25">
      <c r="A1216" s="1249"/>
      <c r="B1216" s="1250"/>
      <c r="C1216" s="1250"/>
      <c r="D1216" s="1250"/>
      <c r="E1216" s="1250"/>
      <c r="F1216" s="1250"/>
      <c r="G1216" s="1250"/>
      <c r="H1216" s="1251"/>
    </row>
    <row r="1217" spans="1:8" x14ac:dyDescent="0.25">
      <c r="A1217" s="1264" t="s">
        <v>1991</v>
      </c>
      <c r="B1217" s="1264"/>
      <c r="C1217" s="1264"/>
      <c r="D1217" s="1264"/>
      <c r="E1217" s="501" t="s">
        <v>1992</v>
      </c>
      <c r="F1217" s="501" t="s">
        <v>34</v>
      </c>
      <c r="G1217" s="502" t="s">
        <v>1989</v>
      </c>
      <c r="H1217" s="502" t="s">
        <v>1990</v>
      </c>
    </row>
    <row r="1218" spans="1:8" x14ac:dyDescent="0.25">
      <c r="A1218" s="1265" t="str">
        <f>A1209</f>
        <v>planta de emergencia de 75 KVA 220/127V</v>
      </c>
      <c r="B1218" s="1266"/>
      <c r="C1218" s="1266"/>
      <c r="D1218" s="1267"/>
      <c r="E1218" s="503">
        <v>10</v>
      </c>
      <c r="F1218" s="508">
        <v>1</v>
      </c>
      <c r="G1218" s="506">
        <v>400</v>
      </c>
      <c r="H1218" s="506">
        <f>E1218*G1218</f>
        <v>4000</v>
      </c>
    </row>
    <row r="1219" spans="1:8" x14ac:dyDescent="0.25">
      <c r="A1219" s="1249"/>
      <c r="B1219" s="1250"/>
      <c r="C1219" s="1250"/>
      <c r="D1219" s="1250"/>
      <c r="E1219" s="1250"/>
      <c r="F1219" s="1251"/>
      <c r="G1219" s="507" t="s">
        <v>31</v>
      </c>
      <c r="H1219" s="507">
        <f>ROUND(SUM(H1218:H1218),0)</f>
        <v>4000</v>
      </c>
    </row>
    <row r="1220" spans="1:8" x14ac:dyDescent="0.25">
      <c r="A1220" s="512"/>
      <c r="B1220" s="513"/>
      <c r="C1220" s="513"/>
      <c r="D1220" s="513"/>
      <c r="E1220" s="513"/>
      <c r="F1220" s="513"/>
      <c r="G1220" s="513"/>
      <c r="H1220" s="514"/>
    </row>
    <row r="1221" spans="1:8" x14ac:dyDescent="0.25">
      <c r="A1221" s="1260" t="s">
        <v>1993</v>
      </c>
      <c r="B1221" s="1260"/>
      <c r="C1221" s="1260"/>
      <c r="D1221" s="1259" t="s">
        <v>1994</v>
      </c>
      <c r="E1221" s="1259"/>
      <c r="F1221" s="515" t="s">
        <v>28</v>
      </c>
      <c r="G1221" s="502" t="s">
        <v>1989</v>
      </c>
      <c r="H1221" s="502" t="s">
        <v>1990</v>
      </c>
    </row>
    <row r="1222" spans="1:8" x14ac:dyDescent="0.25">
      <c r="A1222" s="1256" t="s">
        <v>1996</v>
      </c>
      <c r="B1222" s="1256"/>
      <c r="C1222" s="1256"/>
      <c r="D1222" s="1261"/>
      <c r="E1222" s="1261"/>
      <c r="F1222" s="503">
        <v>10</v>
      </c>
      <c r="G1222" s="506">
        <f>+D1222/F1222</f>
        <v>0</v>
      </c>
      <c r="H1222" s="506">
        <f>+G1222</f>
        <v>0</v>
      </c>
    </row>
    <row r="1223" spans="1:8" x14ac:dyDescent="0.25">
      <c r="A1223" s="1262"/>
      <c r="B1223" s="1262"/>
      <c r="C1223" s="1262"/>
      <c r="D1223" s="1261"/>
      <c r="E1223" s="1261"/>
      <c r="F1223" s="503"/>
      <c r="G1223" s="506"/>
      <c r="H1223" s="506">
        <f>+G1223</f>
        <v>0</v>
      </c>
    </row>
    <row r="1224" spans="1:8" x14ac:dyDescent="0.25">
      <c r="A1224" s="1249"/>
      <c r="B1224" s="1250"/>
      <c r="C1224" s="1250"/>
      <c r="D1224" s="1250"/>
      <c r="E1224" s="1250"/>
      <c r="F1224" s="1251"/>
      <c r="G1224" s="507" t="s">
        <v>31</v>
      </c>
      <c r="H1224" s="507">
        <f>SUM(H1222:H1223)</f>
        <v>0</v>
      </c>
    </row>
    <row r="1225" spans="1:8" x14ac:dyDescent="0.25">
      <c r="A1225" s="1249"/>
      <c r="B1225" s="1250"/>
      <c r="C1225" s="1250"/>
      <c r="D1225" s="1250"/>
      <c r="E1225" s="1250"/>
      <c r="F1225" s="1250"/>
      <c r="G1225" s="1250"/>
      <c r="H1225" s="1251"/>
    </row>
    <row r="1226" spans="1:8" x14ac:dyDescent="0.25">
      <c r="A1226" s="1258" t="s">
        <v>1997</v>
      </c>
      <c r="B1226" s="1258"/>
      <c r="C1226" s="516" t="s">
        <v>1998</v>
      </c>
      <c r="D1226" s="1259" t="s">
        <v>1999</v>
      </c>
      <c r="E1226" s="1259"/>
      <c r="F1226" s="515" t="s">
        <v>2000</v>
      </c>
      <c r="G1226" s="517" t="s">
        <v>2001</v>
      </c>
      <c r="H1226" s="517" t="s">
        <v>2002</v>
      </c>
    </row>
    <row r="1227" spans="1:8" x14ac:dyDescent="0.25">
      <c r="A1227" s="1253" t="s">
        <v>2003</v>
      </c>
      <c r="B1227" s="1253"/>
      <c r="C1227" s="518"/>
      <c r="D1227" s="1254">
        <f>C1227*65%</f>
        <v>0</v>
      </c>
      <c r="E1227" s="1255"/>
      <c r="F1227" s="518">
        <f>C1227+D1227</f>
        <v>0</v>
      </c>
      <c r="G1227" s="542">
        <v>1</v>
      </c>
      <c r="H1227" s="518">
        <f>F1227/G1227</f>
        <v>0</v>
      </c>
    </row>
    <row r="1228" spans="1:8" x14ac:dyDescent="0.25">
      <c r="A1228" s="1253" t="s">
        <v>2004</v>
      </c>
      <c r="B1228" s="1253"/>
      <c r="C1228" s="518"/>
      <c r="D1228" s="1254">
        <f>C1228*65%</f>
        <v>0</v>
      </c>
      <c r="E1228" s="1255"/>
      <c r="F1228" s="518">
        <f>C1228+D1228</f>
        <v>0</v>
      </c>
      <c r="G1228" s="542">
        <v>2</v>
      </c>
      <c r="H1228" s="518">
        <f>F1228/G1228</f>
        <v>0</v>
      </c>
    </row>
    <row r="1229" spans="1:8" x14ac:dyDescent="0.25">
      <c r="A1229" s="1253" t="s">
        <v>2005</v>
      </c>
      <c r="B1229" s="1253"/>
      <c r="C1229" s="518"/>
      <c r="D1229" s="1254">
        <f>C1229*65%</f>
        <v>0</v>
      </c>
      <c r="E1229" s="1255"/>
      <c r="F1229" s="518">
        <f>C1229+D1229</f>
        <v>0</v>
      </c>
      <c r="G1229" s="542">
        <v>2</v>
      </c>
      <c r="H1229" s="518">
        <f>F1229/G1229</f>
        <v>0</v>
      </c>
    </row>
    <row r="1230" spans="1:8" x14ac:dyDescent="0.25">
      <c r="A1230" s="1256" t="s">
        <v>2006</v>
      </c>
      <c r="B1230" s="1256"/>
      <c r="C1230" s="520"/>
      <c r="D1230" s="1257"/>
      <c r="E1230" s="1257"/>
      <c r="F1230" s="506">
        <f>C1230</f>
        <v>0</v>
      </c>
      <c r="G1230" s="542">
        <v>2</v>
      </c>
      <c r="H1230" s="518">
        <f>F1230/G1230</f>
        <v>0</v>
      </c>
    </row>
    <row r="1231" spans="1:8" x14ac:dyDescent="0.25">
      <c r="A1231" s="1249"/>
      <c r="B1231" s="1250"/>
      <c r="C1231" s="1250"/>
      <c r="D1231" s="1250"/>
      <c r="E1231" s="1250"/>
      <c r="F1231" s="1251"/>
      <c r="G1231" s="507" t="s">
        <v>31</v>
      </c>
      <c r="H1231" s="507">
        <f>SUM(H1227:H1230)</f>
        <v>0</v>
      </c>
    </row>
    <row r="1232" spans="1:8" ht="15.75" thickBot="1" x14ac:dyDescent="0.3">
      <c r="A1232" s="1249"/>
      <c r="B1232" s="1250"/>
      <c r="C1232" s="1250"/>
      <c r="D1232" s="1250"/>
      <c r="E1232" s="1250"/>
      <c r="F1232" s="1250"/>
      <c r="G1232" s="1250"/>
      <c r="H1232" s="1251"/>
    </row>
    <row r="1233" spans="1:8" ht="16.5" thickTop="1" thickBot="1" x14ac:dyDescent="0.3">
      <c r="A1233" s="1252" t="s">
        <v>2007</v>
      </c>
      <c r="B1233" s="1252"/>
      <c r="C1233" s="1252"/>
      <c r="D1233" s="1252"/>
      <c r="E1233" s="1252"/>
      <c r="F1233" s="1252"/>
      <c r="G1233" s="1252"/>
      <c r="H1233" s="499">
        <f>ROUND(H1231+H1224+H1215+H1219,0)</f>
        <v>49004000</v>
      </c>
    </row>
    <row r="1234" spans="1:8" ht="15.75" thickBot="1" x14ac:dyDescent="0.3"/>
    <row r="1235" spans="1:8" ht="15.75" thickBot="1" x14ac:dyDescent="0.3">
      <c r="A1235" s="1279"/>
      <c r="B1235" s="1280"/>
      <c r="C1235" s="1280"/>
      <c r="D1235" s="1280"/>
      <c r="E1235" s="1280"/>
      <c r="F1235" s="1280"/>
      <c r="G1235" s="1280"/>
      <c r="H1235" s="1281"/>
    </row>
    <row r="1236" spans="1:8" ht="15.75" thickTop="1" x14ac:dyDescent="0.25">
      <c r="A1236" s="1282"/>
      <c r="B1236" s="1283"/>
      <c r="C1236" s="1283"/>
      <c r="D1236" s="1283"/>
      <c r="E1236" s="1283"/>
      <c r="F1236" s="1283"/>
      <c r="G1236" s="1283"/>
      <c r="H1236" s="1284"/>
    </row>
    <row r="1237" spans="1:8" x14ac:dyDescent="0.25">
      <c r="A1237" s="1274"/>
      <c r="B1237" s="1274"/>
      <c r="C1237" s="1274"/>
      <c r="D1237" s="1274"/>
      <c r="E1237" s="1274"/>
      <c r="F1237" s="1275"/>
      <c r="G1237" s="1275"/>
      <c r="H1237" s="1275"/>
    </row>
    <row r="1238" spans="1:8" x14ac:dyDescent="0.25">
      <c r="A1238" s="1274"/>
      <c r="B1238" s="1274"/>
      <c r="C1238" s="1274"/>
      <c r="D1238" s="1274"/>
      <c r="E1238" s="1274"/>
      <c r="F1238" s="500"/>
      <c r="G1238" s="1276"/>
      <c r="H1238" s="1276"/>
    </row>
    <row r="1239" spans="1:8" x14ac:dyDescent="0.25">
      <c r="A1239" s="1274"/>
      <c r="B1239" s="1274"/>
      <c r="C1239" s="1274"/>
      <c r="D1239" s="1274"/>
      <c r="E1239" s="1274"/>
      <c r="F1239" s="1277"/>
      <c r="G1239" s="1278"/>
      <c r="H1239" s="1278"/>
    </row>
    <row r="1240" spans="1:8" x14ac:dyDescent="0.25">
      <c r="A1240" s="1249"/>
      <c r="B1240" s="1250"/>
      <c r="C1240" s="1250"/>
      <c r="D1240" s="1250"/>
      <c r="E1240" s="1250"/>
      <c r="F1240" s="1250"/>
      <c r="G1240" s="1250"/>
      <c r="H1240" s="1251"/>
    </row>
    <row r="1241" spans="1:8" x14ac:dyDescent="0.25">
      <c r="A1241" s="1264" t="s">
        <v>1988</v>
      </c>
      <c r="B1241" s="1264"/>
      <c r="C1241" s="1264"/>
      <c r="D1241" s="1264"/>
      <c r="E1241" s="501" t="s">
        <v>24</v>
      </c>
      <c r="F1241" s="501" t="s">
        <v>34</v>
      </c>
      <c r="G1241" s="502" t="s">
        <v>1989</v>
      </c>
      <c r="H1241" s="502" t="s">
        <v>1990</v>
      </c>
    </row>
    <row r="1242" spans="1:8" x14ac:dyDescent="0.25">
      <c r="A1242" s="1271" t="s">
        <v>678</v>
      </c>
      <c r="B1242" s="1272"/>
      <c r="C1242" s="1272"/>
      <c r="D1242" s="1273"/>
      <c r="E1242" s="503" t="s">
        <v>15</v>
      </c>
      <c r="F1242" s="522">
        <v>1</v>
      </c>
      <c r="G1242" s="505">
        <v>12000</v>
      </c>
      <c r="H1242" s="506">
        <f t="shared" ref="H1242:H1248" si="25">+G1242*F1242</f>
        <v>12000</v>
      </c>
    </row>
    <row r="1243" spans="1:8" x14ac:dyDescent="0.25">
      <c r="A1243" s="1263" t="s">
        <v>2101</v>
      </c>
      <c r="B1243" s="1263"/>
      <c r="C1243" s="1263"/>
      <c r="D1243" s="1263"/>
      <c r="E1243" s="503" t="s">
        <v>24</v>
      </c>
      <c r="F1243" s="522">
        <v>2</v>
      </c>
      <c r="G1243" s="505">
        <v>5000</v>
      </c>
      <c r="H1243" s="506">
        <f t="shared" si="25"/>
        <v>10000</v>
      </c>
    </row>
    <row r="1244" spans="1:8" x14ac:dyDescent="0.25">
      <c r="A1244" s="1263" t="s">
        <v>2102</v>
      </c>
      <c r="B1244" s="1263"/>
      <c r="C1244" s="1263"/>
      <c r="D1244" s="1263"/>
      <c r="E1244" s="503" t="s">
        <v>24</v>
      </c>
      <c r="F1244" s="522">
        <v>2</v>
      </c>
      <c r="G1244" s="505">
        <v>2500</v>
      </c>
      <c r="H1244" s="506">
        <f t="shared" si="25"/>
        <v>5000</v>
      </c>
    </row>
    <row r="1245" spans="1:8" x14ac:dyDescent="0.25">
      <c r="A1245" s="1263" t="s">
        <v>679</v>
      </c>
      <c r="B1245" s="1263"/>
      <c r="C1245" s="1263"/>
      <c r="D1245" s="1263"/>
      <c r="E1245" s="503" t="s">
        <v>24</v>
      </c>
      <c r="F1245" s="522">
        <v>1</v>
      </c>
      <c r="G1245" s="505">
        <v>5000</v>
      </c>
      <c r="H1245" s="506">
        <f t="shared" si="25"/>
        <v>5000</v>
      </c>
    </row>
    <row r="1246" spans="1:8" x14ac:dyDescent="0.25">
      <c r="A1246" s="1263" t="s">
        <v>2088</v>
      </c>
      <c r="B1246" s="1263"/>
      <c r="C1246" s="1263"/>
      <c r="D1246" s="1263"/>
      <c r="E1246" s="503" t="s">
        <v>15</v>
      </c>
      <c r="F1246" s="522">
        <v>18</v>
      </c>
      <c r="G1246" s="505">
        <v>1500</v>
      </c>
      <c r="H1246" s="506">
        <f t="shared" si="25"/>
        <v>27000</v>
      </c>
    </row>
    <row r="1247" spans="1:8" x14ac:dyDescent="0.25">
      <c r="A1247" s="1271" t="s">
        <v>2103</v>
      </c>
      <c r="B1247" s="1272"/>
      <c r="C1247" s="1272"/>
      <c r="D1247" s="1273"/>
      <c r="E1247" s="503" t="s">
        <v>24</v>
      </c>
      <c r="F1247" s="522">
        <v>1</v>
      </c>
      <c r="G1247" s="505">
        <v>13000</v>
      </c>
      <c r="H1247" s="506">
        <f t="shared" si="25"/>
        <v>13000</v>
      </c>
    </row>
    <row r="1248" spans="1:8" x14ac:dyDescent="0.25">
      <c r="A1248" s="1263" t="s">
        <v>677</v>
      </c>
      <c r="B1248" s="1263"/>
      <c r="C1248" s="1263"/>
      <c r="D1248" s="1263"/>
      <c r="E1248" s="503" t="s">
        <v>24</v>
      </c>
      <c r="F1248" s="522">
        <v>3</v>
      </c>
      <c r="G1248" s="505">
        <v>200</v>
      </c>
      <c r="H1248" s="506">
        <f t="shared" si="25"/>
        <v>600</v>
      </c>
    </row>
    <row r="1249" spans="1:8" x14ac:dyDescent="0.25">
      <c r="A1249" s="1249"/>
      <c r="B1249" s="1250"/>
      <c r="C1249" s="1250"/>
      <c r="D1249" s="1250"/>
      <c r="E1249" s="1250"/>
      <c r="F1249" s="1251"/>
      <c r="G1249" s="507" t="s">
        <v>31</v>
      </c>
      <c r="H1249" s="507">
        <f>ROUND(SUM(H1242:H1248),0)</f>
        <v>72600</v>
      </c>
    </row>
    <row r="1250" spans="1:8" x14ac:dyDescent="0.25">
      <c r="A1250" s="1249"/>
      <c r="B1250" s="1250"/>
      <c r="C1250" s="1250"/>
      <c r="D1250" s="1250"/>
      <c r="E1250" s="1250"/>
      <c r="F1250" s="1250"/>
      <c r="G1250" s="1250"/>
      <c r="H1250" s="1251"/>
    </row>
    <row r="1251" spans="1:8" x14ac:dyDescent="0.25">
      <c r="A1251" s="1264" t="s">
        <v>1991</v>
      </c>
      <c r="B1251" s="1264"/>
      <c r="C1251" s="1264"/>
      <c r="D1251" s="1264"/>
      <c r="E1251" s="501" t="s">
        <v>1992</v>
      </c>
      <c r="F1251" s="501" t="s">
        <v>34</v>
      </c>
      <c r="G1251" s="502" t="s">
        <v>1989</v>
      </c>
      <c r="H1251" s="502" t="s">
        <v>1990</v>
      </c>
    </row>
    <row r="1252" spans="1:8" x14ac:dyDescent="0.25">
      <c r="A1252" s="1265" t="str">
        <f>A1242</f>
        <v>Tubo PVC 3/4"</v>
      </c>
      <c r="B1252" s="1266"/>
      <c r="C1252" s="1266"/>
      <c r="D1252" s="1267"/>
      <c r="E1252" s="503">
        <v>10</v>
      </c>
      <c r="F1252" s="508">
        <v>1</v>
      </c>
      <c r="G1252" s="506">
        <v>400</v>
      </c>
      <c r="H1252" s="506">
        <f>E1252*G1252</f>
        <v>4000</v>
      </c>
    </row>
    <row r="1253" spans="1:8" x14ac:dyDescent="0.25">
      <c r="A1253" s="1249"/>
      <c r="B1253" s="1250"/>
      <c r="C1253" s="1250"/>
      <c r="D1253" s="1250"/>
      <c r="E1253" s="1250"/>
      <c r="F1253" s="1251"/>
      <c r="G1253" s="507" t="s">
        <v>31</v>
      </c>
      <c r="H1253" s="507">
        <f>ROUND(SUM(H1252:H1252),0)</f>
        <v>4000</v>
      </c>
    </row>
    <row r="1254" spans="1:8" x14ac:dyDescent="0.25">
      <c r="A1254" s="512"/>
      <c r="B1254" s="513"/>
      <c r="C1254" s="513"/>
      <c r="D1254" s="513"/>
      <c r="E1254" s="513"/>
      <c r="F1254" s="513"/>
      <c r="G1254" s="513"/>
      <c r="H1254" s="514"/>
    </row>
    <row r="1255" spans="1:8" x14ac:dyDescent="0.25">
      <c r="A1255" s="1260" t="s">
        <v>1993</v>
      </c>
      <c r="B1255" s="1260"/>
      <c r="C1255" s="1260"/>
      <c r="D1255" s="1259" t="s">
        <v>1994</v>
      </c>
      <c r="E1255" s="1259"/>
      <c r="F1255" s="515" t="s">
        <v>28</v>
      </c>
      <c r="G1255" s="502" t="s">
        <v>1989</v>
      </c>
      <c r="H1255" s="502" t="s">
        <v>1990</v>
      </c>
    </row>
    <row r="1256" spans="1:8" x14ac:dyDescent="0.25">
      <c r="A1256" s="1256" t="s">
        <v>2077</v>
      </c>
      <c r="B1256" s="1256"/>
      <c r="C1256" s="1256"/>
      <c r="D1256" s="1261">
        <v>15000</v>
      </c>
      <c r="E1256" s="1261"/>
      <c r="F1256" s="503">
        <v>10</v>
      </c>
      <c r="G1256" s="506">
        <f>+D1256/F1256</f>
        <v>1500</v>
      </c>
      <c r="H1256" s="506">
        <f>+G1256</f>
        <v>1500</v>
      </c>
    </row>
    <row r="1257" spans="1:8" x14ac:dyDescent="0.25">
      <c r="A1257" s="1262"/>
      <c r="B1257" s="1262"/>
      <c r="C1257" s="1262"/>
      <c r="D1257" s="1261"/>
      <c r="E1257" s="1261"/>
      <c r="F1257" s="503"/>
      <c r="G1257" s="506"/>
      <c r="H1257" s="506">
        <f>+G1257</f>
        <v>0</v>
      </c>
    </row>
    <row r="1258" spans="1:8" x14ac:dyDescent="0.25">
      <c r="A1258" s="1249"/>
      <c r="B1258" s="1250"/>
      <c r="C1258" s="1250"/>
      <c r="D1258" s="1250"/>
      <c r="E1258" s="1250"/>
      <c r="F1258" s="1251"/>
      <c r="G1258" s="507" t="s">
        <v>31</v>
      </c>
      <c r="H1258" s="507">
        <f>SUM(H1256:H1257)</f>
        <v>1500</v>
      </c>
    </row>
    <row r="1259" spans="1:8" x14ac:dyDescent="0.25">
      <c r="A1259" s="1249"/>
      <c r="B1259" s="1250"/>
      <c r="C1259" s="1250"/>
      <c r="D1259" s="1250"/>
      <c r="E1259" s="1250"/>
      <c r="F1259" s="1250"/>
      <c r="G1259" s="1250"/>
      <c r="H1259" s="1251"/>
    </row>
    <row r="1260" spans="1:8" x14ac:dyDescent="0.25">
      <c r="A1260" s="1258" t="s">
        <v>1997</v>
      </c>
      <c r="B1260" s="1258"/>
      <c r="C1260" s="516" t="s">
        <v>1998</v>
      </c>
      <c r="D1260" s="1259" t="s">
        <v>1999</v>
      </c>
      <c r="E1260" s="1259"/>
      <c r="F1260" s="515" t="s">
        <v>2000</v>
      </c>
      <c r="G1260" s="517" t="s">
        <v>2001</v>
      </c>
      <c r="H1260" s="517" t="s">
        <v>2002</v>
      </c>
    </row>
    <row r="1261" spans="1:8" x14ac:dyDescent="0.25">
      <c r="A1261" s="1253" t="s">
        <v>2003</v>
      </c>
      <c r="B1261" s="1253"/>
      <c r="C1261" s="518">
        <v>150000</v>
      </c>
      <c r="D1261" s="1254">
        <f>C1261*65%</f>
        <v>97500</v>
      </c>
      <c r="E1261" s="1255"/>
      <c r="F1261" s="518">
        <f>C1261+D1261</f>
        <v>247500</v>
      </c>
      <c r="G1261" s="542">
        <v>9</v>
      </c>
      <c r="H1261" s="518">
        <f>F1261/G1261</f>
        <v>27500</v>
      </c>
    </row>
    <row r="1262" spans="1:8" x14ac:dyDescent="0.25">
      <c r="A1262" s="1253" t="s">
        <v>2004</v>
      </c>
      <c r="B1262" s="1253"/>
      <c r="C1262" s="518">
        <v>70000</v>
      </c>
      <c r="D1262" s="1254">
        <f>C1262*65%</f>
        <v>45500</v>
      </c>
      <c r="E1262" s="1255"/>
      <c r="F1262" s="518">
        <f>C1262+D1262</f>
        <v>115500</v>
      </c>
      <c r="G1262" s="542">
        <v>9</v>
      </c>
      <c r="H1262" s="518">
        <f>F1262/G1262</f>
        <v>12833.333333333334</v>
      </c>
    </row>
    <row r="1263" spans="1:8" x14ac:dyDescent="0.25">
      <c r="A1263" s="1253" t="s">
        <v>2005</v>
      </c>
      <c r="B1263" s="1253"/>
      <c r="C1263" s="518">
        <v>45000</v>
      </c>
      <c r="D1263" s="1254">
        <f>C1263*65%</f>
        <v>29250</v>
      </c>
      <c r="E1263" s="1255"/>
      <c r="F1263" s="518">
        <f>C1263+D1263</f>
        <v>74250</v>
      </c>
      <c r="G1263" s="542">
        <v>9</v>
      </c>
      <c r="H1263" s="518">
        <f>F1263/G1263</f>
        <v>8250</v>
      </c>
    </row>
    <row r="1264" spans="1:8" x14ac:dyDescent="0.25">
      <c r="A1264" s="1256"/>
      <c r="B1264" s="1256"/>
      <c r="C1264" s="520"/>
      <c r="D1264" s="1257"/>
      <c r="E1264" s="1257"/>
      <c r="F1264" s="506"/>
      <c r="G1264" s="542"/>
      <c r="H1264" s="518"/>
    </row>
    <row r="1265" spans="1:8" x14ac:dyDescent="0.25">
      <c r="A1265" s="1249"/>
      <c r="B1265" s="1250"/>
      <c r="C1265" s="1250"/>
      <c r="D1265" s="1250"/>
      <c r="E1265" s="1250"/>
      <c r="F1265" s="1251"/>
      <c r="G1265" s="507" t="s">
        <v>31</v>
      </c>
      <c r="H1265" s="507">
        <f>SUM(H1261:H1264)</f>
        <v>48583.333333333336</v>
      </c>
    </row>
    <row r="1266" spans="1:8" ht="15.75" thickBot="1" x14ac:dyDescent="0.3">
      <c r="A1266" s="1249"/>
      <c r="B1266" s="1250"/>
      <c r="C1266" s="1250"/>
      <c r="D1266" s="1250"/>
      <c r="E1266" s="1250"/>
      <c r="F1266" s="1250"/>
      <c r="G1266" s="1250"/>
      <c r="H1266" s="1251"/>
    </row>
    <row r="1267" spans="1:8" ht="16.5" thickTop="1" thickBot="1" x14ac:dyDescent="0.3">
      <c r="A1267" s="1252" t="s">
        <v>2007</v>
      </c>
      <c r="B1267" s="1252"/>
      <c r="C1267" s="1252"/>
      <c r="D1267" s="1252"/>
      <c r="E1267" s="1252"/>
      <c r="F1267" s="1252"/>
      <c r="G1267" s="1252"/>
      <c r="H1267" s="499">
        <f>ROUND(H1265+H1258+H1249+H1253,0)</f>
        <v>126683</v>
      </c>
    </row>
    <row r="1268" spans="1:8" ht="15.75" thickBot="1" x14ac:dyDescent="0.3"/>
    <row r="1269" spans="1:8" ht="15.75" thickBot="1" x14ac:dyDescent="0.3">
      <c r="A1269" s="1279"/>
      <c r="B1269" s="1280"/>
      <c r="C1269" s="1280"/>
      <c r="D1269" s="1280"/>
      <c r="E1269" s="1280"/>
      <c r="F1269" s="1280"/>
      <c r="G1269" s="1280"/>
      <c r="H1269" s="1281"/>
    </row>
    <row r="1270" spans="1:8" ht="15.75" thickTop="1" x14ac:dyDescent="0.25">
      <c r="A1270" s="1282"/>
      <c r="B1270" s="1283"/>
      <c r="C1270" s="1283"/>
      <c r="D1270" s="1283"/>
      <c r="E1270" s="1283"/>
      <c r="F1270" s="1283"/>
      <c r="G1270" s="1283"/>
      <c r="H1270" s="1284"/>
    </row>
    <row r="1271" spans="1:8" x14ac:dyDescent="0.25">
      <c r="A1271" s="1274"/>
      <c r="B1271" s="1274"/>
      <c r="C1271" s="1274"/>
      <c r="D1271" s="1274"/>
      <c r="E1271" s="1274"/>
      <c r="F1271" s="1275"/>
      <c r="G1271" s="1275"/>
      <c r="H1271" s="1275"/>
    </row>
    <row r="1272" spans="1:8" x14ac:dyDescent="0.25">
      <c r="A1272" s="1274"/>
      <c r="B1272" s="1274"/>
      <c r="C1272" s="1274"/>
      <c r="D1272" s="1274"/>
      <c r="E1272" s="1274"/>
      <c r="F1272" s="500"/>
      <c r="G1272" s="1276"/>
      <c r="H1272" s="1276"/>
    </row>
    <row r="1273" spans="1:8" x14ac:dyDescent="0.25">
      <c r="A1273" s="1274"/>
      <c r="B1273" s="1274"/>
      <c r="C1273" s="1274"/>
      <c r="D1273" s="1274"/>
      <c r="E1273" s="1274"/>
      <c r="F1273" s="1277"/>
      <c r="G1273" s="1278"/>
      <c r="H1273" s="1278"/>
    </row>
    <row r="1274" spans="1:8" x14ac:dyDescent="0.25">
      <c r="A1274" s="1249"/>
      <c r="B1274" s="1250"/>
      <c r="C1274" s="1250"/>
      <c r="D1274" s="1250"/>
      <c r="E1274" s="1250"/>
      <c r="F1274" s="1250"/>
      <c r="G1274" s="1250"/>
      <c r="H1274" s="1251"/>
    </row>
    <row r="1275" spans="1:8" x14ac:dyDescent="0.25">
      <c r="A1275" s="1264" t="s">
        <v>1988</v>
      </c>
      <c r="B1275" s="1264"/>
      <c r="C1275" s="1264"/>
      <c r="D1275" s="1264"/>
      <c r="E1275" s="501" t="s">
        <v>24</v>
      </c>
      <c r="F1275" s="501" t="s">
        <v>34</v>
      </c>
      <c r="G1275" s="502" t="s">
        <v>1989</v>
      </c>
      <c r="H1275" s="502" t="s">
        <v>1990</v>
      </c>
    </row>
    <row r="1276" spans="1:8" x14ac:dyDescent="0.25">
      <c r="A1276" s="1271" t="s">
        <v>660</v>
      </c>
      <c r="B1276" s="1272"/>
      <c r="C1276" s="1272"/>
      <c r="D1276" s="1273"/>
      <c r="E1276" s="503" t="s">
        <v>15</v>
      </c>
      <c r="F1276" s="504">
        <v>1</v>
      </c>
      <c r="G1276" s="505">
        <v>6000</v>
      </c>
      <c r="H1276" s="506">
        <f>+G1276*F1276</f>
        <v>6000</v>
      </c>
    </row>
    <row r="1277" spans="1:8" x14ac:dyDescent="0.25">
      <c r="A1277" s="1271" t="s">
        <v>2079</v>
      </c>
      <c r="B1277" s="1272"/>
      <c r="C1277" s="1272"/>
      <c r="D1277" s="1273"/>
      <c r="E1277" s="503" t="s">
        <v>344</v>
      </c>
      <c r="F1277" s="504">
        <v>2.5000000000000001E-2</v>
      </c>
      <c r="G1277" s="505">
        <v>3500</v>
      </c>
      <c r="H1277" s="506">
        <f>+G1277*F1277</f>
        <v>87.5</v>
      </c>
    </row>
    <row r="1278" spans="1:8" x14ac:dyDescent="0.25">
      <c r="A1278" s="1271" t="s">
        <v>2080</v>
      </c>
      <c r="B1278" s="1272"/>
      <c r="C1278" s="1272"/>
      <c r="D1278" s="1273"/>
      <c r="E1278" s="503" t="s">
        <v>344</v>
      </c>
      <c r="F1278" s="504">
        <v>7.4999999999999997E-2</v>
      </c>
      <c r="G1278" s="505">
        <v>2600</v>
      </c>
      <c r="H1278" s="506">
        <f>+G1278*F1278</f>
        <v>195</v>
      </c>
    </row>
    <row r="1279" spans="1:8" x14ac:dyDescent="0.25">
      <c r="A1279" s="1263" t="s">
        <v>2081</v>
      </c>
      <c r="B1279" s="1263"/>
      <c r="C1279" s="1263"/>
      <c r="D1279" s="1263"/>
      <c r="E1279" s="503" t="s">
        <v>15</v>
      </c>
      <c r="F1279" s="504">
        <v>4</v>
      </c>
      <c r="G1279" s="505">
        <v>48000</v>
      </c>
      <c r="H1279" s="506">
        <f>+G1279*F1279</f>
        <v>192000</v>
      </c>
    </row>
    <row r="1280" spans="1:8" x14ac:dyDescent="0.25">
      <c r="A1280" s="1263"/>
      <c r="B1280" s="1263"/>
      <c r="C1280" s="1263"/>
      <c r="D1280" s="1263"/>
      <c r="E1280" s="503"/>
      <c r="F1280" s="504"/>
      <c r="G1280" s="505"/>
      <c r="H1280" s="506">
        <f>+G1280*F1280</f>
        <v>0</v>
      </c>
    </row>
    <row r="1281" spans="1:8" x14ac:dyDescent="0.25">
      <c r="A1281" s="1249"/>
      <c r="B1281" s="1250"/>
      <c r="C1281" s="1250"/>
      <c r="D1281" s="1250"/>
      <c r="E1281" s="1250"/>
      <c r="F1281" s="1251"/>
      <c r="G1281" s="507" t="s">
        <v>31</v>
      </c>
      <c r="H1281" s="507">
        <f>ROUND(SUM(H1276:H1280),0)</f>
        <v>198283</v>
      </c>
    </row>
    <row r="1282" spans="1:8" x14ac:dyDescent="0.25">
      <c r="A1282" s="1249"/>
      <c r="B1282" s="1250"/>
      <c r="C1282" s="1250"/>
      <c r="D1282" s="1250"/>
      <c r="E1282" s="1250"/>
      <c r="F1282" s="1250"/>
      <c r="G1282" s="1250"/>
      <c r="H1282" s="1251"/>
    </row>
    <row r="1283" spans="1:8" x14ac:dyDescent="0.25">
      <c r="A1283" s="1264" t="s">
        <v>1991</v>
      </c>
      <c r="B1283" s="1264"/>
      <c r="C1283" s="1264"/>
      <c r="D1283" s="1264"/>
      <c r="E1283" s="501" t="s">
        <v>1992</v>
      </c>
      <c r="F1283" s="501" t="s">
        <v>34</v>
      </c>
      <c r="G1283" s="502" t="s">
        <v>1989</v>
      </c>
      <c r="H1283" s="502" t="s">
        <v>1990</v>
      </c>
    </row>
    <row r="1284" spans="1:8" x14ac:dyDescent="0.25">
      <c r="A1284" s="1265"/>
      <c r="B1284" s="1266"/>
      <c r="C1284" s="1266"/>
      <c r="D1284" s="1267"/>
      <c r="E1284" s="503">
        <v>10</v>
      </c>
      <c r="F1284" s="508">
        <v>1</v>
      </c>
      <c r="G1284" s="506">
        <v>400</v>
      </c>
      <c r="H1284" s="506">
        <f>E1284*G1284</f>
        <v>4000</v>
      </c>
    </row>
    <row r="1285" spans="1:8" x14ac:dyDescent="0.25">
      <c r="A1285" s="1249"/>
      <c r="B1285" s="1250"/>
      <c r="C1285" s="1250"/>
      <c r="D1285" s="1250"/>
      <c r="E1285" s="1250"/>
      <c r="F1285" s="1251"/>
      <c r="G1285" s="507" t="s">
        <v>31</v>
      </c>
      <c r="H1285" s="507">
        <f>ROUND(SUM(H1284:H1284),0)</f>
        <v>4000</v>
      </c>
    </row>
    <row r="1286" spans="1:8" x14ac:dyDescent="0.25">
      <c r="A1286" s="512"/>
      <c r="B1286" s="513"/>
      <c r="C1286" s="513"/>
      <c r="D1286" s="513"/>
      <c r="E1286" s="513"/>
      <c r="F1286" s="513"/>
      <c r="G1286" s="513"/>
      <c r="H1286" s="514"/>
    </row>
    <row r="1287" spans="1:8" x14ac:dyDescent="0.25">
      <c r="A1287" s="1260" t="s">
        <v>1993</v>
      </c>
      <c r="B1287" s="1260"/>
      <c r="C1287" s="1260"/>
      <c r="D1287" s="1259" t="s">
        <v>1994</v>
      </c>
      <c r="E1287" s="1259"/>
      <c r="F1287" s="515" t="s">
        <v>28</v>
      </c>
      <c r="G1287" s="502" t="s">
        <v>1989</v>
      </c>
      <c r="H1287" s="502" t="s">
        <v>1990</v>
      </c>
    </row>
    <row r="1288" spans="1:8" x14ac:dyDescent="0.25">
      <c r="A1288" s="1256" t="s">
        <v>2082</v>
      </c>
      <c r="B1288" s="1256"/>
      <c r="C1288" s="1256"/>
      <c r="D1288" s="1261">
        <v>15000</v>
      </c>
      <c r="E1288" s="1261"/>
      <c r="F1288" s="503">
        <v>10</v>
      </c>
      <c r="G1288" s="506">
        <f>+D1288/F1288</f>
        <v>1500</v>
      </c>
      <c r="H1288" s="506">
        <f>+G1288</f>
        <v>1500</v>
      </c>
    </row>
    <row r="1289" spans="1:8" x14ac:dyDescent="0.25">
      <c r="A1289" s="1262"/>
      <c r="B1289" s="1262"/>
      <c r="C1289" s="1262"/>
      <c r="D1289" s="1261"/>
      <c r="E1289" s="1261"/>
      <c r="F1289" s="503"/>
      <c r="G1289" s="506"/>
      <c r="H1289" s="506">
        <f>+G1289</f>
        <v>0</v>
      </c>
    </row>
    <row r="1290" spans="1:8" x14ac:dyDescent="0.25">
      <c r="A1290" s="1249"/>
      <c r="B1290" s="1250"/>
      <c r="C1290" s="1250"/>
      <c r="D1290" s="1250"/>
      <c r="E1290" s="1250"/>
      <c r="F1290" s="1251"/>
      <c r="G1290" s="507" t="s">
        <v>31</v>
      </c>
      <c r="H1290" s="507">
        <f>SUM(H1288:H1289)</f>
        <v>1500</v>
      </c>
    </row>
    <row r="1291" spans="1:8" x14ac:dyDescent="0.25">
      <c r="A1291" s="1249"/>
      <c r="B1291" s="1250"/>
      <c r="C1291" s="1250"/>
      <c r="D1291" s="1250"/>
      <c r="E1291" s="1250"/>
      <c r="F1291" s="1250"/>
      <c r="G1291" s="1250"/>
      <c r="H1291" s="1251"/>
    </row>
    <row r="1292" spans="1:8" x14ac:dyDescent="0.25">
      <c r="A1292" s="1258" t="s">
        <v>1997</v>
      </c>
      <c r="B1292" s="1258"/>
      <c r="C1292" s="516" t="s">
        <v>1998</v>
      </c>
      <c r="D1292" s="1259" t="s">
        <v>1999</v>
      </c>
      <c r="E1292" s="1259"/>
      <c r="F1292" s="515" t="s">
        <v>2000</v>
      </c>
      <c r="G1292" s="517" t="s">
        <v>2001</v>
      </c>
      <c r="H1292" s="517" t="s">
        <v>2002</v>
      </c>
    </row>
    <row r="1293" spans="1:8" x14ac:dyDescent="0.25">
      <c r="A1293" s="1253" t="s">
        <v>2003</v>
      </c>
      <c r="B1293" s="1253"/>
      <c r="C1293" s="518">
        <v>150000</v>
      </c>
      <c r="D1293" s="1254">
        <f>C1293*65%</f>
        <v>97500</v>
      </c>
      <c r="E1293" s="1255"/>
      <c r="F1293" s="518">
        <f>C1293+D1293</f>
        <v>247500</v>
      </c>
      <c r="G1293" s="542">
        <v>2.2599999999999998</v>
      </c>
      <c r="H1293" s="518">
        <f>F1293/G1293</f>
        <v>109513.2743362832</v>
      </c>
    </row>
    <row r="1294" spans="1:8" x14ac:dyDescent="0.25">
      <c r="A1294" s="1253" t="s">
        <v>2004</v>
      </c>
      <c r="B1294" s="1253"/>
      <c r="C1294" s="518">
        <v>70000</v>
      </c>
      <c r="D1294" s="1254">
        <f>C1294*65%</f>
        <v>45500</v>
      </c>
      <c r="E1294" s="1255"/>
      <c r="F1294" s="518">
        <f>C1294+D1294</f>
        <v>115500</v>
      </c>
      <c r="G1294" s="542">
        <v>3</v>
      </c>
      <c r="H1294" s="518">
        <f>F1294/G1294</f>
        <v>38500</v>
      </c>
    </row>
    <row r="1295" spans="1:8" x14ac:dyDescent="0.25">
      <c r="A1295" s="1253" t="s">
        <v>2005</v>
      </c>
      <c r="B1295" s="1253"/>
      <c r="C1295" s="518">
        <v>45000</v>
      </c>
      <c r="D1295" s="1254">
        <f>C1295*65%</f>
        <v>29250</v>
      </c>
      <c r="E1295" s="1255"/>
      <c r="F1295" s="518">
        <f>C1295+D1295</f>
        <v>74250</v>
      </c>
      <c r="G1295" s="542">
        <v>4</v>
      </c>
      <c r="H1295" s="518">
        <f>F1295/G1295</f>
        <v>18562.5</v>
      </c>
    </row>
    <row r="1296" spans="1:8" x14ac:dyDescent="0.25">
      <c r="A1296" s="1256"/>
      <c r="B1296" s="1256"/>
      <c r="C1296" s="520"/>
      <c r="D1296" s="1257"/>
      <c r="E1296" s="1257"/>
      <c r="F1296" s="506">
        <f>C1296</f>
        <v>0</v>
      </c>
      <c r="G1296" s="542"/>
      <c r="H1296" s="518"/>
    </row>
    <row r="1297" spans="1:8" x14ac:dyDescent="0.25">
      <c r="A1297" s="1249"/>
      <c r="B1297" s="1250"/>
      <c r="C1297" s="1250"/>
      <c r="D1297" s="1250"/>
      <c r="E1297" s="1250"/>
      <c r="F1297" s="1251"/>
      <c r="G1297" s="507" t="s">
        <v>31</v>
      </c>
      <c r="H1297" s="507">
        <f>SUM(H1293:H1296)</f>
        <v>166575.77433628321</v>
      </c>
    </row>
    <row r="1298" spans="1:8" ht="15.75" thickBot="1" x14ac:dyDescent="0.3">
      <c r="A1298" s="1249"/>
      <c r="B1298" s="1250"/>
      <c r="C1298" s="1250"/>
      <c r="D1298" s="1250"/>
      <c r="E1298" s="1250"/>
      <c r="F1298" s="1250"/>
      <c r="G1298" s="1250"/>
      <c r="H1298" s="1251"/>
    </row>
    <row r="1299" spans="1:8" ht="16.5" thickTop="1" thickBot="1" x14ac:dyDescent="0.3">
      <c r="A1299" s="1252" t="s">
        <v>2007</v>
      </c>
      <c r="B1299" s="1252"/>
      <c r="C1299" s="1252"/>
      <c r="D1299" s="1252"/>
      <c r="E1299" s="1252"/>
      <c r="F1299" s="1252"/>
      <c r="G1299" s="1252"/>
      <c r="H1299" s="499">
        <f>ROUND(H1297+H1290+H1281+H1285,0)</f>
        <v>370359</v>
      </c>
    </row>
    <row r="1300" spans="1:8" ht="15.75" thickBot="1" x14ac:dyDescent="0.3"/>
    <row r="1301" spans="1:8" ht="15.75" thickBot="1" x14ac:dyDescent="0.3">
      <c r="A1301" s="1279"/>
      <c r="B1301" s="1280"/>
      <c r="C1301" s="1280"/>
      <c r="D1301" s="1280"/>
      <c r="E1301" s="1280"/>
      <c r="F1301" s="1280"/>
      <c r="G1301" s="1280"/>
      <c r="H1301" s="1281"/>
    </row>
    <row r="1302" spans="1:8" ht="15.75" thickTop="1" x14ac:dyDescent="0.25">
      <c r="A1302" s="1282"/>
      <c r="B1302" s="1283"/>
      <c r="C1302" s="1283"/>
      <c r="D1302" s="1283"/>
      <c r="E1302" s="1283"/>
      <c r="F1302" s="1283"/>
      <c r="G1302" s="1283"/>
      <c r="H1302" s="1284"/>
    </row>
    <row r="1303" spans="1:8" x14ac:dyDescent="0.25">
      <c r="A1303" s="1274"/>
      <c r="B1303" s="1274"/>
      <c r="C1303" s="1274"/>
      <c r="D1303" s="1274"/>
      <c r="E1303" s="1274"/>
      <c r="F1303" s="1275"/>
      <c r="G1303" s="1275"/>
      <c r="H1303" s="1275"/>
    </row>
    <row r="1304" spans="1:8" x14ac:dyDescent="0.25">
      <c r="A1304" s="1274"/>
      <c r="B1304" s="1274"/>
      <c r="C1304" s="1274"/>
      <c r="D1304" s="1274"/>
      <c r="E1304" s="1274"/>
      <c r="F1304" s="500"/>
      <c r="G1304" s="1276"/>
      <c r="H1304" s="1276"/>
    </row>
    <row r="1305" spans="1:8" x14ac:dyDescent="0.25">
      <c r="A1305" s="1274"/>
      <c r="B1305" s="1274"/>
      <c r="C1305" s="1274"/>
      <c r="D1305" s="1274"/>
      <c r="E1305" s="1274"/>
      <c r="F1305" s="1277"/>
      <c r="G1305" s="1278"/>
      <c r="H1305" s="1278"/>
    </row>
    <row r="1306" spans="1:8" x14ac:dyDescent="0.25">
      <c r="A1306" s="1249"/>
      <c r="B1306" s="1250"/>
      <c r="C1306" s="1250"/>
      <c r="D1306" s="1250"/>
      <c r="E1306" s="1250"/>
      <c r="F1306" s="1250"/>
      <c r="G1306" s="1250"/>
      <c r="H1306" s="1251"/>
    </row>
    <row r="1307" spans="1:8" x14ac:dyDescent="0.25">
      <c r="A1307" s="1264" t="s">
        <v>1988</v>
      </c>
      <c r="B1307" s="1264"/>
      <c r="C1307" s="1264"/>
      <c r="D1307" s="1264"/>
      <c r="E1307" s="501" t="s">
        <v>24</v>
      </c>
      <c r="F1307" s="501" t="s">
        <v>34</v>
      </c>
      <c r="G1307" s="502" t="s">
        <v>1989</v>
      </c>
      <c r="H1307" s="502" t="s">
        <v>1990</v>
      </c>
    </row>
    <row r="1308" spans="1:8" x14ac:dyDescent="0.25">
      <c r="A1308" s="1271" t="s">
        <v>660</v>
      </c>
      <c r="B1308" s="1272"/>
      <c r="C1308" s="1272"/>
      <c r="D1308" s="1273"/>
      <c r="E1308" s="503" t="s">
        <v>15</v>
      </c>
      <c r="F1308" s="504">
        <v>1</v>
      </c>
      <c r="G1308" s="505">
        <v>6000</v>
      </c>
      <c r="H1308" s="506">
        <f>+G1308*F1308</f>
        <v>6000</v>
      </c>
    </row>
    <row r="1309" spans="1:8" x14ac:dyDescent="0.25">
      <c r="A1309" s="1271" t="s">
        <v>2079</v>
      </c>
      <c r="B1309" s="1272"/>
      <c r="C1309" s="1272"/>
      <c r="D1309" s="1273"/>
      <c r="E1309" s="503" t="s">
        <v>344</v>
      </c>
      <c r="F1309" s="504">
        <v>2.5000000000000001E-2</v>
      </c>
      <c r="G1309" s="505">
        <v>3500</v>
      </c>
      <c r="H1309" s="506">
        <f>+G1309*F1309</f>
        <v>87.5</v>
      </c>
    </row>
    <row r="1310" spans="1:8" x14ac:dyDescent="0.25">
      <c r="A1310" s="1271" t="s">
        <v>2080</v>
      </c>
      <c r="B1310" s="1272"/>
      <c r="C1310" s="1272"/>
      <c r="D1310" s="1273"/>
      <c r="E1310" s="503" t="s">
        <v>344</v>
      </c>
      <c r="F1310" s="504">
        <v>7.4999999999999997E-2</v>
      </c>
      <c r="G1310" s="505">
        <v>2600</v>
      </c>
      <c r="H1310" s="506">
        <f>+G1310*F1310</f>
        <v>195</v>
      </c>
    </row>
    <row r="1311" spans="1:8" x14ac:dyDescent="0.25">
      <c r="A1311" s="1263" t="s">
        <v>2104</v>
      </c>
      <c r="B1311" s="1263"/>
      <c r="C1311" s="1263"/>
      <c r="D1311" s="1263"/>
      <c r="E1311" s="503" t="s">
        <v>15</v>
      </c>
      <c r="F1311" s="504">
        <v>4</v>
      </c>
      <c r="G1311" s="505">
        <v>30000</v>
      </c>
      <c r="H1311" s="506">
        <f>+G1311*F1311</f>
        <v>120000</v>
      </c>
    </row>
    <row r="1312" spans="1:8" x14ac:dyDescent="0.25">
      <c r="A1312" s="1263"/>
      <c r="B1312" s="1263"/>
      <c r="C1312" s="1263"/>
      <c r="D1312" s="1263"/>
      <c r="E1312" s="503"/>
      <c r="F1312" s="504"/>
      <c r="G1312" s="505"/>
      <c r="H1312" s="506">
        <f>+G1312*F1312</f>
        <v>0</v>
      </c>
    </row>
    <row r="1313" spans="1:8" x14ac:dyDescent="0.25">
      <c r="A1313" s="1249"/>
      <c r="B1313" s="1250"/>
      <c r="C1313" s="1250"/>
      <c r="D1313" s="1250"/>
      <c r="E1313" s="1250"/>
      <c r="F1313" s="1251"/>
      <c r="G1313" s="507" t="s">
        <v>31</v>
      </c>
      <c r="H1313" s="507">
        <f>ROUND(SUM(H1308:H1312),0)</f>
        <v>126283</v>
      </c>
    </row>
    <row r="1314" spans="1:8" x14ac:dyDescent="0.25">
      <c r="A1314" s="1249"/>
      <c r="B1314" s="1250"/>
      <c r="C1314" s="1250"/>
      <c r="D1314" s="1250"/>
      <c r="E1314" s="1250"/>
      <c r="F1314" s="1250"/>
      <c r="G1314" s="1250"/>
      <c r="H1314" s="1251"/>
    </row>
    <row r="1315" spans="1:8" x14ac:dyDescent="0.25">
      <c r="A1315" s="1264" t="s">
        <v>1991</v>
      </c>
      <c r="B1315" s="1264"/>
      <c r="C1315" s="1264"/>
      <c r="D1315" s="1264"/>
      <c r="E1315" s="501" t="s">
        <v>1992</v>
      </c>
      <c r="F1315" s="501" t="s">
        <v>34</v>
      </c>
      <c r="G1315" s="502" t="s">
        <v>1989</v>
      </c>
      <c r="H1315" s="502" t="s">
        <v>1990</v>
      </c>
    </row>
    <row r="1316" spans="1:8" x14ac:dyDescent="0.25">
      <c r="A1316" s="1265"/>
      <c r="B1316" s="1266"/>
      <c r="C1316" s="1266"/>
      <c r="D1316" s="1267"/>
      <c r="E1316" s="503">
        <v>10</v>
      </c>
      <c r="F1316" s="508">
        <v>1</v>
      </c>
      <c r="G1316" s="506">
        <v>400</v>
      </c>
      <c r="H1316" s="506">
        <f>E1316*G1316</f>
        <v>4000</v>
      </c>
    </row>
    <row r="1317" spans="1:8" x14ac:dyDescent="0.25">
      <c r="A1317" s="1249"/>
      <c r="B1317" s="1250"/>
      <c r="C1317" s="1250"/>
      <c r="D1317" s="1250"/>
      <c r="E1317" s="1250"/>
      <c r="F1317" s="1251"/>
      <c r="G1317" s="507" t="s">
        <v>31</v>
      </c>
      <c r="H1317" s="507">
        <f>ROUND(SUM(H1316:H1316),0)</f>
        <v>4000</v>
      </c>
    </row>
    <row r="1318" spans="1:8" x14ac:dyDescent="0.25">
      <c r="A1318" s="512"/>
      <c r="B1318" s="513"/>
      <c r="C1318" s="513"/>
      <c r="D1318" s="513"/>
      <c r="E1318" s="513"/>
      <c r="F1318" s="513"/>
      <c r="G1318" s="513"/>
      <c r="H1318" s="514"/>
    </row>
    <row r="1319" spans="1:8" x14ac:dyDescent="0.25">
      <c r="A1319" s="1260" t="s">
        <v>1993</v>
      </c>
      <c r="B1319" s="1260"/>
      <c r="C1319" s="1260"/>
      <c r="D1319" s="1259" t="s">
        <v>1994</v>
      </c>
      <c r="E1319" s="1259"/>
      <c r="F1319" s="515" t="s">
        <v>28</v>
      </c>
      <c r="G1319" s="502" t="s">
        <v>1989</v>
      </c>
      <c r="H1319" s="502" t="s">
        <v>1990</v>
      </c>
    </row>
    <row r="1320" spans="1:8" x14ac:dyDescent="0.25">
      <c r="A1320" s="1256" t="s">
        <v>2082</v>
      </c>
      <c r="B1320" s="1256"/>
      <c r="C1320" s="1256"/>
      <c r="D1320" s="1261">
        <v>15000</v>
      </c>
      <c r="E1320" s="1261"/>
      <c r="F1320" s="503">
        <v>10</v>
      </c>
      <c r="G1320" s="506">
        <f>+D1320/F1320</f>
        <v>1500</v>
      </c>
      <c r="H1320" s="506">
        <f>+G1320</f>
        <v>1500</v>
      </c>
    </row>
    <row r="1321" spans="1:8" x14ac:dyDescent="0.25">
      <c r="A1321" s="1262"/>
      <c r="B1321" s="1262"/>
      <c r="C1321" s="1262"/>
      <c r="D1321" s="1261"/>
      <c r="E1321" s="1261"/>
      <c r="F1321" s="503"/>
      <c r="G1321" s="506"/>
      <c r="H1321" s="506">
        <f>+G1321</f>
        <v>0</v>
      </c>
    </row>
    <row r="1322" spans="1:8" x14ac:dyDescent="0.25">
      <c r="A1322" s="1249"/>
      <c r="B1322" s="1250"/>
      <c r="C1322" s="1250"/>
      <c r="D1322" s="1250"/>
      <c r="E1322" s="1250"/>
      <c r="F1322" s="1251"/>
      <c r="G1322" s="507" t="s">
        <v>31</v>
      </c>
      <c r="H1322" s="507">
        <f>SUM(H1320:H1321)</f>
        <v>1500</v>
      </c>
    </row>
    <row r="1323" spans="1:8" x14ac:dyDescent="0.25">
      <c r="A1323" s="1249"/>
      <c r="B1323" s="1250"/>
      <c r="C1323" s="1250"/>
      <c r="D1323" s="1250"/>
      <c r="E1323" s="1250"/>
      <c r="F1323" s="1250"/>
      <c r="G1323" s="1250"/>
      <c r="H1323" s="1251"/>
    </row>
    <row r="1324" spans="1:8" x14ac:dyDescent="0.25">
      <c r="A1324" s="1258" t="s">
        <v>1997</v>
      </c>
      <c r="B1324" s="1258"/>
      <c r="C1324" s="516" t="s">
        <v>1998</v>
      </c>
      <c r="D1324" s="1259" t="s">
        <v>1999</v>
      </c>
      <c r="E1324" s="1259"/>
      <c r="F1324" s="515" t="s">
        <v>2000</v>
      </c>
      <c r="G1324" s="517" t="s">
        <v>2001</v>
      </c>
      <c r="H1324" s="517" t="s">
        <v>2002</v>
      </c>
    </row>
    <row r="1325" spans="1:8" x14ac:dyDescent="0.25">
      <c r="A1325" s="1253" t="s">
        <v>2003</v>
      </c>
      <c r="B1325" s="1253"/>
      <c r="C1325" s="518">
        <v>150000</v>
      </c>
      <c r="D1325" s="1254">
        <f>C1325*65%</f>
        <v>97500</v>
      </c>
      <c r="E1325" s="1255"/>
      <c r="F1325" s="518">
        <f>C1325+D1325</f>
        <v>247500</v>
      </c>
      <c r="G1325" s="542">
        <v>2</v>
      </c>
      <c r="H1325" s="518">
        <f>F1325/G1325</f>
        <v>123750</v>
      </c>
    </row>
    <row r="1326" spans="1:8" x14ac:dyDescent="0.25">
      <c r="A1326" s="1253" t="s">
        <v>2004</v>
      </c>
      <c r="B1326" s="1253"/>
      <c r="C1326" s="518">
        <v>70000</v>
      </c>
      <c r="D1326" s="1254">
        <f>C1326*65%</f>
        <v>45500</v>
      </c>
      <c r="E1326" s="1255"/>
      <c r="F1326" s="518">
        <f>C1326+D1326</f>
        <v>115500</v>
      </c>
      <c r="G1326" s="542">
        <v>2</v>
      </c>
      <c r="H1326" s="518">
        <f>F1326/G1326</f>
        <v>57750</v>
      </c>
    </row>
    <row r="1327" spans="1:8" x14ac:dyDescent="0.25">
      <c r="A1327" s="1253" t="s">
        <v>2005</v>
      </c>
      <c r="B1327" s="1253"/>
      <c r="C1327" s="518">
        <v>45000</v>
      </c>
      <c r="D1327" s="1254">
        <f>C1327*65%</f>
        <v>29250</v>
      </c>
      <c r="E1327" s="1255"/>
      <c r="F1327" s="518">
        <f>C1327+D1327</f>
        <v>74250</v>
      </c>
      <c r="G1327" s="542">
        <v>4</v>
      </c>
      <c r="H1327" s="518">
        <f>F1327/G1327</f>
        <v>18562.5</v>
      </c>
    </row>
    <row r="1328" spans="1:8" x14ac:dyDescent="0.25">
      <c r="A1328" s="1256"/>
      <c r="B1328" s="1256"/>
      <c r="C1328" s="520"/>
      <c r="D1328" s="1257"/>
      <c r="E1328" s="1257"/>
      <c r="F1328" s="506">
        <f>C1328</f>
        <v>0</v>
      </c>
      <c r="G1328" s="542"/>
      <c r="H1328" s="518"/>
    </row>
    <row r="1329" spans="1:8" x14ac:dyDescent="0.25">
      <c r="A1329" s="1249"/>
      <c r="B1329" s="1250"/>
      <c r="C1329" s="1250"/>
      <c r="D1329" s="1250"/>
      <c r="E1329" s="1250"/>
      <c r="F1329" s="1251"/>
      <c r="G1329" s="507" t="s">
        <v>31</v>
      </c>
      <c r="H1329" s="507">
        <f>SUM(H1325:H1328)</f>
        <v>200062.5</v>
      </c>
    </row>
    <row r="1330" spans="1:8" ht="15.75" thickBot="1" x14ac:dyDescent="0.3">
      <c r="A1330" s="1249"/>
      <c r="B1330" s="1250"/>
      <c r="C1330" s="1250"/>
      <c r="D1330" s="1250"/>
      <c r="E1330" s="1250"/>
      <c r="F1330" s="1250"/>
      <c r="G1330" s="1250"/>
      <c r="H1330" s="1251"/>
    </row>
    <row r="1331" spans="1:8" ht="16.5" thickTop="1" thickBot="1" x14ac:dyDescent="0.3">
      <c r="A1331" s="1252" t="s">
        <v>2007</v>
      </c>
      <c r="B1331" s="1252"/>
      <c r="C1331" s="1252"/>
      <c r="D1331" s="1252"/>
      <c r="E1331" s="1252"/>
      <c r="F1331" s="1252"/>
      <c r="G1331" s="1252"/>
      <c r="H1331" s="499">
        <f>ROUND(H1329+H1322+H1313+H1317,0)</f>
        <v>331846</v>
      </c>
    </row>
    <row r="1333" spans="1:8" x14ac:dyDescent="0.25">
      <c r="A1333" s="1274"/>
      <c r="B1333" s="1274"/>
      <c r="C1333" s="1274"/>
      <c r="D1333" s="1274"/>
      <c r="E1333" s="1274"/>
      <c r="F1333" s="1275"/>
      <c r="G1333" s="1275"/>
      <c r="H1333" s="1275"/>
    </row>
    <row r="1334" spans="1:8" x14ac:dyDescent="0.25">
      <c r="A1334" s="1274"/>
      <c r="B1334" s="1274"/>
      <c r="C1334" s="1274"/>
      <c r="D1334" s="1274"/>
      <c r="E1334" s="1274"/>
      <c r="F1334" s="500"/>
      <c r="G1334" s="1276"/>
      <c r="H1334" s="1276"/>
    </row>
    <row r="1335" spans="1:8" x14ac:dyDescent="0.25">
      <c r="A1335" s="1274"/>
      <c r="B1335" s="1274"/>
      <c r="C1335" s="1274"/>
      <c r="D1335" s="1274"/>
      <c r="E1335" s="1274"/>
      <c r="F1335" s="1277"/>
      <c r="G1335" s="1278"/>
      <c r="H1335" s="1278"/>
    </row>
    <row r="1336" spans="1:8" x14ac:dyDescent="0.25">
      <c r="A1336" s="1249"/>
      <c r="B1336" s="1250"/>
      <c r="C1336" s="1250"/>
      <c r="D1336" s="1250"/>
      <c r="E1336" s="1250"/>
      <c r="F1336" s="1250"/>
      <c r="G1336" s="1250"/>
      <c r="H1336" s="1251"/>
    </row>
    <row r="1337" spans="1:8" x14ac:dyDescent="0.25">
      <c r="A1337" s="1264" t="s">
        <v>1988</v>
      </c>
      <c r="B1337" s="1264"/>
      <c r="C1337" s="1264"/>
      <c r="D1337" s="1264"/>
      <c r="E1337" s="501" t="s">
        <v>24</v>
      </c>
      <c r="F1337" s="501" t="s">
        <v>34</v>
      </c>
      <c r="G1337" s="502" t="s">
        <v>1989</v>
      </c>
      <c r="H1337" s="502" t="s">
        <v>1990</v>
      </c>
    </row>
    <row r="1338" spans="1:8" x14ac:dyDescent="0.25">
      <c r="A1338" s="1268" t="s">
        <v>2105</v>
      </c>
      <c r="B1338" s="1269"/>
      <c r="C1338" s="1269"/>
      <c r="D1338" s="1270"/>
      <c r="E1338" s="546" t="s">
        <v>24</v>
      </c>
      <c r="F1338" s="546">
        <v>1</v>
      </c>
      <c r="G1338" s="547">
        <v>25000</v>
      </c>
      <c r="H1338" s="506">
        <f t="shared" ref="H1338:H1344" si="26">+G1338*F1338</f>
        <v>25000</v>
      </c>
    </row>
    <row r="1339" spans="1:8" x14ac:dyDescent="0.25">
      <c r="A1339" s="1271" t="s">
        <v>2084</v>
      </c>
      <c r="B1339" s="1272"/>
      <c r="C1339" s="1272"/>
      <c r="D1339" s="1273"/>
      <c r="E1339" s="503" t="s">
        <v>15</v>
      </c>
      <c r="F1339" s="522">
        <v>1</v>
      </c>
      <c r="G1339" s="505">
        <v>12000</v>
      </c>
      <c r="H1339" s="506">
        <f t="shared" si="26"/>
        <v>12000</v>
      </c>
    </row>
    <row r="1340" spans="1:8" x14ac:dyDescent="0.25">
      <c r="A1340" s="1263" t="s">
        <v>2085</v>
      </c>
      <c r="B1340" s="1263"/>
      <c r="C1340" s="1263"/>
      <c r="D1340" s="1263"/>
      <c r="E1340" s="503" t="s">
        <v>24</v>
      </c>
      <c r="F1340" s="522">
        <v>2</v>
      </c>
      <c r="G1340" s="505">
        <v>5000</v>
      </c>
      <c r="H1340" s="506">
        <f t="shared" si="26"/>
        <v>10000</v>
      </c>
    </row>
    <row r="1341" spans="1:8" x14ac:dyDescent="0.25">
      <c r="A1341" s="1263" t="s">
        <v>2086</v>
      </c>
      <c r="B1341" s="1263"/>
      <c r="C1341" s="1263"/>
      <c r="D1341" s="1263"/>
      <c r="E1341" s="503" t="s">
        <v>24</v>
      </c>
      <c r="F1341" s="522">
        <v>2</v>
      </c>
      <c r="G1341" s="505">
        <v>2500</v>
      </c>
      <c r="H1341" s="506">
        <f t="shared" si="26"/>
        <v>5000</v>
      </c>
    </row>
    <row r="1342" spans="1:8" x14ac:dyDescent="0.25">
      <c r="A1342" s="1263" t="s">
        <v>2087</v>
      </c>
      <c r="B1342" s="1263"/>
      <c r="C1342" s="1263"/>
      <c r="D1342" s="1263"/>
      <c r="E1342" s="503" t="s">
        <v>24</v>
      </c>
      <c r="F1342" s="522">
        <v>1</v>
      </c>
      <c r="G1342" s="505">
        <v>5000</v>
      </c>
      <c r="H1342" s="506">
        <f t="shared" si="26"/>
        <v>5000</v>
      </c>
    </row>
    <row r="1343" spans="1:8" x14ac:dyDescent="0.25">
      <c r="A1343" s="1263" t="s">
        <v>2088</v>
      </c>
      <c r="B1343" s="1263"/>
      <c r="C1343" s="1263"/>
      <c r="D1343" s="1263"/>
      <c r="E1343" s="503" t="s">
        <v>15</v>
      </c>
      <c r="F1343" s="522">
        <v>18</v>
      </c>
      <c r="G1343" s="505">
        <v>1500</v>
      </c>
      <c r="H1343" s="506">
        <f t="shared" si="26"/>
        <v>27000</v>
      </c>
    </row>
    <row r="1344" spans="1:8" x14ac:dyDescent="0.25">
      <c r="A1344" s="1263" t="s">
        <v>2089</v>
      </c>
      <c r="B1344" s="1263"/>
      <c r="C1344" s="1263"/>
      <c r="D1344" s="1263"/>
      <c r="E1344" s="503" t="s">
        <v>24</v>
      </c>
      <c r="F1344" s="522">
        <v>6</v>
      </c>
      <c r="G1344" s="505">
        <v>200</v>
      </c>
      <c r="H1344" s="506">
        <f t="shared" si="26"/>
        <v>1200</v>
      </c>
    </row>
    <row r="1345" spans="1:8" x14ac:dyDescent="0.25">
      <c r="A1345" s="1271"/>
      <c r="B1345" s="1272"/>
      <c r="C1345" s="1272"/>
      <c r="D1345" s="1273"/>
      <c r="E1345" s="503"/>
      <c r="F1345" s="522"/>
      <c r="G1345" s="505"/>
      <c r="H1345" s="506"/>
    </row>
    <row r="1346" spans="1:8" x14ac:dyDescent="0.25">
      <c r="A1346" s="1263"/>
      <c r="B1346" s="1263"/>
      <c r="C1346" s="1263"/>
      <c r="D1346" s="1263"/>
      <c r="E1346" s="503"/>
      <c r="F1346" s="504"/>
      <c r="G1346" s="505"/>
      <c r="H1346" s="506">
        <f>+G1346*F1346</f>
        <v>0</v>
      </c>
    </row>
    <row r="1347" spans="1:8" x14ac:dyDescent="0.25">
      <c r="A1347" s="1249"/>
      <c r="B1347" s="1250"/>
      <c r="C1347" s="1250"/>
      <c r="D1347" s="1250"/>
      <c r="E1347" s="1250"/>
      <c r="F1347" s="1251"/>
      <c r="G1347" s="507" t="s">
        <v>31</v>
      </c>
      <c r="H1347" s="507">
        <f>ROUND(SUM(H1338:H1346),0)</f>
        <v>85200</v>
      </c>
    </row>
    <row r="1348" spans="1:8" x14ac:dyDescent="0.25">
      <c r="A1348" s="1249"/>
      <c r="B1348" s="1250"/>
      <c r="C1348" s="1250"/>
      <c r="D1348" s="1250"/>
      <c r="E1348" s="1250"/>
      <c r="F1348" s="1250"/>
      <c r="G1348" s="1250"/>
      <c r="H1348" s="1251"/>
    </row>
    <row r="1349" spans="1:8" x14ac:dyDescent="0.25">
      <c r="A1349" s="1264" t="s">
        <v>1991</v>
      </c>
      <c r="B1349" s="1264"/>
      <c r="C1349" s="1264"/>
      <c r="D1349" s="1264"/>
      <c r="E1349" s="501" t="s">
        <v>1992</v>
      </c>
      <c r="F1349" s="501" t="s">
        <v>34</v>
      </c>
      <c r="G1349" s="502" t="s">
        <v>1989</v>
      </c>
      <c r="H1349" s="502" t="s">
        <v>1990</v>
      </c>
    </row>
    <row r="1350" spans="1:8" x14ac:dyDescent="0.25">
      <c r="A1350" s="1265"/>
      <c r="B1350" s="1266"/>
      <c r="C1350" s="1266"/>
      <c r="D1350" s="1267"/>
      <c r="E1350" s="503">
        <v>10</v>
      </c>
      <c r="F1350" s="508">
        <v>1</v>
      </c>
      <c r="G1350" s="506">
        <v>1200</v>
      </c>
      <c r="H1350" s="506">
        <f>E1350*G1350</f>
        <v>12000</v>
      </c>
    </row>
    <row r="1351" spans="1:8" x14ac:dyDescent="0.25">
      <c r="A1351" s="1249"/>
      <c r="B1351" s="1250"/>
      <c r="C1351" s="1250"/>
      <c r="D1351" s="1250"/>
      <c r="E1351" s="1250"/>
      <c r="F1351" s="1251"/>
      <c r="G1351" s="507" t="s">
        <v>31</v>
      </c>
      <c r="H1351" s="507">
        <f>ROUND(SUM(H1350:H1350),0)</f>
        <v>12000</v>
      </c>
    </row>
    <row r="1352" spans="1:8" x14ac:dyDescent="0.25">
      <c r="A1352" s="512"/>
      <c r="B1352" s="513"/>
      <c r="C1352" s="513"/>
      <c r="D1352" s="513"/>
      <c r="E1352" s="513"/>
      <c r="F1352" s="513"/>
      <c r="G1352" s="513"/>
      <c r="H1352" s="514"/>
    </row>
    <row r="1353" spans="1:8" x14ac:dyDescent="0.25">
      <c r="A1353" s="1260" t="s">
        <v>1993</v>
      </c>
      <c r="B1353" s="1260"/>
      <c r="C1353" s="1260"/>
      <c r="D1353" s="1259" t="s">
        <v>1994</v>
      </c>
      <c r="E1353" s="1259"/>
      <c r="F1353" s="515" t="s">
        <v>28</v>
      </c>
      <c r="G1353" s="502" t="s">
        <v>1989</v>
      </c>
      <c r="H1353" s="502" t="s">
        <v>1990</v>
      </c>
    </row>
    <row r="1354" spans="1:8" x14ac:dyDescent="0.25">
      <c r="A1354" s="1256" t="s">
        <v>2082</v>
      </c>
      <c r="B1354" s="1256"/>
      <c r="C1354" s="1256"/>
      <c r="D1354" s="1261">
        <v>5000</v>
      </c>
      <c r="E1354" s="1261"/>
      <c r="F1354" s="503">
        <v>10</v>
      </c>
      <c r="G1354" s="506">
        <f>+D1354/F1354</f>
        <v>500</v>
      </c>
      <c r="H1354" s="506">
        <f>+G1354</f>
        <v>500</v>
      </c>
    </row>
    <row r="1355" spans="1:8" x14ac:dyDescent="0.25">
      <c r="A1355" s="1262"/>
      <c r="B1355" s="1262"/>
      <c r="C1355" s="1262"/>
      <c r="D1355" s="1261"/>
      <c r="E1355" s="1261"/>
      <c r="F1355" s="503"/>
      <c r="G1355" s="506"/>
      <c r="H1355" s="506">
        <f>+G1355</f>
        <v>0</v>
      </c>
    </row>
    <row r="1356" spans="1:8" x14ac:dyDescent="0.25">
      <c r="A1356" s="1249"/>
      <c r="B1356" s="1250"/>
      <c r="C1356" s="1250"/>
      <c r="D1356" s="1250"/>
      <c r="E1356" s="1250"/>
      <c r="F1356" s="1251"/>
      <c r="G1356" s="507" t="s">
        <v>31</v>
      </c>
      <c r="H1356" s="507">
        <f>SUM(H1354:H1355)</f>
        <v>500</v>
      </c>
    </row>
    <row r="1357" spans="1:8" x14ac:dyDescent="0.25">
      <c r="A1357" s="1249"/>
      <c r="B1357" s="1250"/>
      <c r="C1357" s="1250"/>
      <c r="D1357" s="1250"/>
      <c r="E1357" s="1250"/>
      <c r="F1357" s="1250"/>
      <c r="G1357" s="1250"/>
      <c r="H1357" s="1251"/>
    </row>
    <row r="1358" spans="1:8" x14ac:dyDescent="0.25">
      <c r="A1358" s="1258" t="s">
        <v>1997</v>
      </c>
      <c r="B1358" s="1258"/>
      <c r="C1358" s="516" t="s">
        <v>1998</v>
      </c>
      <c r="D1358" s="1259" t="s">
        <v>1999</v>
      </c>
      <c r="E1358" s="1259"/>
      <c r="F1358" s="515" t="s">
        <v>2000</v>
      </c>
      <c r="G1358" s="517" t="s">
        <v>2001</v>
      </c>
      <c r="H1358" s="517" t="s">
        <v>2002</v>
      </c>
    </row>
    <row r="1359" spans="1:8" x14ac:dyDescent="0.25">
      <c r="A1359" s="1253" t="s">
        <v>2003</v>
      </c>
      <c r="B1359" s="1253"/>
      <c r="C1359" s="518">
        <v>150000</v>
      </c>
      <c r="D1359" s="1254">
        <f>C1359*65%</f>
        <v>97500</v>
      </c>
      <c r="E1359" s="1255"/>
      <c r="F1359" s="518">
        <f>C1359+D1359</f>
        <v>247500</v>
      </c>
      <c r="G1359" s="542">
        <v>3</v>
      </c>
      <c r="H1359" s="518">
        <f>F1359/G1359</f>
        <v>82500</v>
      </c>
    </row>
    <row r="1360" spans="1:8" x14ac:dyDescent="0.25">
      <c r="A1360" s="1253" t="s">
        <v>2004</v>
      </c>
      <c r="B1360" s="1253"/>
      <c r="C1360" s="518">
        <v>70000</v>
      </c>
      <c r="D1360" s="1254">
        <f>C1360*65%</f>
        <v>45500</v>
      </c>
      <c r="E1360" s="1255"/>
      <c r="F1360" s="518">
        <f>C1360+D1360</f>
        <v>115500</v>
      </c>
      <c r="G1360" s="542">
        <v>3</v>
      </c>
      <c r="H1360" s="518">
        <f>F1360/G1360</f>
        <v>38500</v>
      </c>
    </row>
    <row r="1361" spans="1:8" x14ac:dyDescent="0.25">
      <c r="A1361" s="1253" t="s">
        <v>2005</v>
      </c>
      <c r="B1361" s="1253"/>
      <c r="C1361" s="518">
        <v>45000</v>
      </c>
      <c r="D1361" s="1254">
        <f>C1361*65%</f>
        <v>29250</v>
      </c>
      <c r="E1361" s="1255"/>
      <c r="F1361" s="518">
        <f>C1361+D1361</f>
        <v>74250</v>
      </c>
      <c r="G1361" s="542">
        <v>3</v>
      </c>
      <c r="H1361" s="518">
        <f>F1361/G1361</f>
        <v>24750</v>
      </c>
    </row>
    <row r="1362" spans="1:8" x14ac:dyDescent="0.25">
      <c r="A1362" s="1256"/>
      <c r="B1362" s="1256"/>
      <c r="C1362" s="520"/>
      <c r="D1362" s="1257"/>
      <c r="E1362" s="1257"/>
      <c r="F1362" s="506">
        <f>C1362</f>
        <v>0</v>
      </c>
      <c r="G1362" s="542"/>
      <c r="H1362" s="518"/>
    </row>
    <row r="1363" spans="1:8" x14ac:dyDescent="0.25">
      <c r="A1363" s="1249"/>
      <c r="B1363" s="1250"/>
      <c r="C1363" s="1250"/>
      <c r="D1363" s="1250"/>
      <c r="E1363" s="1250"/>
      <c r="F1363" s="1251"/>
      <c r="G1363" s="507" t="s">
        <v>31</v>
      </c>
      <c r="H1363" s="507">
        <f>SUM(H1359:H1362)</f>
        <v>145750</v>
      </c>
    </row>
    <row r="1364" spans="1:8" ht="15.75" thickBot="1" x14ac:dyDescent="0.3">
      <c r="A1364" s="1249"/>
      <c r="B1364" s="1250"/>
      <c r="C1364" s="1250"/>
      <c r="D1364" s="1250"/>
      <c r="E1364" s="1250"/>
      <c r="F1364" s="1250"/>
      <c r="G1364" s="1250"/>
      <c r="H1364" s="1251"/>
    </row>
    <row r="1365" spans="1:8" ht="16.5" thickTop="1" thickBot="1" x14ac:dyDescent="0.3">
      <c r="A1365" s="1252" t="s">
        <v>2007</v>
      </c>
      <c r="B1365" s="1252"/>
      <c r="C1365" s="1252"/>
      <c r="D1365" s="1252"/>
      <c r="E1365" s="1252"/>
      <c r="F1365" s="1252"/>
      <c r="G1365" s="1252"/>
      <c r="H1365" s="499">
        <f>ROUND(H1363+H1356+H1347+H1351,0)</f>
        <v>243450</v>
      </c>
    </row>
    <row r="1367" spans="1:8" x14ac:dyDescent="0.25">
      <c r="A1367" s="1274"/>
      <c r="B1367" s="1274"/>
      <c r="C1367" s="1274"/>
      <c r="D1367" s="1274"/>
      <c r="E1367" s="1274"/>
      <c r="F1367" s="1275"/>
      <c r="G1367" s="1275"/>
      <c r="H1367" s="1275"/>
    </row>
    <row r="1368" spans="1:8" x14ac:dyDescent="0.25">
      <c r="A1368" s="1274"/>
      <c r="B1368" s="1274"/>
      <c r="C1368" s="1274"/>
      <c r="D1368" s="1274"/>
      <c r="E1368" s="1274"/>
      <c r="F1368" s="500"/>
      <c r="G1368" s="1276"/>
      <c r="H1368" s="1276"/>
    </row>
    <row r="1369" spans="1:8" x14ac:dyDescent="0.25">
      <c r="A1369" s="1274"/>
      <c r="B1369" s="1274"/>
      <c r="C1369" s="1274"/>
      <c r="D1369" s="1274"/>
      <c r="E1369" s="1274"/>
      <c r="F1369" s="1277"/>
      <c r="G1369" s="1278"/>
      <c r="H1369" s="1278"/>
    </row>
    <row r="1370" spans="1:8" x14ac:dyDescent="0.25">
      <c r="A1370" s="1249"/>
      <c r="B1370" s="1250"/>
      <c r="C1370" s="1250"/>
      <c r="D1370" s="1250"/>
      <c r="E1370" s="1250"/>
      <c r="F1370" s="1250"/>
      <c r="G1370" s="1250"/>
      <c r="H1370" s="1251"/>
    </row>
    <row r="1371" spans="1:8" x14ac:dyDescent="0.25">
      <c r="A1371" s="1264" t="s">
        <v>1988</v>
      </c>
      <c r="B1371" s="1264"/>
      <c r="C1371" s="1264"/>
      <c r="D1371" s="1264"/>
      <c r="E1371" s="501" t="s">
        <v>24</v>
      </c>
      <c r="F1371" s="501" t="s">
        <v>34</v>
      </c>
      <c r="G1371" s="502" t="s">
        <v>1989</v>
      </c>
      <c r="H1371" s="502" t="s">
        <v>1990</v>
      </c>
    </row>
    <row r="1372" spans="1:8" x14ac:dyDescent="0.25">
      <c r="A1372" s="1268" t="s">
        <v>2105</v>
      </c>
      <c r="B1372" s="1269"/>
      <c r="C1372" s="1269"/>
      <c r="D1372" s="1270"/>
      <c r="E1372" s="546" t="s">
        <v>24</v>
      </c>
      <c r="F1372" s="546">
        <v>1</v>
      </c>
      <c r="G1372" s="547">
        <v>25000</v>
      </c>
      <c r="H1372" s="506">
        <f t="shared" ref="H1372:H1378" si="27">+G1372*F1372</f>
        <v>25000</v>
      </c>
    </row>
    <row r="1373" spans="1:8" x14ac:dyDescent="0.25">
      <c r="A1373" s="1271" t="s">
        <v>2084</v>
      </c>
      <c r="B1373" s="1272"/>
      <c r="C1373" s="1272"/>
      <c r="D1373" s="1273"/>
      <c r="E1373" s="503" t="s">
        <v>15</v>
      </c>
      <c r="F1373" s="522">
        <v>1</v>
      </c>
      <c r="G1373" s="505">
        <v>12000</v>
      </c>
      <c r="H1373" s="506">
        <f t="shared" si="27"/>
        <v>12000</v>
      </c>
    </row>
    <row r="1374" spans="1:8" x14ac:dyDescent="0.25">
      <c r="A1374" s="1263" t="s">
        <v>2085</v>
      </c>
      <c r="B1374" s="1263"/>
      <c r="C1374" s="1263"/>
      <c r="D1374" s="1263"/>
      <c r="E1374" s="503" t="s">
        <v>24</v>
      </c>
      <c r="F1374" s="522">
        <v>2</v>
      </c>
      <c r="G1374" s="505">
        <v>5000</v>
      </c>
      <c r="H1374" s="506">
        <f t="shared" si="27"/>
        <v>10000</v>
      </c>
    </row>
    <row r="1375" spans="1:8" x14ac:dyDescent="0.25">
      <c r="A1375" s="1263" t="s">
        <v>2086</v>
      </c>
      <c r="B1375" s="1263"/>
      <c r="C1375" s="1263"/>
      <c r="D1375" s="1263"/>
      <c r="E1375" s="503" t="s">
        <v>24</v>
      </c>
      <c r="F1375" s="522">
        <v>2</v>
      </c>
      <c r="G1375" s="505">
        <v>2500</v>
      </c>
      <c r="H1375" s="506">
        <f t="shared" si="27"/>
        <v>5000</v>
      </c>
    </row>
    <row r="1376" spans="1:8" x14ac:dyDescent="0.25">
      <c r="A1376" s="1263" t="s">
        <v>2087</v>
      </c>
      <c r="B1376" s="1263"/>
      <c r="C1376" s="1263"/>
      <c r="D1376" s="1263"/>
      <c r="E1376" s="503" t="s">
        <v>24</v>
      </c>
      <c r="F1376" s="522">
        <v>1</v>
      </c>
      <c r="G1376" s="505">
        <v>5000</v>
      </c>
      <c r="H1376" s="506">
        <f t="shared" si="27"/>
        <v>5000</v>
      </c>
    </row>
    <row r="1377" spans="1:8" x14ac:dyDescent="0.25">
      <c r="A1377" s="1263" t="s">
        <v>2088</v>
      </c>
      <c r="B1377" s="1263"/>
      <c r="C1377" s="1263"/>
      <c r="D1377" s="1263"/>
      <c r="E1377" s="503" t="s">
        <v>15</v>
      </c>
      <c r="F1377" s="522">
        <v>18</v>
      </c>
      <c r="G1377" s="505">
        <v>1500</v>
      </c>
      <c r="H1377" s="506">
        <f t="shared" si="27"/>
        <v>27000</v>
      </c>
    </row>
    <row r="1378" spans="1:8" x14ac:dyDescent="0.25">
      <c r="A1378" s="1263" t="s">
        <v>2089</v>
      </c>
      <c r="B1378" s="1263"/>
      <c r="C1378" s="1263"/>
      <c r="D1378" s="1263"/>
      <c r="E1378" s="503" t="s">
        <v>24</v>
      </c>
      <c r="F1378" s="522">
        <v>6</v>
      </c>
      <c r="G1378" s="505">
        <v>200</v>
      </c>
      <c r="H1378" s="506">
        <f t="shared" si="27"/>
        <v>1200</v>
      </c>
    </row>
    <row r="1379" spans="1:8" x14ac:dyDescent="0.25">
      <c r="A1379" s="1263"/>
      <c r="B1379" s="1263"/>
      <c r="C1379" s="1263"/>
      <c r="D1379" s="1263"/>
      <c r="E1379" s="503"/>
      <c r="F1379" s="522"/>
      <c r="G1379" s="505" t="s">
        <v>2106</v>
      </c>
      <c r="H1379" s="507">
        <f>ROUND(SUM(H1372:H1377),0)</f>
        <v>84000</v>
      </c>
    </row>
    <row r="1380" spans="1:8" x14ac:dyDescent="0.25">
      <c r="A1380" s="1249"/>
      <c r="B1380" s="1250"/>
      <c r="C1380" s="1250"/>
      <c r="D1380" s="1250"/>
      <c r="E1380" s="1250"/>
      <c r="F1380" s="1250"/>
      <c r="G1380" s="1250"/>
      <c r="H1380" s="1251"/>
    </row>
    <row r="1381" spans="1:8" x14ac:dyDescent="0.25">
      <c r="A1381" s="1264" t="s">
        <v>1991</v>
      </c>
      <c r="B1381" s="1264"/>
      <c r="C1381" s="1264"/>
      <c r="D1381" s="1264"/>
      <c r="E1381" s="501" t="s">
        <v>1992</v>
      </c>
      <c r="F1381" s="501" t="s">
        <v>34</v>
      </c>
      <c r="G1381" s="502" t="s">
        <v>1989</v>
      </c>
      <c r="H1381" s="502" t="s">
        <v>1990</v>
      </c>
    </row>
    <row r="1382" spans="1:8" x14ac:dyDescent="0.25">
      <c r="A1382" s="1265"/>
      <c r="B1382" s="1266"/>
      <c r="C1382" s="1266"/>
      <c r="D1382" s="1267"/>
      <c r="E1382" s="503">
        <v>2</v>
      </c>
      <c r="F1382" s="508">
        <v>1</v>
      </c>
      <c r="G1382" s="506">
        <v>1200</v>
      </c>
      <c r="H1382" s="506">
        <f>E1382*G1382</f>
        <v>2400</v>
      </c>
    </row>
    <row r="1383" spans="1:8" x14ac:dyDescent="0.25">
      <c r="A1383" s="1249"/>
      <c r="B1383" s="1250"/>
      <c r="C1383" s="1250"/>
      <c r="D1383" s="1250"/>
      <c r="E1383" s="1250"/>
      <c r="F1383" s="1251"/>
      <c r="G1383" s="507" t="s">
        <v>31</v>
      </c>
      <c r="H1383" s="507">
        <f>ROUND(SUM(H1382:H1382),0)</f>
        <v>2400</v>
      </c>
    </row>
    <row r="1384" spans="1:8" x14ac:dyDescent="0.25">
      <c r="A1384" s="512"/>
      <c r="B1384" s="513"/>
      <c r="C1384" s="513"/>
      <c r="D1384" s="513"/>
      <c r="E1384" s="513"/>
      <c r="F1384" s="513"/>
      <c r="G1384" s="513"/>
      <c r="H1384" s="514"/>
    </row>
    <row r="1385" spans="1:8" x14ac:dyDescent="0.25">
      <c r="A1385" s="1260" t="s">
        <v>1993</v>
      </c>
      <c r="B1385" s="1260"/>
      <c r="C1385" s="1260"/>
      <c r="D1385" s="1259" t="s">
        <v>1994</v>
      </c>
      <c r="E1385" s="1259"/>
      <c r="F1385" s="515" t="s">
        <v>28</v>
      </c>
      <c r="G1385" s="502" t="s">
        <v>1989</v>
      </c>
      <c r="H1385" s="502" t="s">
        <v>1990</v>
      </c>
    </row>
    <row r="1386" spans="1:8" x14ac:dyDescent="0.25">
      <c r="A1386" s="1256" t="s">
        <v>2082</v>
      </c>
      <c r="B1386" s="1256"/>
      <c r="C1386" s="1256"/>
      <c r="D1386" s="1261">
        <v>5000</v>
      </c>
      <c r="E1386" s="1261"/>
      <c r="F1386" s="503">
        <v>10</v>
      </c>
      <c r="G1386" s="506">
        <f>+D1386/F1386</f>
        <v>500</v>
      </c>
      <c r="H1386" s="506">
        <f>+G1386</f>
        <v>500</v>
      </c>
    </row>
    <row r="1387" spans="1:8" x14ac:dyDescent="0.25">
      <c r="A1387" s="1262"/>
      <c r="B1387" s="1262"/>
      <c r="C1387" s="1262"/>
      <c r="D1387" s="1261"/>
      <c r="E1387" s="1261"/>
      <c r="F1387" s="503"/>
      <c r="G1387" s="506"/>
      <c r="H1387" s="506">
        <f>+G1387</f>
        <v>0</v>
      </c>
    </row>
    <row r="1388" spans="1:8" x14ac:dyDescent="0.25">
      <c r="A1388" s="1249"/>
      <c r="B1388" s="1250"/>
      <c r="C1388" s="1250"/>
      <c r="D1388" s="1250"/>
      <c r="E1388" s="1250"/>
      <c r="F1388" s="1251"/>
      <c r="G1388" s="507" t="s">
        <v>31</v>
      </c>
      <c r="H1388" s="507">
        <f>SUM(H1386:H1387)</f>
        <v>500</v>
      </c>
    </row>
    <row r="1389" spans="1:8" x14ac:dyDescent="0.25">
      <c r="A1389" s="1249"/>
      <c r="B1389" s="1250"/>
      <c r="C1389" s="1250"/>
      <c r="D1389" s="1250"/>
      <c r="E1389" s="1250"/>
      <c r="F1389" s="1250"/>
      <c r="G1389" s="1250"/>
      <c r="H1389" s="1251"/>
    </row>
    <row r="1390" spans="1:8" x14ac:dyDescent="0.25">
      <c r="A1390" s="1258" t="s">
        <v>1997</v>
      </c>
      <c r="B1390" s="1258"/>
      <c r="C1390" s="516" t="s">
        <v>1998</v>
      </c>
      <c r="D1390" s="1259" t="s">
        <v>1999</v>
      </c>
      <c r="E1390" s="1259"/>
      <c r="F1390" s="515" t="s">
        <v>2000</v>
      </c>
      <c r="G1390" s="517" t="s">
        <v>2001</v>
      </c>
      <c r="H1390" s="517" t="s">
        <v>2002</v>
      </c>
    </row>
    <row r="1391" spans="1:8" x14ac:dyDescent="0.25">
      <c r="A1391" s="1253" t="s">
        <v>2003</v>
      </c>
      <c r="B1391" s="1253"/>
      <c r="C1391" s="518">
        <v>150000</v>
      </c>
      <c r="D1391" s="1254">
        <f>C1391*65%</f>
        <v>97500</v>
      </c>
      <c r="E1391" s="1255"/>
      <c r="F1391" s="518">
        <f>C1391+D1391</f>
        <v>247500</v>
      </c>
      <c r="G1391" s="542">
        <v>3</v>
      </c>
      <c r="H1391" s="518">
        <f>F1391/G1391</f>
        <v>82500</v>
      </c>
    </row>
    <row r="1392" spans="1:8" x14ac:dyDescent="0.25">
      <c r="A1392" s="1253" t="s">
        <v>2004</v>
      </c>
      <c r="B1392" s="1253"/>
      <c r="C1392" s="518">
        <v>70000</v>
      </c>
      <c r="D1392" s="1254">
        <f>C1392*65%</f>
        <v>45500</v>
      </c>
      <c r="E1392" s="1255"/>
      <c r="F1392" s="518">
        <f>C1392+D1392</f>
        <v>115500</v>
      </c>
      <c r="G1392" s="542">
        <v>3</v>
      </c>
      <c r="H1392" s="518">
        <f>F1392/G1392</f>
        <v>38500</v>
      </c>
    </row>
    <row r="1393" spans="1:8" x14ac:dyDescent="0.25">
      <c r="A1393" s="1253" t="s">
        <v>2005</v>
      </c>
      <c r="B1393" s="1253"/>
      <c r="C1393" s="518">
        <v>45000</v>
      </c>
      <c r="D1393" s="1254">
        <f>C1393*65%</f>
        <v>29250</v>
      </c>
      <c r="E1393" s="1255"/>
      <c r="F1393" s="518">
        <f>C1393+D1393</f>
        <v>74250</v>
      </c>
      <c r="G1393" s="542">
        <v>3</v>
      </c>
      <c r="H1393" s="518">
        <f>F1393/G1393</f>
        <v>24750</v>
      </c>
    </row>
    <row r="1394" spans="1:8" x14ac:dyDescent="0.25">
      <c r="A1394" s="1256"/>
      <c r="B1394" s="1256"/>
      <c r="C1394" s="520"/>
      <c r="D1394" s="1257"/>
      <c r="E1394" s="1257"/>
      <c r="F1394" s="506">
        <f>C1394</f>
        <v>0</v>
      </c>
      <c r="G1394" s="542"/>
      <c r="H1394" s="518"/>
    </row>
    <row r="1395" spans="1:8" x14ac:dyDescent="0.25">
      <c r="A1395" s="1249"/>
      <c r="B1395" s="1250"/>
      <c r="C1395" s="1250"/>
      <c r="D1395" s="1250"/>
      <c r="E1395" s="1250"/>
      <c r="F1395" s="1251"/>
      <c r="G1395" s="507" t="s">
        <v>31</v>
      </c>
      <c r="H1395" s="507">
        <f>SUM(H1391:H1394)</f>
        <v>145750</v>
      </c>
    </row>
    <row r="1396" spans="1:8" ht="15.75" thickBot="1" x14ac:dyDescent="0.3">
      <c r="A1396" s="1249"/>
      <c r="B1396" s="1250"/>
      <c r="C1396" s="1250"/>
      <c r="D1396" s="1250"/>
      <c r="E1396" s="1250"/>
      <c r="F1396" s="1250"/>
      <c r="G1396" s="1250"/>
      <c r="H1396" s="1251"/>
    </row>
    <row r="1397" spans="1:8" ht="16.5" thickTop="1" thickBot="1" x14ac:dyDescent="0.3">
      <c r="A1397" s="1252" t="s">
        <v>2007</v>
      </c>
      <c r="B1397" s="1252"/>
      <c r="C1397" s="1252"/>
      <c r="D1397" s="1252"/>
      <c r="E1397" s="1252"/>
      <c r="F1397" s="1252"/>
      <c r="G1397" s="1252"/>
      <c r="H1397" s="499">
        <f>ROUND(H1395+H1388+H1379+H1383,0)</f>
        <v>232650</v>
      </c>
    </row>
    <row r="1399" spans="1:8" x14ac:dyDescent="0.25">
      <c r="A1399" s="1274"/>
      <c r="B1399" s="1274"/>
      <c r="C1399" s="1274"/>
      <c r="D1399" s="1274"/>
      <c r="E1399" s="1274"/>
      <c r="F1399" s="1275"/>
      <c r="G1399" s="1275"/>
      <c r="H1399" s="1275"/>
    </row>
    <row r="1400" spans="1:8" x14ac:dyDescent="0.25">
      <c r="A1400" s="1274"/>
      <c r="B1400" s="1274"/>
      <c r="C1400" s="1274"/>
      <c r="D1400" s="1274"/>
      <c r="E1400" s="1274"/>
      <c r="F1400" s="500"/>
      <c r="G1400" s="1276"/>
      <c r="H1400" s="1276"/>
    </row>
    <row r="1401" spans="1:8" x14ac:dyDescent="0.25">
      <c r="A1401" s="1274"/>
      <c r="B1401" s="1274"/>
      <c r="C1401" s="1274"/>
      <c r="D1401" s="1274"/>
      <c r="E1401" s="1274"/>
      <c r="F1401" s="1277"/>
      <c r="G1401" s="1278"/>
      <c r="H1401" s="1278"/>
    </row>
    <row r="1402" spans="1:8" x14ac:dyDescent="0.25">
      <c r="A1402" s="1249"/>
      <c r="B1402" s="1250"/>
      <c r="C1402" s="1250"/>
      <c r="D1402" s="1250"/>
      <c r="E1402" s="1250"/>
      <c r="F1402" s="1250"/>
      <c r="G1402" s="1250"/>
      <c r="H1402" s="1251"/>
    </row>
    <row r="1403" spans="1:8" x14ac:dyDescent="0.25">
      <c r="A1403" s="1264" t="s">
        <v>1988</v>
      </c>
      <c r="B1403" s="1264"/>
      <c r="C1403" s="1264"/>
      <c r="D1403" s="1264"/>
      <c r="E1403" s="501" t="s">
        <v>24</v>
      </c>
      <c r="F1403" s="501" t="s">
        <v>34</v>
      </c>
      <c r="G1403" s="502" t="s">
        <v>1989</v>
      </c>
      <c r="H1403" s="502" t="s">
        <v>1990</v>
      </c>
    </row>
    <row r="1404" spans="1:8" x14ac:dyDescent="0.25">
      <c r="A1404" s="1268" t="s">
        <v>2107</v>
      </c>
      <c r="B1404" s="1269"/>
      <c r="C1404" s="1269"/>
      <c r="D1404" s="1270"/>
      <c r="E1404" s="546" t="s">
        <v>24</v>
      </c>
      <c r="F1404" s="546">
        <v>1</v>
      </c>
      <c r="G1404" s="547">
        <v>26800000</v>
      </c>
      <c r="H1404" s="506">
        <f t="shared" ref="H1404:H1409" si="28">+G1404*F1404</f>
        <v>26800000</v>
      </c>
    </row>
    <row r="1405" spans="1:8" x14ac:dyDescent="0.25">
      <c r="A1405" s="1271"/>
      <c r="B1405" s="1272"/>
      <c r="C1405" s="1272"/>
      <c r="D1405" s="1273"/>
      <c r="E1405" s="503"/>
      <c r="F1405" s="522"/>
      <c r="G1405" s="505"/>
      <c r="H1405" s="506">
        <f t="shared" si="28"/>
        <v>0</v>
      </c>
    </row>
    <row r="1406" spans="1:8" x14ac:dyDescent="0.25">
      <c r="A1406" s="1263"/>
      <c r="B1406" s="1263"/>
      <c r="C1406" s="1263"/>
      <c r="D1406" s="1263"/>
      <c r="E1406" s="503"/>
      <c r="F1406" s="522"/>
      <c r="G1406" s="505"/>
      <c r="H1406" s="506">
        <f t="shared" si="28"/>
        <v>0</v>
      </c>
    </row>
    <row r="1407" spans="1:8" x14ac:dyDescent="0.25">
      <c r="A1407" s="1263"/>
      <c r="B1407" s="1263"/>
      <c r="C1407" s="1263"/>
      <c r="D1407" s="1263"/>
      <c r="E1407" s="503"/>
      <c r="F1407" s="522"/>
      <c r="G1407" s="505"/>
      <c r="H1407" s="506">
        <f t="shared" si="28"/>
        <v>0</v>
      </c>
    </row>
    <row r="1408" spans="1:8" x14ac:dyDescent="0.25">
      <c r="A1408" s="1263"/>
      <c r="B1408" s="1263"/>
      <c r="C1408" s="1263"/>
      <c r="D1408" s="1263"/>
      <c r="E1408" s="503"/>
      <c r="F1408" s="522"/>
      <c r="G1408" s="505"/>
      <c r="H1408" s="506">
        <f t="shared" si="28"/>
        <v>0</v>
      </c>
    </row>
    <row r="1409" spans="1:8" x14ac:dyDescent="0.25">
      <c r="A1409" s="1263"/>
      <c r="B1409" s="1263"/>
      <c r="C1409" s="1263"/>
      <c r="D1409" s="1263"/>
      <c r="E1409" s="503"/>
      <c r="F1409" s="522"/>
      <c r="G1409" s="505"/>
      <c r="H1409" s="506">
        <f t="shared" si="28"/>
        <v>0</v>
      </c>
    </row>
    <row r="1410" spans="1:8" x14ac:dyDescent="0.25">
      <c r="A1410" s="1263"/>
      <c r="B1410" s="1263"/>
      <c r="C1410" s="1263"/>
      <c r="D1410" s="1263"/>
      <c r="E1410" s="503"/>
      <c r="F1410" s="522"/>
      <c r="G1410" s="505" t="s">
        <v>31</v>
      </c>
      <c r="H1410" s="507">
        <f>ROUND(SUM(H1404:H1409),0)</f>
        <v>26800000</v>
      </c>
    </row>
    <row r="1411" spans="1:8" x14ac:dyDescent="0.25">
      <c r="A1411" s="1249"/>
      <c r="B1411" s="1250"/>
      <c r="C1411" s="1250"/>
      <c r="D1411" s="1250"/>
      <c r="E1411" s="1250"/>
      <c r="F1411" s="1250"/>
      <c r="G1411" s="1250"/>
      <c r="H1411" s="1251"/>
    </row>
    <row r="1412" spans="1:8" x14ac:dyDescent="0.25">
      <c r="A1412" s="1264" t="s">
        <v>1991</v>
      </c>
      <c r="B1412" s="1264"/>
      <c r="C1412" s="1264"/>
      <c r="D1412" s="1264"/>
      <c r="E1412" s="501" t="s">
        <v>1992</v>
      </c>
      <c r="F1412" s="501" t="s">
        <v>34</v>
      </c>
      <c r="G1412" s="502" t="s">
        <v>1989</v>
      </c>
      <c r="H1412" s="502" t="s">
        <v>1990</v>
      </c>
    </row>
    <row r="1413" spans="1:8" x14ac:dyDescent="0.25">
      <c r="A1413" s="1265"/>
      <c r="B1413" s="1266"/>
      <c r="C1413" s="1266"/>
      <c r="D1413" s="1267"/>
      <c r="E1413" s="503">
        <v>2</v>
      </c>
      <c r="F1413" s="508">
        <v>1</v>
      </c>
      <c r="G1413" s="506">
        <v>1200</v>
      </c>
      <c r="H1413" s="506">
        <f>E1413*G1413</f>
        <v>2400</v>
      </c>
    </row>
    <row r="1414" spans="1:8" x14ac:dyDescent="0.25">
      <c r="A1414" s="1249"/>
      <c r="B1414" s="1250"/>
      <c r="C1414" s="1250"/>
      <c r="D1414" s="1250"/>
      <c r="E1414" s="1250"/>
      <c r="F1414" s="1251"/>
      <c r="G1414" s="507" t="s">
        <v>31</v>
      </c>
      <c r="H1414" s="507">
        <f>ROUND(SUM(H1413:H1413),0)</f>
        <v>2400</v>
      </c>
    </row>
    <row r="1415" spans="1:8" x14ac:dyDescent="0.25">
      <c r="A1415" s="512"/>
      <c r="B1415" s="513"/>
      <c r="C1415" s="513"/>
      <c r="D1415" s="513"/>
      <c r="E1415" s="513"/>
      <c r="F1415" s="513"/>
      <c r="G1415" s="513"/>
      <c r="H1415" s="514"/>
    </row>
    <row r="1416" spans="1:8" x14ac:dyDescent="0.25">
      <c r="A1416" s="1260" t="s">
        <v>1993</v>
      </c>
      <c r="B1416" s="1260"/>
      <c r="C1416" s="1260"/>
      <c r="D1416" s="1259" t="s">
        <v>1994</v>
      </c>
      <c r="E1416" s="1259"/>
      <c r="F1416" s="515" t="s">
        <v>28</v>
      </c>
      <c r="G1416" s="502" t="s">
        <v>1989</v>
      </c>
      <c r="H1416" s="502" t="s">
        <v>1990</v>
      </c>
    </row>
    <row r="1417" spans="1:8" x14ac:dyDescent="0.25">
      <c r="A1417" s="1256" t="s">
        <v>2082</v>
      </c>
      <c r="B1417" s="1256"/>
      <c r="C1417" s="1256"/>
      <c r="D1417" s="1261">
        <v>5000</v>
      </c>
      <c r="E1417" s="1261"/>
      <c r="F1417" s="503">
        <v>10</v>
      </c>
      <c r="G1417" s="506">
        <f>+D1417/F1417</f>
        <v>500</v>
      </c>
      <c r="H1417" s="506">
        <f>+G1417</f>
        <v>500</v>
      </c>
    </row>
    <row r="1418" spans="1:8" x14ac:dyDescent="0.25">
      <c r="A1418" s="1262"/>
      <c r="B1418" s="1262"/>
      <c r="C1418" s="1262"/>
      <c r="D1418" s="1261"/>
      <c r="E1418" s="1261"/>
      <c r="F1418" s="503"/>
      <c r="G1418" s="506"/>
      <c r="H1418" s="506">
        <f>+G1418</f>
        <v>0</v>
      </c>
    </row>
    <row r="1419" spans="1:8" x14ac:dyDescent="0.25">
      <c r="A1419" s="1249"/>
      <c r="B1419" s="1250"/>
      <c r="C1419" s="1250"/>
      <c r="D1419" s="1250"/>
      <c r="E1419" s="1250"/>
      <c r="F1419" s="1251"/>
      <c r="G1419" s="507" t="s">
        <v>31</v>
      </c>
      <c r="H1419" s="507">
        <f>SUM(H1417:H1418)</f>
        <v>500</v>
      </c>
    </row>
    <row r="1420" spans="1:8" x14ac:dyDescent="0.25">
      <c r="A1420" s="1249"/>
      <c r="B1420" s="1250"/>
      <c r="C1420" s="1250"/>
      <c r="D1420" s="1250"/>
      <c r="E1420" s="1250"/>
      <c r="F1420" s="1250"/>
      <c r="G1420" s="1250"/>
      <c r="H1420" s="1251"/>
    </row>
    <row r="1421" spans="1:8" x14ac:dyDescent="0.25">
      <c r="A1421" s="1258" t="s">
        <v>1997</v>
      </c>
      <c r="B1421" s="1258"/>
      <c r="C1421" s="516" t="s">
        <v>1998</v>
      </c>
      <c r="D1421" s="1259" t="s">
        <v>1999</v>
      </c>
      <c r="E1421" s="1259"/>
      <c r="F1421" s="515" t="s">
        <v>2000</v>
      </c>
      <c r="G1421" s="517" t="s">
        <v>2001</v>
      </c>
      <c r="H1421" s="517" t="s">
        <v>2002</v>
      </c>
    </row>
    <row r="1422" spans="1:8" x14ac:dyDescent="0.25">
      <c r="A1422" s="1253" t="s">
        <v>2003</v>
      </c>
      <c r="B1422" s="1253"/>
      <c r="C1422" s="518">
        <v>150000</v>
      </c>
      <c r="D1422" s="1254">
        <f>C1422*65%</f>
        <v>97500</v>
      </c>
      <c r="E1422" s="1255"/>
      <c r="F1422" s="518">
        <f>C1422+D1422</f>
        <v>247500</v>
      </c>
      <c r="G1422" s="542">
        <v>3</v>
      </c>
      <c r="H1422" s="518">
        <f>F1422/G1422</f>
        <v>82500</v>
      </c>
    </row>
    <row r="1423" spans="1:8" x14ac:dyDescent="0.25">
      <c r="A1423" s="1253" t="s">
        <v>2004</v>
      </c>
      <c r="B1423" s="1253"/>
      <c r="C1423" s="518">
        <v>70000</v>
      </c>
      <c r="D1423" s="1254">
        <f>C1423*65%</f>
        <v>45500</v>
      </c>
      <c r="E1423" s="1255"/>
      <c r="F1423" s="518">
        <f>C1423+D1423</f>
        <v>115500</v>
      </c>
      <c r="G1423" s="542">
        <v>3</v>
      </c>
      <c r="H1423" s="518">
        <f>F1423/G1423</f>
        <v>38500</v>
      </c>
    </row>
    <row r="1424" spans="1:8" x14ac:dyDescent="0.25">
      <c r="A1424" s="1253" t="s">
        <v>2005</v>
      </c>
      <c r="B1424" s="1253"/>
      <c r="C1424" s="518">
        <v>45000</v>
      </c>
      <c r="D1424" s="1254">
        <f>C1424*65%</f>
        <v>29250</v>
      </c>
      <c r="E1424" s="1255"/>
      <c r="F1424" s="518">
        <f>C1424+D1424</f>
        <v>74250</v>
      </c>
      <c r="G1424" s="542">
        <v>3</v>
      </c>
      <c r="H1424" s="518">
        <f>F1424/G1424</f>
        <v>24750</v>
      </c>
    </row>
    <row r="1425" spans="1:8" x14ac:dyDescent="0.25">
      <c r="A1425" s="1256"/>
      <c r="B1425" s="1256"/>
      <c r="C1425" s="520"/>
      <c r="D1425" s="1257"/>
      <c r="E1425" s="1257"/>
      <c r="F1425" s="506">
        <f>C1425</f>
        <v>0</v>
      </c>
      <c r="G1425" s="542"/>
      <c r="H1425" s="518"/>
    </row>
    <row r="1426" spans="1:8" x14ac:dyDescent="0.25">
      <c r="A1426" s="1249"/>
      <c r="B1426" s="1250"/>
      <c r="C1426" s="1250"/>
      <c r="D1426" s="1250"/>
      <c r="E1426" s="1250"/>
      <c r="F1426" s="1251"/>
      <c r="G1426" s="507" t="s">
        <v>31</v>
      </c>
      <c r="H1426" s="507">
        <f>SUM(H1422:H1425)</f>
        <v>145750</v>
      </c>
    </row>
    <row r="1427" spans="1:8" ht="15.75" thickBot="1" x14ac:dyDescent="0.3">
      <c r="A1427" s="1249"/>
      <c r="B1427" s="1250"/>
      <c r="C1427" s="1250"/>
      <c r="D1427" s="1250"/>
      <c r="E1427" s="1250"/>
      <c r="F1427" s="1250"/>
      <c r="G1427" s="1250"/>
      <c r="H1427" s="1251"/>
    </row>
    <row r="1428" spans="1:8" ht="16.5" thickTop="1" thickBot="1" x14ac:dyDescent="0.3">
      <c r="A1428" s="1252" t="s">
        <v>2007</v>
      </c>
      <c r="B1428" s="1252"/>
      <c r="C1428" s="1252"/>
      <c r="D1428" s="1252"/>
      <c r="E1428" s="1252"/>
      <c r="F1428" s="1252"/>
      <c r="G1428" s="1252"/>
      <c r="H1428" s="499">
        <f>ROUND(H1426+H1419+H1410+H1414,0)</f>
        <v>26948650</v>
      </c>
    </row>
  </sheetData>
  <mergeCells count="1493">
    <mergeCell ref="A13:D13"/>
    <mergeCell ref="A14:D14"/>
    <mergeCell ref="A15:D15"/>
    <mergeCell ref="A16:D16"/>
    <mergeCell ref="A17:D17"/>
    <mergeCell ref="A18:D18"/>
    <mergeCell ref="A7:D7"/>
    <mergeCell ref="A8:D8"/>
    <mergeCell ref="A9:D9"/>
    <mergeCell ref="A10:D10"/>
    <mergeCell ref="A11:D11"/>
    <mergeCell ref="A12:D12"/>
    <mergeCell ref="A1:H1"/>
    <mergeCell ref="A2:H2"/>
    <mergeCell ref="A3:E5"/>
    <mergeCell ref="F3:H3"/>
    <mergeCell ref="G4:H4"/>
    <mergeCell ref="F5:H5"/>
    <mergeCell ref="A33:D33"/>
    <mergeCell ref="A34:D34"/>
    <mergeCell ref="A35:D35"/>
    <mergeCell ref="A36:D36"/>
    <mergeCell ref="A39:C39"/>
    <mergeCell ref="D39:E39"/>
    <mergeCell ref="A27:D27"/>
    <mergeCell ref="A28:D28"/>
    <mergeCell ref="A29:D29"/>
    <mergeCell ref="A30:D30"/>
    <mergeCell ref="A31:D31"/>
    <mergeCell ref="A32:D32"/>
    <mergeCell ref="A19:D19"/>
    <mergeCell ref="A20:D20"/>
    <mergeCell ref="A23:D23"/>
    <mergeCell ref="A24:D24"/>
    <mergeCell ref="A25:D25"/>
    <mergeCell ref="A26:D26"/>
    <mergeCell ref="A48:B48"/>
    <mergeCell ref="D48:E48"/>
    <mergeCell ref="A49:B49"/>
    <mergeCell ref="D49:E49"/>
    <mergeCell ref="A50:B50"/>
    <mergeCell ref="D50:E50"/>
    <mergeCell ref="A43:C43"/>
    <mergeCell ref="D43:E43"/>
    <mergeCell ref="A46:B46"/>
    <mergeCell ref="D46:E46"/>
    <mergeCell ref="A47:B47"/>
    <mergeCell ref="D47:E47"/>
    <mergeCell ref="A40:C40"/>
    <mergeCell ref="D40:E40"/>
    <mergeCell ref="A41:C41"/>
    <mergeCell ref="D41:E41"/>
    <mergeCell ref="A42:C42"/>
    <mergeCell ref="D42:E42"/>
    <mergeCell ref="A66:D66"/>
    <mergeCell ref="A67:D67"/>
    <mergeCell ref="A68:D68"/>
    <mergeCell ref="A69:D69"/>
    <mergeCell ref="A70:D70"/>
    <mergeCell ref="A71:D71"/>
    <mergeCell ref="A60:H60"/>
    <mergeCell ref="A61:D61"/>
    <mergeCell ref="A62:D62"/>
    <mergeCell ref="A63:D63"/>
    <mergeCell ref="A64:D64"/>
    <mergeCell ref="A65:D65"/>
    <mergeCell ref="A53:G53"/>
    <mergeCell ref="A55:H55"/>
    <mergeCell ref="A56:H56"/>
    <mergeCell ref="A57:E59"/>
    <mergeCell ref="F57:H57"/>
    <mergeCell ref="G58:H58"/>
    <mergeCell ref="F59:H59"/>
    <mergeCell ref="A84:D84"/>
    <mergeCell ref="A85:D85"/>
    <mergeCell ref="A86:D86"/>
    <mergeCell ref="A87:D87"/>
    <mergeCell ref="A88:D88"/>
    <mergeCell ref="A89:D89"/>
    <mergeCell ref="A78:D78"/>
    <mergeCell ref="A79:D79"/>
    <mergeCell ref="A80:D80"/>
    <mergeCell ref="A81:D81"/>
    <mergeCell ref="A82:F82"/>
    <mergeCell ref="A83:H83"/>
    <mergeCell ref="A72:D72"/>
    <mergeCell ref="A73:D73"/>
    <mergeCell ref="A74:D74"/>
    <mergeCell ref="A75:D75"/>
    <mergeCell ref="A76:D76"/>
    <mergeCell ref="A77:D77"/>
    <mergeCell ref="A112:F112"/>
    <mergeCell ref="A113:H113"/>
    <mergeCell ref="A114:B114"/>
    <mergeCell ref="D114:E114"/>
    <mergeCell ref="A115:B115"/>
    <mergeCell ref="D115:E115"/>
    <mergeCell ref="A109:C109"/>
    <mergeCell ref="D109:E109"/>
    <mergeCell ref="A110:C110"/>
    <mergeCell ref="D110:E110"/>
    <mergeCell ref="A111:C111"/>
    <mergeCell ref="D111:E111"/>
    <mergeCell ref="A90:D90"/>
    <mergeCell ref="A105:F105"/>
    <mergeCell ref="A107:C107"/>
    <mergeCell ref="D107:E107"/>
    <mergeCell ref="A108:C108"/>
    <mergeCell ref="D108:E108"/>
    <mergeCell ref="A128:H128"/>
    <mergeCell ref="A129:D129"/>
    <mergeCell ref="A130:D130"/>
    <mergeCell ref="A131:D131"/>
    <mergeCell ref="A132:D132"/>
    <mergeCell ref="A133:D133"/>
    <mergeCell ref="A119:F119"/>
    <mergeCell ref="A120:H120"/>
    <mergeCell ref="A121:G121"/>
    <mergeCell ref="A123:H123"/>
    <mergeCell ref="A124:H124"/>
    <mergeCell ref="A125:E127"/>
    <mergeCell ref="F125:H125"/>
    <mergeCell ref="G126:H126"/>
    <mergeCell ref="F127:H127"/>
    <mergeCell ref="A116:B116"/>
    <mergeCell ref="D116:E116"/>
    <mergeCell ref="A117:B117"/>
    <mergeCell ref="D117:E117"/>
    <mergeCell ref="A118:B118"/>
    <mergeCell ref="D118:E118"/>
    <mergeCell ref="A146:D146"/>
    <mergeCell ref="A147:D147"/>
    <mergeCell ref="A148:D148"/>
    <mergeCell ref="A149:D149"/>
    <mergeCell ref="A150:F150"/>
    <mergeCell ref="A151:H151"/>
    <mergeCell ref="A140:D140"/>
    <mergeCell ref="A141:D141"/>
    <mergeCell ref="A142:D142"/>
    <mergeCell ref="A143:D143"/>
    <mergeCell ref="A144:D144"/>
    <mergeCell ref="A145:D145"/>
    <mergeCell ref="A134:D134"/>
    <mergeCell ref="A135:D135"/>
    <mergeCell ref="A136:D136"/>
    <mergeCell ref="A137:D137"/>
    <mergeCell ref="A138:D138"/>
    <mergeCell ref="A139:D139"/>
    <mergeCell ref="A177:C177"/>
    <mergeCell ref="D177:E177"/>
    <mergeCell ref="A178:C178"/>
    <mergeCell ref="D178:E178"/>
    <mergeCell ref="A179:C179"/>
    <mergeCell ref="D179:E179"/>
    <mergeCell ref="A158:D158"/>
    <mergeCell ref="A173:F173"/>
    <mergeCell ref="A175:C175"/>
    <mergeCell ref="D175:E175"/>
    <mergeCell ref="A176:C176"/>
    <mergeCell ref="D176:E176"/>
    <mergeCell ref="A152:D152"/>
    <mergeCell ref="A153:D153"/>
    <mergeCell ref="A154:D154"/>
    <mergeCell ref="A155:D155"/>
    <mergeCell ref="A156:D156"/>
    <mergeCell ref="A157:D157"/>
    <mergeCell ref="A187:F187"/>
    <mergeCell ref="A188:H188"/>
    <mergeCell ref="A189:G189"/>
    <mergeCell ref="A191:H191"/>
    <mergeCell ref="A192:H192"/>
    <mergeCell ref="A193:E195"/>
    <mergeCell ref="F193:H193"/>
    <mergeCell ref="G194:H194"/>
    <mergeCell ref="F195:H195"/>
    <mergeCell ref="A184:B184"/>
    <mergeCell ref="D184:E184"/>
    <mergeCell ref="A185:B185"/>
    <mergeCell ref="D185:E185"/>
    <mergeCell ref="A186:B186"/>
    <mergeCell ref="D186:E186"/>
    <mergeCell ref="A180:F180"/>
    <mergeCell ref="A181:H181"/>
    <mergeCell ref="A182:B182"/>
    <mergeCell ref="D182:E182"/>
    <mergeCell ref="A183:B183"/>
    <mergeCell ref="D183:E183"/>
    <mergeCell ref="A208:D208"/>
    <mergeCell ref="A209:D209"/>
    <mergeCell ref="A210:D210"/>
    <mergeCell ref="A211:D211"/>
    <mergeCell ref="A212:D212"/>
    <mergeCell ref="A213:D213"/>
    <mergeCell ref="A202:D202"/>
    <mergeCell ref="A203:D203"/>
    <mergeCell ref="A204:D204"/>
    <mergeCell ref="A205:D205"/>
    <mergeCell ref="A206:D206"/>
    <mergeCell ref="A207:D207"/>
    <mergeCell ref="A196:H196"/>
    <mergeCell ref="A197:D197"/>
    <mergeCell ref="A198:D198"/>
    <mergeCell ref="A199:D199"/>
    <mergeCell ref="A200:D200"/>
    <mergeCell ref="A201:D201"/>
    <mergeCell ref="A226:D226"/>
    <mergeCell ref="A241:F241"/>
    <mergeCell ref="A243:C243"/>
    <mergeCell ref="D243:E243"/>
    <mergeCell ref="A244:C244"/>
    <mergeCell ref="D244:E244"/>
    <mergeCell ref="A220:D220"/>
    <mergeCell ref="A221:D221"/>
    <mergeCell ref="A222:D222"/>
    <mergeCell ref="A223:D223"/>
    <mergeCell ref="A224:D224"/>
    <mergeCell ref="A225:D225"/>
    <mergeCell ref="A214:D214"/>
    <mergeCell ref="A215:D215"/>
    <mergeCell ref="A216:D216"/>
    <mergeCell ref="A217:D217"/>
    <mergeCell ref="A218:F218"/>
    <mergeCell ref="A219:H219"/>
    <mergeCell ref="A252:B252"/>
    <mergeCell ref="D252:E252"/>
    <mergeCell ref="A253:B253"/>
    <mergeCell ref="D253:E253"/>
    <mergeCell ref="A254:B254"/>
    <mergeCell ref="D254:E254"/>
    <mergeCell ref="A248:F248"/>
    <mergeCell ref="A249:H249"/>
    <mergeCell ref="A250:B250"/>
    <mergeCell ref="D250:E250"/>
    <mergeCell ref="A251:B251"/>
    <mergeCell ref="D251:E251"/>
    <mergeCell ref="A245:C245"/>
    <mergeCell ref="D245:E245"/>
    <mergeCell ref="A246:C246"/>
    <mergeCell ref="D246:E246"/>
    <mergeCell ref="A247:C247"/>
    <mergeCell ref="D247:E247"/>
    <mergeCell ref="A270:D270"/>
    <mergeCell ref="A271:D271"/>
    <mergeCell ref="A272:D272"/>
    <mergeCell ref="A273:D273"/>
    <mergeCell ref="A274:D274"/>
    <mergeCell ref="A275:D275"/>
    <mergeCell ref="A264:H264"/>
    <mergeCell ref="A265:D265"/>
    <mergeCell ref="A266:D266"/>
    <mergeCell ref="A267:D267"/>
    <mergeCell ref="A268:D268"/>
    <mergeCell ref="A269:D269"/>
    <mergeCell ref="A255:F255"/>
    <mergeCell ref="A256:H256"/>
    <mergeCell ref="A257:G257"/>
    <mergeCell ref="A259:H259"/>
    <mergeCell ref="A260:H260"/>
    <mergeCell ref="A261:E263"/>
    <mergeCell ref="F261:H261"/>
    <mergeCell ref="G262:H262"/>
    <mergeCell ref="F263:H263"/>
    <mergeCell ref="A288:D288"/>
    <mergeCell ref="A289:D289"/>
    <mergeCell ref="A290:D290"/>
    <mergeCell ref="A291:D291"/>
    <mergeCell ref="A292:D292"/>
    <mergeCell ref="A293:D293"/>
    <mergeCell ref="A282:D282"/>
    <mergeCell ref="A283:D283"/>
    <mergeCell ref="A284:D284"/>
    <mergeCell ref="A285:D285"/>
    <mergeCell ref="A286:F286"/>
    <mergeCell ref="A287:H287"/>
    <mergeCell ref="A276:D276"/>
    <mergeCell ref="A277:D277"/>
    <mergeCell ref="A278:D278"/>
    <mergeCell ref="A279:D279"/>
    <mergeCell ref="A280:D280"/>
    <mergeCell ref="A281:D281"/>
    <mergeCell ref="A316:F316"/>
    <mergeCell ref="A317:H317"/>
    <mergeCell ref="A318:B318"/>
    <mergeCell ref="D318:E318"/>
    <mergeCell ref="A319:B319"/>
    <mergeCell ref="D319:E319"/>
    <mergeCell ref="A313:C313"/>
    <mergeCell ref="D313:E313"/>
    <mergeCell ref="A314:C314"/>
    <mergeCell ref="D314:E314"/>
    <mergeCell ref="A315:C315"/>
    <mergeCell ref="D315:E315"/>
    <mergeCell ref="A294:D294"/>
    <mergeCell ref="A309:F309"/>
    <mergeCell ref="A311:C311"/>
    <mergeCell ref="D311:E311"/>
    <mergeCell ref="A312:C312"/>
    <mergeCell ref="D312:E312"/>
    <mergeCell ref="A332:H332"/>
    <mergeCell ref="A333:D333"/>
    <mergeCell ref="A340:D340"/>
    <mergeCell ref="A341:D341"/>
    <mergeCell ref="A342:D342"/>
    <mergeCell ref="A343:D343"/>
    <mergeCell ref="A323:F323"/>
    <mergeCell ref="A324:H324"/>
    <mergeCell ref="A325:G325"/>
    <mergeCell ref="A327:H327"/>
    <mergeCell ref="A328:H328"/>
    <mergeCell ref="A329:E331"/>
    <mergeCell ref="F329:H329"/>
    <mergeCell ref="G330:H330"/>
    <mergeCell ref="F331:H331"/>
    <mergeCell ref="A320:B320"/>
    <mergeCell ref="D320:E320"/>
    <mergeCell ref="A321:B321"/>
    <mergeCell ref="D321:E321"/>
    <mergeCell ref="A322:B322"/>
    <mergeCell ref="D322:E322"/>
    <mergeCell ref="A356:D356"/>
    <mergeCell ref="A357:D357"/>
    <mergeCell ref="A358:D358"/>
    <mergeCell ref="A359:D359"/>
    <mergeCell ref="A360:D360"/>
    <mergeCell ref="A361:D361"/>
    <mergeCell ref="A350:D350"/>
    <mergeCell ref="A351:D351"/>
    <mergeCell ref="A352:D352"/>
    <mergeCell ref="A353:D353"/>
    <mergeCell ref="A354:F354"/>
    <mergeCell ref="A355:H355"/>
    <mergeCell ref="A344:D344"/>
    <mergeCell ref="A345:D345"/>
    <mergeCell ref="A346:D346"/>
    <mergeCell ref="A347:D347"/>
    <mergeCell ref="A348:D348"/>
    <mergeCell ref="A349:D349"/>
    <mergeCell ref="A384:F384"/>
    <mergeCell ref="A385:H385"/>
    <mergeCell ref="A386:B386"/>
    <mergeCell ref="D386:E386"/>
    <mergeCell ref="A387:B387"/>
    <mergeCell ref="D387:E387"/>
    <mergeCell ref="A381:C381"/>
    <mergeCell ref="D381:E381"/>
    <mergeCell ref="A382:C382"/>
    <mergeCell ref="D382:E382"/>
    <mergeCell ref="A383:C383"/>
    <mergeCell ref="D383:E383"/>
    <mergeCell ref="A362:D362"/>
    <mergeCell ref="A377:F377"/>
    <mergeCell ref="A379:C379"/>
    <mergeCell ref="D379:E379"/>
    <mergeCell ref="A380:C380"/>
    <mergeCell ref="D380:E380"/>
    <mergeCell ref="A400:H400"/>
    <mergeCell ref="A401:D401"/>
    <mergeCell ref="A402:D402"/>
    <mergeCell ref="A403:D403"/>
    <mergeCell ref="A404:D404"/>
    <mergeCell ref="A405:D405"/>
    <mergeCell ref="A391:F391"/>
    <mergeCell ref="A392:H392"/>
    <mergeCell ref="A393:G393"/>
    <mergeCell ref="A395:H395"/>
    <mergeCell ref="A396:H396"/>
    <mergeCell ref="A397:E399"/>
    <mergeCell ref="F397:H397"/>
    <mergeCell ref="G398:H398"/>
    <mergeCell ref="F399:H399"/>
    <mergeCell ref="A388:B388"/>
    <mergeCell ref="D388:E388"/>
    <mergeCell ref="A389:B389"/>
    <mergeCell ref="D389:E389"/>
    <mergeCell ref="A390:B390"/>
    <mergeCell ref="D390:E390"/>
    <mergeCell ref="A418:D418"/>
    <mergeCell ref="A419:D419"/>
    <mergeCell ref="A420:D420"/>
    <mergeCell ref="A421:D421"/>
    <mergeCell ref="A422:F422"/>
    <mergeCell ref="A423:H423"/>
    <mergeCell ref="A412:D412"/>
    <mergeCell ref="A413:D413"/>
    <mergeCell ref="A414:D414"/>
    <mergeCell ref="A415:D415"/>
    <mergeCell ref="A416:D416"/>
    <mergeCell ref="A417:D417"/>
    <mergeCell ref="A406:D406"/>
    <mergeCell ref="A407:D407"/>
    <mergeCell ref="A408:D408"/>
    <mergeCell ref="A409:D409"/>
    <mergeCell ref="A410:D410"/>
    <mergeCell ref="A411:D411"/>
    <mergeCell ref="A449:C449"/>
    <mergeCell ref="D449:E449"/>
    <mergeCell ref="A450:C450"/>
    <mergeCell ref="D450:E450"/>
    <mergeCell ref="A451:C451"/>
    <mergeCell ref="D451:E451"/>
    <mergeCell ref="A430:D430"/>
    <mergeCell ref="A445:F445"/>
    <mergeCell ref="A447:C447"/>
    <mergeCell ref="D447:E447"/>
    <mergeCell ref="A448:C448"/>
    <mergeCell ref="D448:E448"/>
    <mergeCell ref="A424:D424"/>
    <mergeCell ref="A425:D425"/>
    <mergeCell ref="A426:D426"/>
    <mergeCell ref="A427:D427"/>
    <mergeCell ref="A428:D428"/>
    <mergeCell ref="A429:D429"/>
    <mergeCell ref="A459:F459"/>
    <mergeCell ref="A460:H460"/>
    <mergeCell ref="A461:G461"/>
    <mergeCell ref="A463:H463"/>
    <mergeCell ref="A464:H464"/>
    <mergeCell ref="A465:E467"/>
    <mergeCell ref="F465:H465"/>
    <mergeCell ref="G466:H466"/>
    <mergeCell ref="F467:H467"/>
    <mergeCell ref="A456:B456"/>
    <mergeCell ref="D456:E456"/>
    <mergeCell ref="A457:B457"/>
    <mergeCell ref="D457:E457"/>
    <mergeCell ref="A458:B458"/>
    <mergeCell ref="D458:E458"/>
    <mergeCell ref="A452:F452"/>
    <mergeCell ref="A453:H453"/>
    <mergeCell ref="A454:B454"/>
    <mergeCell ref="D454:E454"/>
    <mergeCell ref="A455:B455"/>
    <mergeCell ref="D455:E455"/>
    <mergeCell ref="A486:D486"/>
    <mergeCell ref="A487:D487"/>
    <mergeCell ref="A488:D488"/>
    <mergeCell ref="A489:D489"/>
    <mergeCell ref="A490:F490"/>
    <mergeCell ref="A491:H491"/>
    <mergeCell ref="A480:D480"/>
    <mergeCell ref="A481:D481"/>
    <mergeCell ref="A482:D482"/>
    <mergeCell ref="A483:D483"/>
    <mergeCell ref="A484:D484"/>
    <mergeCell ref="A485:D485"/>
    <mergeCell ref="A468:H468"/>
    <mergeCell ref="A469:D469"/>
    <mergeCell ref="A476:D476"/>
    <mergeCell ref="A477:D477"/>
    <mergeCell ref="A478:D478"/>
    <mergeCell ref="A479:D479"/>
    <mergeCell ref="A517:C517"/>
    <mergeCell ref="D517:E517"/>
    <mergeCell ref="A518:C518"/>
    <mergeCell ref="D518:E518"/>
    <mergeCell ref="A519:C519"/>
    <mergeCell ref="D519:E519"/>
    <mergeCell ref="A498:D498"/>
    <mergeCell ref="A513:F513"/>
    <mergeCell ref="A515:C515"/>
    <mergeCell ref="D515:E515"/>
    <mergeCell ref="A516:C516"/>
    <mergeCell ref="D516:E516"/>
    <mergeCell ref="A492:D492"/>
    <mergeCell ref="A493:D493"/>
    <mergeCell ref="A494:D494"/>
    <mergeCell ref="A495:D495"/>
    <mergeCell ref="A496:D496"/>
    <mergeCell ref="A497:D497"/>
    <mergeCell ref="A527:F527"/>
    <mergeCell ref="A528:H528"/>
    <mergeCell ref="A529:G529"/>
    <mergeCell ref="A531:H531"/>
    <mergeCell ref="A532:H532"/>
    <mergeCell ref="A533:E535"/>
    <mergeCell ref="F533:H533"/>
    <mergeCell ref="G534:H534"/>
    <mergeCell ref="F535:H535"/>
    <mergeCell ref="A524:B524"/>
    <mergeCell ref="D524:E524"/>
    <mergeCell ref="A525:B525"/>
    <mergeCell ref="D525:E525"/>
    <mergeCell ref="A526:B526"/>
    <mergeCell ref="D526:E526"/>
    <mergeCell ref="A520:F520"/>
    <mergeCell ref="A521:H521"/>
    <mergeCell ref="A522:B522"/>
    <mergeCell ref="D522:E522"/>
    <mergeCell ref="A523:B523"/>
    <mergeCell ref="D523:E523"/>
    <mergeCell ref="A554:D554"/>
    <mergeCell ref="A555:D555"/>
    <mergeCell ref="A556:D556"/>
    <mergeCell ref="A557:D557"/>
    <mergeCell ref="A558:F558"/>
    <mergeCell ref="A559:H559"/>
    <mergeCell ref="A548:D548"/>
    <mergeCell ref="A549:D549"/>
    <mergeCell ref="A550:D550"/>
    <mergeCell ref="A551:D551"/>
    <mergeCell ref="A552:D552"/>
    <mergeCell ref="A553:D553"/>
    <mergeCell ref="A536:H536"/>
    <mergeCell ref="A537:D537"/>
    <mergeCell ref="A544:D544"/>
    <mergeCell ref="A545:D545"/>
    <mergeCell ref="A546:D546"/>
    <mergeCell ref="A547:D547"/>
    <mergeCell ref="A585:C585"/>
    <mergeCell ref="D585:E585"/>
    <mergeCell ref="A586:C586"/>
    <mergeCell ref="D586:E586"/>
    <mergeCell ref="A587:C587"/>
    <mergeCell ref="D587:E587"/>
    <mergeCell ref="A566:D566"/>
    <mergeCell ref="A581:F581"/>
    <mergeCell ref="A583:C583"/>
    <mergeCell ref="D583:E583"/>
    <mergeCell ref="A584:C584"/>
    <mergeCell ref="D584:E584"/>
    <mergeCell ref="A560:D560"/>
    <mergeCell ref="A561:D561"/>
    <mergeCell ref="A562:D562"/>
    <mergeCell ref="A563:D563"/>
    <mergeCell ref="A564:D564"/>
    <mergeCell ref="A565:D565"/>
    <mergeCell ref="A595:F595"/>
    <mergeCell ref="A596:H596"/>
    <mergeCell ref="A597:G597"/>
    <mergeCell ref="A599:H599"/>
    <mergeCell ref="A600:H600"/>
    <mergeCell ref="A601:E603"/>
    <mergeCell ref="F601:H601"/>
    <mergeCell ref="G602:H602"/>
    <mergeCell ref="F603:H603"/>
    <mergeCell ref="A592:B592"/>
    <mergeCell ref="D592:E592"/>
    <mergeCell ref="A593:B593"/>
    <mergeCell ref="D593:E593"/>
    <mergeCell ref="A594:B594"/>
    <mergeCell ref="D594:E594"/>
    <mergeCell ref="A588:F588"/>
    <mergeCell ref="A589:H589"/>
    <mergeCell ref="A590:B590"/>
    <mergeCell ref="D590:E590"/>
    <mergeCell ref="A591:B591"/>
    <mergeCell ref="D591:E591"/>
    <mergeCell ref="A622:D622"/>
    <mergeCell ref="A623:D623"/>
    <mergeCell ref="A624:D624"/>
    <mergeCell ref="A625:D625"/>
    <mergeCell ref="A626:F626"/>
    <mergeCell ref="A627:H627"/>
    <mergeCell ref="A616:D616"/>
    <mergeCell ref="A617:D617"/>
    <mergeCell ref="A618:D618"/>
    <mergeCell ref="A619:D619"/>
    <mergeCell ref="A620:D620"/>
    <mergeCell ref="A621:D621"/>
    <mergeCell ref="A604:H604"/>
    <mergeCell ref="A605:D605"/>
    <mergeCell ref="A612:D612"/>
    <mergeCell ref="A613:D613"/>
    <mergeCell ref="A614:D614"/>
    <mergeCell ref="A615:D615"/>
    <mergeCell ref="A653:C653"/>
    <mergeCell ref="D653:E653"/>
    <mergeCell ref="A654:C654"/>
    <mergeCell ref="D654:E654"/>
    <mergeCell ref="A655:C655"/>
    <mergeCell ref="D655:E655"/>
    <mergeCell ref="A634:D634"/>
    <mergeCell ref="A649:F649"/>
    <mergeCell ref="A651:C651"/>
    <mergeCell ref="D651:E651"/>
    <mergeCell ref="A652:C652"/>
    <mergeCell ref="D652:E652"/>
    <mergeCell ref="A628:D628"/>
    <mergeCell ref="A629:D629"/>
    <mergeCell ref="A630:D630"/>
    <mergeCell ref="A631:D631"/>
    <mergeCell ref="A632:D632"/>
    <mergeCell ref="A633:D633"/>
    <mergeCell ref="A663:F663"/>
    <mergeCell ref="A664:H664"/>
    <mergeCell ref="A665:G665"/>
    <mergeCell ref="A667:H667"/>
    <mergeCell ref="A668:H668"/>
    <mergeCell ref="A669:E671"/>
    <mergeCell ref="F669:H669"/>
    <mergeCell ref="G670:H670"/>
    <mergeCell ref="F671:H671"/>
    <mergeCell ref="A660:B660"/>
    <mergeCell ref="D660:E660"/>
    <mergeCell ref="A661:B661"/>
    <mergeCell ref="D661:E661"/>
    <mergeCell ref="A662:B662"/>
    <mergeCell ref="D662:E662"/>
    <mergeCell ref="A656:F656"/>
    <mergeCell ref="A657:H657"/>
    <mergeCell ref="A658:B658"/>
    <mergeCell ref="D658:E658"/>
    <mergeCell ref="A659:B659"/>
    <mergeCell ref="D659:E659"/>
    <mergeCell ref="A690:D690"/>
    <mergeCell ref="A691:D691"/>
    <mergeCell ref="A692:D692"/>
    <mergeCell ref="A693:D693"/>
    <mergeCell ref="A694:F694"/>
    <mergeCell ref="A695:H695"/>
    <mergeCell ref="A684:D684"/>
    <mergeCell ref="A685:D685"/>
    <mergeCell ref="A686:D686"/>
    <mergeCell ref="A687:D687"/>
    <mergeCell ref="A688:D688"/>
    <mergeCell ref="A689:D689"/>
    <mergeCell ref="A672:H672"/>
    <mergeCell ref="A673:D673"/>
    <mergeCell ref="A680:D680"/>
    <mergeCell ref="A681:D681"/>
    <mergeCell ref="A682:D682"/>
    <mergeCell ref="A683:D683"/>
    <mergeCell ref="A721:C721"/>
    <mergeCell ref="D721:E721"/>
    <mergeCell ref="A722:C722"/>
    <mergeCell ref="D722:E722"/>
    <mergeCell ref="A723:C723"/>
    <mergeCell ref="D723:E723"/>
    <mergeCell ref="A702:D702"/>
    <mergeCell ref="A717:F717"/>
    <mergeCell ref="A719:C719"/>
    <mergeCell ref="D719:E719"/>
    <mergeCell ref="A720:C720"/>
    <mergeCell ref="D720:E720"/>
    <mergeCell ref="A696:D696"/>
    <mergeCell ref="A697:D697"/>
    <mergeCell ref="A698:D698"/>
    <mergeCell ref="A699:D699"/>
    <mergeCell ref="A700:D700"/>
    <mergeCell ref="A701:D701"/>
    <mergeCell ref="A731:F731"/>
    <mergeCell ref="A732:H732"/>
    <mergeCell ref="A733:G733"/>
    <mergeCell ref="A735:H735"/>
    <mergeCell ref="A736:H736"/>
    <mergeCell ref="A737:E739"/>
    <mergeCell ref="F737:H737"/>
    <mergeCell ref="G738:H738"/>
    <mergeCell ref="F739:H739"/>
    <mergeCell ref="A728:B728"/>
    <mergeCell ref="D728:E728"/>
    <mergeCell ref="A729:B729"/>
    <mergeCell ref="D729:E729"/>
    <mergeCell ref="A730:B730"/>
    <mergeCell ref="D730:E730"/>
    <mergeCell ref="A724:F724"/>
    <mergeCell ref="A725:H725"/>
    <mergeCell ref="A726:B726"/>
    <mergeCell ref="D726:E726"/>
    <mergeCell ref="A727:B727"/>
    <mergeCell ref="D727:E727"/>
    <mergeCell ref="A752:F752"/>
    <mergeCell ref="A754:C754"/>
    <mergeCell ref="D754:E754"/>
    <mergeCell ref="A755:C755"/>
    <mergeCell ref="D755:E755"/>
    <mergeCell ref="A756:C756"/>
    <mergeCell ref="D756:E756"/>
    <mergeCell ref="A746:D746"/>
    <mergeCell ref="A747:D747"/>
    <mergeCell ref="A748:F748"/>
    <mergeCell ref="A749:H749"/>
    <mergeCell ref="A750:D750"/>
    <mergeCell ref="A751:D751"/>
    <mergeCell ref="A740:H740"/>
    <mergeCell ref="A741:D741"/>
    <mergeCell ref="A742:D742"/>
    <mergeCell ref="A743:D743"/>
    <mergeCell ref="A744:D744"/>
    <mergeCell ref="A745:D745"/>
    <mergeCell ref="A764:F764"/>
    <mergeCell ref="A765:H765"/>
    <mergeCell ref="A766:G766"/>
    <mergeCell ref="A768:H768"/>
    <mergeCell ref="A769:H769"/>
    <mergeCell ref="A770:E772"/>
    <mergeCell ref="F770:H770"/>
    <mergeCell ref="G771:H771"/>
    <mergeCell ref="F772:H772"/>
    <mergeCell ref="A761:B761"/>
    <mergeCell ref="D761:E761"/>
    <mergeCell ref="A762:B762"/>
    <mergeCell ref="D762:E762"/>
    <mergeCell ref="A763:B763"/>
    <mergeCell ref="D763:E763"/>
    <mergeCell ref="A757:F757"/>
    <mergeCell ref="A758:H758"/>
    <mergeCell ref="A759:B759"/>
    <mergeCell ref="D759:E759"/>
    <mergeCell ref="A760:B760"/>
    <mergeCell ref="D760:E760"/>
    <mergeCell ref="A787:C787"/>
    <mergeCell ref="D787:E787"/>
    <mergeCell ref="A788:C788"/>
    <mergeCell ref="D788:E788"/>
    <mergeCell ref="A789:C789"/>
    <mergeCell ref="D789:E789"/>
    <mergeCell ref="A780:D780"/>
    <mergeCell ref="A781:F781"/>
    <mergeCell ref="A782:H782"/>
    <mergeCell ref="A783:D783"/>
    <mergeCell ref="A784:D784"/>
    <mergeCell ref="A785:F785"/>
    <mergeCell ref="A773:H773"/>
    <mergeCell ref="A774:D774"/>
    <mergeCell ref="A776:D776"/>
    <mergeCell ref="A777:D777"/>
    <mergeCell ref="A778:D778"/>
    <mergeCell ref="A779:D779"/>
    <mergeCell ref="A797:F797"/>
    <mergeCell ref="A798:H798"/>
    <mergeCell ref="A799:G799"/>
    <mergeCell ref="A801:H801"/>
    <mergeCell ref="A802:H802"/>
    <mergeCell ref="A803:E805"/>
    <mergeCell ref="F803:H803"/>
    <mergeCell ref="G804:H804"/>
    <mergeCell ref="F805:H805"/>
    <mergeCell ref="A794:B794"/>
    <mergeCell ref="D794:E794"/>
    <mergeCell ref="A795:B795"/>
    <mergeCell ref="D795:E795"/>
    <mergeCell ref="A796:B796"/>
    <mergeCell ref="D796:E796"/>
    <mergeCell ref="A790:F790"/>
    <mergeCell ref="A791:H791"/>
    <mergeCell ref="A792:B792"/>
    <mergeCell ref="D792:E792"/>
    <mergeCell ref="A793:B793"/>
    <mergeCell ref="D793:E793"/>
    <mergeCell ref="A820:C820"/>
    <mergeCell ref="D820:E820"/>
    <mergeCell ref="A821:C821"/>
    <mergeCell ref="D821:E821"/>
    <mergeCell ref="A822:C822"/>
    <mergeCell ref="D822:E822"/>
    <mergeCell ref="A813:D813"/>
    <mergeCell ref="A814:F814"/>
    <mergeCell ref="A815:H815"/>
    <mergeCell ref="A816:D816"/>
    <mergeCell ref="A817:D817"/>
    <mergeCell ref="A818:F818"/>
    <mergeCell ref="A806:H806"/>
    <mergeCell ref="A807:D807"/>
    <mergeCell ref="A809:D809"/>
    <mergeCell ref="A810:D810"/>
    <mergeCell ref="A811:D811"/>
    <mergeCell ref="A812:D812"/>
    <mergeCell ref="A830:F830"/>
    <mergeCell ref="A831:H831"/>
    <mergeCell ref="A832:G832"/>
    <mergeCell ref="A834:H834"/>
    <mergeCell ref="A835:H835"/>
    <mergeCell ref="A836:E838"/>
    <mergeCell ref="F836:H836"/>
    <mergeCell ref="G837:H837"/>
    <mergeCell ref="F838:H838"/>
    <mergeCell ref="A827:B827"/>
    <mergeCell ref="D827:E827"/>
    <mergeCell ref="A828:B828"/>
    <mergeCell ref="D828:E828"/>
    <mergeCell ref="A829:B829"/>
    <mergeCell ref="D829:E829"/>
    <mergeCell ref="A823:F823"/>
    <mergeCell ref="A824:H824"/>
    <mergeCell ref="A825:B825"/>
    <mergeCell ref="D825:E825"/>
    <mergeCell ref="A826:B826"/>
    <mergeCell ref="D826:E826"/>
    <mergeCell ref="A852:F852"/>
    <mergeCell ref="A854:C854"/>
    <mergeCell ref="D854:E854"/>
    <mergeCell ref="A855:C855"/>
    <mergeCell ref="D855:E855"/>
    <mergeCell ref="A856:C856"/>
    <mergeCell ref="D856:E856"/>
    <mergeCell ref="A845:D845"/>
    <mergeCell ref="A846:D846"/>
    <mergeCell ref="A848:F848"/>
    <mergeCell ref="A849:H849"/>
    <mergeCell ref="A850:D850"/>
    <mergeCell ref="A851:D851"/>
    <mergeCell ref="A839:H839"/>
    <mergeCell ref="A840:D840"/>
    <mergeCell ref="A841:D841"/>
    <mergeCell ref="A842:D842"/>
    <mergeCell ref="A843:D843"/>
    <mergeCell ref="A844:D844"/>
    <mergeCell ref="A864:F864"/>
    <mergeCell ref="A865:H865"/>
    <mergeCell ref="A866:G866"/>
    <mergeCell ref="A868:H868"/>
    <mergeCell ref="A869:H869"/>
    <mergeCell ref="A870:E872"/>
    <mergeCell ref="F870:H870"/>
    <mergeCell ref="G871:H871"/>
    <mergeCell ref="F872:H872"/>
    <mergeCell ref="A861:B861"/>
    <mergeCell ref="D861:E861"/>
    <mergeCell ref="A862:B862"/>
    <mergeCell ref="D862:E862"/>
    <mergeCell ref="A863:B863"/>
    <mergeCell ref="D863:E863"/>
    <mergeCell ref="A857:F857"/>
    <mergeCell ref="A858:H858"/>
    <mergeCell ref="A859:B859"/>
    <mergeCell ref="D859:E859"/>
    <mergeCell ref="A860:B860"/>
    <mergeCell ref="D860:E860"/>
    <mergeCell ref="A885:F885"/>
    <mergeCell ref="A887:C887"/>
    <mergeCell ref="D887:E887"/>
    <mergeCell ref="A888:C888"/>
    <mergeCell ref="D888:E888"/>
    <mergeCell ref="A889:C889"/>
    <mergeCell ref="D889:E889"/>
    <mergeCell ref="A879:D879"/>
    <mergeCell ref="A880:D880"/>
    <mergeCell ref="A881:F881"/>
    <mergeCell ref="A882:H882"/>
    <mergeCell ref="A883:D883"/>
    <mergeCell ref="A884:D884"/>
    <mergeCell ref="A873:H873"/>
    <mergeCell ref="A874:D874"/>
    <mergeCell ref="A875:D875"/>
    <mergeCell ref="A876:D876"/>
    <mergeCell ref="A877:D877"/>
    <mergeCell ref="A878:D878"/>
    <mergeCell ref="A897:F897"/>
    <mergeCell ref="A898:H898"/>
    <mergeCell ref="A899:G899"/>
    <mergeCell ref="A901:H901"/>
    <mergeCell ref="A902:H902"/>
    <mergeCell ref="A903:E905"/>
    <mergeCell ref="F903:H903"/>
    <mergeCell ref="G904:H904"/>
    <mergeCell ref="F905:H905"/>
    <mergeCell ref="A894:B894"/>
    <mergeCell ref="D894:E894"/>
    <mergeCell ref="A895:B895"/>
    <mergeCell ref="D895:E895"/>
    <mergeCell ref="A896:B896"/>
    <mergeCell ref="D896:E896"/>
    <mergeCell ref="A890:F890"/>
    <mergeCell ref="A891:H891"/>
    <mergeCell ref="A892:B892"/>
    <mergeCell ref="D892:E892"/>
    <mergeCell ref="A893:B893"/>
    <mergeCell ref="D893:E893"/>
    <mergeCell ref="A918:F918"/>
    <mergeCell ref="A920:C920"/>
    <mergeCell ref="D920:E920"/>
    <mergeCell ref="A921:C921"/>
    <mergeCell ref="D921:E921"/>
    <mergeCell ref="A922:C922"/>
    <mergeCell ref="D922:E922"/>
    <mergeCell ref="A912:D912"/>
    <mergeCell ref="A913:D913"/>
    <mergeCell ref="A914:F914"/>
    <mergeCell ref="A915:H915"/>
    <mergeCell ref="A916:D916"/>
    <mergeCell ref="A917:D917"/>
    <mergeCell ref="A906:H906"/>
    <mergeCell ref="A907:D907"/>
    <mergeCell ref="A908:D908"/>
    <mergeCell ref="A909:D909"/>
    <mergeCell ref="A910:D910"/>
    <mergeCell ref="A911:D911"/>
    <mergeCell ref="A930:F930"/>
    <mergeCell ref="A931:H931"/>
    <mergeCell ref="A932:G932"/>
    <mergeCell ref="A934:H934"/>
    <mergeCell ref="A935:H935"/>
    <mergeCell ref="A936:E938"/>
    <mergeCell ref="F936:H936"/>
    <mergeCell ref="G937:H937"/>
    <mergeCell ref="F938:H938"/>
    <mergeCell ref="A927:B927"/>
    <mergeCell ref="D927:E927"/>
    <mergeCell ref="A928:B928"/>
    <mergeCell ref="D928:E928"/>
    <mergeCell ref="A929:B929"/>
    <mergeCell ref="D929:E929"/>
    <mergeCell ref="A923:F923"/>
    <mergeCell ref="A924:H924"/>
    <mergeCell ref="A925:B925"/>
    <mergeCell ref="D925:E925"/>
    <mergeCell ref="A926:B926"/>
    <mergeCell ref="D926:E926"/>
    <mergeCell ref="A951:F951"/>
    <mergeCell ref="A953:C953"/>
    <mergeCell ref="D953:E953"/>
    <mergeCell ref="A954:C954"/>
    <mergeCell ref="D954:E954"/>
    <mergeCell ref="A955:C955"/>
    <mergeCell ref="D955:E955"/>
    <mergeCell ref="A945:D945"/>
    <mergeCell ref="A946:D946"/>
    <mergeCell ref="A947:F947"/>
    <mergeCell ref="A948:H948"/>
    <mergeCell ref="A949:D949"/>
    <mergeCell ref="A950:D950"/>
    <mergeCell ref="A939:H939"/>
    <mergeCell ref="A940:D940"/>
    <mergeCell ref="A941:D941"/>
    <mergeCell ref="A942:D942"/>
    <mergeCell ref="A943:D943"/>
    <mergeCell ref="A944:D944"/>
    <mergeCell ref="A963:F963"/>
    <mergeCell ref="A964:H964"/>
    <mergeCell ref="A965:G965"/>
    <mergeCell ref="A967:H967"/>
    <mergeCell ref="A968:H968"/>
    <mergeCell ref="A969:E971"/>
    <mergeCell ref="F969:H969"/>
    <mergeCell ref="G970:H970"/>
    <mergeCell ref="F971:H971"/>
    <mergeCell ref="A960:B960"/>
    <mergeCell ref="D960:E960"/>
    <mergeCell ref="A961:B961"/>
    <mergeCell ref="D961:E961"/>
    <mergeCell ref="A962:B962"/>
    <mergeCell ref="D962:E962"/>
    <mergeCell ref="A956:F956"/>
    <mergeCell ref="A957:H957"/>
    <mergeCell ref="A958:B958"/>
    <mergeCell ref="D958:E958"/>
    <mergeCell ref="A959:B959"/>
    <mergeCell ref="D959:E959"/>
    <mergeCell ref="A984:F984"/>
    <mergeCell ref="A986:C986"/>
    <mergeCell ref="D986:E986"/>
    <mergeCell ref="A987:C987"/>
    <mergeCell ref="D987:E987"/>
    <mergeCell ref="A988:C988"/>
    <mergeCell ref="D988:E988"/>
    <mergeCell ref="A978:D978"/>
    <mergeCell ref="A979:D979"/>
    <mergeCell ref="A980:F980"/>
    <mergeCell ref="A981:H981"/>
    <mergeCell ref="A982:D982"/>
    <mergeCell ref="A983:D983"/>
    <mergeCell ref="A972:H972"/>
    <mergeCell ref="A973:D973"/>
    <mergeCell ref="A974:D974"/>
    <mergeCell ref="A975:D975"/>
    <mergeCell ref="A976:D976"/>
    <mergeCell ref="A977:D977"/>
    <mergeCell ref="A996:F996"/>
    <mergeCell ref="A997:H997"/>
    <mergeCell ref="A998:G998"/>
    <mergeCell ref="A1000:H1000"/>
    <mergeCell ref="A1001:H1001"/>
    <mergeCell ref="A1002:E1004"/>
    <mergeCell ref="F1002:H1002"/>
    <mergeCell ref="G1003:H1003"/>
    <mergeCell ref="F1004:H1004"/>
    <mergeCell ref="A993:B993"/>
    <mergeCell ref="D993:E993"/>
    <mergeCell ref="A994:B994"/>
    <mergeCell ref="D994:E994"/>
    <mergeCell ref="A995:B995"/>
    <mergeCell ref="D995:E995"/>
    <mergeCell ref="A989:F989"/>
    <mergeCell ref="A990:H990"/>
    <mergeCell ref="A991:B991"/>
    <mergeCell ref="D991:E991"/>
    <mergeCell ref="A992:B992"/>
    <mergeCell ref="D992:E992"/>
    <mergeCell ref="A1017:D1017"/>
    <mergeCell ref="A1018:D1018"/>
    <mergeCell ref="A1019:F1019"/>
    <mergeCell ref="A1021:C1021"/>
    <mergeCell ref="D1021:E1021"/>
    <mergeCell ref="A1022:C1022"/>
    <mergeCell ref="D1022:E1022"/>
    <mergeCell ref="A1011:D1011"/>
    <mergeCell ref="A1012:D1012"/>
    <mergeCell ref="A1013:D1013"/>
    <mergeCell ref="A1014:D1014"/>
    <mergeCell ref="A1015:F1015"/>
    <mergeCell ref="A1016:H1016"/>
    <mergeCell ref="A1005:H1005"/>
    <mergeCell ref="A1006:D1006"/>
    <mergeCell ref="A1007:D1007"/>
    <mergeCell ref="A1008:D1008"/>
    <mergeCell ref="A1009:D1009"/>
    <mergeCell ref="A1010:D1010"/>
    <mergeCell ref="A1030:B1030"/>
    <mergeCell ref="D1030:E1030"/>
    <mergeCell ref="A1031:F1031"/>
    <mergeCell ref="A1032:H1032"/>
    <mergeCell ref="A1033:G1033"/>
    <mergeCell ref="A1035:H1035"/>
    <mergeCell ref="A1027:B1027"/>
    <mergeCell ref="D1027:E1027"/>
    <mergeCell ref="A1028:B1028"/>
    <mergeCell ref="D1028:E1028"/>
    <mergeCell ref="A1029:B1029"/>
    <mergeCell ref="D1029:E1029"/>
    <mergeCell ref="A1023:C1023"/>
    <mergeCell ref="D1023:E1023"/>
    <mergeCell ref="A1024:F1024"/>
    <mergeCell ref="A1025:H1025"/>
    <mergeCell ref="A1026:B1026"/>
    <mergeCell ref="D1026:E1026"/>
    <mergeCell ref="A1047:D1047"/>
    <mergeCell ref="A1048:D1048"/>
    <mergeCell ref="A1049:D1049"/>
    <mergeCell ref="A1050:F1050"/>
    <mergeCell ref="A1051:H1051"/>
    <mergeCell ref="A1052:D1052"/>
    <mergeCell ref="A1041:D1041"/>
    <mergeCell ref="A1042:D1042"/>
    <mergeCell ref="A1043:D1043"/>
    <mergeCell ref="A1044:D1044"/>
    <mergeCell ref="A1045:D1045"/>
    <mergeCell ref="A1046:D1046"/>
    <mergeCell ref="A1036:H1036"/>
    <mergeCell ref="A1037:E1039"/>
    <mergeCell ref="F1037:H1037"/>
    <mergeCell ref="G1038:H1038"/>
    <mergeCell ref="F1039:H1039"/>
    <mergeCell ref="A1040:H1040"/>
    <mergeCell ref="A1062:B1062"/>
    <mergeCell ref="D1062:E1062"/>
    <mergeCell ref="A1063:B1063"/>
    <mergeCell ref="D1063:E1063"/>
    <mergeCell ref="A1064:B1064"/>
    <mergeCell ref="D1064:E1064"/>
    <mergeCell ref="A1058:C1058"/>
    <mergeCell ref="D1058:E1058"/>
    <mergeCell ref="A1059:F1059"/>
    <mergeCell ref="A1060:H1060"/>
    <mergeCell ref="A1061:B1061"/>
    <mergeCell ref="D1061:E1061"/>
    <mergeCell ref="A1053:D1053"/>
    <mergeCell ref="A1054:F1054"/>
    <mergeCell ref="A1056:C1056"/>
    <mergeCell ref="D1056:E1056"/>
    <mergeCell ref="A1057:C1057"/>
    <mergeCell ref="D1057:E1057"/>
    <mergeCell ref="A1076:D1076"/>
    <mergeCell ref="A1077:D1077"/>
    <mergeCell ref="A1078:D1078"/>
    <mergeCell ref="A1079:D1079"/>
    <mergeCell ref="A1080:D1080"/>
    <mergeCell ref="A1081:D1081"/>
    <mergeCell ref="A1071:H1071"/>
    <mergeCell ref="A1072:E1074"/>
    <mergeCell ref="F1072:H1072"/>
    <mergeCell ref="G1073:H1073"/>
    <mergeCell ref="F1074:H1074"/>
    <mergeCell ref="A1075:H1075"/>
    <mergeCell ref="A1065:B1065"/>
    <mergeCell ref="D1065:E1065"/>
    <mergeCell ref="A1066:F1066"/>
    <mergeCell ref="A1067:H1067"/>
    <mergeCell ref="A1068:G1068"/>
    <mergeCell ref="A1070:H1070"/>
    <mergeCell ref="A1092:F1092"/>
    <mergeCell ref="A1093:H1093"/>
    <mergeCell ref="A1094:B1094"/>
    <mergeCell ref="D1094:E1094"/>
    <mergeCell ref="A1095:B1095"/>
    <mergeCell ref="D1095:E1095"/>
    <mergeCell ref="A1089:C1089"/>
    <mergeCell ref="D1089:E1089"/>
    <mergeCell ref="A1090:C1090"/>
    <mergeCell ref="D1090:E1090"/>
    <mergeCell ref="A1091:C1091"/>
    <mergeCell ref="D1091:E1091"/>
    <mergeCell ref="A1082:D1082"/>
    <mergeCell ref="A1083:F1083"/>
    <mergeCell ref="A1084:H1084"/>
    <mergeCell ref="A1085:D1085"/>
    <mergeCell ref="A1086:D1086"/>
    <mergeCell ref="A1087:F1087"/>
    <mergeCell ref="A1108:H1108"/>
    <mergeCell ref="A1109:D1109"/>
    <mergeCell ref="A1111:D1111"/>
    <mergeCell ref="A1112:D1112"/>
    <mergeCell ref="A1113:D1113"/>
    <mergeCell ref="A1114:D1114"/>
    <mergeCell ref="A1099:F1099"/>
    <mergeCell ref="A1100:H1100"/>
    <mergeCell ref="A1101:G1101"/>
    <mergeCell ref="A1103:H1103"/>
    <mergeCell ref="A1104:H1104"/>
    <mergeCell ref="A1105:E1107"/>
    <mergeCell ref="F1105:H1105"/>
    <mergeCell ref="G1106:H1106"/>
    <mergeCell ref="F1107:H1107"/>
    <mergeCell ref="A1096:B1096"/>
    <mergeCell ref="D1096:E1096"/>
    <mergeCell ref="A1097:B1097"/>
    <mergeCell ref="D1097:E1097"/>
    <mergeCell ref="A1098:B1098"/>
    <mergeCell ref="D1098:E1098"/>
    <mergeCell ref="A1125:F1125"/>
    <mergeCell ref="A1126:H1126"/>
    <mergeCell ref="A1127:B1127"/>
    <mergeCell ref="D1127:E1127"/>
    <mergeCell ref="A1128:B1128"/>
    <mergeCell ref="D1128:E1128"/>
    <mergeCell ref="A1122:C1122"/>
    <mergeCell ref="D1122:E1122"/>
    <mergeCell ref="A1123:C1123"/>
    <mergeCell ref="D1123:E1123"/>
    <mergeCell ref="A1124:C1124"/>
    <mergeCell ref="D1124:E1124"/>
    <mergeCell ref="A1115:D1115"/>
    <mergeCell ref="A1116:F1116"/>
    <mergeCell ref="A1117:H1117"/>
    <mergeCell ref="A1118:D1118"/>
    <mergeCell ref="A1119:D1119"/>
    <mergeCell ref="A1120:F1120"/>
    <mergeCell ref="A1141:H1141"/>
    <mergeCell ref="A1142:D1142"/>
    <mergeCell ref="A1143:D1143"/>
    <mergeCell ref="A1144:D1144"/>
    <mergeCell ref="A1145:D1145"/>
    <mergeCell ref="A1146:D1146"/>
    <mergeCell ref="A1132:F1132"/>
    <mergeCell ref="A1133:H1133"/>
    <mergeCell ref="A1134:G1134"/>
    <mergeCell ref="A1136:H1136"/>
    <mergeCell ref="A1137:H1137"/>
    <mergeCell ref="A1138:E1140"/>
    <mergeCell ref="F1138:H1138"/>
    <mergeCell ref="G1139:H1139"/>
    <mergeCell ref="F1140:H1140"/>
    <mergeCell ref="A1129:B1129"/>
    <mergeCell ref="D1129:E1129"/>
    <mergeCell ref="A1130:B1130"/>
    <mergeCell ref="D1130:E1130"/>
    <mergeCell ref="A1131:B1131"/>
    <mergeCell ref="D1131:E1131"/>
    <mergeCell ref="A1158:F1158"/>
    <mergeCell ref="A1159:H1159"/>
    <mergeCell ref="A1160:B1160"/>
    <mergeCell ref="D1160:E1160"/>
    <mergeCell ref="A1161:B1161"/>
    <mergeCell ref="D1161:E1161"/>
    <mergeCell ref="A1153:F1153"/>
    <mergeCell ref="A1155:C1155"/>
    <mergeCell ref="D1155:E1155"/>
    <mergeCell ref="A1156:C1156"/>
    <mergeCell ref="D1156:E1156"/>
    <mergeCell ref="A1157:C1157"/>
    <mergeCell ref="D1157:E1157"/>
    <mergeCell ref="A1147:D1147"/>
    <mergeCell ref="A1148:D1148"/>
    <mergeCell ref="A1149:F1149"/>
    <mergeCell ref="A1150:H1150"/>
    <mergeCell ref="A1151:D1151"/>
    <mergeCell ref="A1152:D1152"/>
    <mergeCell ref="A1174:H1174"/>
    <mergeCell ref="A1175:D1175"/>
    <mergeCell ref="A1176:D1176"/>
    <mergeCell ref="A1177:D1177"/>
    <mergeCell ref="A1178:D1178"/>
    <mergeCell ref="A1179:D1179"/>
    <mergeCell ref="A1165:F1165"/>
    <mergeCell ref="A1166:H1166"/>
    <mergeCell ref="A1167:G1167"/>
    <mergeCell ref="A1169:H1169"/>
    <mergeCell ref="A1170:H1170"/>
    <mergeCell ref="A1171:E1173"/>
    <mergeCell ref="F1171:H1171"/>
    <mergeCell ref="G1172:H1172"/>
    <mergeCell ref="F1173:H1173"/>
    <mergeCell ref="A1162:B1162"/>
    <mergeCell ref="D1162:E1162"/>
    <mergeCell ref="A1163:B1163"/>
    <mergeCell ref="D1163:E1163"/>
    <mergeCell ref="A1164:B1164"/>
    <mergeCell ref="D1164:E1164"/>
    <mergeCell ref="A1191:F1191"/>
    <mergeCell ref="A1192:H1192"/>
    <mergeCell ref="A1193:B1193"/>
    <mergeCell ref="D1193:E1193"/>
    <mergeCell ref="A1194:B1194"/>
    <mergeCell ref="D1194:E1194"/>
    <mergeCell ref="A1186:F1186"/>
    <mergeCell ref="A1188:C1188"/>
    <mergeCell ref="D1188:E1188"/>
    <mergeCell ref="A1189:C1189"/>
    <mergeCell ref="D1189:E1189"/>
    <mergeCell ref="A1190:C1190"/>
    <mergeCell ref="D1190:E1190"/>
    <mergeCell ref="A1180:D1180"/>
    <mergeCell ref="A1181:D1181"/>
    <mergeCell ref="A1182:F1182"/>
    <mergeCell ref="A1183:H1183"/>
    <mergeCell ref="A1184:D1184"/>
    <mergeCell ref="A1185:D1185"/>
    <mergeCell ref="A1207:H1207"/>
    <mergeCell ref="A1208:D1208"/>
    <mergeCell ref="A1209:D1209"/>
    <mergeCell ref="A1210:D1210"/>
    <mergeCell ref="A1211:D1211"/>
    <mergeCell ref="A1212:D1212"/>
    <mergeCell ref="A1198:F1198"/>
    <mergeCell ref="A1199:H1199"/>
    <mergeCell ref="A1200:G1200"/>
    <mergeCell ref="A1202:H1202"/>
    <mergeCell ref="A1203:H1203"/>
    <mergeCell ref="A1204:E1206"/>
    <mergeCell ref="F1204:H1204"/>
    <mergeCell ref="G1205:H1205"/>
    <mergeCell ref="F1206:H1206"/>
    <mergeCell ref="A1195:B1195"/>
    <mergeCell ref="D1195:E1195"/>
    <mergeCell ref="A1196:B1196"/>
    <mergeCell ref="D1196:E1196"/>
    <mergeCell ref="A1197:B1197"/>
    <mergeCell ref="D1197:E1197"/>
    <mergeCell ref="A1224:F1224"/>
    <mergeCell ref="A1225:H1225"/>
    <mergeCell ref="A1226:B1226"/>
    <mergeCell ref="D1226:E1226"/>
    <mergeCell ref="A1227:B1227"/>
    <mergeCell ref="D1227:E1227"/>
    <mergeCell ref="A1219:F1219"/>
    <mergeCell ref="A1221:C1221"/>
    <mergeCell ref="D1221:E1221"/>
    <mergeCell ref="A1222:C1222"/>
    <mergeCell ref="D1222:E1222"/>
    <mergeCell ref="A1223:C1223"/>
    <mergeCell ref="D1223:E1223"/>
    <mergeCell ref="A1213:D1213"/>
    <mergeCell ref="A1214:D1214"/>
    <mergeCell ref="A1215:F1215"/>
    <mergeCell ref="A1216:H1216"/>
    <mergeCell ref="A1217:D1217"/>
    <mergeCell ref="A1218:D1218"/>
    <mergeCell ref="A1240:H1240"/>
    <mergeCell ref="A1241:D1241"/>
    <mergeCell ref="A1242:D1242"/>
    <mergeCell ref="A1243:D1243"/>
    <mergeCell ref="A1244:D1244"/>
    <mergeCell ref="A1245:D1245"/>
    <mergeCell ref="A1231:F1231"/>
    <mergeCell ref="A1232:H1232"/>
    <mergeCell ref="A1233:G1233"/>
    <mergeCell ref="A1235:H1235"/>
    <mergeCell ref="A1236:H1236"/>
    <mergeCell ref="A1237:E1239"/>
    <mergeCell ref="F1237:H1237"/>
    <mergeCell ref="G1238:H1238"/>
    <mergeCell ref="F1239:H1239"/>
    <mergeCell ref="A1228:B1228"/>
    <mergeCell ref="D1228:E1228"/>
    <mergeCell ref="A1229:B1229"/>
    <mergeCell ref="D1229:E1229"/>
    <mergeCell ref="A1230:B1230"/>
    <mergeCell ref="D1230:E1230"/>
    <mergeCell ref="A1257:C1257"/>
    <mergeCell ref="D1257:E1257"/>
    <mergeCell ref="A1258:F1258"/>
    <mergeCell ref="A1259:H1259"/>
    <mergeCell ref="A1260:B1260"/>
    <mergeCell ref="D1260:E1260"/>
    <mergeCell ref="A1252:D1252"/>
    <mergeCell ref="A1253:F1253"/>
    <mergeCell ref="A1255:C1255"/>
    <mergeCell ref="D1255:E1255"/>
    <mergeCell ref="A1256:C1256"/>
    <mergeCell ref="D1256:E1256"/>
    <mergeCell ref="A1246:D1246"/>
    <mergeCell ref="A1247:D1247"/>
    <mergeCell ref="A1248:D1248"/>
    <mergeCell ref="A1249:F1249"/>
    <mergeCell ref="A1250:H1250"/>
    <mergeCell ref="A1251:D1251"/>
    <mergeCell ref="A1270:H1270"/>
    <mergeCell ref="A1271:E1273"/>
    <mergeCell ref="F1271:H1271"/>
    <mergeCell ref="G1272:H1272"/>
    <mergeCell ref="F1273:H1273"/>
    <mergeCell ref="A1274:H1274"/>
    <mergeCell ref="A1264:B1264"/>
    <mergeCell ref="D1264:E1264"/>
    <mergeCell ref="A1265:F1265"/>
    <mergeCell ref="A1266:H1266"/>
    <mergeCell ref="A1267:G1267"/>
    <mergeCell ref="A1269:H1269"/>
    <mergeCell ref="A1261:B1261"/>
    <mergeCell ref="D1261:E1261"/>
    <mergeCell ref="A1262:B1262"/>
    <mergeCell ref="D1262:E1262"/>
    <mergeCell ref="A1263:B1263"/>
    <mergeCell ref="D1263:E1263"/>
    <mergeCell ref="A1288:C1288"/>
    <mergeCell ref="D1288:E1288"/>
    <mergeCell ref="A1289:C1289"/>
    <mergeCell ref="D1289:E1289"/>
    <mergeCell ref="A1290:F1290"/>
    <mergeCell ref="A1291:H1291"/>
    <mergeCell ref="A1281:F1281"/>
    <mergeCell ref="A1282:H1282"/>
    <mergeCell ref="A1283:D1283"/>
    <mergeCell ref="A1284:D1284"/>
    <mergeCell ref="A1285:F1285"/>
    <mergeCell ref="A1287:C1287"/>
    <mergeCell ref="D1287:E1287"/>
    <mergeCell ref="A1275:D1275"/>
    <mergeCell ref="A1276:D1276"/>
    <mergeCell ref="A1277:D1277"/>
    <mergeCell ref="A1278:D1278"/>
    <mergeCell ref="A1279:D1279"/>
    <mergeCell ref="A1280:D1280"/>
    <mergeCell ref="A1299:G1299"/>
    <mergeCell ref="A1301:H1301"/>
    <mergeCell ref="A1302:H1302"/>
    <mergeCell ref="A1303:E1305"/>
    <mergeCell ref="F1303:H1303"/>
    <mergeCell ref="G1304:H1304"/>
    <mergeCell ref="F1305:H1305"/>
    <mergeCell ref="A1295:B1295"/>
    <mergeCell ref="D1295:E1295"/>
    <mergeCell ref="A1296:B1296"/>
    <mergeCell ref="D1296:E1296"/>
    <mergeCell ref="A1297:F1297"/>
    <mergeCell ref="A1298:H1298"/>
    <mergeCell ref="A1292:B1292"/>
    <mergeCell ref="D1292:E1292"/>
    <mergeCell ref="A1293:B1293"/>
    <mergeCell ref="D1293:E1293"/>
    <mergeCell ref="A1294:B1294"/>
    <mergeCell ref="D1294:E1294"/>
    <mergeCell ref="A1319:C1319"/>
    <mergeCell ref="D1319:E1319"/>
    <mergeCell ref="A1320:C1320"/>
    <mergeCell ref="D1320:E1320"/>
    <mergeCell ref="A1321:C1321"/>
    <mergeCell ref="D1321:E1321"/>
    <mergeCell ref="A1312:D1312"/>
    <mergeCell ref="A1313:F1313"/>
    <mergeCell ref="A1314:H1314"/>
    <mergeCell ref="A1315:D1315"/>
    <mergeCell ref="A1316:D1316"/>
    <mergeCell ref="A1317:F1317"/>
    <mergeCell ref="A1306:H1306"/>
    <mergeCell ref="A1307:D1307"/>
    <mergeCell ref="A1308:D1308"/>
    <mergeCell ref="A1309:D1309"/>
    <mergeCell ref="A1310:D1310"/>
    <mergeCell ref="A1311:D1311"/>
    <mergeCell ref="A1329:F1329"/>
    <mergeCell ref="A1330:H1330"/>
    <mergeCell ref="A1331:G1331"/>
    <mergeCell ref="A1333:E1335"/>
    <mergeCell ref="F1333:H1333"/>
    <mergeCell ref="G1334:H1334"/>
    <mergeCell ref="F1335:H1335"/>
    <mergeCell ref="A1326:B1326"/>
    <mergeCell ref="D1326:E1326"/>
    <mergeCell ref="A1327:B1327"/>
    <mergeCell ref="D1327:E1327"/>
    <mergeCell ref="A1328:B1328"/>
    <mergeCell ref="D1328:E1328"/>
    <mergeCell ref="A1322:F1322"/>
    <mergeCell ref="A1323:H1323"/>
    <mergeCell ref="A1324:B1324"/>
    <mergeCell ref="D1324:E1324"/>
    <mergeCell ref="A1325:B1325"/>
    <mergeCell ref="D1325:E1325"/>
    <mergeCell ref="A1348:H1348"/>
    <mergeCell ref="A1349:D1349"/>
    <mergeCell ref="A1350:D1350"/>
    <mergeCell ref="A1351:F1351"/>
    <mergeCell ref="A1353:C1353"/>
    <mergeCell ref="D1353:E1353"/>
    <mergeCell ref="A1342:D1342"/>
    <mergeCell ref="A1343:D1343"/>
    <mergeCell ref="A1344:D1344"/>
    <mergeCell ref="A1345:D1345"/>
    <mergeCell ref="A1346:D1346"/>
    <mergeCell ref="A1347:F1347"/>
    <mergeCell ref="A1336:H1336"/>
    <mergeCell ref="A1337:D1337"/>
    <mergeCell ref="A1338:D1338"/>
    <mergeCell ref="A1339:D1339"/>
    <mergeCell ref="A1340:D1340"/>
    <mergeCell ref="A1341:D1341"/>
    <mergeCell ref="A1361:B1361"/>
    <mergeCell ref="D1361:E1361"/>
    <mergeCell ref="A1362:B1362"/>
    <mergeCell ref="D1362:E1362"/>
    <mergeCell ref="A1363:F1363"/>
    <mergeCell ref="A1364:H1364"/>
    <mergeCell ref="A1358:B1358"/>
    <mergeCell ref="D1358:E1358"/>
    <mergeCell ref="A1359:B1359"/>
    <mergeCell ref="D1359:E1359"/>
    <mergeCell ref="A1360:B1360"/>
    <mergeCell ref="D1360:E1360"/>
    <mergeCell ref="A1354:C1354"/>
    <mergeCell ref="D1354:E1354"/>
    <mergeCell ref="A1355:C1355"/>
    <mergeCell ref="D1355:E1355"/>
    <mergeCell ref="A1356:F1356"/>
    <mergeCell ref="A1357:H1357"/>
    <mergeCell ref="A1377:D1377"/>
    <mergeCell ref="A1378:D1378"/>
    <mergeCell ref="A1379:D1379"/>
    <mergeCell ref="A1380:H1380"/>
    <mergeCell ref="A1381:D1381"/>
    <mergeCell ref="A1382:D1382"/>
    <mergeCell ref="A1371:D1371"/>
    <mergeCell ref="A1372:D1372"/>
    <mergeCell ref="A1373:D1373"/>
    <mergeCell ref="A1374:D1374"/>
    <mergeCell ref="A1375:D1375"/>
    <mergeCell ref="A1376:D1376"/>
    <mergeCell ref="A1365:G1365"/>
    <mergeCell ref="A1367:E1369"/>
    <mergeCell ref="F1367:H1367"/>
    <mergeCell ref="G1368:H1368"/>
    <mergeCell ref="F1369:H1369"/>
    <mergeCell ref="A1370:H1370"/>
    <mergeCell ref="A1392:B1392"/>
    <mergeCell ref="D1392:E1392"/>
    <mergeCell ref="A1393:B1393"/>
    <mergeCell ref="D1393:E1393"/>
    <mergeCell ref="A1394:B1394"/>
    <mergeCell ref="D1394:E1394"/>
    <mergeCell ref="A1388:F1388"/>
    <mergeCell ref="A1389:H1389"/>
    <mergeCell ref="A1390:B1390"/>
    <mergeCell ref="D1390:E1390"/>
    <mergeCell ref="A1391:B1391"/>
    <mergeCell ref="D1391:E1391"/>
    <mergeCell ref="A1383:F1383"/>
    <mergeCell ref="A1385:C1385"/>
    <mergeCell ref="D1385:E1385"/>
    <mergeCell ref="A1386:C1386"/>
    <mergeCell ref="D1386:E1386"/>
    <mergeCell ref="A1387:C1387"/>
    <mergeCell ref="D1387:E1387"/>
    <mergeCell ref="A1408:D1408"/>
    <mergeCell ref="A1409:D1409"/>
    <mergeCell ref="A1410:D1410"/>
    <mergeCell ref="A1411:H1411"/>
    <mergeCell ref="A1412:D1412"/>
    <mergeCell ref="A1413:D1413"/>
    <mergeCell ref="A1402:H1402"/>
    <mergeCell ref="A1403:D1403"/>
    <mergeCell ref="A1404:D1404"/>
    <mergeCell ref="A1405:D1405"/>
    <mergeCell ref="A1406:D1406"/>
    <mergeCell ref="A1407:D1407"/>
    <mergeCell ref="A1395:F1395"/>
    <mergeCell ref="A1396:H1396"/>
    <mergeCell ref="A1397:G1397"/>
    <mergeCell ref="A1399:E1401"/>
    <mergeCell ref="F1399:H1399"/>
    <mergeCell ref="G1400:H1400"/>
    <mergeCell ref="F1401:H1401"/>
    <mergeCell ref="A1426:F1426"/>
    <mergeCell ref="A1427:H1427"/>
    <mergeCell ref="A1428:G1428"/>
    <mergeCell ref="A1423:B1423"/>
    <mergeCell ref="D1423:E1423"/>
    <mergeCell ref="A1424:B1424"/>
    <mergeCell ref="D1424:E1424"/>
    <mergeCell ref="A1425:B1425"/>
    <mergeCell ref="D1425:E1425"/>
    <mergeCell ref="A1419:F1419"/>
    <mergeCell ref="A1420:H1420"/>
    <mergeCell ref="A1421:B1421"/>
    <mergeCell ref="D1421:E1421"/>
    <mergeCell ref="A1422:B1422"/>
    <mergeCell ref="D1422:E1422"/>
    <mergeCell ref="A1414:F1414"/>
    <mergeCell ref="A1416:C1416"/>
    <mergeCell ref="D1416:E1416"/>
    <mergeCell ref="A1417:C1417"/>
    <mergeCell ref="D1417:E1417"/>
    <mergeCell ref="A1418:C1418"/>
    <mergeCell ref="D1418:E1418"/>
  </mergeCells>
  <printOptions horizontalCentered="1"/>
  <pageMargins left="0.70866141732283472" right="0.70866141732283472" top="0.74803149606299213" bottom="0.74803149606299213" header="0.31496062992125984" footer="0.31496062992125984"/>
  <pageSetup paperSize="9" scale="65" orientation="portrait" r:id="rId1"/>
  <rowBreaks count="21" manualBreakCount="21">
    <brk id="54" max="16383" man="1"/>
    <brk id="122" max="16383" man="1"/>
    <brk id="190" max="16383" man="1"/>
    <brk id="258" max="16383" man="1"/>
    <brk id="326" max="16383" man="1"/>
    <brk id="394" max="16383" man="1"/>
    <brk id="462" max="16383" man="1"/>
    <brk id="530" max="16383" man="1"/>
    <brk id="598" max="16383" man="1"/>
    <brk id="666" max="16383" man="1"/>
    <brk id="734" max="7" man="1"/>
    <brk id="801" max="7" man="1"/>
    <brk id="868" max="16383" man="1"/>
    <brk id="934" max="7" man="1"/>
    <brk id="967" max="16383" man="1"/>
    <brk id="1035" max="16383" man="1"/>
    <brk id="1103" max="16383" man="1"/>
    <brk id="1169" max="16383" man="1"/>
    <brk id="1235" max="16383" man="1"/>
    <brk id="1301" max="16383" man="1"/>
    <brk id="136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dimension ref="A1:I1309"/>
  <sheetViews>
    <sheetView view="pageLayout" topLeftCell="A184" zoomScale="90" zoomScaleNormal="100" zoomScalePageLayoutView="90" workbookViewId="0">
      <selection activeCell="D189" sqref="D189"/>
    </sheetView>
  </sheetViews>
  <sheetFormatPr baseColWidth="10" defaultRowHeight="15" x14ac:dyDescent="0.25"/>
  <cols>
    <col min="1" max="1" width="18.85546875" customWidth="1"/>
    <col min="3" max="3" width="11" customWidth="1"/>
    <col min="4" max="4" width="13" customWidth="1"/>
    <col min="5" max="5" width="9.85546875" customWidth="1"/>
    <col min="6" max="6" width="12" customWidth="1"/>
    <col min="7" max="7" width="13.28515625" customWidth="1"/>
  </cols>
  <sheetData>
    <row r="1" spans="1:9" ht="24" customHeight="1" x14ac:dyDescent="0.25">
      <c r="A1" s="95"/>
      <c r="B1" s="94"/>
      <c r="C1" s="94"/>
      <c r="D1" s="94"/>
      <c r="E1" s="94"/>
      <c r="F1" s="882"/>
      <c r="G1" s="882"/>
    </row>
    <row r="2" spans="1:9" x14ac:dyDescent="0.25">
      <c r="A2" s="95"/>
      <c r="B2" s="94"/>
      <c r="C2" s="94"/>
      <c r="D2" s="94"/>
      <c r="E2" s="94"/>
      <c r="F2" s="882" t="s">
        <v>300</v>
      </c>
      <c r="G2" s="882" t="s">
        <v>2455</v>
      </c>
    </row>
    <row r="3" spans="1:9" x14ac:dyDescent="0.25">
      <c r="A3" s="1238" t="s">
        <v>1723</v>
      </c>
      <c r="B3" s="1246"/>
      <c r="C3" s="1246"/>
      <c r="D3" s="1246"/>
      <c r="E3" s="1247"/>
      <c r="F3" s="880" t="s">
        <v>24</v>
      </c>
      <c r="G3" s="880" t="s">
        <v>13</v>
      </c>
    </row>
    <row r="4" spans="1:9" x14ac:dyDescent="0.25">
      <c r="A4" s="1229" t="s">
        <v>25</v>
      </c>
      <c r="B4" s="1229"/>
      <c r="C4" s="1229"/>
      <c r="D4" s="1229"/>
      <c r="E4" s="1229"/>
      <c r="F4" s="1229"/>
      <c r="G4" s="1229"/>
      <c r="H4" t="s">
        <v>1764</v>
      </c>
    </row>
    <row r="5" spans="1:9" x14ac:dyDescent="0.25">
      <c r="A5" s="1234" t="s">
        <v>469</v>
      </c>
      <c r="B5" s="1235"/>
      <c r="C5" s="80" t="s">
        <v>26</v>
      </c>
      <c r="D5" s="80" t="s">
        <v>27</v>
      </c>
      <c r="E5" s="80" t="s">
        <v>28</v>
      </c>
      <c r="F5" s="80" t="s">
        <v>35</v>
      </c>
      <c r="G5" s="67"/>
      <c r="H5" t="s">
        <v>1765</v>
      </c>
      <c r="I5" t="s">
        <v>2233</v>
      </c>
    </row>
    <row r="6" spans="1:9" x14ac:dyDescent="0.25">
      <c r="A6" s="1236"/>
      <c r="B6" s="1236"/>
      <c r="C6" s="69"/>
      <c r="D6" s="62"/>
      <c r="E6" s="62"/>
      <c r="F6" s="62"/>
      <c r="G6" s="81"/>
      <c r="H6" t="s">
        <v>1766</v>
      </c>
      <c r="I6" t="s">
        <v>1724</v>
      </c>
    </row>
    <row r="7" spans="1:9" x14ac:dyDescent="0.25">
      <c r="A7" s="1236"/>
      <c r="B7" s="1236"/>
      <c r="C7" s="69"/>
      <c r="D7" s="62"/>
      <c r="E7" s="62"/>
      <c r="F7" s="62"/>
      <c r="G7" s="69"/>
      <c r="H7" t="s">
        <v>1767</v>
      </c>
      <c r="I7" t="s">
        <v>1725</v>
      </c>
    </row>
    <row r="8" spans="1:9" x14ac:dyDescent="0.25">
      <c r="A8" s="1236" t="s">
        <v>30</v>
      </c>
      <c r="B8" s="1236"/>
      <c r="C8" s="69"/>
      <c r="D8" s="69"/>
      <c r="E8" s="69"/>
      <c r="F8" s="62">
        <f>+G31*0.05</f>
        <v>14011.762500000001</v>
      </c>
      <c r="G8" s="69"/>
      <c r="H8" t="s">
        <v>1768</v>
      </c>
      <c r="I8" t="s">
        <v>1726</v>
      </c>
    </row>
    <row r="9" spans="1:9" x14ac:dyDescent="0.25">
      <c r="A9" s="1236"/>
      <c r="B9" s="1236"/>
      <c r="C9" s="69"/>
      <c r="D9" s="69"/>
      <c r="E9" s="69"/>
      <c r="F9" s="69"/>
      <c r="G9" s="69"/>
    </row>
    <row r="10" spans="1:9" x14ac:dyDescent="0.25">
      <c r="A10" s="1236" t="s">
        <v>25</v>
      </c>
      <c r="B10" s="1236"/>
      <c r="C10" s="69"/>
      <c r="D10" s="69"/>
      <c r="E10" s="69"/>
      <c r="F10" s="69"/>
      <c r="G10" s="83" t="s">
        <v>31</v>
      </c>
    </row>
    <row r="11" spans="1:9" x14ac:dyDescent="0.25">
      <c r="A11" s="1237"/>
      <c r="B11" s="1237"/>
      <c r="C11" s="82"/>
      <c r="D11" s="82"/>
      <c r="E11" s="82"/>
      <c r="F11" s="82"/>
      <c r="G11" s="64">
        <f>F8+F7+F6</f>
        <v>14011.762500000001</v>
      </c>
    </row>
    <row r="12" spans="1:9" x14ac:dyDescent="0.25">
      <c r="A12" s="1234" t="s">
        <v>475</v>
      </c>
      <c r="B12" s="1235"/>
      <c r="C12" s="80" t="s">
        <v>32</v>
      </c>
      <c r="D12" s="80" t="s">
        <v>33</v>
      </c>
      <c r="E12" s="80" t="s">
        <v>34</v>
      </c>
      <c r="F12" s="80" t="s">
        <v>35</v>
      </c>
      <c r="G12" s="67"/>
    </row>
    <row r="13" spans="1:9" x14ac:dyDescent="0.25">
      <c r="A13" s="1226" t="s">
        <v>2410</v>
      </c>
      <c r="B13" s="1227"/>
      <c r="C13" s="43" t="s">
        <v>2456</v>
      </c>
      <c r="D13" s="97">
        <v>1759752.9875000003</v>
      </c>
      <c r="E13" s="92">
        <v>1</v>
      </c>
      <c r="F13" s="85">
        <f>+E13*D13</f>
        <v>1759752.9875000003</v>
      </c>
      <c r="G13" s="69"/>
    </row>
    <row r="14" spans="1:9" x14ac:dyDescent="0.25">
      <c r="A14" s="911"/>
      <c r="B14" s="909"/>
      <c r="C14" s="43"/>
      <c r="D14" s="97"/>
      <c r="E14" s="92"/>
      <c r="F14" s="85"/>
      <c r="G14" s="69"/>
    </row>
    <row r="15" spans="1:9" x14ac:dyDescent="0.25">
      <c r="A15" s="911"/>
      <c r="B15" s="909"/>
      <c r="C15" s="43"/>
      <c r="D15" s="97"/>
      <c r="E15" s="92"/>
      <c r="F15" s="85"/>
      <c r="G15" s="69"/>
    </row>
    <row r="16" spans="1:9" x14ac:dyDescent="0.25">
      <c r="A16" s="911"/>
      <c r="B16" s="909"/>
      <c r="C16" s="43"/>
      <c r="D16" s="97"/>
      <c r="E16" s="92"/>
      <c r="F16" s="85"/>
      <c r="G16" s="69"/>
    </row>
    <row r="17" spans="1:7" x14ac:dyDescent="0.25">
      <c r="A17" s="1228"/>
      <c r="B17" s="1229"/>
      <c r="C17" s="43"/>
      <c r="D17" s="97"/>
      <c r="E17" s="92"/>
      <c r="F17" s="85"/>
      <c r="G17" s="43" t="s">
        <v>31</v>
      </c>
    </row>
    <row r="18" spans="1:7" x14ac:dyDescent="0.25">
      <c r="A18" s="1228"/>
      <c r="B18" s="1229"/>
      <c r="C18" s="69"/>
      <c r="D18" s="69"/>
      <c r="E18" s="69"/>
      <c r="F18" s="69"/>
      <c r="G18" s="65">
        <f>+F13+F16+F14+F15</f>
        <v>1759752.9875000003</v>
      </c>
    </row>
    <row r="19" spans="1:7" ht="24" x14ac:dyDescent="0.25">
      <c r="A19" s="910" t="s">
        <v>329</v>
      </c>
      <c r="B19" s="89" t="s">
        <v>38</v>
      </c>
      <c r="C19" s="89" t="s">
        <v>39</v>
      </c>
      <c r="D19" s="80" t="s">
        <v>40</v>
      </c>
      <c r="E19" s="80" t="s">
        <v>34</v>
      </c>
      <c r="F19" s="80" t="s">
        <v>35</v>
      </c>
      <c r="G19" s="67"/>
    </row>
    <row r="20" spans="1:7" x14ac:dyDescent="0.25">
      <c r="A20" s="90"/>
      <c r="B20" s="43"/>
      <c r="C20" s="43"/>
      <c r="D20" s="62"/>
      <c r="E20" s="91"/>
      <c r="F20" s="62"/>
      <c r="G20" s="69"/>
    </row>
    <row r="21" spans="1:7" x14ac:dyDescent="0.25">
      <c r="A21" s="90"/>
      <c r="B21" s="43"/>
      <c r="C21" s="43"/>
      <c r="D21" s="62"/>
      <c r="E21" s="91"/>
      <c r="F21" s="62"/>
      <c r="G21" s="69"/>
    </row>
    <row r="22" spans="1:7" x14ac:dyDescent="0.25">
      <c r="A22" s="90"/>
      <c r="B22" s="43"/>
      <c r="C22" s="43"/>
      <c r="D22" s="62"/>
      <c r="E22" s="92"/>
      <c r="F22" s="62"/>
      <c r="G22" s="69"/>
    </row>
    <row r="23" spans="1:7" x14ac:dyDescent="0.25">
      <c r="A23" s="90" t="s">
        <v>25</v>
      </c>
      <c r="B23" s="43" t="s">
        <v>25</v>
      </c>
      <c r="C23" s="43" t="s">
        <v>25</v>
      </c>
      <c r="D23" s="61" t="s">
        <v>25</v>
      </c>
      <c r="E23" s="92" t="s">
        <v>25</v>
      </c>
      <c r="F23" s="62" t="s">
        <v>25</v>
      </c>
      <c r="G23" s="43" t="s">
        <v>31</v>
      </c>
    </row>
    <row r="24" spans="1:7" ht="63.75" customHeight="1" x14ac:dyDescent="0.25">
      <c r="A24" s="90"/>
      <c r="B24" s="69"/>
      <c r="C24" s="69"/>
      <c r="D24" s="69"/>
      <c r="E24" s="69"/>
      <c r="F24" s="69"/>
      <c r="G24" s="64">
        <f>+F20*E20</f>
        <v>0</v>
      </c>
    </row>
    <row r="25" spans="1:7" ht="24" x14ac:dyDescent="0.25">
      <c r="A25" s="910" t="s">
        <v>41</v>
      </c>
      <c r="B25" s="80" t="s">
        <v>42</v>
      </c>
      <c r="C25" s="80" t="s">
        <v>43</v>
      </c>
      <c r="D25" s="80" t="s">
        <v>44</v>
      </c>
      <c r="E25" s="89" t="s">
        <v>306</v>
      </c>
      <c r="F25" s="80" t="s">
        <v>35</v>
      </c>
      <c r="G25" s="67"/>
    </row>
    <row r="26" spans="1:7" x14ac:dyDescent="0.25">
      <c r="A26" s="81"/>
      <c r="B26" s="81"/>
      <c r="C26" s="81"/>
      <c r="D26" s="81"/>
      <c r="E26" s="81"/>
      <c r="F26" s="81"/>
      <c r="G26" s="81"/>
    </row>
    <row r="27" spans="1:7" x14ac:dyDescent="0.25">
      <c r="A27" s="69" t="s">
        <v>2372</v>
      </c>
      <c r="B27" s="85"/>
      <c r="C27" s="96"/>
      <c r="D27" s="62"/>
      <c r="E27" s="121"/>
      <c r="F27" s="62"/>
      <c r="G27" s="69"/>
    </row>
    <row r="28" spans="1:7" ht="24.75" x14ac:dyDescent="0.25">
      <c r="A28" s="881" t="s">
        <v>2378</v>
      </c>
      <c r="B28" s="85">
        <v>295000</v>
      </c>
      <c r="C28" s="96">
        <v>0.89990000000000003</v>
      </c>
      <c r="D28" s="62">
        <f>B28*C28+B28</f>
        <v>560470.5</v>
      </c>
      <c r="E28" s="121">
        <v>2</v>
      </c>
      <c r="F28" s="62">
        <f xml:space="preserve"> D28/E28</f>
        <v>280235.25</v>
      </c>
      <c r="G28" s="69" t="s">
        <v>25</v>
      </c>
    </row>
    <row r="29" spans="1:7" x14ac:dyDescent="0.25">
      <c r="A29" s="69"/>
      <c r="B29" s="85"/>
      <c r="C29" s="69"/>
      <c r="D29" s="62"/>
      <c r="E29" s="69"/>
      <c r="F29" s="62"/>
      <c r="G29" s="69"/>
    </row>
    <row r="30" spans="1:7" x14ac:dyDescent="0.25">
      <c r="A30" s="69"/>
      <c r="B30" s="69"/>
      <c r="C30" s="69"/>
      <c r="D30" s="69"/>
      <c r="E30" s="69"/>
      <c r="F30" s="69"/>
      <c r="G30" s="43" t="s">
        <v>31</v>
      </c>
    </row>
    <row r="31" spans="1:7" x14ac:dyDescent="0.25">
      <c r="A31" s="82"/>
      <c r="B31" s="82"/>
      <c r="C31" s="82"/>
      <c r="D31" s="82"/>
      <c r="E31" s="82"/>
      <c r="F31" s="82"/>
      <c r="G31" s="64">
        <f>F29+F28+F27</f>
        <v>280235.25</v>
      </c>
    </row>
    <row r="32" spans="1:7" x14ac:dyDescent="0.25">
      <c r="A32" s="1230" t="s">
        <v>25</v>
      </c>
      <c r="B32" s="1230"/>
      <c r="C32" s="1230"/>
      <c r="D32" s="1230"/>
      <c r="E32" s="1230"/>
      <c r="F32" s="1230"/>
      <c r="G32" s="1233"/>
    </row>
    <row r="33" spans="1:9" x14ac:dyDescent="0.25">
      <c r="A33" s="1248" t="s">
        <v>45</v>
      </c>
      <c r="B33" s="1248"/>
      <c r="C33" s="1248"/>
      <c r="D33" s="1248"/>
      <c r="E33" s="1231"/>
      <c r="F33" s="93"/>
      <c r="G33" s="70">
        <f xml:space="preserve"> G31+G24+G18+G11</f>
        <v>2054000.0000000002</v>
      </c>
    </row>
    <row r="34" spans="1:9" x14ac:dyDescent="0.25">
      <c r="A34" s="1232" t="s">
        <v>476</v>
      </c>
      <c r="B34" s="1232"/>
      <c r="C34" s="1222"/>
      <c r="D34" s="1222"/>
      <c r="E34" s="1222" t="s">
        <v>44</v>
      </c>
      <c r="F34" s="1222" t="s">
        <v>51</v>
      </c>
      <c r="G34" s="1222" t="s">
        <v>307</v>
      </c>
    </row>
    <row r="35" spans="1:9" x14ac:dyDescent="0.25">
      <c r="A35" s="1232"/>
      <c r="B35" s="1232"/>
      <c r="C35" s="1222"/>
      <c r="D35" s="1222"/>
      <c r="E35" s="1222"/>
      <c r="F35" s="1222"/>
      <c r="G35" s="1222"/>
    </row>
    <row r="36" spans="1:9" x14ac:dyDescent="0.25">
      <c r="A36" s="1244" t="s">
        <v>17</v>
      </c>
      <c r="B36" s="1244"/>
      <c r="C36" s="1244"/>
      <c r="D36" s="1244"/>
      <c r="E36" s="1244"/>
      <c r="F36" s="1221"/>
      <c r="G36" s="1222"/>
    </row>
    <row r="37" spans="1:9" x14ac:dyDescent="0.25">
      <c r="A37" s="1244" t="s">
        <v>308</v>
      </c>
      <c r="B37" s="1244"/>
      <c r="C37" s="1244"/>
      <c r="D37" s="1244"/>
      <c r="E37" s="1244"/>
      <c r="F37" s="1221"/>
      <c r="G37" s="1222"/>
    </row>
    <row r="38" spans="1:9" x14ac:dyDescent="0.25">
      <c r="A38" s="1244" t="s">
        <v>19</v>
      </c>
      <c r="B38" s="1244"/>
      <c r="C38" s="1244"/>
      <c r="D38" s="1244"/>
      <c r="E38" s="1244"/>
      <c r="F38" s="1221"/>
      <c r="G38" s="1222"/>
    </row>
    <row r="39" spans="1:9" x14ac:dyDescent="0.25">
      <c r="A39" s="1244" t="s">
        <v>309</v>
      </c>
      <c r="B39" s="1244"/>
      <c r="C39" s="1244"/>
      <c r="D39" s="1244"/>
      <c r="E39" s="1244"/>
      <c r="F39" s="1221"/>
      <c r="G39" s="1222"/>
    </row>
    <row r="40" spans="1:9" x14ac:dyDescent="0.25">
      <c r="A40" s="1245" t="s">
        <v>310</v>
      </c>
      <c r="B40" s="1245"/>
      <c r="C40" s="1245"/>
      <c r="D40" s="1245"/>
      <c r="E40" s="1245"/>
      <c r="F40" s="1222"/>
      <c r="G40" s="1222"/>
    </row>
    <row r="41" spans="1:9" x14ac:dyDescent="0.25">
      <c r="A41" s="68"/>
      <c r="B41" s="94"/>
      <c r="C41" s="94"/>
      <c r="D41" s="94"/>
      <c r="E41" s="94"/>
      <c r="F41" s="94"/>
      <c r="G41" s="94"/>
    </row>
    <row r="42" spans="1:9" x14ac:dyDescent="0.25">
      <c r="A42" s="95"/>
      <c r="B42" s="94"/>
      <c r="C42" s="94"/>
      <c r="D42" s="94"/>
      <c r="E42" s="94"/>
      <c r="F42" s="882" t="s">
        <v>300</v>
      </c>
      <c r="G42" s="882" t="s">
        <v>2457</v>
      </c>
    </row>
    <row r="43" spans="1:9" x14ac:dyDescent="0.25">
      <c r="A43" s="1238" t="s">
        <v>2233</v>
      </c>
      <c r="B43" s="1246"/>
      <c r="C43" s="1246"/>
      <c r="D43" s="1246"/>
      <c r="E43" s="1247"/>
      <c r="F43" s="880" t="s">
        <v>24</v>
      </c>
      <c r="G43" s="880" t="s">
        <v>13</v>
      </c>
    </row>
    <row r="44" spans="1:9" x14ac:dyDescent="0.25">
      <c r="A44" s="1229" t="s">
        <v>25</v>
      </c>
      <c r="B44" s="1229"/>
      <c r="C44" s="1229"/>
      <c r="D44" s="1229"/>
      <c r="E44" s="1229"/>
      <c r="F44" s="1229"/>
      <c r="G44" s="1229"/>
      <c r="H44" t="s">
        <v>1764</v>
      </c>
    </row>
    <row r="45" spans="1:9" x14ac:dyDescent="0.25">
      <c r="A45" s="1234" t="s">
        <v>469</v>
      </c>
      <c r="B45" s="1235"/>
      <c r="C45" s="80" t="s">
        <v>26</v>
      </c>
      <c r="D45" s="80" t="s">
        <v>27</v>
      </c>
      <c r="E45" s="80" t="s">
        <v>28</v>
      </c>
      <c r="F45" s="80" t="s">
        <v>35</v>
      </c>
      <c r="G45" s="67"/>
      <c r="H45" t="s">
        <v>1765</v>
      </c>
    </row>
    <row r="46" spans="1:9" x14ac:dyDescent="0.25">
      <c r="A46" s="1236"/>
      <c r="B46" s="1236"/>
      <c r="C46" s="69"/>
      <c r="D46" s="62"/>
      <c r="E46" s="62"/>
      <c r="F46" s="62"/>
      <c r="G46" s="81"/>
      <c r="H46" t="s">
        <v>1766</v>
      </c>
      <c r="I46" t="s">
        <v>1724</v>
      </c>
    </row>
    <row r="47" spans="1:9" x14ac:dyDescent="0.25">
      <c r="A47" s="1236"/>
      <c r="B47" s="1236"/>
      <c r="C47" s="69"/>
      <c r="D47" s="62"/>
      <c r="E47" s="62"/>
      <c r="F47" s="62"/>
      <c r="G47" s="69"/>
      <c r="H47" t="s">
        <v>1767</v>
      </c>
      <c r="I47" t="s">
        <v>1725</v>
      </c>
    </row>
    <row r="48" spans="1:9" x14ac:dyDescent="0.25">
      <c r="A48" s="1236" t="s">
        <v>30</v>
      </c>
      <c r="B48" s="1236"/>
      <c r="C48" s="69"/>
      <c r="D48" s="69"/>
      <c r="E48" s="69"/>
      <c r="F48" s="62">
        <f>+G71*0.05</f>
        <v>934.11749999999995</v>
      </c>
      <c r="G48" s="69"/>
      <c r="H48" t="s">
        <v>1768</v>
      </c>
      <c r="I48" t="s">
        <v>1726</v>
      </c>
    </row>
    <row r="49" spans="1:7" x14ac:dyDescent="0.25">
      <c r="A49" s="1236"/>
      <c r="B49" s="1236"/>
      <c r="C49" s="69"/>
      <c r="D49" s="69"/>
      <c r="E49" s="69"/>
      <c r="F49" s="69"/>
      <c r="G49" s="69"/>
    </row>
    <row r="50" spans="1:7" x14ac:dyDescent="0.25">
      <c r="A50" s="1236" t="s">
        <v>25</v>
      </c>
      <c r="B50" s="1236"/>
      <c r="C50" s="69"/>
      <c r="D50" s="69"/>
      <c r="E50" s="69"/>
      <c r="F50" s="69"/>
      <c r="G50" s="83" t="s">
        <v>31</v>
      </c>
    </row>
    <row r="51" spans="1:7" x14ac:dyDescent="0.25">
      <c r="A51" s="1237"/>
      <c r="B51" s="1237"/>
      <c r="C51" s="82"/>
      <c r="D51" s="82"/>
      <c r="E51" s="82"/>
      <c r="F51" s="82"/>
      <c r="G51" s="64">
        <f>F48+F47+F46</f>
        <v>934.11749999999995</v>
      </c>
    </row>
    <row r="52" spans="1:7" x14ac:dyDescent="0.25">
      <c r="A52" s="1234" t="s">
        <v>475</v>
      </c>
      <c r="B52" s="1235"/>
      <c r="C52" s="80" t="s">
        <v>32</v>
      </c>
      <c r="D52" s="80" t="s">
        <v>33</v>
      </c>
      <c r="E52" s="80" t="s">
        <v>34</v>
      </c>
      <c r="F52" s="80" t="s">
        <v>35</v>
      </c>
      <c r="G52" s="67"/>
    </row>
    <row r="53" spans="1:7" x14ac:dyDescent="0.25">
      <c r="A53" s="1226" t="s">
        <v>2410</v>
      </c>
      <c r="B53" s="1227"/>
      <c r="C53" s="43" t="s">
        <v>2456</v>
      </c>
      <c r="D53" s="97">
        <v>57383.532499999972</v>
      </c>
      <c r="E53" s="92">
        <v>1</v>
      </c>
      <c r="F53" s="85">
        <f>+E53*D53</f>
        <v>57383.532499999972</v>
      </c>
      <c r="G53" s="69"/>
    </row>
    <row r="54" spans="1:7" x14ac:dyDescent="0.25">
      <c r="A54" s="911"/>
      <c r="B54" s="909"/>
      <c r="C54" s="43"/>
      <c r="D54" s="97"/>
      <c r="E54" s="92"/>
      <c r="F54" s="85"/>
      <c r="G54" s="69"/>
    </row>
    <row r="55" spans="1:7" x14ac:dyDescent="0.25">
      <c r="A55" s="911"/>
      <c r="B55" s="909"/>
      <c r="C55" s="43"/>
      <c r="D55" s="97"/>
      <c r="E55" s="92"/>
      <c r="F55" s="85"/>
      <c r="G55" s="69"/>
    </row>
    <row r="56" spans="1:7" x14ac:dyDescent="0.25">
      <c r="A56" s="911"/>
      <c r="B56" s="909"/>
      <c r="C56" s="43"/>
      <c r="D56" s="97"/>
      <c r="E56" s="92"/>
      <c r="F56" s="85"/>
      <c r="G56" s="69"/>
    </row>
    <row r="57" spans="1:7" x14ac:dyDescent="0.25">
      <c r="A57" s="1228"/>
      <c r="B57" s="1229"/>
      <c r="C57" s="43"/>
      <c r="D57" s="97"/>
      <c r="E57" s="92"/>
      <c r="F57" s="85"/>
      <c r="G57" s="43" t="s">
        <v>31</v>
      </c>
    </row>
    <row r="58" spans="1:7" x14ac:dyDescent="0.25">
      <c r="A58" s="1228"/>
      <c r="B58" s="1229"/>
      <c r="C58" s="69"/>
      <c r="D58" s="69"/>
      <c r="E58" s="69"/>
      <c r="F58" s="69"/>
      <c r="G58" s="65">
        <f>+F53+F56+F54+F55</f>
        <v>57383.532499999972</v>
      </c>
    </row>
    <row r="59" spans="1:7" ht="24" x14ac:dyDescent="0.25">
      <c r="A59" s="910" t="s">
        <v>329</v>
      </c>
      <c r="B59" s="89" t="s">
        <v>38</v>
      </c>
      <c r="C59" s="89" t="s">
        <v>39</v>
      </c>
      <c r="D59" s="80" t="s">
        <v>40</v>
      </c>
      <c r="E59" s="80" t="s">
        <v>34</v>
      </c>
      <c r="F59" s="80" t="s">
        <v>35</v>
      </c>
      <c r="G59" s="67"/>
    </row>
    <row r="60" spans="1:7" x14ac:dyDescent="0.25">
      <c r="A60" s="90"/>
      <c r="B60" s="43"/>
      <c r="C60" s="43"/>
      <c r="D60" s="62"/>
      <c r="E60" s="91"/>
      <c r="F60" s="62"/>
      <c r="G60" s="69"/>
    </row>
    <row r="61" spans="1:7" x14ac:dyDescent="0.25">
      <c r="A61" s="90"/>
      <c r="B61" s="43"/>
      <c r="C61" s="43"/>
      <c r="D61" s="62"/>
      <c r="E61" s="91"/>
      <c r="F61" s="62"/>
      <c r="G61" s="69"/>
    </row>
    <row r="62" spans="1:7" x14ac:dyDescent="0.25">
      <c r="A62" s="90"/>
      <c r="B62" s="43"/>
      <c r="C62" s="43"/>
      <c r="D62" s="62"/>
      <c r="E62" s="92"/>
      <c r="F62" s="62"/>
      <c r="G62" s="69"/>
    </row>
    <row r="63" spans="1:7" x14ac:dyDescent="0.25">
      <c r="A63" s="90" t="s">
        <v>25</v>
      </c>
      <c r="B63" s="43" t="s">
        <v>25</v>
      </c>
      <c r="C63" s="43" t="s">
        <v>25</v>
      </c>
      <c r="D63" s="61" t="s">
        <v>25</v>
      </c>
      <c r="E63" s="92" t="s">
        <v>25</v>
      </c>
      <c r="F63" s="62" t="s">
        <v>25</v>
      </c>
      <c r="G63" s="43" t="s">
        <v>31</v>
      </c>
    </row>
    <row r="64" spans="1:7" x14ac:dyDescent="0.25">
      <c r="A64" s="90"/>
      <c r="B64" s="69"/>
      <c r="C64" s="69"/>
      <c r="D64" s="69"/>
      <c r="E64" s="69"/>
      <c r="F64" s="69"/>
      <c r="G64" s="64">
        <f>+F60*E60</f>
        <v>0</v>
      </c>
    </row>
    <row r="65" spans="1:7" ht="24" x14ac:dyDescent="0.25">
      <c r="A65" s="910" t="s">
        <v>41</v>
      </c>
      <c r="B65" s="80" t="s">
        <v>42</v>
      </c>
      <c r="C65" s="80" t="s">
        <v>43</v>
      </c>
      <c r="D65" s="80" t="s">
        <v>44</v>
      </c>
      <c r="E65" s="89" t="s">
        <v>306</v>
      </c>
      <c r="F65" s="80" t="s">
        <v>35</v>
      </c>
      <c r="G65" s="67"/>
    </row>
    <row r="66" spans="1:7" x14ac:dyDescent="0.25">
      <c r="A66" s="81"/>
      <c r="B66" s="81"/>
      <c r="C66" s="81"/>
      <c r="D66" s="81"/>
      <c r="E66" s="81"/>
      <c r="F66" s="81"/>
      <c r="G66" s="81"/>
    </row>
    <row r="67" spans="1:7" x14ac:dyDescent="0.25">
      <c r="A67" s="69" t="s">
        <v>2372</v>
      </c>
      <c r="B67" s="85"/>
      <c r="C67" s="96"/>
      <c r="D67" s="62"/>
      <c r="E67" s="121"/>
      <c r="F67" s="62"/>
      <c r="G67" s="69"/>
    </row>
    <row r="68" spans="1:7" ht="24.75" x14ac:dyDescent="0.25">
      <c r="A68" s="881" t="s">
        <v>2378</v>
      </c>
      <c r="B68" s="85">
        <v>295000</v>
      </c>
      <c r="C68" s="96">
        <v>0.89990000000000003</v>
      </c>
      <c r="D68" s="62">
        <f>B68*C68+B68</f>
        <v>560470.5</v>
      </c>
      <c r="E68" s="121">
        <v>30</v>
      </c>
      <c r="F68" s="62">
        <f xml:space="preserve"> D68/E68</f>
        <v>18682.349999999999</v>
      </c>
      <c r="G68" s="69" t="s">
        <v>25</v>
      </c>
    </row>
    <row r="69" spans="1:7" x14ac:dyDescent="0.25">
      <c r="A69" s="69"/>
      <c r="B69" s="85"/>
      <c r="C69" s="69"/>
      <c r="D69" s="62"/>
      <c r="E69" s="69"/>
      <c r="F69" s="62"/>
      <c r="G69" s="69"/>
    </row>
    <row r="70" spans="1:7" x14ac:dyDescent="0.25">
      <c r="A70" s="69"/>
      <c r="B70" s="69"/>
      <c r="C70" s="69"/>
      <c r="D70" s="69"/>
      <c r="E70" s="69"/>
      <c r="F70" s="69"/>
      <c r="G70" s="43" t="s">
        <v>31</v>
      </c>
    </row>
    <row r="71" spans="1:7" x14ac:dyDescent="0.25">
      <c r="A71" s="82"/>
      <c r="B71" s="82"/>
      <c r="C71" s="82"/>
      <c r="D71" s="82"/>
      <c r="E71" s="82"/>
      <c r="F71" s="82"/>
      <c r="G71" s="64">
        <f>F69+F68+F67</f>
        <v>18682.349999999999</v>
      </c>
    </row>
    <row r="72" spans="1:7" x14ac:dyDescent="0.25">
      <c r="A72" s="1230" t="s">
        <v>25</v>
      </c>
      <c r="B72" s="1230"/>
      <c r="C72" s="1230"/>
      <c r="D72" s="1230"/>
      <c r="E72" s="1230"/>
      <c r="F72" s="1230"/>
      <c r="G72" s="1233"/>
    </row>
    <row r="73" spans="1:7" x14ac:dyDescent="0.25">
      <c r="A73" s="1248" t="s">
        <v>45</v>
      </c>
      <c r="B73" s="1248"/>
      <c r="C73" s="1248"/>
      <c r="D73" s="1248"/>
      <c r="E73" s="1231"/>
      <c r="F73" s="93"/>
      <c r="G73" s="70">
        <f xml:space="preserve"> G71+G64+G58+G51</f>
        <v>76999.999999999971</v>
      </c>
    </row>
    <row r="74" spans="1:7" x14ac:dyDescent="0.25">
      <c r="A74" s="1232" t="s">
        <v>476</v>
      </c>
      <c r="B74" s="1232"/>
      <c r="C74" s="1222"/>
      <c r="D74" s="1222"/>
      <c r="E74" s="1222" t="s">
        <v>44</v>
      </c>
      <c r="F74" s="1222" t="s">
        <v>51</v>
      </c>
      <c r="G74" s="1222" t="s">
        <v>307</v>
      </c>
    </row>
    <row r="75" spans="1:7" x14ac:dyDescent="0.25">
      <c r="A75" s="1232"/>
      <c r="B75" s="1232"/>
      <c r="C75" s="1222"/>
      <c r="D75" s="1222"/>
      <c r="E75" s="1222"/>
      <c r="F75" s="1222"/>
      <c r="G75" s="1222"/>
    </row>
    <row r="76" spans="1:7" x14ac:dyDescent="0.25">
      <c r="A76" s="1244" t="s">
        <v>17</v>
      </c>
      <c r="B76" s="1244"/>
      <c r="C76" s="1244"/>
      <c r="D76" s="1244"/>
      <c r="E76" s="1244"/>
      <c r="F76" s="1221"/>
      <c r="G76" s="1222"/>
    </row>
    <row r="77" spans="1:7" x14ac:dyDescent="0.25">
      <c r="A77" s="1244" t="s">
        <v>308</v>
      </c>
      <c r="B77" s="1244"/>
      <c r="C77" s="1244"/>
      <c r="D77" s="1244"/>
      <c r="E77" s="1244"/>
      <c r="F77" s="1221"/>
      <c r="G77" s="1222"/>
    </row>
    <row r="78" spans="1:7" x14ac:dyDescent="0.25">
      <c r="A78" s="1244" t="s">
        <v>19</v>
      </c>
      <c r="B78" s="1244"/>
      <c r="C78" s="1244"/>
      <c r="D78" s="1244"/>
      <c r="E78" s="1244"/>
      <c r="F78" s="1221"/>
      <c r="G78" s="1222"/>
    </row>
    <row r="79" spans="1:7" x14ac:dyDescent="0.25">
      <c r="A79" s="1244" t="s">
        <v>309</v>
      </c>
      <c r="B79" s="1244"/>
      <c r="C79" s="1244"/>
      <c r="D79" s="1244"/>
      <c r="E79" s="1244"/>
      <c r="F79" s="1221"/>
      <c r="G79" s="1222"/>
    </row>
    <row r="80" spans="1:7" x14ac:dyDescent="0.25">
      <c r="A80" s="1245" t="s">
        <v>310</v>
      </c>
      <c r="B80" s="1245"/>
      <c r="C80" s="1245"/>
      <c r="D80" s="1245"/>
      <c r="E80" s="1245"/>
      <c r="F80" s="1222"/>
      <c r="G80" s="1222"/>
    </row>
    <row r="81" spans="1:9" x14ac:dyDescent="0.25">
      <c r="A81" s="68"/>
      <c r="B81" s="94"/>
      <c r="C81" s="94"/>
      <c r="D81" s="94"/>
      <c r="E81" s="94"/>
      <c r="F81" s="94"/>
      <c r="G81" s="94"/>
    </row>
    <row r="83" spans="1:9" x14ac:dyDescent="0.25">
      <c r="A83" s="95"/>
      <c r="B83" s="94"/>
      <c r="C83" s="94"/>
      <c r="D83" s="94"/>
      <c r="E83" s="94"/>
      <c r="F83" s="882"/>
      <c r="G83" s="882"/>
    </row>
    <row r="84" spans="1:9" ht="27" customHeight="1" x14ac:dyDescent="0.25">
      <c r="A84" s="1238"/>
      <c r="B84" s="1246"/>
      <c r="C84" s="1246"/>
      <c r="D84" s="1246"/>
      <c r="E84" s="1247"/>
      <c r="F84" s="880"/>
      <c r="G84" s="880"/>
    </row>
    <row r="85" spans="1:9" x14ac:dyDescent="0.25">
      <c r="A85" s="1229"/>
      <c r="B85" s="1229"/>
      <c r="C85" s="1229"/>
      <c r="D85" s="1229"/>
      <c r="E85" s="1229"/>
      <c r="F85" s="1229"/>
      <c r="G85" s="1229"/>
    </row>
    <row r="86" spans="1:9" x14ac:dyDescent="0.25">
      <c r="A86" s="1234"/>
      <c r="B86" s="1235"/>
      <c r="C86" s="80"/>
      <c r="D86" s="80"/>
      <c r="E86" s="80"/>
      <c r="F86" s="80"/>
      <c r="G86" s="67"/>
    </row>
    <row r="87" spans="1:9" x14ac:dyDescent="0.25">
      <c r="A87" s="95"/>
      <c r="B87" s="94"/>
      <c r="C87" s="94"/>
      <c r="D87" s="94"/>
      <c r="E87" s="94"/>
      <c r="F87" s="882" t="s">
        <v>300</v>
      </c>
      <c r="G87" s="882" t="s">
        <v>2458</v>
      </c>
    </row>
    <row r="88" spans="1:9" x14ac:dyDescent="0.25">
      <c r="A88" s="1238" t="s">
        <v>1724</v>
      </c>
      <c r="B88" s="1246"/>
      <c r="C88" s="1246"/>
      <c r="D88" s="1246"/>
      <c r="E88" s="1247"/>
      <c r="F88" s="880" t="s">
        <v>24</v>
      </c>
      <c r="G88" s="880" t="s">
        <v>77</v>
      </c>
    </row>
    <row r="89" spans="1:9" x14ac:dyDescent="0.25">
      <c r="A89" s="1229" t="s">
        <v>25</v>
      </c>
      <c r="B89" s="1229"/>
      <c r="C89" s="1229"/>
      <c r="D89" s="1229"/>
      <c r="E89" s="1229"/>
      <c r="F89" s="1229"/>
      <c r="G89" s="1229"/>
      <c r="H89" t="s">
        <v>1764</v>
      </c>
    </row>
    <row r="90" spans="1:9" x14ac:dyDescent="0.25">
      <c r="A90" s="1234" t="s">
        <v>469</v>
      </c>
      <c r="B90" s="1235"/>
      <c r="C90" s="80" t="s">
        <v>26</v>
      </c>
      <c r="D90" s="80" t="s">
        <v>27</v>
      </c>
      <c r="E90" s="80" t="s">
        <v>28</v>
      </c>
      <c r="F90" s="80" t="s">
        <v>35</v>
      </c>
      <c r="G90" s="67"/>
      <c r="H90" t="s">
        <v>1765</v>
      </c>
    </row>
    <row r="91" spans="1:9" x14ac:dyDescent="0.25">
      <c r="A91" s="1236"/>
      <c r="B91" s="1236"/>
      <c r="C91" s="69"/>
      <c r="D91" s="62"/>
      <c r="E91" s="62"/>
      <c r="F91" s="62"/>
      <c r="G91" s="81"/>
      <c r="H91" t="s">
        <v>1766</v>
      </c>
    </row>
    <row r="92" spans="1:9" x14ac:dyDescent="0.25">
      <c r="A92" s="1236"/>
      <c r="B92" s="1236"/>
      <c r="C92" s="69"/>
      <c r="D92" s="62"/>
      <c r="E92" s="62"/>
      <c r="F92" s="62"/>
      <c r="G92" s="69"/>
      <c r="H92" t="s">
        <v>1767</v>
      </c>
      <c r="I92" t="s">
        <v>1725</v>
      </c>
    </row>
    <row r="93" spans="1:9" x14ac:dyDescent="0.25">
      <c r="A93" s="1236" t="s">
        <v>30</v>
      </c>
      <c r="B93" s="1236"/>
      <c r="C93" s="69"/>
      <c r="D93" s="69"/>
      <c r="E93" s="69"/>
      <c r="F93" s="62">
        <f>+G116*0.05</f>
        <v>2802.3525000000004</v>
      </c>
      <c r="G93" s="69"/>
      <c r="H93" t="s">
        <v>1768</v>
      </c>
      <c r="I93" t="s">
        <v>1726</v>
      </c>
    </row>
    <row r="94" spans="1:9" x14ac:dyDescent="0.25">
      <c r="A94" s="1236"/>
      <c r="B94" s="1236"/>
      <c r="C94" s="69"/>
      <c r="D94" s="69"/>
      <c r="E94" s="69"/>
      <c r="F94" s="69"/>
      <c r="G94" s="69"/>
    </row>
    <row r="95" spans="1:9" x14ac:dyDescent="0.25">
      <c r="A95" s="1236" t="s">
        <v>25</v>
      </c>
      <c r="B95" s="1236"/>
      <c r="C95" s="69"/>
      <c r="D95" s="69"/>
      <c r="E95" s="69"/>
      <c r="F95" s="69"/>
      <c r="G95" s="83" t="s">
        <v>31</v>
      </c>
    </row>
    <row r="96" spans="1:9" x14ac:dyDescent="0.25">
      <c r="A96" s="1237"/>
      <c r="B96" s="1237"/>
      <c r="C96" s="82"/>
      <c r="D96" s="82"/>
      <c r="E96" s="82"/>
      <c r="F96" s="82"/>
      <c r="G96" s="64">
        <f>F93+F92+F91</f>
        <v>2802.3525000000004</v>
      </c>
    </row>
    <row r="97" spans="1:7" x14ac:dyDescent="0.25">
      <c r="A97" s="1234" t="s">
        <v>475</v>
      </c>
      <c r="B97" s="1235"/>
      <c r="C97" s="80" t="s">
        <v>32</v>
      </c>
      <c r="D97" s="80" t="s">
        <v>33</v>
      </c>
      <c r="E97" s="80" t="s">
        <v>34</v>
      </c>
      <c r="F97" s="80" t="s">
        <v>35</v>
      </c>
      <c r="G97" s="67"/>
    </row>
    <row r="98" spans="1:7" x14ac:dyDescent="0.25">
      <c r="A98" s="1226" t="s">
        <v>2410</v>
      </c>
      <c r="B98" s="1227"/>
      <c r="C98" s="43" t="s">
        <v>2456</v>
      </c>
      <c r="D98" s="97">
        <v>136900.5975</v>
      </c>
      <c r="E98" s="92">
        <v>1</v>
      </c>
      <c r="F98" s="85">
        <f>+E98*D98</f>
        <v>136900.5975</v>
      </c>
      <c r="G98" s="69"/>
    </row>
    <row r="99" spans="1:7" x14ac:dyDescent="0.25">
      <c r="A99" s="911"/>
      <c r="B99" s="909"/>
      <c r="C99" s="43"/>
      <c r="D99" s="97"/>
      <c r="E99" s="92"/>
      <c r="F99" s="85"/>
      <c r="G99" s="69"/>
    </row>
    <row r="100" spans="1:7" x14ac:dyDescent="0.25">
      <c r="A100" s="911"/>
      <c r="B100" s="909"/>
      <c r="C100" s="43"/>
      <c r="D100" s="97"/>
      <c r="E100" s="92"/>
      <c r="F100" s="85"/>
      <c r="G100" s="69"/>
    </row>
    <row r="101" spans="1:7" x14ac:dyDescent="0.25">
      <c r="A101" s="911"/>
      <c r="B101" s="909"/>
      <c r="C101" s="43"/>
      <c r="D101" s="97"/>
      <c r="E101" s="92"/>
      <c r="F101" s="85"/>
      <c r="G101" s="69"/>
    </row>
    <row r="102" spans="1:7" x14ac:dyDescent="0.25">
      <c r="A102" s="1228"/>
      <c r="B102" s="1229"/>
      <c r="C102" s="43"/>
      <c r="D102" s="97"/>
      <c r="E102" s="92"/>
      <c r="F102" s="85"/>
      <c r="G102" s="43" t="s">
        <v>31</v>
      </c>
    </row>
    <row r="103" spans="1:7" x14ac:dyDescent="0.25">
      <c r="A103" s="1228"/>
      <c r="B103" s="1229"/>
      <c r="C103" s="69"/>
      <c r="D103" s="69"/>
      <c r="E103" s="69"/>
      <c r="F103" s="69"/>
      <c r="G103" s="65">
        <f>+F98+F101+F99+F100</f>
        <v>136900.5975</v>
      </c>
    </row>
    <row r="104" spans="1:7" ht="24" x14ac:dyDescent="0.25">
      <c r="A104" s="910" t="s">
        <v>329</v>
      </c>
      <c r="B104" s="89" t="s">
        <v>38</v>
      </c>
      <c r="C104" s="89" t="s">
        <v>39</v>
      </c>
      <c r="D104" s="80" t="s">
        <v>40</v>
      </c>
      <c r="E104" s="80" t="s">
        <v>34</v>
      </c>
      <c r="F104" s="80" t="s">
        <v>35</v>
      </c>
      <c r="G104" s="67"/>
    </row>
    <row r="105" spans="1:7" x14ac:dyDescent="0.25">
      <c r="A105" s="90"/>
      <c r="B105" s="43"/>
      <c r="C105" s="43"/>
      <c r="D105" s="62"/>
      <c r="E105" s="91"/>
      <c r="F105" s="62"/>
      <c r="G105" s="69"/>
    </row>
    <row r="106" spans="1:7" x14ac:dyDescent="0.25">
      <c r="A106" s="90"/>
      <c r="B106" s="43"/>
      <c r="C106" s="43"/>
      <c r="D106" s="62"/>
      <c r="E106" s="91"/>
      <c r="F106" s="62"/>
      <c r="G106" s="69"/>
    </row>
    <row r="107" spans="1:7" x14ac:dyDescent="0.25">
      <c r="A107" s="90"/>
      <c r="B107" s="43"/>
      <c r="C107" s="43"/>
      <c r="D107" s="62"/>
      <c r="E107" s="92"/>
      <c r="F107" s="62"/>
      <c r="G107" s="69"/>
    </row>
    <row r="108" spans="1:7" x14ac:dyDescent="0.25">
      <c r="A108" s="90" t="s">
        <v>25</v>
      </c>
      <c r="B108" s="43" t="s">
        <v>25</v>
      </c>
      <c r="C108" s="43" t="s">
        <v>25</v>
      </c>
      <c r="D108" s="61" t="s">
        <v>25</v>
      </c>
      <c r="E108" s="92" t="s">
        <v>25</v>
      </c>
      <c r="F108" s="62" t="s">
        <v>25</v>
      </c>
      <c r="G108" s="43" t="s">
        <v>31</v>
      </c>
    </row>
    <row r="109" spans="1:7" x14ac:dyDescent="0.25">
      <c r="A109" s="90"/>
      <c r="B109" s="69"/>
      <c r="C109" s="69"/>
      <c r="D109" s="69"/>
      <c r="E109" s="69"/>
      <c r="F109" s="69"/>
      <c r="G109" s="64">
        <f>+F105*E105</f>
        <v>0</v>
      </c>
    </row>
    <row r="110" spans="1:7" ht="24" x14ac:dyDescent="0.25">
      <c r="A110" s="910" t="s">
        <v>41</v>
      </c>
      <c r="B110" s="80" t="s">
        <v>42</v>
      </c>
      <c r="C110" s="80" t="s">
        <v>43</v>
      </c>
      <c r="D110" s="80" t="s">
        <v>44</v>
      </c>
      <c r="E110" s="89" t="s">
        <v>306</v>
      </c>
      <c r="F110" s="80" t="s">
        <v>35</v>
      </c>
      <c r="G110" s="67"/>
    </row>
    <row r="111" spans="1:7" x14ac:dyDescent="0.25">
      <c r="A111" s="81"/>
      <c r="B111" s="81"/>
      <c r="C111" s="81"/>
      <c r="D111" s="81"/>
      <c r="E111" s="81"/>
      <c r="F111" s="81"/>
      <c r="G111" s="81"/>
    </row>
    <row r="112" spans="1:7" x14ac:dyDescent="0.25">
      <c r="A112" s="69" t="s">
        <v>2372</v>
      </c>
      <c r="B112" s="85"/>
      <c r="C112" s="96"/>
      <c r="D112" s="62"/>
      <c r="E112" s="121"/>
      <c r="F112" s="62"/>
      <c r="G112" s="69"/>
    </row>
    <row r="113" spans="1:7" ht="24.75" x14ac:dyDescent="0.25">
      <c r="A113" s="881" t="s">
        <v>2378</v>
      </c>
      <c r="B113" s="85">
        <v>295000</v>
      </c>
      <c r="C113" s="96">
        <v>0.89990000000000003</v>
      </c>
      <c r="D113" s="62">
        <f>B113*C113+B113</f>
        <v>560470.5</v>
      </c>
      <c r="E113" s="121">
        <v>10</v>
      </c>
      <c r="F113" s="62">
        <f xml:space="preserve"> D113/E113</f>
        <v>56047.05</v>
      </c>
      <c r="G113" s="69" t="s">
        <v>25</v>
      </c>
    </row>
    <row r="114" spans="1:7" x14ac:dyDescent="0.25">
      <c r="A114" s="69"/>
      <c r="B114" s="85"/>
      <c r="C114" s="69"/>
      <c r="D114" s="62"/>
      <c r="E114" s="69"/>
      <c r="F114" s="62"/>
      <c r="G114" s="69"/>
    </row>
    <row r="115" spans="1:7" x14ac:dyDescent="0.25">
      <c r="A115" s="69"/>
      <c r="B115" s="69"/>
      <c r="C115" s="69"/>
      <c r="D115" s="69"/>
      <c r="E115" s="69"/>
      <c r="F115" s="69"/>
      <c r="G115" s="43" t="s">
        <v>31</v>
      </c>
    </row>
    <row r="116" spans="1:7" x14ac:dyDescent="0.25">
      <c r="A116" s="82"/>
      <c r="B116" s="82"/>
      <c r="C116" s="82"/>
      <c r="D116" s="82"/>
      <c r="E116" s="82"/>
      <c r="F116" s="82"/>
      <c r="G116" s="64">
        <f>F114+F113+F112</f>
        <v>56047.05</v>
      </c>
    </row>
    <row r="117" spans="1:7" x14ac:dyDescent="0.25">
      <c r="A117" s="1230" t="s">
        <v>25</v>
      </c>
      <c r="B117" s="1230"/>
      <c r="C117" s="1230"/>
      <c r="D117" s="1230"/>
      <c r="E117" s="1230"/>
      <c r="F117" s="1230"/>
      <c r="G117" s="1233"/>
    </row>
    <row r="118" spans="1:7" x14ac:dyDescent="0.25">
      <c r="A118" s="1248" t="s">
        <v>45</v>
      </c>
      <c r="B118" s="1248"/>
      <c r="C118" s="1248"/>
      <c r="D118" s="1248"/>
      <c r="E118" s="1231"/>
      <c r="F118" s="93"/>
      <c r="G118" s="70">
        <f xml:space="preserve"> G116+G109+G103+G96</f>
        <v>195750.00000000003</v>
      </c>
    </row>
    <row r="119" spans="1:7" x14ac:dyDescent="0.25">
      <c r="A119" s="1232" t="s">
        <v>476</v>
      </c>
      <c r="B119" s="1232"/>
      <c r="C119" s="1222"/>
      <c r="D119" s="1222"/>
      <c r="E119" s="1222" t="s">
        <v>44</v>
      </c>
      <c r="F119" s="1222" t="s">
        <v>51</v>
      </c>
      <c r="G119" s="1222" t="s">
        <v>307</v>
      </c>
    </row>
    <row r="120" spans="1:7" x14ac:dyDescent="0.25">
      <c r="A120" s="1232"/>
      <c r="B120" s="1232"/>
      <c r="C120" s="1222"/>
      <c r="D120" s="1222"/>
      <c r="E120" s="1222"/>
      <c r="F120" s="1222"/>
      <c r="G120" s="1222"/>
    </row>
    <row r="121" spans="1:7" x14ac:dyDescent="0.25">
      <c r="A121" s="1244" t="s">
        <v>17</v>
      </c>
      <c r="B121" s="1244"/>
      <c r="C121" s="1244"/>
      <c r="D121" s="1244"/>
      <c r="E121" s="1244"/>
      <c r="F121" s="1221"/>
      <c r="G121" s="1222"/>
    </row>
    <row r="122" spans="1:7" x14ac:dyDescent="0.25">
      <c r="A122" s="1244" t="s">
        <v>308</v>
      </c>
      <c r="B122" s="1244"/>
      <c r="C122" s="1244"/>
      <c r="D122" s="1244"/>
      <c r="E122" s="1244"/>
      <c r="F122" s="1221"/>
      <c r="G122" s="1222"/>
    </row>
    <row r="123" spans="1:7" x14ac:dyDescent="0.25">
      <c r="A123" s="1244" t="s">
        <v>19</v>
      </c>
      <c r="B123" s="1244"/>
      <c r="C123" s="1244"/>
      <c r="D123" s="1244"/>
      <c r="E123" s="1244"/>
      <c r="F123" s="1221"/>
      <c r="G123" s="1222"/>
    </row>
    <row r="124" spans="1:7" x14ac:dyDescent="0.25">
      <c r="A124" s="1244" t="s">
        <v>309</v>
      </c>
      <c r="B124" s="1244"/>
      <c r="C124" s="1244"/>
      <c r="D124" s="1244"/>
      <c r="E124" s="1244"/>
      <c r="F124" s="1221"/>
      <c r="G124" s="1222"/>
    </row>
    <row r="125" spans="1:7" x14ac:dyDescent="0.25">
      <c r="A125" s="1245" t="s">
        <v>310</v>
      </c>
      <c r="B125" s="1245"/>
      <c r="C125" s="1245"/>
      <c r="D125" s="1245"/>
      <c r="E125" s="1245"/>
      <c r="F125" s="1222"/>
      <c r="G125" s="1222"/>
    </row>
    <row r="126" spans="1:7" x14ac:dyDescent="0.25">
      <c r="A126" s="68"/>
      <c r="B126" s="94"/>
      <c r="C126" s="94"/>
      <c r="D126" s="94"/>
      <c r="E126" s="94"/>
      <c r="F126" s="94"/>
      <c r="G126" s="94"/>
    </row>
    <row r="127" spans="1:7" ht="29.25" customHeight="1" x14ac:dyDescent="0.25"/>
    <row r="128" spans="1:7" x14ac:dyDescent="0.25">
      <c r="A128" s="95"/>
      <c r="B128" s="94"/>
      <c r="C128" s="94"/>
      <c r="D128" s="94"/>
      <c r="E128" s="94"/>
      <c r="F128" s="882"/>
      <c r="G128" s="882"/>
    </row>
    <row r="129" spans="1:9" x14ac:dyDescent="0.25">
      <c r="A129" s="1234"/>
      <c r="B129" s="1235"/>
      <c r="C129" s="80"/>
      <c r="D129" s="80"/>
      <c r="E129" s="80"/>
      <c r="F129" s="80"/>
      <c r="G129" s="67"/>
    </row>
    <row r="130" spans="1:9" x14ac:dyDescent="0.25">
      <c r="A130" s="1236"/>
      <c r="B130" s="1236"/>
      <c r="C130" s="69"/>
      <c r="D130" s="62"/>
      <c r="E130" s="62"/>
      <c r="F130" s="62"/>
      <c r="G130" s="81"/>
    </row>
    <row r="131" spans="1:9" x14ac:dyDescent="0.25">
      <c r="A131" s="1234"/>
      <c r="B131" s="1235"/>
      <c r="C131" s="80"/>
      <c r="D131" s="80"/>
      <c r="E131" s="80"/>
      <c r="F131" s="80"/>
      <c r="G131" s="67"/>
    </row>
    <row r="132" spans="1:9" x14ac:dyDescent="0.25">
      <c r="A132" s="95"/>
      <c r="B132" s="94"/>
      <c r="C132" s="94"/>
      <c r="D132" s="94"/>
      <c r="E132" s="94"/>
      <c r="F132" s="882" t="s">
        <v>300</v>
      </c>
      <c r="G132" s="882" t="s">
        <v>2459</v>
      </c>
    </row>
    <row r="133" spans="1:9" x14ac:dyDescent="0.25">
      <c r="A133" s="1238" t="s">
        <v>1725</v>
      </c>
      <c r="B133" s="1246"/>
      <c r="C133" s="1246"/>
      <c r="D133" s="1246"/>
      <c r="E133" s="1247"/>
      <c r="F133" s="880" t="s">
        <v>24</v>
      </c>
      <c r="G133" s="880" t="s">
        <v>77</v>
      </c>
    </row>
    <row r="134" spans="1:9" x14ac:dyDescent="0.25">
      <c r="A134" s="1229" t="s">
        <v>25</v>
      </c>
      <c r="B134" s="1229"/>
      <c r="C134" s="1229"/>
      <c r="D134" s="1229"/>
      <c r="E134" s="1229"/>
      <c r="F134" s="1229"/>
      <c r="G134" s="1229"/>
      <c r="H134" t="s">
        <v>1764</v>
      </c>
    </row>
    <row r="135" spans="1:9" x14ac:dyDescent="0.25">
      <c r="A135" s="1234" t="s">
        <v>469</v>
      </c>
      <c r="B135" s="1235"/>
      <c r="C135" s="80" t="s">
        <v>26</v>
      </c>
      <c r="D135" s="80" t="s">
        <v>27</v>
      </c>
      <c r="E135" s="80" t="s">
        <v>28</v>
      </c>
      <c r="F135" s="80" t="s">
        <v>35</v>
      </c>
      <c r="G135" s="67"/>
      <c r="H135" t="s">
        <v>1765</v>
      </c>
    </row>
    <row r="136" spans="1:9" x14ac:dyDescent="0.25">
      <c r="A136" s="1236"/>
      <c r="B136" s="1236"/>
      <c r="C136" s="69"/>
      <c r="D136" s="62"/>
      <c r="E136" s="62"/>
      <c r="F136" s="62"/>
      <c r="G136" s="81"/>
      <c r="H136" t="s">
        <v>1766</v>
      </c>
    </row>
    <row r="137" spans="1:9" x14ac:dyDescent="0.25">
      <c r="A137" s="1236"/>
      <c r="B137" s="1236"/>
      <c r="C137" s="69"/>
      <c r="D137" s="62"/>
      <c r="E137" s="62"/>
      <c r="F137" s="62"/>
      <c r="G137" s="69"/>
      <c r="H137" t="s">
        <v>1767</v>
      </c>
    </row>
    <row r="138" spans="1:9" x14ac:dyDescent="0.25">
      <c r="A138" s="1236" t="s">
        <v>30</v>
      </c>
      <c r="B138" s="1236"/>
      <c r="C138" s="69"/>
      <c r="D138" s="69"/>
      <c r="E138" s="69"/>
      <c r="F138" s="62">
        <f>+G161*0.05</f>
        <v>2802.3525000000004</v>
      </c>
      <c r="G138" s="69"/>
      <c r="H138" t="s">
        <v>1768</v>
      </c>
      <c r="I138" t="s">
        <v>1726</v>
      </c>
    </row>
    <row r="139" spans="1:9" x14ac:dyDescent="0.25">
      <c r="A139" s="1236"/>
      <c r="B139" s="1236"/>
      <c r="C139" s="69"/>
      <c r="D139" s="69"/>
      <c r="E139" s="69"/>
      <c r="F139" s="69"/>
      <c r="G139" s="69"/>
    </row>
    <row r="140" spans="1:9" x14ac:dyDescent="0.25">
      <c r="A140" s="1236" t="s">
        <v>25</v>
      </c>
      <c r="B140" s="1236"/>
      <c r="C140" s="69"/>
      <c r="D140" s="69"/>
      <c r="E140" s="69"/>
      <c r="F140" s="69"/>
      <c r="G140" s="83" t="s">
        <v>31</v>
      </c>
    </row>
    <row r="141" spans="1:9" x14ac:dyDescent="0.25">
      <c r="A141" s="1237"/>
      <c r="B141" s="1237"/>
      <c r="C141" s="82"/>
      <c r="D141" s="82"/>
      <c r="E141" s="82"/>
      <c r="F141" s="82"/>
      <c r="G141" s="64">
        <f>F138+F137+F136</f>
        <v>2802.3525000000004</v>
      </c>
    </row>
    <row r="142" spans="1:9" x14ac:dyDescent="0.25">
      <c r="A142" s="1234" t="s">
        <v>475</v>
      </c>
      <c r="B142" s="1235"/>
      <c r="C142" s="80" t="s">
        <v>32</v>
      </c>
      <c r="D142" s="80" t="s">
        <v>33</v>
      </c>
      <c r="E142" s="80" t="s">
        <v>34</v>
      </c>
      <c r="F142" s="80" t="s">
        <v>35</v>
      </c>
      <c r="G142" s="67"/>
    </row>
    <row r="143" spans="1:9" x14ac:dyDescent="0.25">
      <c r="A143" s="1226" t="s">
        <v>2410</v>
      </c>
      <c r="B143" s="1227"/>
      <c r="C143" s="43" t="s">
        <v>2456</v>
      </c>
      <c r="D143" s="97">
        <v>97789.597499999974</v>
      </c>
      <c r="E143" s="92">
        <v>1</v>
      </c>
      <c r="F143" s="85">
        <f>+E143*D143</f>
        <v>97789.597499999974</v>
      </c>
      <c r="G143" s="69"/>
    </row>
    <row r="144" spans="1:9" x14ac:dyDescent="0.25">
      <c r="A144" s="911"/>
      <c r="B144" s="909"/>
      <c r="C144" s="43"/>
      <c r="D144" s="97"/>
      <c r="E144" s="92"/>
      <c r="F144" s="85"/>
      <c r="G144" s="69"/>
    </row>
    <row r="145" spans="1:7" x14ac:dyDescent="0.25">
      <c r="A145" s="911"/>
      <c r="B145" s="909"/>
      <c r="C145" s="43"/>
      <c r="D145" s="97"/>
      <c r="E145" s="92"/>
      <c r="F145" s="85"/>
      <c r="G145" s="69"/>
    </row>
    <row r="146" spans="1:7" x14ac:dyDescent="0.25">
      <c r="A146" s="911"/>
      <c r="B146" s="909"/>
      <c r="C146" s="43"/>
      <c r="D146" s="97"/>
      <c r="E146" s="92"/>
      <c r="F146" s="85"/>
      <c r="G146" s="69"/>
    </row>
    <row r="147" spans="1:7" x14ac:dyDescent="0.25">
      <c r="A147" s="1228"/>
      <c r="B147" s="1229"/>
      <c r="C147" s="43"/>
      <c r="D147" s="97"/>
      <c r="E147" s="92"/>
      <c r="F147" s="85"/>
      <c r="G147" s="43" t="s">
        <v>31</v>
      </c>
    </row>
    <row r="148" spans="1:7" x14ac:dyDescent="0.25">
      <c r="A148" s="1228"/>
      <c r="B148" s="1229"/>
      <c r="C148" s="69"/>
      <c r="D148" s="69"/>
      <c r="E148" s="69"/>
      <c r="F148" s="69"/>
      <c r="G148" s="65">
        <f>+F143+F146+F144+F145</f>
        <v>97789.597499999974</v>
      </c>
    </row>
    <row r="149" spans="1:7" ht="24" x14ac:dyDescent="0.25">
      <c r="A149" s="910" t="s">
        <v>329</v>
      </c>
      <c r="B149" s="89" t="s">
        <v>38</v>
      </c>
      <c r="C149" s="89" t="s">
        <v>39</v>
      </c>
      <c r="D149" s="80" t="s">
        <v>40</v>
      </c>
      <c r="E149" s="80" t="s">
        <v>34</v>
      </c>
      <c r="F149" s="80" t="s">
        <v>35</v>
      </c>
      <c r="G149" s="67"/>
    </row>
    <row r="150" spans="1:7" x14ac:dyDescent="0.25">
      <c r="A150" s="90"/>
      <c r="B150" s="43"/>
      <c r="C150" s="43"/>
      <c r="D150" s="62"/>
      <c r="E150" s="91"/>
      <c r="F150" s="62"/>
      <c r="G150" s="69"/>
    </row>
    <row r="151" spans="1:7" x14ac:dyDescent="0.25">
      <c r="A151" s="90"/>
      <c r="B151" s="43"/>
      <c r="C151" s="43"/>
      <c r="D151" s="62"/>
      <c r="E151" s="91"/>
      <c r="F151" s="62"/>
      <c r="G151" s="69"/>
    </row>
    <row r="152" spans="1:7" x14ac:dyDescent="0.25">
      <c r="A152" s="90"/>
      <c r="B152" s="43"/>
      <c r="C152" s="43"/>
      <c r="D152" s="62"/>
      <c r="E152" s="92"/>
      <c r="F152" s="62"/>
      <c r="G152" s="69"/>
    </row>
    <row r="153" spans="1:7" x14ac:dyDescent="0.25">
      <c r="A153" s="90" t="s">
        <v>25</v>
      </c>
      <c r="B153" s="43" t="s">
        <v>25</v>
      </c>
      <c r="C153" s="43" t="s">
        <v>25</v>
      </c>
      <c r="D153" s="61" t="s">
        <v>25</v>
      </c>
      <c r="E153" s="92" t="s">
        <v>25</v>
      </c>
      <c r="F153" s="62" t="s">
        <v>25</v>
      </c>
      <c r="G153" s="43" t="s">
        <v>31</v>
      </c>
    </row>
    <row r="154" spans="1:7" x14ac:dyDescent="0.25">
      <c r="A154" s="90"/>
      <c r="B154" s="69"/>
      <c r="C154" s="69"/>
      <c r="D154" s="69"/>
      <c r="E154" s="69"/>
      <c r="F154" s="69"/>
      <c r="G154" s="64">
        <f>+F150*E150</f>
        <v>0</v>
      </c>
    </row>
    <row r="155" spans="1:7" ht="24" x14ac:dyDescent="0.25">
      <c r="A155" s="910" t="s">
        <v>41</v>
      </c>
      <c r="B155" s="80" t="s">
        <v>42</v>
      </c>
      <c r="C155" s="80" t="s">
        <v>43</v>
      </c>
      <c r="D155" s="80" t="s">
        <v>44</v>
      </c>
      <c r="E155" s="89" t="s">
        <v>306</v>
      </c>
      <c r="F155" s="80" t="s">
        <v>35</v>
      </c>
      <c r="G155" s="67"/>
    </row>
    <row r="156" spans="1:7" x14ac:dyDescent="0.25">
      <c r="A156" s="81"/>
      <c r="B156" s="81"/>
      <c r="C156" s="81"/>
      <c r="D156" s="81"/>
      <c r="E156" s="81"/>
      <c r="F156" s="81"/>
      <c r="G156" s="81"/>
    </row>
    <row r="157" spans="1:7" x14ac:dyDescent="0.25">
      <c r="A157" s="69" t="s">
        <v>2372</v>
      </c>
      <c r="B157" s="85"/>
      <c r="C157" s="96"/>
      <c r="D157" s="62"/>
      <c r="E157" s="121"/>
      <c r="F157" s="62"/>
      <c r="G157" s="69"/>
    </row>
    <row r="158" spans="1:7" ht="24.75" x14ac:dyDescent="0.25">
      <c r="A158" s="881" t="s">
        <v>2378</v>
      </c>
      <c r="B158" s="85">
        <v>295000</v>
      </c>
      <c r="C158" s="96">
        <v>0.89990000000000003</v>
      </c>
      <c r="D158" s="62">
        <f>B158*C158+B158</f>
        <v>560470.5</v>
      </c>
      <c r="E158" s="121">
        <v>10</v>
      </c>
      <c r="F158" s="62">
        <f xml:space="preserve"> D158/E158</f>
        <v>56047.05</v>
      </c>
      <c r="G158" s="69" t="s">
        <v>25</v>
      </c>
    </row>
    <row r="159" spans="1:7" x14ac:dyDescent="0.25">
      <c r="A159" s="69"/>
      <c r="B159" s="85"/>
      <c r="C159" s="69"/>
      <c r="D159" s="62"/>
      <c r="E159" s="69"/>
      <c r="F159" s="62"/>
      <c r="G159" s="69"/>
    </row>
    <row r="160" spans="1:7" x14ac:dyDescent="0.25">
      <c r="A160" s="69"/>
      <c r="B160" s="69"/>
      <c r="C160" s="69"/>
      <c r="D160" s="69"/>
      <c r="E160" s="69"/>
      <c r="F160" s="69"/>
      <c r="G160" s="43" t="s">
        <v>31</v>
      </c>
    </row>
    <row r="161" spans="1:7" x14ac:dyDescent="0.25">
      <c r="A161" s="82"/>
      <c r="B161" s="82"/>
      <c r="C161" s="82"/>
      <c r="D161" s="82"/>
      <c r="E161" s="82"/>
      <c r="F161" s="82"/>
      <c r="G161" s="64">
        <f>F159+F158+F157</f>
        <v>56047.05</v>
      </c>
    </row>
    <row r="162" spans="1:7" x14ac:dyDescent="0.25">
      <c r="A162" s="1230" t="s">
        <v>25</v>
      </c>
      <c r="B162" s="1230"/>
      <c r="C162" s="1230"/>
      <c r="D162" s="1230"/>
      <c r="E162" s="1230"/>
      <c r="F162" s="1230"/>
      <c r="G162" s="1233"/>
    </row>
    <row r="163" spans="1:7" x14ac:dyDescent="0.25">
      <c r="A163" s="1248" t="s">
        <v>45</v>
      </c>
      <c r="B163" s="1248"/>
      <c r="C163" s="1248"/>
      <c r="D163" s="1248"/>
      <c r="E163" s="1231"/>
      <c r="F163" s="93"/>
      <c r="G163" s="70">
        <f xml:space="preserve"> G161+G154+G148+G141</f>
        <v>156638.99999999997</v>
      </c>
    </row>
    <row r="164" spans="1:7" x14ac:dyDescent="0.25">
      <c r="A164" s="1232" t="s">
        <v>476</v>
      </c>
      <c r="B164" s="1232"/>
      <c r="C164" s="1222"/>
      <c r="D164" s="1222"/>
      <c r="E164" s="1222" t="s">
        <v>44</v>
      </c>
      <c r="F164" s="1222" t="s">
        <v>51</v>
      </c>
      <c r="G164" s="1222" t="s">
        <v>307</v>
      </c>
    </row>
    <row r="165" spans="1:7" x14ac:dyDescent="0.25">
      <c r="A165" s="1232"/>
      <c r="B165" s="1232"/>
      <c r="C165" s="1222"/>
      <c r="D165" s="1222"/>
      <c r="E165" s="1222"/>
      <c r="F165" s="1222"/>
      <c r="G165" s="1222"/>
    </row>
    <row r="166" spans="1:7" x14ac:dyDescent="0.25">
      <c r="A166" s="1244" t="s">
        <v>17</v>
      </c>
      <c r="B166" s="1244"/>
      <c r="C166" s="1244"/>
      <c r="D166" s="1244"/>
      <c r="E166" s="1244"/>
      <c r="F166" s="1221"/>
      <c r="G166" s="1222"/>
    </row>
    <row r="167" spans="1:7" x14ac:dyDescent="0.25">
      <c r="A167" s="1244" t="s">
        <v>308</v>
      </c>
      <c r="B167" s="1244"/>
      <c r="C167" s="1244"/>
      <c r="D167" s="1244"/>
      <c r="E167" s="1244"/>
      <c r="F167" s="1221"/>
      <c r="G167" s="1222"/>
    </row>
    <row r="168" spans="1:7" ht="30" customHeight="1" x14ac:dyDescent="0.25">
      <c r="A168" s="1244" t="s">
        <v>19</v>
      </c>
      <c r="B168" s="1244"/>
      <c r="C168" s="1244"/>
      <c r="D168" s="1244"/>
      <c r="E168" s="1244"/>
      <c r="F168" s="1221"/>
      <c r="G168" s="1222"/>
    </row>
    <row r="169" spans="1:7" x14ac:dyDescent="0.25">
      <c r="A169" s="1244" t="s">
        <v>309</v>
      </c>
      <c r="B169" s="1244"/>
      <c r="C169" s="1244"/>
      <c r="D169" s="1244"/>
      <c r="E169" s="1244"/>
      <c r="F169" s="1221"/>
      <c r="G169" s="1222"/>
    </row>
    <row r="170" spans="1:7" x14ac:dyDescent="0.25">
      <c r="A170" s="1245" t="s">
        <v>310</v>
      </c>
      <c r="B170" s="1245"/>
      <c r="C170" s="1245"/>
      <c r="D170" s="1245"/>
      <c r="E170" s="1245"/>
      <c r="F170" s="1222"/>
      <c r="G170" s="1222"/>
    </row>
    <row r="171" spans="1:7" x14ac:dyDescent="0.25">
      <c r="A171" s="68"/>
      <c r="B171" s="94"/>
      <c r="C171" s="94"/>
      <c r="D171" s="94"/>
      <c r="E171" s="94"/>
      <c r="F171" s="94"/>
      <c r="G171" s="94"/>
    </row>
    <row r="172" spans="1:7" x14ac:dyDescent="0.25">
      <c r="A172" s="1236"/>
      <c r="B172" s="1236"/>
      <c r="C172" s="69"/>
      <c r="D172" s="62"/>
      <c r="E172" s="62"/>
      <c r="F172" s="62"/>
      <c r="G172" s="69"/>
    </row>
    <row r="173" spans="1:7" x14ac:dyDescent="0.25">
      <c r="A173" s="1236"/>
      <c r="B173" s="1236"/>
      <c r="C173" s="69"/>
      <c r="D173" s="69"/>
      <c r="E173" s="69"/>
      <c r="F173" s="62"/>
      <c r="G173" s="69"/>
    </row>
    <row r="174" spans="1:7" x14ac:dyDescent="0.25">
      <c r="A174" s="1236"/>
      <c r="B174" s="1236"/>
      <c r="C174" s="69"/>
      <c r="D174" s="69"/>
      <c r="E174" s="69"/>
      <c r="F174" s="69"/>
      <c r="G174" s="69"/>
    </row>
    <row r="175" spans="1:7" x14ac:dyDescent="0.25">
      <c r="A175" s="95"/>
      <c r="B175" s="94"/>
      <c r="C175" s="94"/>
      <c r="D175" s="94"/>
      <c r="E175" s="94"/>
      <c r="F175" s="882" t="s">
        <v>300</v>
      </c>
      <c r="G175" s="882" t="s">
        <v>2460</v>
      </c>
    </row>
    <row r="176" spans="1:7" x14ac:dyDescent="0.25">
      <c r="A176" s="1238" t="s">
        <v>1726</v>
      </c>
      <c r="B176" s="1246"/>
      <c r="C176" s="1246"/>
      <c r="D176" s="1246"/>
      <c r="E176" s="1247"/>
      <c r="F176" s="880" t="s">
        <v>24</v>
      </c>
      <c r="G176" s="880" t="s">
        <v>77</v>
      </c>
    </row>
    <row r="177" spans="1:8" x14ac:dyDescent="0.25">
      <c r="A177" s="1229" t="s">
        <v>25</v>
      </c>
      <c r="B177" s="1229"/>
      <c r="C177" s="1229"/>
      <c r="D177" s="1229"/>
      <c r="E177" s="1229"/>
      <c r="F177" s="1229"/>
      <c r="G177" s="1229"/>
      <c r="H177" t="s">
        <v>1764</v>
      </c>
    </row>
    <row r="178" spans="1:8" x14ac:dyDescent="0.25">
      <c r="A178" s="1234" t="s">
        <v>469</v>
      </c>
      <c r="B178" s="1235"/>
      <c r="C178" s="80" t="s">
        <v>26</v>
      </c>
      <c r="D178" s="80" t="s">
        <v>27</v>
      </c>
      <c r="E178" s="80" t="s">
        <v>28</v>
      </c>
      <c r="F178" s="80" t="s">
        <v>35</v>
      </c>
      <c r="G178" s="67"/>
      <c r="H178" t="s">
        <v>1765</v>
      </c>
    </row>
    <row r="179" spans="1:8" x14ac:dyDescent="0.25">
      <c r="A179" s="1236"/>
      <c r="B179" s="1236"/>
      <c r="C179" s="69"/>
      <c r="D179" s="62"/>
      <c r="E179" s="62"/>
      <c r="F179" s="62"/>
      <c r="G179" s="81"/>
      <c r="H179" t="s">
        <v>1766</v>
      </c>
    </row>
    <row r="180" spans="1:8" x14ac:dyDescent="0.25">
      <c r="A180" s="1236"/>
      <c r="B180" s="1236"/>
      <c r="C180" s="69"/>
      <c r="D180" s="62"/>
      <c r="E180" s="62"/>
      <c r="F180" s="62"/>
      <c r="G180" s="69"/>
      <c r="H180" t="s">
        <v>1767</v>
      </c>
    </row>
    <row r="181" spans="1:8" x14ac:dyDescent="0.25">
      <c r="A181" s="1236" t="s">
        <v>30</v>
      </c>
      <c r="B181" s="1236"/>
      <c r="C181" s="69"/>
      <c r="D181" s="69"/>
      <c r="E181" s="69"/>
      <c r="F181" s="62">
        <f>+G204*0.05</f>
        <v>9341.1750000000011</v>
      </c>
      <c r="G181" s="69"/>
      <c r="H181" t="s">
        <v>1768</v>
      </c>
    </row>
    <row r="182" spans="1:8" x14ac:dyDescent="0.25">
      <c r="A182" s="1236"/>
      <c r="B182" s="1236"/>
      <c r="C182" s="69"/>
      <c r="D182" s="69"/>
      <c r="E182" s="69"/>
      <c r="F182" s="69"/>
      <c r="G182" s="69"/>
    </row>
    <row r="183" spans="1:8" x14ac:dyDescent="0.25">
      <c r="A183" s="1236" t="s">
        <v>25</v>
      </c>
      <c r="B183" s="1236"/>
      <c r="C183" s="69"/>
      <c r="D183" s="69"/>
      <c r="E183" s="69"/>
      <c r="F183" s="69"/>
      <c r="G183" s="83" t="s">
        <v>31</v>
      </c>
    </row>
    <row r="184" spans="1:8" x14ac:dyDescent="0.25">
      <c r="A184" s="1237"/>
      <c r="B184" s="1237"/>
      <c r="C184" s="82"/>
      <c r="D184" s="82"/>
      <c r="E184" s="82"/>
      <c r="F184" s="82"/>
      <c r="G184" s="64">
        <f>F181+F180+F179</f>
        <v>9341.1750000000011</v>
      </c>
    </row>
    <row r="185" spans="1:8" x14ac:dyDescent="0.25">
      <c r="A185" s="1234" t="s">
        <v>475</v>
      </c>
      <c r="B185" s="1235"/>
      <c r="C185" s="80" t="s">
        <v>32</v>
      </c>
      <c r="D185" s="80" t="s">
        <v>33</v>
      </c>
      <c r="E185" s="80" t="s">
        <v>34</v>
      </c>
      <c r="F185" s="80" t="s">
        <v>35</v>
      </c>
      <c r="G185" s="67"/>
    </row>
    <row r="186" spans="1:8" x14ac:dyDescent="0.25">
      <c r="A186" s="1226" t="s">
        <v>2410</v>
      </c>
      <c r="B186" s="1227"/>
      <c r="C186" s="43" t="s">
        <v>2456</v>
      </c>
      <c r="D186" s="97">
        <v>456335.3249999999</v>
      </c>
      <c r="E186" s="92">
        <v>1</v>
      </c>
      <c r="F186" s="85">
        <f>+E186*D186</f>
        <v>456335.3249999999</v>
      </c>
      <c r="G186" s="69"/>
    </row>
    <row r="187" spans="1:8" x14ac:dyDescent="0.25">
      <c r="A187" s="911"/>
      <c r="B187" s="909"/>
      <c r="C187" s="43"/>
      <c r="D187" s="97"/>
      <c r="E187" s="92"/>
      <c r="F187" s="85"/>
      <c r="G187" s="69"/>
    </row>
    <row r="188" spans="1:8" x14ac:dyDescent="0.25">
      <c r="A188" s="911"/>
      <c r="B188" s="909"/>
      <c r="C188" s="43"/>
      <c r="D188" s="97"/>
      <c r="E188" s="92"/>
      <c r="F188" s="85"/>
      <c r="G188" s="69"/>
    </row>
    <row r="189" spans="1:8" x14ac:dyDescent="0.25">
      <c r="A189" s="911"/>
      <c r="B189" s="909"/>
      <c r="C189" s="43"/>
      <c r="D189" s="97"/>
      <c r="E189" s="92"/>
      <c r="F189" s="85"/>
      <c r="G189" s="69"/>
    </row>
    <row r="190" spans="1:8" x14ac:dyDescent="0.25">
      <c r="A190" s="1228"/>
      <c r="B190" s="1229"/>
      <c r="C190" s="43"/>
      <c r="D190" s="97"/>
      <c r="E190" s="92"/>
      <c r="F190" s="85"/>
      <c r="G190" s="43" t="s">
        <v>31</v>
      </c>
    </row>
    <row r="191" spans="1:8" x14ac:dyDescent="0.25">
      <c r="A191" s="1228"/>
      <c r="B191" s="1229"/>
      <c r="C191" s="69"/>
      <c r="D191" s="69"/>
      <c r="E191" s="69"/>
      <c r="F191" s="69"/>
      <c r="G191" s="65">
        <f>+F186+F189+F187+F188</f>
        <v>456335.3249999999</v>
      </c>
    </row>
    <row r="192" spans="1:8" ht="24" x14ac:dyDescent="0.25">
      <c r="A192" s="910" t="s">
        <v>329</v>
      </c>
      <c r="B192" s="89" t="s">
        <v>38</v>
      </c>
      <c r="C192" s="89" t="s">
        <v>39</v>
      </c>
      <c r="D192" s="80" t="s">
        <v>40</v>
      </c>
      <c r="E192" s="80" t="s">
        <v>34</v>
      </c>
      <c r="F192" s="80" t="s">
        <v>35</v>
      </c>
      <c r="G192" s="67"/>
    </row>
    <row r="193" spans="1:7" x14ac:dyDescent="0.25">
      <c r="A193" s="90"/>
      <c r="B193" s="43"/>
      <c r="C193" s="43"/>
      <c r="D193" s="62"/>
      <c r="E193" s="91"/>
      <c r="F193" s="62"/>
      <c r="G193" s="69"/>
    </row>
    <row r="194" spans="1:7" x14ac:dyDescent="0.25">
      <c r="A194" s="90"/>
      <c r="B194" s="43"/>
      <c r="C194" s="43"/>
      <c r="D194" s="62"/>
      <c r="E194" s="91"/>
      <c r="F194" s="62"/>
      <c r="G194" s="69"/>
    </row>
    <row r="195" spans="1:7" x14ac:dyDescent="0.25">
      <c r="A195" s="90"/>
      <c r="B195" s="43"/>
      <c r="C195" s="43"/>
      <c r="D195" s="62"/>
      <c r="E195" s="92"/>
      <c r="F195" s="62"/>
      <c r="G195" s="69"/>
    </row>
    <row r="196" spans="1:7" x14ac:dyDescent="0.25">
      <c r="A196" s="90" t="s">
        <v>25</v>
      </c>
      <c r="B196" s="43" t="s">
        <v>25</v>
      </c>
      <c r="C196" s="43" t="s">
        <v>25</v>
      </c>
      <c r="D196" s="61" t="s">
        <v>25</v>
      </c>
      <c r="E196" s="92" t="s">
        <v>25</v>
      </c>
      <c r="F196" s="62" t="s">
        <v>25</v>
      </c>
      <c r="G196" s="43" t="s">
        <v>31</v>
      </c>
    </row>
    <row r="197" spans="1:7" x14ac:dyDescent="0.25">
      <c r="A197" s="90"/>
      <c r="B197" s="69"/>
      <c r="C197" s="69"/>
      <c r="D197" s="69"/>
      <c r="E197" s="69"/>
      <c r="F197" s="69"/>
      <c r="G197" s="64">
        <f>+F193*E193</f>
        <v>0</v>
      </c>
    </row>
    <row r="198" spans="1:7" ht="24" x14ac:dyDescent="0.25">
      <c r="A198" s="910" t="s">
        <v>41</v>
      </c>
      <c r="B198" s="80" t="s">
        <v>42</v>
      </c>
      <c r="C198" s="80" t="s">
        <v>43</v>
      </c>
      <c r="D198" s="80" t="s">
        <v>44</v>
      </c>
      <c r="E198" s="89" t="s">
        <v>306</v>
      </c>
      <c r="F198" s="80" t="s">
        <v>35</v>
      </c>
      <c r="G198" s="67"/>
    </row>
    <row r="199" spans="1:7" x14ac:dyDescent="0.25">
      <c r="A199" s="81"/>
      <c r="B199" s="81"/>
      <c r="C199" s="81"/>
      <c r="D199" s="81"/>
      <c r="E199" s="81"/>
      <c r="F199" s="81"/>
      <c r="G199" s="81"/>
    </row>
    <row r="200" spans="1:7" x14ac:dyDescent="0.25">
      <c r="A200" s="69" t="s">
        <v>2372</v>
      </c>
      <c r="B200" s="85"/>
      <c r="C200" s="96"/>
      <c r="D200" s="62"/>
      <c r="E200" s="121"/>
      <c r="F200" s="62"/>
      <c r="G200" s="69"/>
    </row>
    <row r="201" spans="1:7" ht="24.75" x14ac:dyDescent="0.25">
      <c r="A201" s="881" t="s">
        <v>2378</v>
      </c>
      <c r="B201" s="85">
        <v>295000</v>
      </c>
      <c r="C201" s="96">
        <v>0.89990000000000003</v>
      </c>
      <c r="D201" s="62">
        <f>B201*C201+B201</f>
        <v>560470.5</v>
      </c>
      <c r="E201" s="121">
        <v>3</v>
      </c>
      <c r="F201" s="62">
        <f xml:space="preserve"> D201/E201</f>
        <v>186823.5</v>
      </c>
      <c r="G201" s="69" t="s">
        <v>25</v>
      </c>
    </row>
    <row r="202" spans="1:7" x14ac:dyDescent="0.25">
      <c r="A202" s="69"/>
      <c r="B202" s="85"/>
      <c r="C202" s="69"/>
      <c r="D202" s="62"/>
      <c r="E202" s="69"/>
      <c r="F202" s="62"/>
      <c r="G202" s="69"/>
    </row>
    <row r="203" spans="1:7" x14ac:dyDescent="0.25">
      <c r="A203" s="69"/>
      <c r="B203" s="69"/>
      <c r="C203" s="69"/>
      <c r="D203" s="69"/>
      <c r="E203" s="69"/>
      <c r="F203" s="69"/>
      <c r="G203" s="43" t="s">
        <v>31</v>
      </c>
    </row>
    <row r="204" spans="1:7" ht="42" customHeight="1" x14ac:dyDescent="0.25">
      <c r="A204" s="82"/>
      <c r="B204" s="82"/>
      <c r="C204" s="82"/>
      <c r="D204" s="82"/>
      <c r="E204" s="82"/>
      <c r="F204" s="82"/>
      <c r="G204" s="64">
        <f>F202+F201+F200</f>
        <v>186823.5</v>
      </c>
    </row>
    <row r="205" spans="1:7" x14ac:dyDescent="0.25">
      <c r="A205" s="1230" t="s">
        <v>25</v>
      </c>
      <c r="B205" s="1230"/>
      <c r="C205" s="1230"/>
      <c r="D205" s="1230"/>
      <c r="E205" s="1230"/>
      <c r="F205" s="1230"/>
      <c r="G205" s="1233"/>
    </row>
    <row r="206" spans="1:7" x14ac:dyDescent="0.25">
      <c r="A206" s="1248" t="s">
        <v>45</v>
      </c>
      <c r="B206" s="1248"/>
      <c r="C206" s="1248"/>
      <c r="D206" s="1248"/>
      <c r="E206" s="1231"/>
      <c r="F206" s="93"/>
      <c r="G206" s="70">
        <f xml:space="preserve"> G204+G197+G191+G184</f>
        <v>652500</v>
      </c>
    </row>
    <row r="207" spans="1:7" x14ac:dyDescent="0.25">
      <c r="A207" s="1232" t="s">
        <v>476</v>
      </c>
      <c r="B207" s="1232"/>
      <c r="C207" s="1222"/>
      <c r="D207" s="1222"/>
      <c r="E207" s="1222" t="s">
        <v>44</v>
      </c>
      <c r="F207" s="1222" t="s">
        <v>51</v>
      </c>
      <c r="G207" s="1222" t="s">
        <v>307</v>
      </c>
    </row>
    <row r="208" spans="1:7" x14ac:dyDescent="0.25">
      <c r="A208" s="1232"/>
      <c r="B208" s="1232"/>
      <c r="C208" s="1222"/>
      <c r="D208" s="1222"/>
      <c r="E208" s="1222"/>
      <c r="F208" s="1222"/>
      <c r="G208" s="1222"/>
    </row>
    <row r="209" spans="1:7" x14ac:dyDescent="0.25">
      <c r="A209" s="1244" t="s">
        <v>17</v>
      </c>
      <c r="B209" s="1244"/>
      <c r="C209" s="1244"/>
      <c r="D209" s="1244"/>
      <c r="E209" s="1244"/>
      <c r="F209" s="1221"/>
      <c r="G209" s="1222"/>
    </row>
    <row r="210" spans="1:7" x14ac:dyDescent="0.25">
      <c r="A210" s="1244" t="s">
        <v>308</v>
      </c>
      <c r="B210" s="1244"/>
      <c r="C210" s="1244"/>
      <c r="D210" s="1244"/>
      <c r="E210" s="1244"/>
      <c r="F210" s="1221"/>
      <c r="G210" s="1222"/>
    </row>
    <row r="211" spans="1:7" x14ac:dyDescent="0.25">
      <c r="A211" s="1244" t="s">
        <v>19</v>
      </c>
      <c r="B211" s="1244"/>
      <c r="C211" s="1244"/>
      <c r="D211" s="1244"/>
      <c r="E211" s="1244"/>
      <c r="F211" s="1221"/>
      <c r="G211" s="1222"/>
    </row>
    <row r="212" spans="1:7" x14ac:dyDescent="0.25">
      <c r="A212" s="1244" t="s">
        <v>309</v>
      </c>
      <c r="B212" s="1244"/>
      <c r="C212" s="1244"/>
      <c r="D212" s="1244"/>
      <c r="E212" s="1244"/>
      <c r="F212" s="1221"/>
      <c r="G212" s="1222"/>
    </row>
    <row r="213" spans="1:7" x14ac:dyDescent="0.25">
      <c r="A213" s="1245" t="s">
        <v>310</v>
      </c>
      <c r="B213" s="1245"/>
      <c r="C213" s="1245"/>
      <c r="D213" s="1245"/>
      <c r="E213" s="1245"/>
      <c r="F213" s="1222"/>
      <c r="G213" s="1222"/>
    </row>
    <row r="214" spans="1:7" x14ac:dyDescent="0.25">
      <c r="A214" s="1236"/>
      <c r="B214" s="1236"/>
      <c r="C214" s="69"/>
      <c r="D214" s="69"/>
      <c r="E214" s="69"/>
      <c r="F214" s="69"/>
      <c r="G214" s="69"/>
    </row>
    <row r="215" spans="1:7" x14ac:dyDescent="0.25">
      <c r="A215" s="1236"/>
      <c r="B215" s="1236"/>
      <c r="C215" s="69"/>
      <c r="D215" s="69"/>
      <c r="E215" s="69"/>
      <c r="F215" s="69"/>
      <c r="G215" s="83"/>
    </row>
    <row r="216" spans="1:7" x14ac:dyDescent="0.25">
      <c r="A216" s="1237"/>
      <c r="B216" s="1237"/>
      <c r="C216" s="82"/>
      <c r="D216" s="82"/>
      <c r="E216" s="82"/>
      <c r="F216" s="82"/>
      <c r="G216" s="64"/>
    </row>
    <row r="217" spans="1:7" x14ac:dyDescent="0.25">
      <c r="A217" s="1234"/>
      <c r="B217" s="1235"/>
      <c r="C217" s="80"/>
      <c r="D217" s="80"/>
      <c r="E217" s="80"/>
      <c r="F217" s="80"/>
      <c r="G217" s="67"/>
    </row>
    <row r="218" spans="1:7" x14ac:dyDescent="0.25">
      <c r="A218" s="1226"/>
      <c r="B218" s="1227"/>
      <c r="C218" s="43"/>
      <c r="D218" s="97"/>
      <c r="E218" s="92"/>
      <c r="F218" s="85"/>
      <c r="G218" s="69"/>
    </row>
    <row r="219" spans="1:7" x14ac:dyDescent="0.25">
      <c r="A219" s="1228"/>
      <c r="B219" s="1229"/>
      <c r="C219" s="43"/>
      <c r="D219" s="97"/>
      <c r="E219" s="92"/>
      <c r="F219" s="85"/>
      <c r="G219" s="43"/>
    </row>
    <row r="220" spans="1:7" x14ac:dyDescent="0.25">
      <c r="A220" s="1228"/>
      <c r="B220" s="1229"/>
      <c r="C220" s="69"/>
      <c r="D220" s="69"/>
      <c r="E220" s="69"/>
      <c r="F220" s="69"/>
      <c r="G220" s="65"/>
    </row>
    <row r="221" spans="1:7" x14ac:dyDescent="0.25">
      <c r="A221" s="910"/>
      <c r="B221" s="89"/>
      <c r="C221" s="89"/>
      <c r="D221" s="80"/>
      <c r="E221" s="80"/>
      <c r="F221" s="80"/>
      <c r="G221" s="67"/>
    </row>
    <row r="222" spans="1:7" x14ac:dyDescent="0.25">
      <c r="A222" s="899"/>
      <c r="B222" s="43"/>
      <c r="C222" s="43"/>
      <c r="D222" s="62"/>
      <c r="E222" s="91"/>
      <c r="F222" s="62"/>
      <c r="G222" s="69"/>
    </row>
    <row r="223" spans="1:7" x14ac:dyDescent="0.25">
      <c r="A223" s="90"/>
      <c r="B223" s="43"/>
      <c r="C223" s="43"/>
      <c r="D223" s="62"/>
      <c r="E223" s="91"/>
      <c r="F223" s="62"/>
      <c r="G223" s="69"/>
    </row>
    <row r="224" spans="1:7" x14ac:dyDescent="0.25">
      <c r="A224" s="90"/>
      <c r="B224" s="43"/>
      <c r="C224" s="43"/>
      <c r="D224" s="62"/>
      <c r="E224" s="92"/>
      <c r="F224" s="62"/>
      <c r="G224" s="69"/>
    </row>
    <row r="225" spans="1:7" x14ac:dyDescent="0.25">
      <c r="A225" s="90"/>
      <c r="B225" s="43"/>
      <c r="C225" s="43"/>
      <c r="D225" s="61"/>
      <c r="E225" s="92"/>
      <c r="F225" s="62"/>
      <c r="G225" s="43"/>
    </row>
    <row r="226" spans="1:7" x14ac:dyDescent="0.25">
      <c r="A226" s="90"/>
      <c r="B226" s="69"/>
      <c r="C226" s="69"/>
      <c r="D226" s="69"/>
      <c r="E226" s="69"/>
      <c r="F226" s="69"/>
      <c r="G226" s="64"/>
    </row>
    <row r="227" spans="1:7" x14ac:dyDescent="0.25">
      <c r="A227" s="910"/>
      <c r="B227" s="80"/>
      <c r="C227" s="80"/>
      <c r="D227" s="80"/>
      <c r="E227" s="89"/>
      <c r="F227" s="80"/>
      <c r="G227" s="67"/>
    </row>
    <row r="228" spans="1:7" x14ac:dyDescent="0.25">
      <c r="A228" s="81"/>
      <c r="B228" s="81"/>
      <c r="C228" s="81"/>
      <c r="D228" s="81"/>
      <c r="E228" s="81"/>
      <c r="F228" s="81"/>
      <c r="G228" s="81"/>
    </row>
    <row r="229" spans="1:7" x14ac:dyDescent="0.25">
      <c r="A229" s="69"/>
      <c r="B229" s="85"/>
      <c r="C229" s="96"/>
      <c r="D229" s="62"/>
      <c r="E229" s="121"/>
      <c r="F229" s="62"/>
      <c r="G229" s="69"/>
    </row>
    <row r="230" spans="1:7" x14ac:dyDescent="0.25">
      <c r="A230" s="881"/>
      <c r="B230" s="85"/>
      <c r="C230" s="96"/>
      <c r="D230" s="62"/>
      <c r="E230" s="101"/>
      <c r="F230" s="62"/>
      <c r="G230" s="69"/>
    </row>
    <row r="231" spans="1:7" x14ac:dyDescent="0.25">
      <c r="A231" s="69"/>
      <c r="B231" s="85"/>
      <c r="C231" s="69"/>
      <c r="D231" s="62"/>
      <c r="E231" s="69"/>
      <c r="F231" s="62"/>
      <c r="G231" s="69"/>
    </row>
    <row r="232" spans="1:7" x14ac:dyDescent="0.25">
      <c r="A232" s="69"/>
      <c r="B232" s="69"/>
      <c r="C232" s="69"/>
      <c r="D232" s="69"/>
      <c r="E232" s="69"/>
      <c r="F232" s="69"/>
      <c r="G232" s="43"/>
    </row>
    <row r="233" spans="1:7" x14ac:dyDescent="0.25">
      <c r="A233" s="82"/>
      <c r="B233" s="82"/>
      <c r="C233" s="82"/>
      <c r="D233" s="82"/>
      <c r="E233" s="82"/>
      <c r="F233" s="82"/>
      <c r="G233" s="64"/>
    </row>
    <row r="234" spans="1:7" x14ac:dyDescent="0.25">
      <c r="A234" s="1230"/>
      <c r="B234" s="1230"/>
      <c r="C234" s="1230"/>
      <c r="D234" s="1230"/>
      <c r="E234" s="1230"/>
      <c r="F234" s="1230"/>
      <c r="G234" s="1233"/>
    </row>
    <row r="235" spans="1:7" x14ac:dyDescent="0.25">
      <c r="A235" s="1248"/>
      <c r="B235" s="1248"/>
      <c r="C235" s="1248"/>
      <c r="D235" s="1248"/>
      <c r="E235" s="1231"/>
      <c r="F235" s="93"/>
      <c r="G235" s="70"/>
    </row>
    <row r="236" spans="1:7" x14ac:dyDescent="0.25">
      <c r="A236" s="1232"/>
      <c r="B236" s="1232"/>
      <c r="C236" s="1222"/>
      <c r="D236" s="1222"/>
      <c r="E236" s="1222"/>
      <c r="F236" s="1222"/>
      <c r="G236" s="1222"/>
    </row>
    <row r="237" spans="1:7" x14ac:dyDescent="0.25">
      <c r="A237" s="1232"/>
      <c r="B237" s="1232"/>
      <c r="C237" s="1222"/>
      <c r="D237" s="1222"/>
      <c r="E237" s="1222"/>
      <c r="F237" s="1222"/>
      <c r="G237" s="1222"/>
    </row>
    <row r="238" spans="1:7" x14ac:dyDescent="0.25">
      <c r="A238" s="1244"/>
      <c r="B238" s="1244"/>
      <c r="C238" s="1244"/>
      <c r="D238" s="1244"/>
      <c r="E238" s="1244"/>
      <c r="F238" s="1221"/>
      <c r="G238" s="1222"/>
    </row>
    <row r="239" spans="1:7" x14ac:dyDescent="0.25">
      <c r="A239" s="1244"/>
      <c r="B239" s="1244"/>
      <c r="C239" s="1244"/>
      <c r="D239" s="1244"/>
      <c r="E239" s="1244"/>
      <c r="F239" s="1221"/>
      <c r="G239" s="1222"/>
    </row>
    <row r="240" spans="1:7" x14ac:dyDescent="0.25">
      <c r="A240" s="1244"/>
      <c r="B240" s="1244"/>
      <c r="C240" s="1244"/>
      <c r="D240" s="1244"/>
      <c r="E240" s="1244"/>
      <c r="F240" s="1221"/>
      <c r="G240" s="1222"/>
    </row>
    <row r="241" spans="1:7" x14ac:dyDescent="0.25">
      <c r="A241" s="1244"/>
      <c r="B241" s="1244"/>
      <c r="C241" s="1244"/>
      <c r="D241" s="1244"/>
      <c r="E241" s="1244"/>
      <c r="F241" s="1221"/>
      <c r="G241" s="1222"/>
    </row>
    <row r="242" spans="1:7" x14ac:dyDescent="0.25">
      <c r="A242" s="1245"/>
      <c r="B242" s="1245"/>
      <c r="C242" s="1245"/>
      <c r="D242" s="1245"/>
      <c r="E242" s="1245"/>
      <c r="F242" s="1222"/>
      <c r="G242" s="1222"/>
    </row>
    <row r="243" spans="1:7" x14ac:dyDescent="0.25">
      <c r="A243" s="1230"/>
      <c r="B243" s="1230"/>
      <c r="C243" s="1230"/>
      <c r="D243" s="1230"/>
      <c r="E243" s="1230"/>
      <c r="F243" s="1230"/>
      <c r="G243" s="1233"/>
    </row>
    <row r="244" spans="1:7" x14ac:dyDescent="0.25">
      <c r="A244" s="1248"/>
      <c r="B244" s="1248"/>
      <c r="C244" s="1248"/>
      <c r="D244" s="1248"/>
      <c r="E244" s="1231"/>
      <c r="F244" s="93"/>
      <c r="G244" s="70"/>
    </row>
    <row r="245" spans="1:7" x14ac:dyDescent="0.25">
      <c r="A245" s="1232"/>
      <c r="B245" s="1232"/>
      <c r="C245" s="1222"/>
      <c r="D245" s="1222"/>
      <c r="E245" s="1222"/>
      <c r="F245" s="1222"/>
      <c r="G245" s="1222"/>
    </row>
    <row r="246" spans="1:7" ht="33" customHeight="1" x14ac:dyDescent="0.25">
      <c r="A246" s="1232"/>
      <c r="B246" s="1232"/>
      <c r="C246" s="1222"/>
      <c r="D246" s="1222"/>
      <c r="E246" s="1222"/>
      <c r="F246" s="1222"/>
      <c r="G246" s="1222"/>
    </row>
    <row r="247" spans="1:7" x14ac:dyDescent="0.25">
      <c r="A247" s="1244"/>
      <c r="B247" s="1244"/>
      <c r="C247" s="1244"/>
      <c r="D247" s="1244"/>
      <c r="E247" s="1244"/>
      <c r="F247" s="1221"/>
      <c r="G247" s="1222"/>
    </row>
    <row r="248" spans="1:7" x14ac:dyDescent="0.25">
      <c r="A248" s="1244"/>
      <c r="B248" s="1244"/>
      <c r="C248" s="1244"/>
      <c r="D248" s="1244"/>
      <c r="E248" s="1244"/>
      <c r="F248" s="1221"/>
      <c r="G248" s="1222"/>
    </row>
    <row r="249" spans="1:7" x14ac:dyDescent="0.25">
      <c r="A249" s="95"/>
      <c r="B249" s="94"/>
      <c r="C249" s="94"/>
      <c r="D249" s="94"/>
      <c r="E249" s="94"/>
      <c r="F249" s="882"/>
      <c r="G249" s="882"/>
    </row>
    <row r="250" spans="1:7" ht="30" customHeight="1" x14ac:dyDescent="0.25">
      <c r="A250" s="1238"/>
      <c r="B250" s="1246"/>
      <c r="C250" s="1246"/>
      <c r="D250" s="1246"/>
      <c r="E250" s="1247"/>
      <c r="F250" s="880"/>
      <c r="G250" s="880"/>
    </row>
    <row r="251" spans="1:7" x14ac:dyDescent="0.25">
      <c r="A251" s="1229"/>
      <c r="B251" s="1229"/>
      <c r="C251" s="1229"/>
      <c r="D251" s="1229"/>
      <c r="E251" s="1229"/>
      <c r="F251" s="1229"/>
      <c r="G251" s="1229"/>
    </row>
    <row r="252" spans="1:7" x14ac:dyDescent="0.25">
      <c r="A252" s="1234"/>
      <c r="B252" s="1235"/>
      <c r="C252" s="80"/>
      <c r="D252" s="80"/>
      <c r="E252" s="80"/>
      <c r="F252" s="80"/>
      <c r="G252" s="67"/>
    </row>
    <row r="253" spans="1:7" x14ac:dyDescent="0.25">
      <c r="A253" s="1236"/>
      <c r="B253" s="1236"/>
      <c r="C253" s="69"/>
      <c r="D253" s="62"/>
      <c r="E253" s="62"/>
      <c r="F253" s="62"/>
      <c r="G253" s="81"/>
    </row>
    <row r="254" spans="1:7" x14ac:dyDescent="0.25">
      <c r="A254" s="1236"/>
      <c r="B254" s="1236"/>
      <c r="C254" s="69"/>
      <c r="D254" s="62"/>
      <c r="E254" s="62"/>
      <c r="F254" s="62"/>
      <c r="G254" s="69"/>
    </row>
    <row r="255" spans="1:7" x14ac:dyDescent="0.25">
      <c r="A255" s="1236"/>
      <c r="B255" s="1236"/>
      <c r="C255" s="69"/>
      <c r="D255" s="69"/>
      <c r="E255" s="69"/>
      <c r="F255" s="62"/>
      <c r="G255" s="69"/>
    </row>
    <row r="256" spans="1:7" x14ac:dyDescent="0.25">
      <c r="A256" s="1236"/>
      <c r="B256" s="1236"/>
      <c r="C256" s="69"/>
      <c r="D256" s="69"/>
      <c r="E256" s="69"/>
      <c r="F256" s="69"/>
      <c r="G256" s="69"/>
    </row>
    <row r="257" spans="1:7" x14ac:dyDescent="0.25">
      <c r="A257" s="1236"/>
      <c r="B257" s="1236"/>
      <c r="C257" s="69"/>
      <c r="D257" s="69"/>
      <c r="E257" s="69"/>
      <c r="F257" s="69"/>
      <c r="G257" s="83"/>
    </row>
    <row r="258" spans="1:7" x14ac:dyDescent="0.25">
      <c r="A258" s="1237"/>
      <c r="B258" s="1237"/>
      <c r="C258" s="82"/>
      <c r="D258" s="82"/>
      <c r="E258" s="82"/>
      <c r="F258" s="82"/>
      <c r="G258" s="64"/>
    </row>
    <row r="259" spans="1:7" x14ac:dyDescent="0.25">
      <c r="A259" s="1234"/>
      <c r="B259" s="1235"/>
      <c r="C259" s="80"/>
      <c r="D259" s="80"/>
      <c r="E259" s="80"/>
      <c r="F259" s="80"/>
      <c r="G259" s="67"/>
    </row>
    <row r="260" spans="1:7" x14ac:dyDescent="0.25">
      <c r="A260" s="1226"/>
      <c r="B260" s="1227"/>
      <c r="C260" s="43"/>
      <c r="D260" s="97"/>
      <c r="E260" s="92"/>
      <c r="F260" s="85"/>
      <c r="G260" s="69"/>
    </row>
    <row r="261" spans="1:7" x14ac:dyDescent="0.25">
      <c r="A261" s="1228"/>
      <c r="B261" s="1229"/>
      <c r="C261" s="43"/>
      <c r="D261" s="97"/>
      <c r="E261" s="92"/>
      <c r="F261" s="85"/>
      <c r="G261" s="43"/>
    </row>
    <row r="262" spans="1:7" x14ac:dyDescent="0.25">
      <c r="A262" s="1228"/>
      <c r="B262" s="1229"/>
      <c r="C262" s="69"/>
      <c r="D262" s="69"/>
      <c r="E262" s="69"/>
      <c r="F262" s="69"/>
      <c r="G262" s="65"/>
    </row>
    <row r="263" spans="1:7" x14ac:dyDescent="0.25">
      <c r="A263" s="910"/>
      <c r="B263" s="89"/>
      <c r="C263" s="89"/>
      <c r="D263" s="80"/>
      <c r="E263" s="80"/>
      <c r="F263" s="80"/>
      <c r="G263" s="67"/>
    </row>
    <row r="264" spans="1:7" x14ac:dyDescent="0.25">
      <c r="A264" s="899"/>
      <c r="B264" s="43"/>
      <c r="C264" s="43"/>
      <c r="D264" s="62"/>
      <c r="E264" s="91"/>
      <c r="F264" s="62"/>
      <c r="G264" s="69"/>
    </row>
    <row r="265" spans="1:7" x14ac:dyDescent="0.25">
      <c r="A265" s="90"/>
      <c r="B265" s="43"/>
      <c r="C265" s="43"/>
      <c r="D265" s="62"/>
      <c r="E265" s="91"/>
      <c r="F265" s="62"/>
      <c r="G265" s="69"/>
    </row>
    <row r="266" spans="1:7" x14ac:dyDescent="0.25">
      <c r="A266" s="90"/>
      <c r="B266" s="43"/>
      <c r="C266" s="43"/>
      <c r="D266" s="62"/>
      <c r="E266" s="92"/>
      <c r="F266" s="62"/>
      <c r="G266" s="69"/>
    </row>
    <row r="267" spans="1:7" x14ac:dyDescent="0.25">
      <c r="A267" s="90"/>
      <c r="B267" s="43"/>
      <c r="C267" s="43"/>
      <c r="D267" s="61"/>
      <c r="E267" s="92"/>
      <c r="F267" s="62"/>
      <c r="G267" s="43"/>
    </row>
    <row r="268" spans="1:7" x14ac:dyDescent="0.25">
      <c r="A268" s="90"/>
      <c r="B268" s="69"/>
      <c r="C268" s="69"/>
      <c r="D268" s="69"/>
      <c r="E268" s="69"/>
      <c r="F268" s="69"/>
      <c r="G268" s="64"/>
    </row>
    <row r="269" spans="1:7" x14ac:dyDescent="0.25">
      <c r="A269" s="910"/>
      <c r="B269" s="80"/>
      <c r="C269" s="80"/>
      <c r="D269" s="80"/>
      <c r="E269" s="89"/>
      <c r="F269" s="80"/>
      <c r="G269" s="67"/>
    </row>
    <row r="270" spans="1:7" x14ac:dyDescent="0.25">
      <c r="A270" s="81"/>
      <c r="B270" s="81"/>
      <c r="C270" s="81"/>
      <c r="D270" s="81"/>
      <c r="E270" s="81"/>
      <c r="F270" s="81"/>
      <c r="G270" s="81"/>
    </row>
    <row r="271" spans="1:7" x14ac:dyDescent="0.25">
      <c r="A271" s="69"/>
      <c r="B271" s="85"/>
      <c r="C271" s="96"/>
      <c r="D271" s="62"/>
      <c r="E271" s="121"/>
      <c r="F271" s="62"/>
      <c r="G271" s="69"/>
    </row>
    <row r="272" spans="1:7" x14ac:dyDescent="0.25">
      <c r="A272" s="881"/>
      <c r="B272" s="85"/>
      <c r="C272" s="96"/>
      <c r="D272" s="62"/>
      <c r="E272" s="101"/>
      <c r="F272" s="62"/>
      <c r="G272" s="69"/>
    </row>
    <row r="273" spans="1:7" x14ac:dyDescent="0.25">
      <c r="A273" s="69"/>
      <c r="B273" s="85"/>
      <c r="C273" s="69"/>
      <c r="D273" s="62"/>
      <c r="E273" s="69"/>
      <c r="F273" s="62"/>
      <c r="G273" s="69"/>
    </row>
    <row r="274" spans="1:7" x14ac:dyDescent="0.25">
      <c r="A274" s="69"/>
      <c r="B274" s="69"/>
      <c r="C274" s="69"/>
      <c r="D274" s="69"/>
      <c r="E274" s="69"/>
      <c r="F274" s="69"/>
      <c r="G274" s="43"/>
    </row>
    <row r="275" spans="1:7" x14ac:dyDescent="0.25">
      <c r="A275" s="82"/>
      <c r="B275" s="82"/>
      <c r="C275" s="82"/>
      <c r="D275" s="82"/>
      <c r="E275" s="82"/>
      <c r="F275" s="82"/>
      <c r="G275" s="64"/>
    </row>
    <row r="276" spans="1:7" x14ac:dyDescent="0.25">
      <c r="A276" s="1230"/>
      <c r="B276" s="1230"/>
      <c r="C276" s="1230"/>
      <c r="D276" s="1230"/>
      <c r="E276" s="1230"/>
      <c r="F276" s="1230"/>
      <c r="G276" s="1233"/>
    </row>
    <row r="277" spans="1:7" x14ac:dyDescent="0.25">
      <c r="A277" s="1248"/>
      <c r="B277" s="1248"/>
      <c r="C277" s="1248"/>
      <c r="D277" s="1248"/>
      <c r="E277" s="1231"/>
      <c r="F277" s="93"/>
      <c r="G277" s="70"/>
    </row>
    <row r="278" spans="1:7" x14ac:dyDescent="0.25">
      <c r="A278" s="1232"/>
      <c r="B278" s="1232"/>
      <c r="C278" s="1222"/>
      <c r="D278" s="1222"/>
      <c r="E278" s="1222"/>
      <c r="F278" s="1222"/>
      <c r="G278" s="1222"/>
    </row>
    <row r="279" spans="1:7" x14ac:dyDescent="0.25">
      <c r="A279" s="1232"/>
      <c r="B279" s="1232"/>
      <c r="C279" s="1222"/>
      <c r="D279" s="1222"/>
      <c r="E279" s="1222"/>
      <c r="F279" s="1222"/>
      <c r="G279" s="1222"/>
    </row>
    <row r="280" spans="1:7" x14ac:dyDescent="0.25">
      <c r="A280" s="1244"/>
      <c r="B280" s="1244"/>
      <c r="C280" s="1244"/>
      <c r="D280" s="1244"/>
      <c r="E280" s="1244"/>
      <c r="F280" s="1221"/>
      <c r="G280" s="1222"/>
    </row>
    <row r="281" spans="1:7" x14ac:dyDescent="0.25">
      <c r="A281" s="1244"/>
      <c r="B281" s="1244"/>
      <c r="C281" s="1244"/>
      <c r="D281" s="1244"/>
      <c r="E281" s="1244"/>
      <c r="F281" s="1221"/>
      <c r="G281" s="1222"/>
    </row>
    <row r="282" spans="1:7" x14ac:dyDescent="0.25">
      <c r="A282" s="1244"/>
      <c r="B282" s="1244"/>
      <c r="C282" s="1244"/>
      <c r="D282" s="1244"/>
      <c r="E282" s="1244"/>
      <c r="F282" s="1221"/>
      <c r="G282" s="1222"/>
    </row>
    <row r="283" spans="1:7" x14ac:dyDescent="0.25">
      <c r="A283" s="1244"/>
      <c r="B283" s="1244"/>
      <c r="C283" s="1244"/>
      <c r="D283" s="1244"/>
      <c r="E283" s="1244"/>
      <c r="F283" s="1221"/>
      <c r="G283" s="1222"/>
    </row>
    <row r="284" spans="1:7" x14ac:dyDescent="0.25">
      <c r="A284" s="1245"/>
      <c r="B284" s="1245"/>
      <c r="C284" s="1245"/>
      <c r="D284" s="1245"/>
      <c r="E284" s="1245"/>
      <c r="F284" s="1222"/>
      <c r="G284" s="1222"/>
    </row>
    <row r="285" spans="1:7" x14ac:dyDescent="0.25">
      <c r="A285" s="1230"/>
      <c r="B285" s="1230"/>
      <c r="C285" s="1230"/>
      <c r="D285" s="1230"/>
      <c r="E285" s="1230"/>
      <c r="F285" s="1230"/>
      <c r="G285" s="1233"/>
    </row>
    <row r="286" spans="1:7" x14ac:dyDescent="0.25">
      <c r="A286" s="1248"/>
      <c r="B286" s="1248"/>
      <c r="C286" s="1248"/>
      <c r="D286" s="1248"/>
      <c r="E286" s="1231"/>
      <c r="F286" s="93"/>
      <c r="G286" s="70"/>
    </row>
    <row r="287" spans="1:7" x14ac:dyDescent="0.25">
      <c r="A287" s="1232"/>
      <c r="B287" s="1232"/>
      <c r="C287" s="1222"/>
      <c r="D287" s="1222"/>
      <c r="E287" s="1222"/>
      <c r="F287" s="1222"/>
      <c r="G287" s="1222"/>
    </row>
    <row r="288" spans="1:7" x14ac:dyDescent="0.25">
      <c r="A288" s="1232"/>
      <c r="B288" s="1232"/>
      <c r="C288" s="1222"/>
      <c r="D288" s="1222"/>
      <c r="E288" s="1222"/>
      <c r="F288" s="1222"/>
      <c r="G288" s="1222"/>
    </row>
    <row r="289" spans="1:7" x14ac:dyDescent="0.25">
      <c r="A289" s="1244"/>
      <c r="B289" s="1244"/>
      <c r="C289" s="1244"/>
      <c r="D289" s="1244"/>
      <c r="E289" s="1244"/>
      <c r="F289" s="1221"/>
      <c r="G289" s="1222"/>
    </row>
    <row r="290" spans="1:7" x14ac:dyDescent="0.25">
      <c r="A290" s="1244"/>
      <c r="B290" s="1244"/>
      <c r="C290" s="1244"/>
      <c r="D290" s="1244"/>
      <c r="E290" s="1244"/>
      <c r="F290" s="1221"/>
      <c r="G290" s="1222"/>
    </row>
    <row r="291" spans="1:7" ht="21.75" customHeight="1" x14ac:dyDescent="0.25">
      <c r="A291" s="95"/>
      <c r="B291" s="94"/>
      <c r="C291" s="94"/>
      <c r="D291" s="94"/>
      <c r="E291" s="94"/>
      <c r="F291" s="882"/>
      <c r="G291" s="882"/>
    </row>
    <row r="292" spans="1:7" ht="21.75" customHeight="1" x14ac:dyDescent="0.25">
      <c r="A292" s="1238"/>
      <c r="B292" s="1246"/>
      <c r="C292" s="1246"/>
      <c r="D292" s="1246"/>
      <c r="E292" s="1247"/>
      <c r="F292" s="880"/>
      <c r="G292" s="880"/>
    </row>
    <row r="293" spans="1:7" ht="21.75" customHeight="1" x14ac:dyDescent="0.25">
      <c r="A293" s="1229"/>
      <c r="B293" s="1229"/>
      <c r="C293" s="1229"/>
      <c r="D293" s="1229"/>
      <c r="E293" s="1229"/>
      <c r="F293" s="1229"/>
      <c r="G293" s="1229"/>
    </row>
    <row r="294" spans="1:7" x14ac:dyDescent="0.25">
      <c r="A294" s="1234"/>
      <c r="B294" s="1235"/>
      <c r="C294" s="80"/>
      <c r="D294" s="80"/>
      <c r="E294" s="80"/>
      <c r="F294" s="80"/>
      <c r="G294" s="67"/>
    </row>
    <row r="295" spans="1:7" x14ac:dyDescent="0.25">
      <c r="A295" s="1236"/>
      <c r="B295" s="1236"/>
      <c r="C295" s="69"/>
      <c r="D295" s="62"/>
      <c r="E295" s="62"/>
      <c r="F295" s="62"/>
      <c r="G295" s="81"/>
    </row>
    <row r="296" spans="1:7" x14ac:dyDescent="0.25">
      <c r="A296" s="1236"/>
      <c r="B296" s="1236"/>
      <c r="C296" s="69"/>
      <c r="D296" s="62"/>
      <c r="E296" s="62"/>
      <c r="F296" s="62"/>
      <c r="G296" s="69"/>
    </row>
    <row r="297" spans="1:7" x14ac:dyDescent="0.25">
      <c r="A297" s="1236"/>
      <c r="B297" s="1236"/>
      <c r="C297" s="69"/>
      <c r="D297" s="69"/>
      <c r="E297" s="69"/>
      <c r="F297" s="62"/>
      <c r="G297" s="69"/>
    </row>
    <row r="298" spans="1:7" x14ac:dyDescent="0.25">
      <c r="A298" s="1236"/>
      <c r="B298" s="1236"/>
      <c r="C298" s="69"/>
      <c r="D298" s="69"/>
      <c r="E298" s="69"/>
      <c r="F298" s="69"/>
      <c r="G298" s="69"/>
    </row>
    <row r="299" spans="1:7" x14ac:dyDescent="0.25">
      <c r="A299" s="1236"/>
      <c r="B299" s="1236"/>
      <c r="C299" s="69"/>
      <c r="D299" s="69"/>
      <c r="E299" s="69"/>
      <c r="F299" s="69"/>
      <c r="G299" s="83"/>
    </row>
    <row r="300" spans="1:7" x14ac:dyDescent="0.25">
      <c r="A300" s="1237"/>
      <c r="B300" s="1237"/>
      <c r="C300" s="82"/>
      <c r="D300" s="82"/>
      <c r="E300" s="82"/>
      <c r="F300" s="82"/>
      <c r="G300" s="64"/>
    </row>
    <row r="301" spans="1:7" x14ac:dyDescent="0.25">
      <c r="A301" s="1234"/>
      <c r="B301" s="1235"/>
      <c r="C301" s="80"/>
      <c r="D301" s="80"/>
      <c r="E301" s="80"/>
      <c r="F301" s="80"/>
      <c r="G301" s="67"/>
    </row>
    <row r="302" spans="1:7" x14ac:dyDescent="0.25">
      <c r="A302" s="1226"/>
      <c r="B302" s="1227"/>
      <c r="C302" s="43"/>
      <c r="D302" s="97"/>
      <c r="E302" s="92"/>
      <c r="F302" s="85"/>
      <c r="G302" s="69"/>
    </row>
    <row r="303" spans="1:7" x14ac:dyDescent="0.25">
      <c r="A303" s="1228"/>
      <c r="B303" s="1229"/>
      <c r="C303" s="43"/>
      <c r="D303" s="97"/>
      <c r="E303" s="92"/>
      <c r="F303" s="85"/>
      <c r="G303" s="43"/>
    </row>
    <row r="304" spans="1:7" x14ac:dyDescent="0.25">
      <c r="A304" s="1228"/>
      <c r="B304" s="1229"/>
      <c r="C304" s="69"/>
      <c r="D304" s="69"/>
      <c r="E304" s="69"/>
      <c r="F304" s="69"/>
      <c r="G304" s="65"/>
    </row>
    <row r="305" spans="1:7" x14ac:dyDescent="0.25">
      <c r="A305" s="910"/>
      <c r="B305" s="89"/>
      <c r="C305" s="89"/>
      <c r="D305" s="80"/>
      <c r="E305" s="80"/>
      <c r="F305" s="80"/>
      <c r="G305" s="67"/>
    </row>
    <row r="306" spans="1:7" x14ac:dyDescent="0.25">
      <c r="A306" s="899"/>
      <c r="B306" s="43"/>
      <c r="C306" s="43"/>
      <c r="D306" s="62"/>
      <c r="E306" s="91"/>
      <c r="F306" s="62"/>
      <c r="G306" s="69"/>
    </row>
    <row r="307" spans="1:7" x14ac:dyDescent="0.25">
      <c r="A307" s="90"/>
      <c r="B307" s="43"/>
      <c r="C307" s="43"/>
      <c r="D307" s="62"/>
      <c r="E307" s="91"/>
      <c r="F307" s="62"/>
      <c r="G307" s="69"/>
    </row>
    <row r="308" spans="1:7" x14ac:dyDescent="0.25">
      <c r="A308" s="90"/>
      <c r="B308" s="43"/>
      <c r="C308" s="43"/>
      <c r="D308" s="62"/>
      <c r="E308" s="92"/>
      <c r="F308" s="62"/>
      <c r="G308" s="69"/>
    </row>
    <row r="309" spans="1:7" x14ac:dyDescent="0.25">
      <c r="A309" s="90"/>
      <c r="B309" s="43"/>
      <c r="C309" s="43"/>
      <c r="D309" s="61"/>
      <c r="E309" s="92"/>
      <c r="F309" s="62"/>
      <c r="G309" s="43"/>
    </row>
    <row r="310" spans="1:7" x14ac:dyDescent="0.25">
      <c r="A310" s="90"/>
      <c r="B310" s="69"/>
      <c r="C310" s="69"/>
      <c r="D310" s="69"/>
      <c r="E310" s="69"/>
      <c r="F310" s="69"/>
      <c r="G310" s="64"/>
    </row>
    <row r="311" spans="1:7" x14ac:dyDescent="0.25">
      <c r="A311" s="910"/>
      <c r="B311" s="80"/>
      <c r="C311" s="80"/>
      <c r="D311" s="80"/>
      <c r="E311" s="89"/>
      <c r="F311" s="80"/>
      <c r="G311" s="67"/>
    </row>
    <row r="312" spans="1:7" x14ac:dyDescent="0.25">
      <c r="A312" s="81"/>
      <c r="B312" s="81"/>
      <c r="C312" s="81"/>
      <c r="D312" s="81"/>
      <c r="E312" s="81"/>
      <c r="F312" s="81"/>
      <c r="G312" s="81"/>
    </row>
    <row r="313" spans="1:7" x14ac:dyDescent="0.25">
      <c r="A313" s="69"/>
      <c r="B313" s="85"/>
      <c r="C313" s="96"/>
      <c r="D313" s="62"/>
      <c r="E313" s="121"/>
      <c r="F313" s="62"/>
      <c r="G313" s="69"/>
    </row>
    <row r="314" spans="1:7" x14ac:dyDescent="0.25">
      <c r="A314" s="881"/>
      <c r="B314" s="85"/>
      <c r="C314" s="96"/>
      <c r="D314" s="62"/>
      <c r="E314" s="101"/>
      <c r="F314" s="62"/>
      <c r="G314" s="69"/>
    </row>
    <row r="315" spans="1:7" x14ac:dyDescent="0.25">
      <c r="A315" s="69"/>
      <c r="B315" s="85"/>
      <c r="C315" s="69"/>
      <c r="D315" s="62"/>
      <c r="E315" s="69"/>
      <c r="F315" s="62"/>
      <c r="G315" s="69"/>
    </row>
    <row r="316" spans="1:7" x14ac:dyDescent="0.25">
      <c r="A316" s="69"/>
      <c r="B316" s="69"/>
      <c r="C316" s="69"/>
      <c r="D316" s="69"/>
      <c r="E316" s="69"/>
      <c r="F316" s="69"/>
      <c r="G316" s="43"/>
    </row>
    <row r="317" spans="1:7" x14ac:dyDescent="0.25">
      <c r="A317" s="82"/>
      <c r="B317" s="82"/>
      <c r="C317" s="82"/>
      <c r="D317" s="82"/>
      <c r="E317" s="82"/>
      <c r="F317" s="82"/>
      <c r="G317" s="64"/>
    </row>
    <row r="318" spans="1:7" x14ac:dyDescent="0.25">
      <c r="A318" s="1230"/>
      <c r="B318" s="1230"/>
      <c r="C318" s="1230"/>
      <c r="D318" s="1230"/>
      <c r="E318" s="1230"/>
      <c r="F318" s="1230"/>
      <c r="G318" s="1233"/>
    </row>
    <row r="319" spans="1:7" x14ac:dyDescent="0.25">
      <c r="A319" s="1248"/>
      <c r="B319" s="1248"/>
      <c r="C319" s="1248"/>
      <c r="D319" s="1248"/>
      <c r="E319" s="1231"/>
      <c r="F319" s="93"/>
      <c r="G319" s="70"/>
    </row>
    <row r="320" spans="1:7" x14ac:dyDescent="0.25">
      <c r="A320" s="1232"/>
      <c r="B320" s="1232"/>
      <c r="C320" s="1222"/>
      <c r="D320" s="1222"/>
      <c r="E320" s="1222"/>
      <c r="F320" s="1222"/>
      <c r="G320" s="1222"/>
    </row>
    <row r="321" spans="1:7" x14ac:dyDescent="0.25">
      <c r="A321" s="1232"/>
      <c r="B321" s="1232"/>
      <c r="C321" s="1222"/>
      <c r="D321" s="1222"/>
      <c r="E321" s="1222"/>
      <c r="F321" s="1222"/>
      <c r="G321" s="1222"/>
    </row>
    <row r="322" spans="1:7" x14ac:dyDescent="0.25">
      <c r="A322" s="1244"/>
      <c r="B322" s="1244"/>
      <c r="C322" s="1244"/>
      <c r="D322" s="1244"/>
      <c r="E322" s="1244"/>
      <c r="F322" s="1221"/>
      <c r="G322" s="1222"/>
    </row>
    <row r="323" spans="1:7" x14ac:dyDescent="0.25">
      <c r="A323" s="1244"/>
      <c r="B323" s="1244"/>
      <c r="C323" s="1244"/>
      <c r="D323" s="1244"/>
      <c r="E323" s="1244"/>
      <c r="F323" s="1221"/>
      <c r="G323" s="1222"/>
    </row>
    <row r="324" spans="1:7" x14ac:dyDescent="0.25">
      <c r="A324" s="1244"/>
      <c r="B324" s="1244"/>
      <c r="C324" s="1244"/>
      <c r="D324" s="1244"/>
      <c r="E324" s="1244"/>
      <c r="F324" s="1221"/>
      <c r="G324" s="1222"/>
    </row>
    <row r="325" spans="1:7" x14ac:dyDescent="0.25">
      <c r="A325" s="1244"/>
      <c r="B325" s="1244"/>
      <c r="C325" s="1244"/>
      <c r="D325" s="1244"/>
      <c r="E325" s="1244"/>
      <c r="F325" s="1221"/>
      <c r="G325" s="1222"/>
    </row>
    <row r="326" spans="1:7" x14ac:dyDescent="0.25">
      <c r="A326" s="1245"/>
      <c r="B326" s="1245"/>
      <c r="C326" s="1245"/>
      <c r="D326" s="1245"/>
      <c r="E326" s="1245"/>
      <c r="F326" s="1222"/>
      <c r="G326" s="1222"/>
    </row>
    <row r="327" spans="1:7" x14ac:dyDescent="0.25">
      <c r="A327" s="1230"/>
      <c r="B327" s="1230"/>
      <c r="C327" s="1230"/>
      <c r="D327" s="1230"/>
      <c r="E327" s="1230"/>
      <c r="F327" s="1230"/>
      <c r="G327" s="1233"/>
    </row>
    <row r="328" spans="1:7" x14ac:dyDescent="0.25">
      <c r="A328" s="1248"/>
      <c r="B328" s="1248"/>
      <c r="C328" s="1248"/>
      <c r="D328" s="1248"/>
      <c r="E328" s="1231"/>
      <c r="F328" s="93"/>
      <c r="G328" s="70"/>
    </row>
    <row r="329" spans="1:7" x14ac:dyDescent="0.25">
      <c r="A329" s="1232"/>
      <c r="B329" s="1232"/>
      <c r="C329" s="1222"/>
      <c r="D329" s="1222"/>
      <c r="E329" s="1222"/>
      <c r="F329" s="1222"/>
      <c r="G329" s="1222"/>
    </row>
    <row r="330" spans="1:7" x14ac:dyDescent="0.25">
      <c r="A330" s="1232"/>
      <c r="B330" s="1232"/>
      <c r="C330" s="1222"/>
      <c r="D330" s="1222"/>
      <c r="E330" s="1222"/>
      <c r="F330" s="1222"/>
      <c r="G330" s="1222"/>
    </row>
    <row r="331" spans="1:7" x14ac:dyDescent="0.25">
      <c r="A331" s="1244"/>
      <c r="B331" s="1244"/>
      <c r="C331" s="1244"/>
      <c r="D331" s="1244"/>
      <c r="E331" s="1244"/>
      <c r="F331" s="1221"/>
      <c r="G331" s="1222"/>
    </row>
    <row r="332" spans="1:7" x14ac:dyDescent="0.25">
      <c r="A332" s="1244"/>
      <c r="B332" s="1244"/>
      <c r="C332" s="1244"/>
      <c r="D332" s="1244"/>
      <c r="E332" s="1244"/>
      <c r="F332" s="1221"/>
      <c r="G332" s="1222"/>
    </row>
    <row r="333" spans="1:7" x14ac:dyDescent="0.25">
      <c r="A333" s="95"/>
      <c r="B333" s="94"/>
      <c r="C333" s="94"/>
      <c r="D333" s="94"/>
      <c r="E333" s="94"/>
      <c r="F333" s="882"/>
      <c r="G333" s="882"/>
    </row>
    <row r="334" spans="1:7" ht="32.25" customHeight="1" x14ac:dyDescent="0.25">
      <c r="A334" s="1238"/>
      <c r="B334" s="1246"/>
      <c r="C334" s="1246"/>
      <c r="D334" s="1246"/>
      <c r="E334" s="1247"/>
      <c r="F334" s="880"/>
      <c r="G334" s="880"/>
    </row>
    <row r="335" spans="1:7" x14ac:dyDescent="0.25">
      <c r="A335" s="1229"/>
      <c r="B335" s="1229"/>
      <c r="C335" s="1229"/>
      <c r="D335" s="1229"/>
      <c r="E335" s="1229"/>
      <c r="F335" s="1229"/>
      <c r="G335" s="1229"/>
    </row>
    <row r="336" spans="1:7" x14ac:dyDescent="0.25">
      <c r="A336" s="1234"/>
      <c r="B336" s="1235"/>
      <c r="C336" s="80"/>
      <c r="D336" s="80"/>
      <c r="E336" s="80"/>
      <c r="F336" s="80"/>
      <c r="G336" s="67"/>
    </row>
    <row r="337" spans="1:7" x14ac:dyDescent="0.25">
      <c r="A337" s="1236"/>
      <c r="B337" s="1236"/>
      <c r="C337" s="69"/>
      <c r="D337" s="62"/>
      <c r="E337" s="62"/>
      <c r="F337" s="62"/>
      <c r="G337" s="81"/>
    </row>
    <row r="338" spans="1:7" x14ac:dyDescent="0.25">
      <c r="A338" s="1236"/>
      <c r="B338" s="1236"/>
      <c r="C338" s="69"/>
      <c r="D338" s="62"/>
      <c r="E338" s="62"/>
      <c r="F338" s="62"/>
      <c r="G338" s="69"/>
    </row>
    <row r="339" spans="1:7" x14ac:dyDescent="0.25">
      <c r="A339" s="1236"/>
      <c r="B339" s="1236"/>
      <c r="C339" s="69"/>
      <c r="D339" s="69"/>
      <c r="E339" s="69"/>
      <c r="F339" s="62"/>
      <c r="G339" s="69"/>
    </row>
    <row r="340" spans="1:7" x14ac:dyDescent="0.25">
      <c r="A340" s="1236"/>
      <c r="B340" s="1236"/>
      <c r="C340" s="69"/>
      <c r="D340" s="69"/>
      <c r="E340" s="69"/>
      <c r="F340" s="69"/>
      <c r="G340" s="69"/>
    </row>
    <row r="341" spans="1:7" x14ac:dyDescent="0.25">
      <c r="A341" s="1236"/>
      <c r="B341" s="1236"/>
      <c r="C341" s="69"/>
      <c r="D341" s="69"/>
      <c r="E341" s="69"/>
      <c r="F341" s="69"/>
      <c r="G341" s="83"/>
    </row>
    <row r="342" spans="1:7" x14ac:dyDescent="0.25">
      <c r="A342" s="1237"/>
      <c r="B342" s="1237"/>
      <c r="C342" s="82"/>
      <c r="D342" s="82"/>
      <c r="E342" s="82"/>
      <c r="F342" s="82"/>
      <c r="G342" s="64"/>
    </row>
    <row r="343" spans="1:7" x14ac:dyDescent="0.25">
      <c r="A343" s="1234"/>
      <c r="B343" s="1235"/>
      <c r="C343" s="80"/>
      <c r="D343" s="80"/>
      <c r="E343" s="80"/>
      <c r="F343" s="80"/>
      <c r="G343" s="67"/>
    </row>
    <row r="344" spans="1:7" x14ac:dyDescent="0.25">
      <c r="A344" s="1226"/>
      <c r="B344" s="1227"/>
      <c r="C344" s="43"/>
      <c r="D344" s="97"/>
      <c r="E344" s="92"/>
      <c r="F344" s="85"/>
      <c r="G344" s="69"/>
    </row>
    <row r="345" spans="1:7" x14ac:dyDescent="0.25">
      <c r="A345" s="1228"/>
      <c r="B345" s="1229"/>
      <c r="C345" s="43"/>
      <c r="D345" s="97"/>
      <c r="E345" s="92"/>
      <c r="F345" s="85"/>
      <c r="G345" s="43"/>
    </row>
    <row r="346" spans="1:7" x14ac:dyDescent="0.25">
      <c r="A346" s="1228"/>
      <c r="B346" s="1229"/>
      <c r="C346" s="69"/>
      <c r="D346" s="69"/>
      <c r="E346" s="69"/>
      <c r="F346" s="69"/>
      <c r="G346" s="65"/>
    </row>
    <row r="347" spans="1:7" x14ac:dyDescent="0.25">
      <c r="A347" s="910"/>
      <c r="B347" s="89"/>
      <c r="C347" s="89"/>
      <c r="D347" s="80"/>
      <c r="E347" s="80"/>
      <c r="F347" s="80"/>
      <c r="G347" s="67"/>
    </row>
    <row r="348" spans="1:7" x14ac:dyDescent="0.25">
      <c r="A348" s="899"/>
      <c r="B348" s="43"/>
      <c r="C348" s="43"/>
      <c r="D348" s="62"/>
      <c r="E348" s="91"/>
      <c r="F348" s="62"/>
      <c r="G348" s="69"/>
    </row>
    <row r="349" spans="1:7" x14ac:dyDescent="0.25">
      <c r="A349" s="90"/>
      <c r="B349" s="43"/>
      <c r="C349" s="43"/>
      <c r="D349" s="62"/>
      <c r="E349" s="91"/>
      <c r="F349" s="62"/>
      <c r="G349" s="69"/>
    </row>
    <row r="350" spans="1:7" x14ac:dyDescent="0.25">
      <c r="A350" s="90"/>
      <c r="B350" s="43"/>
      <c r="C350" s="43"/>
      <c r="D350" s="62"/>
      <c r="E350" s="92"/>
      <c r="F350" s="62"/>
      <c r="G350" s="69"/>
    </row>
    <row r="351" spans="1:7" x14ac:dyDescent="0.25">
      <c r="A351" s="90"/>
      <c r="B351" s="43"/>
      <c r="C351" s="43"/>
      <c r="D351" s="61"/>
      <c r="E351" s="92"/>
      <c r="F351" s="62"/>
      <c r="G351" s="43"/>
    </row>
    <row r="352" spans="1:7" x14ac:dyDescent="0.25">
      <c r="A352" s="90"/>
      <c r="B352" s="69"/>
      <c r="C352" s="69"/>
      <c r="D352" s="69"/>
      <c r="E352" s="69"/>
      <c r="F352" s="69"/>
      <c r="G352" s="64"/>
    </row>
    <row r="353" spans="1:7" x14ac:dyDescent="0.25">
      <c r="A353" s="910"/>
      <c r="B353" s="80"/>
      <c r="C353" s="80"/>
      <c r="D353" s="80"/>
      <c r="E353" s="89"/>
      <c r="F353" s="80"/>
      <c r="G353" s="67"/>
    </row>
    <row r="354" spans="1:7" x14ac:dyDescent="0.25">
      <c r="A354" s="81"/>
      <c r="B354" s="81"/>
      <c r="C354" s="81"/>
      <c r="D354" s="81"/>
      <c r="E354" s="81"/>
      <c r="F354" s="81"/>
      <c r="G354" s="81"/>
    </row>
    <row r="355" spans="1:7" x14ac:dyDescent="0.25">
      <c r="A355" s="69"/>
      <c r="B355" s="85"/>
      <c r="C355" s="96"/>
      <c r="D355" s="62"/>
      <c r="E355" s="121"/>
      <c r="F355" s="62"/>
      <c r="G355" s="69"/>
    </row>
    <row r="356" spans="1:7" x14ac:dyDescent="0.25">
      <c r="A356" s="881"/>
      <c r="B356" s="85"/>
      <c r="C356" s="96"/>
      <c r="D356" s="62"/>
      <c r="E356" s="101"/>
      <c r="F356" s="62"/>
      <c r="G356" s="69"/>
    </row>
    <row r="357" spans="1:7" x14ac:dyDescent="0.25">
      <c r="A357" s="69"/>
      <c r="B357" s="85"/>
      <c r="C357" s="69"/>
      <c r="D357" s="62"/>
      <c r="E357" s="69"/>
      <c r="F357" s="62"/>
      <c r="G357" s="69"/>
    </row>
    <row r="358" spans="1:7" x14ac:dyDescent="0.25">
      <c r="A358" s="69"/>
      <c r="B358" s="69"/>
      <c r="C358" s="69"/>
      <c r="D358" s="69"/>
      <c r="E358" s="69"/>
      <c r="F358" s="69"/>
      <c r="G358" s="43"/>
    </row>
    <row r="359" spans="1:7" x14ac:dyDescent="0.25">
      <c r="A359" s="82"/>
      <c r="B359" s="82"/>
      <c r="C359" s="82"/>
      <c r="D359" s="82"/>
      <c r="E359" s="82"/>
      <c r="F359" s="82"/>
      <c r="G359" s="64"/>
    </row>
    <row r="360" spans="1:7" x14ac:dyDescent="0.25">
      <c r="A360" s="1230"/>
      <c r="B360" s="1230"/>
      <c r="C360" s="1230"/>
      <c r="D360" s="1230"/>
      <c r="E360" s="1230"/>
      <c r="F360" s="1230"/>
      <c r="G360" s="1233"/>
    </row>
    <row r="361" spans="1:7" x14ac:dyDescent="0.25">
      <c r="A361" s="1248"/>
      <c r="B361" s="1248"/>
      <c r="C361" s="1248"/>
      <c r="D361" s="1248"/>
      <c r="E361" s="1231"/>
      <c r="F361" s="93"/>
      <c r="G361" s="70"/>
    </row>
    <row r="362" spans="1:7" x14ac:dyDescent="0.25">
      <c r="A362" s="1232"/>
      <c r="B362" s="1232"/>
      <c r="C362" s="1222"/>
      <c r="D362" s="1222"/>
      <c r="E362" s="1222"/>
      <c r="F362" s="1222"/>
      <c r="G362" s="1222"/>
    </row>
    <row r="363" spans="1:7" x14ac:dyDescent="0.25">
      <c r="A363" s="1232"/>
      <c r="B363" s="1232"/>
      <c r="C363" s="1222"/>
      <c r="D363" s="1222"/>
      <c r="E363" s="1222"/>
      <c r="F363" s="1222"/>
      <c r="G363" s="1222"/>
    </row>
    <row r="364" spans="1:7" x14ac:dyDescent="0.25">
      <c r="A364" s="1244"/>
      <c r="B364" s="1244"/>
      <c r="C364" s="1244"/>
      <c r="D364" s="1244"/>
      <c r="E364" s="1244"/>
      <c r="F364" s="1221"/>
      <c r="G364" s="1222"/>
    </row>
    <row r="365" spans="1:7" x14ac:dyDescent="0.25">
      <c r="A365" s="1244"/>
      <c r="B365" s="1244"/>
      <c r="C365" s="1244"/>
      <c r="D365" s="1244"/>
      <c r="E365" s="1244"/>
      <c r="F365" s="1221"/>
      <c r="G365" s="1222"/>
    </row>
    <row r="366" spans="1:7" x14ac:dyDescent="0.25">
      <c r="A366" s="1244"/>
      <c r="B366" s="1244"/>
      <c r="C366" s="1244"/>
      <c r="D366" s="1244"/>
      <c r="E366" s="1244"/>
      <c r="F366" s="1221"/>
      <c r="G366" s="1222"/>
    </row>
    <row r="367" spans="1:7" x14ac:dyDescent="0.25">
      <c r="A367" s="1244"/>
      <c r="B367" s="1244"/>
      <c r="C367" s="1244"/>
      <c r="D367" s="1244"/>
      <c r="E367" s="1244"/>
      <c r="F367" s="1221"/>
      <c r="G367" s="1222"/>
    </row>
    <row r="368" spans="1:7" x14ac:dyDescent="0.25">
      <c r="A368" s="1245"/>
      <c r="B368" s="1245"/>
      <c r="C368" s="1245"/>
      <c r="D368" s="1245"/>
      <c r="E368" s="1245"/>
      <c r="F368" s="1222"/>
      <c r="G368" s="1222"/>
    </row>
    <row r="369" spans="1:7" x14ac:dyDescent="0.25">
      <c r="A369" s="1230"/>
      <c r="B369" s="1230"/>
      <c r="C369" s="1230"/>
      <c r="D369" s="1230"/>
      <c r="E369" s="1230"/>
      <c r="F369" s="1230"/>
      <c r="G369" s="1233"/>
    </row>
    <row r="370" spans="1:7" x14ac:dyDescent="0.25">
      <c r="A370" s="1248"/>
      <c r="B370" s="1248"/>
      <c r="C370" s="1248"/>
      <c r="D370" s="1248"/>
      <c r="E370" s="1231"/>
      <c r="F370" s="93"/>
      <c r="G370" s="70"/>
    </row>
    <row r="371" spans="1:7" x14ac:dyDescent="0.25">
      <c r="A371" s="1232"/>
      <c r="B371" s="1232"/>
      <c r="C371" s="1222"/>
      <c r="D371" s="1222"/>
      <c r="E371" s="1222"/>
      <c r="F371" s="1222"/>
      <c r="G371" s="1222"/>
    </row>
    <row r="372" spans="1:7" x14ac:dyDescent="0.25">
      <c r="A372" s="1232"/>
      <c r="B372" s="1232"/>
      <c r="C372" s="1222"/>
      <c r="D372" s="1222"/>
      <c r="E372" s="1222"/>
      <c r="F372" s="1222"/>
      <c r="G372" s="1222"/>
    </row>
    <row r="373" spans="1:7" x14ac:dyDescent="0.25">
      <c r="A373" s="1244"/>
      <c r="B373" s="1244"/>
      <c r="C373" s="1244"/>
      <c r="D373" s="1244"/>
      <c r="E373" s="1244"/>
      <c r="F373" s="1221"/>
      <c r="G373" s="1222"/>
    </row>
    <row r="374" spans="1:7" x14ac:dyDescent="0.25">
      <c r="A374" s="1244"/>
      <c r="B374" s="1244"/>
      <c r="C374" s="1244"/>
      <c r="D374" s="1244"/>
      <c r="E374" s="1244"/>
      <c r="F374" s="1221"/>
      <c r="G374" s="1222"/>
    </row>
    <row r="375" spans="1:7" x14ac:dyDescent="0.25">
      <c r="A375" s="95"/>
      <c r="B375" s="94"/>
      <c r="C375" s="94"/>
      <c r="D375" s="94"/>
      <c r="E375" s="94"/>
      <c r="F375" s="882"/>
      <c r="G375" s="882"/>
    </row>
    <row r="376" spans="1:7" ht="27" customHeight="1" x14ac:dyDescent="0.25">
      <c r="A376" s="1238"/>
      <c r="B376" s="1246"/>
      <c r="C376" s="1246"/>
      <c r="D376" s="1246"/>
      <c r="E376" s="1247"/>
      <c r="F376" s="880"/>
      <c r="G376" s="880"/>
    </row>
    <row r="377" spans="1:7" x14ac:dyDescent="0.25">
      <c r="A377" s="1229"/>
      <c r="B377" s="1229"/>
      <c r="C377" s="1229"/>
      <c r="D377" s="1229"/>
      <c r="E377" s="1229"/>
      <c r="F377" s="1229"/>
      <c r="G377" s="1229"/>
    </row>
    <row r="378" spans="1:7" x14ac:dyDescent="0.25">
      <c r="A378" s="1234"/>
      <c r="B378" s="1235"/>
      <c r="C378" s="80"/>
      <c r="D378" s="80"/>
      <c r="E378" s="80"/>
      <c r="F378" s="80"/>
      <c r="G378" s="67"/>
    </row>
    <row r="379" spans="1:7" x14ac:dyDescent="0.25">
      <c r="A379" s="1236"/>
      <c r="B379" s="1236"/>
      <c r="C379" s="69"/>
      <c r="D379" s="62"/>
      <c r="E379" s="62"/>
      <c r="F379" s="62"/>
      <c r="G379" s="81"/>
    </row>
    <row r="380" spans="1:7" x14ac:dyDescent="0.25">
      <c r="A380" s="1236"/>
      <c r="B380" s="1236"/>
      <c r="C380" s="69"/>
      <c r="D380" s="62"/>
      <c r="E380" s="62"/>
      <c r="F380" s="62"/>
      <c r="G380" s="69"/>
    </row>
    <row r="381" spans="1:7" x14ac:dyDescent="0.25">
      <c r="A381" s="1236"/>
      <c r="B381" s="1236"/>
      <c r="C381" s="69"/>
      <c r="D381" s="69"/>
      <c r="E381" s="69"/>
      <c r="F381" s="62"/>
      <c r="G381" s="69"/>
    </row>
    <row r="382" spans="1:7" x14ac:dyDescent="0.25">
      <c r="A382" s="1236"/>
      <c r="B382" s="1236"/>
      <c r="C382" s="69"/>
      <c r="D382" s="69"/>
      <c r="E382" s="69"/>
      <c r="F382" s="69"/>
      <c r="G382" s="69"/>
    </row>
    <row r="383" spans="1:7" x14ac:dyDescent="0.25">
      <c r="A383" s="1236"/>
      <c r="B383" s="1236"/>
      <c r="C383" s="69"/>
      <c r="D383" s="69"/>
      <c r="E383" s="69"/>
      <c r="F383" s="69"/>
      <c r="G383" s="83"/>
    </row>
    <row r="384" spans="1:7" x14ac:dyDescent="0.25">
      <c r="A384" s="1237"/>
      <c r="B384" s="1237"/>
      <c r="C384" s="82"/>
      <c r="D384" s="82"/>
      <c r="E384" s="82"/>
      <c r="F384" s="82"/>
      <c r="G384" s="64"/>
    </row>
    <row r="385" spans="1:7" x14ac:dyDescent="0.25">
      <c r="A385" s="1234"/>
      <c r="B385" s="1235"/>
      <c r="C385" s="80"/>
      <c r="D385" s="80"/>
      <c r="E385" s="80"/>
      <c r="F385" s="80"/>
      <c r="G385" s="67"/>
    </row>
    <row r="386" spans="1:7" x14ac:dyDescent="0.25">
      <c r="A386" s="1226"/>
      <c r="B386" s="1227"/>
      <c r="C386" s="43"/>
      <c r="D386" s="97"/>
      <c r="E386" s="92"/>
      <c r="F386" s="85"/>
      <c r="G386" s="69"/>
    </row>
    <row r="387" spans="1:7" x14ac:dyDescent="0.25">
      <c r="A387" s="1228"/>
      <c r="B387" s="1229"/>
      <c r="C387" s="43"/>
      <c r="D387" s="97"/>
      <c r="E387" s="92"/>
      <c r="F387" s="85"/>
      <c r="G387" s="43"/>
    </row>
    <row r="388" spans="1:7" x14ac:dyDescent="0.25">
      <c r="A388" s="1228"/>
      <c r="B388" s="1229"/>
      <c r="C388" s="69"/>
      <c r="D388" s="69"/>
      <c r="E388" s="69"/>
      <c r="F388" s="69"/>
      <c r="G388" s="65"/>
    </row>
    <row r="389" spans="1:7" x14ac:dyDescent="0.25">
      <c r="A389" s="910"/>
      <c r="B389" s="89"/>
      <c r="C389" s="89"/>
      <c r="D389" s="80"/>
      <c r="E389" s="80"/>
      <c r="F389" s="80"/>
      <c r="G389" s="67"/>
    </row>
    <row r="390" spans="1:7" x14ac:dyDescent="0.25">
      <c r="A390" s="899"/>
      <c r="B390" s="43"/>
      <c r="C390" s="43"/>
      <c r="D390" s="62"/>
      <c r="E390" s="91"/>
      <c r="F390" s="62"/>
      <c r="G390" s="69"/>
    </row>
    <row r="391" spans="1:7" x14ac:dyDescent="0.25">
      <c r="A391" s="90"/>
      <c r="B391" s="43"/>
      <c r="C391" s="43"/>
      <c r="D391" s="62"/>
      <c r="E391" s="91"/>
      <c r="F391" s="62"/>
      <c r="G391" s="69"/>
    </row>
    <row r="392" spans="1:7" x14ac:dyDescent="0.25">
      <c r="A392" s="90"/>
      <c r="B392" s="43"/>
      <c r="C392" s="43"/>
      <c r="D392" s="62"/>
      <c r="E392" s="92"/>
      <c r="F392" s="62"/>
      <c r="G392" s="69"/>
    </row>
    <row r="393" spans="1:7" x14ac:dyDescent="0.25">
      <c r="A393" s="90"/>
      <c r="B393" s="43"/>
      <c r="C393" s="43"/>
      <c r="D393" s="61"/>
      <c r="E393" s="92"/>
      <c r="F393" s="62"/>
      <c r="G393" s="43"/>
    </row>
    <row r="394" spans="1:7" x14ac:dyDescent="0.25">
      <c r="A394" s="90"/>
      <c r="B394" s="69"/>
      <c r="C394" s="69"/>
      <c r="D394" s="69"/>
      <c r="E394" s="69"/>
      <c r="F394" s="69"/>
      <c r="G394" s="64"/>
    </row>
    <row r="395" spans="1:7" x14ac:dyDescent="0.25">
      <c r="A395" s="910"/>
      <c r="B395" s="80"/>
      <c r="C395" s="80"/>
      <c r="D395" s="80"/>
      <c r="E395" s="89"/>
      <c r="F395" s="80"/>
      <c r="G395" s="67"/>
    </row>
    <row r="396" spans="1:7" x14ac:dyDescent="0.25">
      <c r="A396" s="81"/>
      <c r="B396" s="81"/>
      <c r="C396" s="81"/>
      <c r="D396" s="81"/>
      <c r="E396" s="81"/>
      <c r="F396" s="81"/>
      <c r="G396" s="81"/>
    </row>
    <row r="397" spans="1:7" x14ac:dyDescent="0.25">
      <c r="A397" s="69"/>
      <c r="B397" s="85"/>
      <c r="C397" s="96"/>
      <c r="D397" s="62"/>
      <c r="E397" s="121"/>
      <c r="F397" s="62"/>
      <c r="G397" s="69"/>
    </row>
    <row r="398" spans="1:7" x14ac:dyDescent="0.25">
      <c r="A398" s="881"/>
      <c r="B398" s="85"/>
      <c r="C398" s="96"/>
      <c r="D398" s="62"/>
      <c r="E398" s="101"/>
      <c r="F398" s="62"/>
      <c r="G398" s="69"/>
    </row>
    <row r="399" spans="1:7" x14ac:dyDescent="0.25">
      <c r="A399" s="69"/>
      <c r="B399" s="85"/>
      <c r="C399" s="69"/>
      <c r="D399" s="62"/>
      <c r="E399" s="69"/>
      <c r="F399" s="62"/>
      <c r="G399" s="69"/>
    </row>
    <row r="400" spans="1:7" x14ac:dyDescent="0.25">
      <c r="A400" s="69"/>
      <c r="B400" s="69"/>
      <c r="C400" s="69"/>
      <c r="D400" s="69"/>
      <c r="E400" s="69"/>
      <c r="F400" s="69"/>
      <c r="G400" s="43"/>
    </row>
    <row r="401" spans="1:7" x14ac:dyDescent="0.25">
      <c r="A401" s="82"/>
      <c r="B401" s="82"/>
      <c r="C401" s="82"/>
      <c r="D401" s="82"/>
      <c r="E401" s="82"/>
      <c r="F401" s="82"/>
      <c r="G401" s="64"/>
    </row>
    <row r="402" spans="1:7" x14ac:dyDescent="0.25">
      <c r="A402" s="1230"/>
      <c r="B402" s="1230"/>
      <c r="C402" s="1230"/>
      <c r="D402" s="1230"/>
      <c r="E402" s="1230"/>
      <c r="F402" s="1230"/>
      <c r="G402" s="1233"/>
    </row>
    <row r="403" spans="1:7" x14ac:dyDescent="0.25">
      <c r="A403" s="1248"/>
      <c r="B403" s="1248"/>
      <c r="C403" s="1248"/>
      <c r="D403" s="1248"/>
      <c r="E403" s="1231"/>
      <c r="F403" s="93"/>
      <c r="G403" s="70"/>
    </row>
    <row r="404" spans="1:7" x14ac:dyDescent="0.25">
      <c r="A404" s="1232"/>
      <c r="B404" s="1232"/>
      <c r="C404" s="1222"/>
      <c r="D404" s="1222"/>
      <c r="E404" s="1222"/>
      <c r="F404" s="1222"/>
      <c r="G404" s="1222"/>
    </row>
    <row r="405" spans="1:7" x14ac:dyDescent="0.25">
      <c r="A405" s="1232"/>
      <c r="B405" s="1232"/>
      <c r="C405" s="1222"/>
      <c r="D405" s="1222"/>
      <c r="E405" s="1222"/>
      <c r="F405" s="1222"/>
      <c r="G405" s="1222"/>
    </row>
    <row r="406" spans="1:7" x14ac:dyDescent="0.25">
      <c r="A406" s="1244"/>
      <c r="B406" s="1244"/>
      <c r="C406" s="1244"/>
      <c r="D406" s="1244"/>
      <c r="E406" s="1244"/>
      <c r="F406" s="1221"/>
      <c r="G406" s="1222"/>
    </row>
    <row r="407" spans="1:7" x14ac:dyDescent="0.25">
      <c r="A407" s="1244"/>
      <c r="B407" s="1244"/>
      <c r="C407" s="1244"/>
      <c r="D407" s="1244"/>
      <c r="E407" s="1244"/>
      <c r="F407" s="1221"/>
      <c r="G407" s="1222"/>
    </row>
    <row r="408" spans="1:7" x14ac:dyDescent="0.25">
      <c r="A408" s="1244"/>
      <c r="B408" s="1244"/>
      <c r="C408" s="1244"/>
      <c r="D408" s="1244"/>
      <c r="E408" s="1244"/>
      <c r="F408" s="1221"/>
      <c r="G408" s="1222"/>
    </row>
    <row r="409" spans="1:7" x14ac:dyDescent="0.25">
      <c r="A409" s="1244"/>
      <c r="B409" s="1244"/>
      <c r="C409" s="1244"/>
      <c r="D409" s="1244"/>
      <c r="E409" s="1244"/>
      <c r="F409" s="1221"/>
      <c r="G409" s="1222"/>
    </row>
    <row r="410" spans="1:7" x14ac:dyDescent="0.25">
      <c r="A410" s="1245"/>
      <c r="B410" s="1245"/>
      <c r="C410" s="1245"/>
      <c r="D410" s="1245"/>
      <c r="E410" s="1245"/>
      <c r="F410" s="1222"/>
      <c r="G410" s="1222"/>
    </row>
    <row r="418" spans="1:7" x14ac:dyDescent="0.25">
      <c r="A418" s="95"/>
      <c r="B418" s="94"/>
      <c r="C418" s="94"/>
      <c r="D418" s="94"/>
      <c r="E418" s="94"/>
      <c r="F418" s="882"/>
      <c r="G418" s="882"/>
    </row>
    <row r="419" spans="1:7" ht="27" customHeight="1" x14ac:dyDescent="0.25">
      <c r="A419" s="1238"/>
      <c r="B419" s="1246"/>
      <c r="C419" s="1246"/>
      <c r="D419" s="1246"/>
      <c r="E419" s="1247"/>
      <c r="F419" s="880"/>
      <c r="G419" s="880"/>
    </row>
    <row r="420" spans="1:7" x14ac:dyDescent="0.25">
      <c r="A420" s="1229"/>
      <c r="B420" s="1229"/>
      <c r="C420" s="1229"/>
      <c r="D420" s="1229"/>
      <c r="E420" s="1229"/>
      <c r="F420" s="1229"/>
      <c r="G420" s="1229"/>
    </row>
    <row r="421" spans="1:7" x14ac:dyDescent="0.25">
      <c r="A421" s="1234"/>
      <c r="B421" s="1235"/>
      <c r="C421" s="80"/>
      <c r="D421" s="80"/>
      <c r="E421" s="80"/>
      <c r="F421" s="80"/>
      <c r="G421" s="67"/>
    </row>
    <row r="422" spans="1:7" x14ac:dyDescent="0.25">
      <c r="A422" s="1236"/>
      <c r="B422" s="1236"/>
      <c r="C422" s="69"/>
      <c r="D422" s="62"/>
      <c r="E422" s="62"/>
      <c r="F422" s="62"/>
      <c r="G422" s="81"/>
    </row>
    <row r="423" spans="1:7" x14ac:dyDescent="0.25">
      <c r="A423" s="1236"/>
      <c r="B423" s="1236"/>
      <c r="C423" s="69"/>
      <c r="D423" s="62"/>
      <c r="E423" s="62"/>
      <c r="F423" s="62"/>
      <c r="G423" s="69"/>
    </row>
    <row r="424" spans="1:7" x14ac:dyDescent="0.25">
      <c r="A424" s="1236"/>
      <c r="B424" s="1236"/>
      <c r="C424" s="69"/>
      <c r="D424" s="69"/>
      <c r="E424" s="69"/>
      <c r="F424" s="62"/>
      <c r="G424" s="69"/>
    </row>
    <row r="425" spans="1:7" x14ac:dyDescent="0.25">
      <c r="A425" s="1236"/>
      <c r="B425" s="1236"/>
      <c r="C425" s="69"/>
      <c r="D425" s="69"/>
      <c r="E425" s="69"/>
      <c r="F425" s="69"/>
      <c r="G425" s="69"/>
    </row>
    <row r="426" spans="1:7" x14ac:dyDescent="0.25">
      <c r="A426" s="1236"/>
      <c r="B426" s="1236"/>
      <c r="C426" s="69"/>
      <c r="D426" s="69"/>
      <c r="E426" s="69"/>
      <c r="F426" s="69"/>
      <c r="G426" s="83"/>
    </row>
    <row r="427" spans="1:7" x14ac:dyDescent="0.25">
      <c r="A427" s="1237"/>
      <c r="B427" s="1237"/>
      <c r="C427" s="82"/>
      <c r="D427" s="82"/>
      <c r="E427" s="82"/>
      <c r="F427" s="82"/>
      <c r="G427" s="64"/>
    </row>
    <row r="428" spans="1:7" x14ac:dyDescent="0.25">
      <c r="A428" s="1234"/>
      <c r="B428" s="1235"/>
      <c r="C428" s="80"/>
      <c r="D428" s="80"/>
      <c r="E428" s="80"/>
      <c r="F428" s="80"/>
      <c r="G428" s="67"/>
    </row>
    <row r="429" spans="1:7" x14ac:dyDescent="0.25">
      <c r="A429" s="1226"/>
      <c r="B429" s="1227"/>
      <c r="C429" s="43"/>
      <c r="D429" s="97"/>
      <c r="E429" s="92"/>
      <c r="F429" s="85"/>
      <c r="G429" s="69"/>
    </row>
    <row r="430" spans="1:7" x14ac:dyDescent="0.25">
      <c r="A430" s="1228"/>
      <c r="B430" s="1229"/>
      <c r="C430" s="43"/>
      <c r="D430" s="97"/>
      <c r="E430" s="92"/>
      <c r="F430" s="85"/>
      <c r="G430" s="43"/>
    </row>
    <row r="431" spans="1:7" x14ac:dyDescent="0.25">
      <c r="A431" s="1228"/>
      <c r="B431" s="1229"/>
      <c r="C431" s="69"/>
      <c r="D431" s="69"/>
      <c r="E431" s="69"/>
      <c r="F431" s="69"/>
      <c r="G431" s="65"/>
    </row>
    <row r="432" spans="1:7" x14ac:dyDescent="0.25">
      <c r="A432" s="910"/>
      <c r="B432" s="89"/>
      <c r="C432" s="89"/>
      <c r="D432" s="80"/>
      <c r="E432" s="80"/>
      <c r="F432" s="80"/>
      <c r="G432" s="67"/>
    </row>
    <row r="433" spans="1:7" x14ac:dyDescent="0.25">
      <c r="A433" s="899"/>
      <c r="B433" s="43"/>
      <c r="C433" s="43"/>
      <c r="D433" s="62"/>
      <c r="E433" s="91"/>
      <c r="F433" s="62"/>
      <c r="G433" s="69"/>
    </row>
    <row r="434" spans="1:7" x14ac:dyDescent="0.25">
      <c r="A434" s="90"/>
      <c r="B434" s="43"/>
      <c r="C434" s="43"/>
      <c r="D434" s="62"/>
      <c r="E434" s="91"/>
      <c r="F434" s="62"/>
      <c r="G434" s="69"/>
    </row>
    <row r="435" spans="1:7" x14ac:dyDescent="0.25">
      <c r="A435" s="90"/>
      <c r="B435" s="43"/>
      <c r="C435" s="43"/>
      <c r="D435" s="62"/>
      <c r="E435" s="92"/>
      <c r="F435" s="62"/>
      <c r="G435" s="69"/>
    </row>
    <row r="436" spans="1:7" x14ac:dyDescent="0.25">
      <c r="A436" s="90"/>
      <c r="B436" s="43"/>
      <c r="C436" s="43"/>
      <c r="D436" s="61"/>
      <c r="E436" s="92"/>
      <c r="F436" s="62"/>
      <c r="G436" s="43"/>
    </row>
    <row r="437" spans="1:7" x14ac:dyDescent="0.25">
      <c r="A437" s="90"/>
      <c r="B437" s="69"/>
      <c r="C437" s="69"/>
      <c r="D437" s="69"/>
      <c r="E437" s="69"/>
      <c r="F437" s="69"/>
      <c r="G437" s="64"/>
    </row>
    <row r="438" spans="1:7" x14ac:dyDescent="0.25">
      <c r="A438" s="910"/>
      <c r="B438" s="80"/>
      <c r="C438" s="80"/>
      <c r="D438" s="80"/>
      <c r="E438" s="89"/>
      <c r="F438" s="80"/>
      <c r="G438" s="67"/>
    </row>
    <row r="439" spans="1:7" x14ac:dyDescent="0.25">
      <c r="A439" s="81"/>
      <c r="B439" s="81"/>
      <c r="C439" s="81"/>
      <c r="D439" s="81"/>
      <c r="E439" s="81"/>
      <c r="F439" s="81"/>
      <c r="G439" s="81"/>
    </row>
    <row r="440" spans="1:7" x14ac:dyDescent="0.25">
      <c r="A440" s="69"/>
      <c r="B440" s="85"/>
      <c r="C440" s="96"/>
      <c r="D440" s="62"/>
      <c r="E440" s="121"/>
      <c r="F440" s="62"/>
      <c r="G440" s="69"/>
    </row>
    <row r="441" spans="1:7" x14ac:dyDescent="0.25">
      <c r="A441" s="881"/>
      <c r="B441" s="85"/>
      <c r="C441" s="96"/>
      <c r="D441" s="62"/>
      <c r="E441" s="101"/>
      <c r="F441" s="62"/>
      <c r="G441" s="69"/>
    </row>
    <row r="442" spans="1:7" x14ac:dyDescent="0.25">
      <c r="A442" s="69"/>
      <c r="B442" s="85"/>
      <c r="C442" s="69"/>
      <c r="D442" s="62"/>
      <c r="E442" s="69"/>
      <c r="F442" s="62"/>
      <c r="G442" s="69"/>
    </row>
    <row r="443" spans="1:7" x14ac:dyDescent="0.25">
      <c r="A443" s="69"/>
      <c r="B443" s="69"/>
      <c r="C443" s="69"/>
      <c r="D443" s="69"/>
      <c r="E443" s="69"/>
      <c r="F443" s="69"/>
      <c r="G443" s="43"/>
    </row>
    <row r="444" spans="1:7" x14ac:dyDescent="0.25">
      <c r="A444" s="82"/>
      <c r="B444" s="82"/>
      <c r="C444" s="82"/>
      <c r="D444" s="82"/>
      <c r="E444" s="82"/>
      <c r="F444" s="82"/>
      <c r="G444" s="64"/>
    </row>
    <row r="445" spans="1:7" x14ac:dyDescent="0.25">
      <c r="A445" s="1230"/>
      <c r="B445" s="1230"/>
      <c r="C445" s="1230"/>
      <c r="D445" s="1230"/>
      <c r="E445" s="1230"/>
      <c r="F445" s="1230"/>
      <c r="G445" s="1233"/>
    </row>
    <row r="446" spans="1:7" x14ac:dyDescent="0.25">
      <c r="A446" s="1248"/>
      <c r="B446" s="1248"/>
      <c r="C446" s="1248"/>
      <c r="D446" s="1248"/>
      <c r="E446" s="1231"/>
      <c r="F446" s="93"/>
      <c r="G446" s="70"/>
    </row>
    <row r="447" spans="1:7" x14ac:dyDescent="0.25">
      <c r="A447" s="1232"/>
      <c r="B447" s="1232"/>
      <c r="C447" s="1222"/>
      <c r="D447" s="1222"/>
      <c r="E447" s="1222"/>
      <c r="F447" s="1222"/>
      <c r="G447" s="1222"/>
    </row>
    <row r="448" spans="1:7" x14ac:dyDescent="0.25">
      <c r="A448" s="1232"/>
      <c r="B448" s="1232"/>
      <c r="C448" s="1222"/>
      <c r="D448" s="1222"/>
      <c r="E448" s="1222"/>
      <c r="F448" s="1222"/>
      <c r="G448" s="1222"/>
    </row>
    <row r="449" spans="1:7" x14ac:dyDescent="0.25">
      <c r="A449" s="1244"/>
      <c r="B449" s="1244"/>
      <c r="C449" s="1244"/>
      <c r="D449" s="1244"/>
      <c r="E449" s="1244"/>
      <c r="F449" s="1221"/>
      <c r="G449" s="1222"/>
    </row>
    <row r="450" spans="1:7" x14ac:dyDescent="0.25">
      <c r="A450" s="1244"/>
      <c r="B450" s="1244"/>
      <c r="C450" s="1244"/>
      <c r="D450" s="1244"/>
      <c r="E450" s="1244"/>
      <c r="F450" s="1221"/>
      <c r="G450" s="1222"/>
    </row>
    <row r="451" spans="1:7" x14ac:dyDescent="0.25">
      <c r="A451" s="1244"/>
      <c r="B451" s="1244"/>
      <c r="C451" s="1244"/>
      <c r="D451" s="1244"/>
      <c r="E451" s="1244"/>
      <c r="F451" s="1221"/>
      <c r="G451" s="1222"/>
    </row>
    <row r="452" spans="1:7" x14ac:dyDescent="0.25">
      <c r="A452" s="1244"/>
      <c r="B452" s="1244"/>
      <c r="C452" s="1244"/>
      <c r="D452" s="1244"/>
      <c r="E452" s="1244"/>
      <c r="F452" s="1221"/>
      <c r="G452" s="1222"/>
    </row>
    <row r="453" spans="1:7" x14ac:dyDescent="0.25">
      <c r="A453" s="1245"/>
      <c r="B453" s="1245"/>
      <c r="C453" s="1245"/>
      <c r="D453" s="1245"/>
      <c r="E453" s="1245"/>
      <c r="F453" s="1222"/>
      <c r="G453" s="1222"/>
    </row>
    <row r="461" spans="1:7" x14ac:dyDescent="0.25">
      <c r="A461" s="95"/>
      <c r="B461" s="94"/>
      <c r="C461" s="94"/>
      <c r="D461" s="94"/>
      <c r="E461" s="94"/>
      <c r="F461" s="882"/>
      <c r="G461" s="882"/>
    </row>
    <row r="462" spans="1:7" ht="28.5" customHeight="1" x14ac:dyDescent="0.25">
      <c r="A462" s="1238"/>
      <c r="B462" s="1246"/>
      <c r="C462" s="1246"/>
      <c r="D462" s="1246"/>
      <c r="E462" s="1247"/>
      <c r="F462" s="880"/>
      <c r="G462" s="880"/>
    </row>
    <row r="463" spans="1:7" x14ac:dyDescent="0.25">
      <c r="A463" s="1229"/>
      <c r="B463" s="1229"/>
      <c r="C463" s="1229"/>
      <c r="D463" s="1229"/>
      <c r="E463" s="1229"/>
      <c r="F463" s="1229"/>
      <c r="G463" s="1229"/>
    </row>
    <row r="464" spans="1:7" x14ac:dyDescent="0.25">
      <c r="A464" s="1234"/>
      <c r="B464" s="1235"/>
      <c r="C464" s="80"/>
      <c r="D464" s="80"/>
      <c r="E464" s="80"/>
      <c r="F464" s="80"/>
      <c r="G464" s="67"/>
    </row>
    <row r="465" spans="1:7" x14ac:dyDescent="0.25">
      <c r="A465" s="1236"/>
      <c r="B465" s="1236"/>
      <c r="C465" s="69"/>
      <c r="D465" s="62"/>
      <c r="E465" s="62"/>
      <c r="F465" s="62"/>
      <c r="G465" s="81"/>
    </row>
    <row r="466" spans="1:7" x14ac:dyDescent="0.25">
      <c r="A466" s="1236"/>
      <c r="B466" s="1236"/>
      <c r="C466" s="69"/>
      <c r="D466" s="62"/>
      <c r="E466" s="62"/>
      <c r="F466" s="62"/>
      <c r="G466" s="69"/>
    </row>
    <row r="467" spans="1:7" x14ac:dyDescent="0.25">
      <c r="A467" s="1236"/>
      <c r="B467" s="1236"/>
      <c r="C467" s="69"/>
      <c r="D467" s="69"/>
      <c r="E467" s="69"/>
      <c r="F467" s="62"/>
      <c r="G467" s="69"/>
    </row>
    <row r="468" spans="1:7" x14ac:dyDescent="0.25">
      <c r="A468" s="1236"/>
      <c r="B468" s="1236"/>
      <c r="C468" s="69"/>
      <c r="D468" s="69"/>
      <c r="E468" s="69"/>
      <c r="F468" s="69"/>
      <c r="G468" s="69"/>
    </row>
    <row r="469" spans="1:7" x14ac:dyDescent="0.25">
      <c r="A469" s="1236"/>
      <c r="B469" s="1236"/>
      <c r="C469" s="69"/>
      <c r="D469" s="69"/>
      <c r="E469" s="69"/>
      <c r="F469" s="69"/>
      <c r="G469" s="83"/>
    </row>
    <row r="470" spans="1:7" x14ac:dyDescent="0.25">
      <c r="A470" s="1237"/>
      <c r="B470" s="1237"/>
      <c r="C470" s="82"/>
      <c r="D470" s="82"/>
      <c r="E470" s="82"/>
      <c r="F470" s="82"/>
      <c r="G470" s="64"/>
    </row>
    <row r="471" spans="1:7" x14ac:dyDescent="0.25">
      <c r="A471" s="1234"/>
      <c r="B471" s="1235"/>
      <c r="C471" s="80"/>
      <c r="D471" s="80"/>
      <c r="E471" s="80"/>
      <c r="F471" s="80"/>
      <c r="G471" s="67"/>
    </row>
    <row r="472" spans="1:7" x14ac:dyDescent="0.25">
      <c r="A472" s="1226"/>
      <c r="B472" s="1227"/>
      <c r="C472" s="43"/>
      <c r="D472" s="97"/>
      <c r="E472" s="92"/>
      <c r="F472" s="85"/>
      <c r="G472" s="69"/>
    </row>
    <row r="473" spans="1:7" x14ac:dyDescent="0.25">
      <c r="A473" s="1228"/>
      <c r="B473" s="1229"/>
      <c r="C473" s="43"/>
      <c r="D473" s="97"/>
      <c r="E473" s="92"/>
      <c r="F473" s="85"/>
      <c r="G473" s="43"/>
    </row>
    <row r="474" spans="1:7" x14ac:dyDescent="0.25">
      <c r="A474" s="1228"/>
      <c r="B474" s="1229"/>
      <c r="C474" s="69"/>
      <c r="D474" s="69"/>
      <c r="E474" s="69"/>
      <c r="F474" s="69"/>
      <c r="G474" s="65"/>
    </row>
    <row r="475" spans="1:7" x14ac:dyDescent="0.25">
      <c r="A475" s="910"/>
      <c r="B475" s="89"/>
      <c r="C475" s="89"/>
      <c r="D475" s="80"/>
      <c r="E475" s="80"/>
      <c r="F475" s="80"/>
      <c r="G475" s="67"/>
    </row>
    <row r="476" spans="1:7" x14ac:dyDescent="0.25">
      <c r="A476" s="899"/>
      <c r="B476" s="43"/>
      <c r="C476" s="43"/>
      <c r="D476" s="62"/>
      <c r="E476" s="91"/>
      <c r="F476" s="62"/>
      <c r="G476" s="69"/>
    </row>
    <row r="477" spans="1:7" x14ac:dyDescent="0.25">
      <c r="A477" s="90"/>
      <c r="B477" s="43"/>
      <c r="C477" s="43"/>
      <c r="D477" s="62"/>
      <c r="E477" s="91"/>
      <c r="F477" s="62"/>
      <c r="G477" s="69"/>
    </row>
    <row r="478" spans="1:7" x14ac:dyDescent="0.25">
      <c r="A478" s="90"/>
      <c r="B478" s="43"/>
      <c r="C478" s="43"/>
      <c r="D478" s="62"/>
      <c r="E478" s="92"/>
      <c r="F478" s="62"/>
      <c r="G478" s="69"/>
    </row>
    <row r="479" spans="1:7" x14ac:dyDescent="0.25">
      <c r="A479" s="90"/>
      <c r="B479" s="43"/>
      <c r="C479" s="43"/>
      <c r="D479" s="61"/>
      <c r="E479" s="92"/>
      <c r="F479" s="62"/>
      <c r="G479" s="43"/>
    </row>
    <row r="480" spans="1:7" x14ac:dyDescent="0.25">
      <c r="A480" s="90"/>
      <c r="B480" s="69"/>
      <c r="C480" s="69"/>
      <c r="D480" s="69"/>
      <c r="E480" s="69"/>
      <c r="F480" s="69"/>
      <c r="G480" s="64"/>
    </row>
    <row r="481" spans="1:7" x14ac:dyDescent="0.25">
      <c r="A481" s="910"/>
      <c r="B481" s="80"/>
      <c r="C481" s="80"/>
      <c r="D481" s="80"/>
      <c r="E481" s="89"/>
      <c r="F481" s="80"/>
      <c r="G481" s="67"/>
    </row>
    <row r="482" spans="1:7" x14ac:dyDescent="0.25">
      <c r="A482" s="81"/>
      <c r="B482" s="81"/>
      <c r="C482" s="81"/>
      <c r="D482" s="81"/>
      <c r="E482" s="81"/>
      <c r="F482" s="81"/>
      <c r="G482" s="81"/>
    </row>
    <row r="483" spans="1:7" x14ac:dyDescent="0.25">
      <c r="A483" s="69"/>
      <c r="B483" s="85"/>
      <c r="C483" s="96"/>
      <c r="D483" s="62"/>
      <c r="E483" s="121"/>
      <c r="F483" s="62"/>
      <c r="G483" s="69"/>
    </row>
    <row r="484" spans="1:7" x14ac:dyDescent="0.25">
      <c r="A484" s="881"/>
      <c r="B484" s="85"/>
      <c r="C484" s="96"/>
      <c r="D484" s="62"/>
      <c r="E484" s="101"/>
      <c r="F484" s="62"/>
      <c r="G484" s="69"/>
    </row>
    <row r="485" spans="1:7" x14ac:dyDescent="0.25">
      <c r="A485" s="69"/>
      <c r="B485" s="85"/>
      <c r="C485" s="69"/>
      <c r="D485" s="62"/>
      <c r="E485" s="69"/>
      <c r="F485" s="62"/>
      <c r="G485" s="69"/>
    </row>
    <row r="486" spans="1:7" x14ac:dyDescent="0.25">
      <c r="A486" s="69"/>
      <c r="B486" s="69"/>
      <c r="C486" s="69"/>
      <c r="D486" s="69"/>
      <c r="E486" s="69"/>
      <c r="F486" s="69"/>
      <c r="G486" s="43"/>
    </row>
    <row r="487" spans="1:7" x14ac:dyDescent="0.25">
      <c r="A487" s="82"/>
      <c r="B487" s="82"/>
      <c r="C487" s="82"/>
      <c r="D487" s="82"/>
      <c r="E487" s="82"/>
      <c r="F487" s="82"/>
      <c r="G487" s="64"/>
    </row>
    <row r="488" spans="1:7" x14ac:dyDescent="0.25">
      <c r="A488" s="1230"/>
      <c r="B488" s="1230"/>
      <c r="C488" s="1230"/>
      <c r="D488" s="1230"/>
      <c r="E488" s="1230"/>
      <c r="F488" s="1230"/>
      <c r="G488" s="1233"/>
    </row>
    <row r="489" spans="1:7" x14ac:dyDescent="0.25">
      <c r="A489" s="1248"/>
      <c r="B489" s="1248"/>
      <c r="C489" s="1248"/>
      <c r="D489" s="1248"/>
      <c r="E489" s="1231"/>
      <c r="F489" s="93"/>
      <c r="G489" s="70"/>
    </row>
    <row r="490" spans="1:7" x14ac:dyDescent="0.25">
      <c r="A490" s="1232"/>
      <c r="B490" s="1232"/>
      <c r="C490" s="1222"/>
      <c r="D490" s="1222"/>
      <c r="E490" s="1222"/>
      <c r="F490" s="1222"/>
      <c r="G490" s="1222"/>
    </row>
    <row r="491" spans="1:7" x14ac:dyDescent="0.25">
      <c r="A491" s="1232"/>
      <c r="B491" s="1232"/>
      <c r="C491" s="1222"/>
      <c r="D491" s="1222"/>
      <c r="E491" s="1222"/>
      <c r="F491" s="1222"/>
      <c r="G491" s="1222"/>
    </row>
    <row r="492" spans="1:7" x14ac:dyDescent="0.25">
      <c r="A492" s="1244"/>
      <c r="B492" s="1244"/>
      <c r="C492" s="1244"/>
      <c r="D492" s="1244"/>
      <c r="E492" s="1244"/>
      <c r="F492" s="1221"/>
      <c r="G492" s="1222"/>
    </row>
    <row r="493" spans="1:7" x14ac:dyDescent="0.25">
      <c r="A493" s="1244"/>
      <c r="B493" s="1244"/>
      <c r="C493" s="1244"/>
      <c r="D493" s="1244"/>
      <c r="E493" s="1244"/>
      <c r="F493" s="1221"/>
      <c r="G493" s="1222"/>
    </row>
    <row r="494" spans="1:7" x14ac:dyDescent="0.25">
      <c r="A494" s="1244"/>
      <c r="B494" s="1244"/>
      <c r="C494" s="1244"/>
      <c r="D494" s="1244"/>
      <c r="E494" s="1244"/>
      <c r="F494" s="1221"/>
      <c r="G494" s="1222"/>
    </row>
    <row r="495" spans="1:7" x14ac:dyDescent="0.25">
      <c r="A495" s="1244"/>
      <c r="B495" s="1244"/>
      <c r="C495" s="1244"/>
      <c r="D495" s="1244"/>
      <c r="E495" s="1244"/>
      <c r="F495" s="1221"/>
      <c r="G495" s="1222"/>
    </row>
    <row r="496" spans="1:7" x14ac:dyDescent="0.25">
      <c r="A496" s="1245"/>
      <c r="B496" s="1245"/>
      <c r="C496" s="1245"/>
      <c r="D496" s="1245"/>
      <c r="E496" s="1245"/>
      <c r="F496" s="1222"/>
      <c r="G496" s="1222"/>
    </row>
    <row r="502" spans="1:7" x14ac:dyDescent="0.25">
      <c r="A502" s="95"/>
      <c r="B502" s="94"/>
      <c r="C502" s="94"/>
      <c r="D502" s="94"/>
      <c r="E502" s="94"/>
      <c r="F502" s="882"/>
      <c r="G502" s="882"/>
    </row>
    <row r="503" spans="1:7" x14ac:dyDescent="0.25">
      <c r="A503" s="1238"/>
      <c r="B503" s="1246"/>
      <c r="C503" s="1246"/>
      <c r="D503" s="1246"/>
      <c r="E503" s="1247"/>
      <c r="F503" s="880"/>
      <c r="G503" s="880"/>
    </row>
    <row r="504" spans="1:7" x14ac:dyDescent="0.25">
      <c r="A504" s="1229"/>
      <c r="B504" s="1229"/>
      <c r="C504" s="1229"/>
      <c r="D504" s="1229"/>
      <c r="E504" s="1229"/>
      <c r="F504" s="1229"/>
      <c r="G504" s="1229"/>
    </row>
    <row r="505" spans="1:7" x14ac:dyDescent="0.25">
      <c r="A505" s="1234"/>
      <c r="B505" s="1235"/>
      <c r="C505" s="80"/>
      <c r="D505" s="80"/>
      <c r="E505" s="80"/>
      <c r="F505" s="80"/>
      <c r="G505" s="67"/>
    </row>
    <row r="506" spans="1:7" x14ac:dyDescent="0.25">
      <c r="A506" s="1236"/>
      <c r="B506" s="1236"/>
      <c r="C506" s="69"/>
      <c r="D506" s="62"/>
      <c r="E506" s="62"/>
      <c r="F506" s="62"/>
      <c r="G506" s="81"/>
    </row>
    <row r="507" spans="1:7" x14ac:dyDescent="0.25">
      <c r="A507" s="1236"/>
      <c r="B507" s="1236"/>
      <c r="C507" s="69"/>
      <c r="D507" s="62"/>
      <c r="E507" s="62"/>
      <c r="F507" s="62"/>
      <c r="G507" s="69"/>
    </row>
    <row r="508" spans="1:7" x14ac:dyDescent="0.25">
      <c r="A508" s="1236"/>
      <c r="B508" s="1236"/>
      <c r="C508" s="69"/>
      <c r="D508" s="69"/>
      <c r="E508" s="69"/>
      <c r="F508" s="62"/>
      <c r="G508" s="69"/>
    </row>
    <row r="509" spans="1:7" x14ac:dyDescent="0.25">
      <c r="A509" s="1236"/>
      <c r="B509" s="1236"/>
      <c r="C509" s="69"/>
      <c r="D509" s="69"/>
      <c r="E509" s="69"/>
      <c r="F509" s="69"/>
      <c r="G509" s="69"/>
    </row>
    <row r="510" spans="1:7" x14ac:dyDescent="0.25">
      <c r="A510" s="1236"/>
      <c r="B510" s="1236"/>
      <c r="C510" s="69"/>
      <c r="D510" s="69"/>
      <c r="E510" s="69"/>
      <c r="F510" s="69"/>
      <c r="G510" s="83"/>
    </row>
    <row r="511" spans="1:7" x14ac:dyDescent="0.25">
      <c r="A511" s="1237"/>
      <c r="B511" s="1237"/>
      <c r="C511" s="82"/>
      <c r="D511" s="82"/>
      <c r="E511" s="82"/>
      <c r="F511" s="82"/>
      <c r="G511" s="64"/>
    </row>
    <row r="512" spans="1:7" x14ac:dyDescent="0.25">
      <c r="A512" s="1234"/>
      <c r="B512" s="1235"/>
      <c r="C512" s="80"/>
      <c r="D512" s="80"/>
      <c r="E512" s="80"/>
      <c r="F512" s="80"/>
      <c r="G512" s="67"/>
    </row>
    <row r="513" spans="1:7" x14ac:dyDescent="0.25">
      <c r="A513" s="1226"/>
      <c r="B513" s="1227"/>
      <c r="C513" s="43"/>
      <c r="D513" s="97"/>
      <c r="E513" s="92"/>
      <c r="F513" s="85"/>
      <c r="G513" s="69"/>
    </row>
    <row r="514" spans="1:7" x14ac:dyDescent="0.25">
      <c r="A514" s="1228"/>
      <c r="B514" s="1229"/>
      <c r="C514" s="43"/>
      <c r="D514" s="97"/>
      <c r="E514" s="92"/>
      <c r="F514" s="85"/>
      <c r="G514" s="43"/>
    </row>
    <row r="515" spans="1:7" x14ac:dyDescent="0.25">
      <c r="A515" s="1228"/>
      <c r="B515" s="1229"/>
      <c r="C515" s="69"/>
      <c r="D515" s="69"/>
      <c r="E515" s="69"/>
      <c r="F515" s="69"/>
      <c r="G515" s="65"/>
    </row>
    <row r="516" spans="1:7" x14ac:dyDescent="0.25">
      <c r="A516" s="910"/>
      <c r="B516" s="89"/>
      <c r="C516" s="89"/>
      <c r="D516" s="80"/>
      <c r="E516" s="80"/>
      <c r="F516" s="80"/>
      <c r="G516" s="67"/>
    </row>
    <row r="517" spans="1:7" x14ac:dyDescent="0.25">
      <c r="A517" s="899"/>
      <c r="B517" s="43"/>
      <c r="C517" s="43"/>
      <c r="D517" s="62"/>
      <c r="E517" s="91"/>
      <c r="F517" s="62"/>
      <c r="G517" s="69"/>
    </row>
    <row r="518" spans="1:7" x14ac:dyDescent="0.25">
      <c r="A518" s="90"/>
      <c r="B518" s="43"/>
      <c r="C518" s="43"/>
      <c r="D518" s="62"/>
      <c r="E518" s="91"/>
      <c r="F518" s="62"/>
      <c r="G518" s="69"/>
    </row>
    <row r="519" spans="1:7" x14ac:dyDescent="0.25">
      <c r="A519" s="90"/>
      <c r="B519" s="43"/>
      <c r="C519" s="43"/>
      <c r="D519" s="62"/>
      <c r="E519" s="92"/>
      <c r="F519" s="62"/>
      <c r="G519" s="69"/>
    </row>
    <row r="520" spans="1:7" x14ac:dyDescent="0.25">
      <c r="A520" s="90"/>
      <c r="B520" s="43"/>
      <c r="C520" s="43"/>
      <c r="D520" s="61"/>
      <c r="E520" s="92"/>
      <c r="F520" s="62"/>
      <c r="G520" s="43"/>
    </row>
    <row r="521" spans="1:7" x14ac:dyDescent="0.25">
      <c r="A521" s="90"/>
      <c r="B521" s="69"/>
      <c r="C521" s="69"/>
      <c r="D521" s="69"/>
      <c r="E521" s="69"/>
      <c r="F521" s="69"/>
      <c r="G521" s="64"/>
    </row>
    <row r="522" spans="1:7" x14ac:dyDescent="0.25">
      <c r="A522" s="910"/>
      <c r="B522" s="80"/>
      <c r="C522" s="80"/>
      <c r="D522" s="80"/>
      <c r="E522" s="89"/>
      <c r="F522" s="80"/>
      <c r="G522" s="67"/>
    </row>
    <row r="523" spans="1:7" x14ac:dyDescent="0.25">
      <c r="A523" s="81"/>
      <c r="B523" s="81"/>
      <c r="C523" s="81"/>
      <c r="D523" s="81"/>
      <c r="E523" s="81"/>
      <c r="F523" s="81"/>
      <c r="G523" s="81"/>
    </row>
    <row r="524" spans="1:7" x14ac:dyDescent="0.25">
      <c r="A524" s="69"/>
      <c r="B524" s="85"/>
      <c r="C524" s="96"/>
      <c r="D524" s="62"/>
      <c r="E524" s="121"/>
      <c r="F524" s="62"/>
      <c r="G524" s="69"/>
    </row>
    <row r="525" spans="1:7" x14ac:dyDescent="0.25">
      <c r="A525" s="881"/>
      <c r="B525" s="85"/>
      <c r="C525" s="96"/>
      <c r="D525" s="62"/>
      <c r="E525" s="101"/>
      <c r="F525" s="62"/>
      <c r="G525" s="69"/>
    </row>
    <row r="526" spans="1:7" x14ac:dyDescent="0.25">
      <c r="A526" s="69"/>
      <c r="B526" s="85"/>
      <c r="C526" s="69"/>
      <c r="D526" s="62"/>
      <c r="E526" s="69"/>
      <c r="F526" s="62"/>
      <c r="G526" s="69"/>
    </row>
    <row r="527" spans="1:7" x14ac:dyDescent="0.25">
      <c r="A527" s="69"/>
      <c r="B527" s="69"/>
      <c r="C527" s="69"/>
      <c r="D527" s="69"/>
      <c r="E527" s="69"/>
      <c r="F527" s="69"/>
      <c r="G527" s="43"/>
    </row>
    <row r="528" spans="1:7" x14ac:dyDescent="0.25">
      <c r="A528" s="82"/>
      <c r="B528" s="82"/>
      <c r="C528" s="82"/>
      <c r="D528" s="82"/>
      <c r="E528" s="82"/>
      <c r="F528" s="82"/>
      <c r="G528" s="64"/>
    </row>
    <row r="529" spans="1:7" x14ac:dyDescent="0.25">
      <c r="A529" s="1230"/>
      <c r="B529" s="1230"/>
      <c r="C529" s="1230"/>
      <c r="D529" s="1230"/>
      <c r="E529" s="1230"/>
      <c r="F529" s="1230"/>
      <c r="G529" s="1233"/>
    </row>
    <row r="530" spans="1:7" x14ac:dyDescent="0.25">
      <c r="A530" s="1248"/>
      <c r="B530" s="1248"/>
      <c r="C530" s="1248"/>
      <c r="D530" s="1248"/>
      <c r="E530" s="1231"/>
      <c r="F530" s="93"/>
      <c r="G530" s="70"/>
    </row>
    <row r="531" spans="1:7" x14ac:dyDescent="0.25">
      <c r="A531" s="1232"/>
      <c r="B531" s="1232"/>
      <c r="C531" s="1222"/>
      <c r="D531" s="1222"/>
      <c r="E531" s="1222"/>
      <c r="F531" s="1222"/>
      <c r="G531" s="1222"/>
    </row>
    <row r="532" spans="1:7" x14ac:dyDescent="0.25">
      <c r="A532" s="1232"/>
      <c r="B532" s="1232"/>
      <c r="C532" s="1222"/>
      <c r="D532" s="1222"/>
      <c r="E532" s="1222"/>
      <c r="F532" s="1222"/>
      <c r="G532" s="1222"/>
    </row>
    <row r="533" spans="1:7" x14ac:dyDescent="0.25">
      <c r="A533" s="1244"/>
      <c r="B533" s="1244"/>
      <c r="C533" s="1244"/>
      <c r="D533" s="1244"/>
      <c r="E533" s="1244"/>
      <c r="F533" s="1221"/>
      <c r="G533" s="1222"/>
    </row>
    <row r="534" spans="1:7" x14ac:dyDescent="0.25">
      <c r="A534" s="1244"/>
      <c r="B534" s="1244"/>
      <c r="C534" s="1244"/>
      <c r="D534" s="1244"/>
      <c r="E534" s="1244"/>
      <c r="F534" s="1221"/>
      <c r="G534" s="1222"/>
    </row>
    <row r="535" spans="1:7" x14ac:dyDescent="0.25">
      <c r="A535" s="1244"/>
      <c r="B535" s="1244"/>
      <c r="C535" s="1244"/>
      <c r="D535" s="1244"/>
      <c r="E535" s="1244"/>
      <c r="F535" s="1221"/>
      <c r="G535" s="1222"/>
    </row>
    <row r="536" spans="1:7" x14ac:dyDescent="0.25">
      <c r="A536" s="1244"/>
      <c r="B536" s="1244"/>
      <c r="C536" s="1244"/>
      <c r="D536" s="1244"/>
      <c r="E536" s="1244"/>
      <c r="F536" s="1221"/>
      <c r="G536" s="1222"/>
    </row>
    <row r="537" spans="1:7" x14ac:dyDescent="0.25">
      <c r="A537" s="1245"/>
      <c r="B537" s="1245"/>
      <c r="C537" s="1245"/>
      <c r="D537" s="1245"/>
      <c r="E537" s="1245"/>
      <c r="F537" s="1222"/>
      <c r="G537" s="1222"/>
    </row>
    <row r="545" spans="1:7" x14ac:dyDescent="0.25">
      <c r="A545" s="95"/>
      <c r="B545" s="94"/>
      <c r="C545" s="94"/>
      <c r="D545" s="94"/>
      <c r="E545" s="94"/>
      <c r="F545" s="882"/>
      <c r="G545" s="882"/>
    </row>
    <row r="546" spans="1:7" ht="27" customHeight="1" x14ac:dyDescent="0.25">
      <c r="A546" s="1238"/>
      <c r="B546" s="1246"/>
      <c r="C546" s="1246"/>
      <c r="D546" s="1246"/>
      <c r="E546" s="1247"/>
      <c r="F546" s="880"/>
      <c r="G546" s="880"/>
    </row>
    <row r="547" spans="1:7" x14ac:dyDescent="0.25">
      <c r="A547" s="1229"/>
      <c r="B547" s="1229"/>
      <c r="C547" s="1229"/>
      <c r="D547" s="1229"/>
      <c r="E547" s="1229"/>
      <c r="F547" s="1229"/>
      <c r="G547" s="1229"/>
    </row>
    <row r="548" spans="1:7" x14ac:dyDescent="0.25">
      <c r="A548" s="1234"/>
      <c r="B548" s="1235"/>
      <c r="C548" s="80"/>
      <c r="D548" s="80"/>
      <c r="E548" s="80"/>
      <c r="F548" s="80"/>
      <c r="G548" s="67"/>
    </row>
    <row r="549" spans="1:7" x14ac:dyDescent="0.25">
      <c r="A549" s="1236"/>
      <c r="B549" s="1236"/>
      <c r="C549" s="69"/>
      <c r="D549" s="62"/>
      <c r="E549" s="62"/>
      <c r="F549" s="62"/>
      <c r="G549" s="81"/>
    </row>
    <row r="550" spans="1:7" x14ac:dyDescent="0.25">
      <c r="A550" s="1236"/>
      <c r="B550" s="1236"/>
      <c r="C550" s="69"/>
      <c r="D550" s="62"/>
      <c r="E550" s="62"/>
      <c r="F550" s="62"/>
      <c r="G550" s="69"/>
    </row>
    <row r="551" spans="1:7" x14ac:dyDescent="0.25">
      <c r="A551" s="1236"/>
      <c r="B551" s="1236"/>
      <c r="C551" s="69"/>
      <c r="D551" s="69"/>
      <c r="E551" s="69"/>
      <c r="F551" s="62"/>
      <c r="G551" s="69"/>
    </row>
    <row r="552" spans="1:7" x14ac:dyDescent="0.25">
      <c r="A552" s="1236"/>
      <c r="B552" s="1236"/>
      <c r="C552" s="69"/>
      <c r="D552" s="69"/>
      <c r="E552" s="69"/>
      <c r="F552" s="69"/>
      <c r="G552" s="69"/>
    </row>
    <row r="553" spans="1:7" x14ac:dyDescent="0.25">
      <c r="A553" s="1236"/>
      <c r="B553" s="1236"/>
      <c r="C553" s="69"/>
      <c r="D553" s="69"/>
      <c r="E553" s="69"/>
      <c r="F553" s="69"/>
      <c r="G553" s="83"/>
    </row>
    <row r="554" spans="1:7" x14ac:dyDescent="0.25">
      <c r="A554" s="1237"/>
      <c r="B554" s="1237"/>
      <c r="C554" s="82"/>
      <c r="D554" s="82"/>
      <c r="E554" s="82"/>
      <c r="F554" s="82"/>
      <c r="G554" s="64"/>
    </row>
    <row r="555" spans="1:7" x14ac:dyDescent="0.25">
      <c r="A555" s="1234"/>
      <c r="B555" s="1235"/>
      <c r="C555" s="80"/>
      <c r="D555" s="80"/>
      <c r="E555" s="80"/>
      <c r="F555" s="80"/>
      <c r="G555" s="67"/>
    </row>
    <row r="556" spans="1:7" x14ac:dyDescent="0.25">
      <c r="A556" s="1226"/>
      <c r="B556" s="1227"/>
      <c r="C556" s="43"/>
      <c r="D556" s="97"/>
      <c r="E556" s="92"/>
      <c r="F556" s="85"/>
      <c r="G556" s="69"/>
    </row>
    <row r="557" spans="1:7" x14ac:dyDescent="0.25">
      <c r="A557" s="1228"/>
      <c r="B557" s="1229"/>
      <c r="C557" s="43"/>
      <c r="D557" s="97"/>
      <c r="E557" s="92"/>
      <c r="F557" s="85"/>
      <c r="G557" s="43"/>
    </row>
    <row r="558" spans="1:7" x14ac:dyDescent="0.25">
      <c r="A558" s="1228"/>
      <c r="B558" s="1229"/>
      <c r="C558" s="69"/>
      <c r="D558" s="69"/>
      <c r="E558" s="69"/>
      <c r="F558" s="69"/>
      <c r="G558" s="65"/>
    </row>
    <row r="559" spans="1:7" x14ac:dyDescent="0.25">
      <c r="A559" s="910"/>
      <c r="B559" s="89"/>
      <c r="C559" s="89"/>
      <c r="D559" s="80"/>
      <c r="E559" s="80"/>
      <c r="F559" s="80"/>
      <c r="G559" s="67"/>
    </row>
    <row r="560" spans="1:7" x14ac:dyDescent="0.25">
      <c r="A560" s="899"/>
      <c r="B560" s="43"/>
      <c r="C560" s="43"/>
      <c r="D560" s="62"/>
      <c r="E560" s="91"/>
      <c r="F560" s="62"/>
      <c r="G560" s="69"/>
    </row>
    <row r="561" spans="1:7" x14ac:dyDescent="0.25">
      <c r="A561" s="90"/>
      <c r="B561" s="43"/>
      <c r="C561" s="43"/>
      <c r="D561" s="62"/>
      <c r="E561" s="91"/>
      <c r="F561" s="62"/>
      <c r="G561" s="69"/>
    </row>
    <row r="562" spans="1:7" x14ac:dyDescent="0.25">
      <c r="A562" s="90"/>
      <c r="B562" s="43"/>
      <c r="C562" s="43"/>
      <c r="D562" s="62"/>
      <c r="E562" s="92"/>
      <c r="F562" s="62"/>
      <c r="G562" s="69"/>
    </row>
    <row r="563" spans="1:7" x14ac:dyDescent="0.25">
      <c r="A563" s="90"/>
      <c r="B563" s="43"/>
      <c r="C563" s="43"/>
      <c r="D563" s="61"/>
      <c r="E563" s="92"/>
      <c r="F563" s="62"/>
      <c r="G563" s="43"/>
    </row>
    <row r="564" spans="1:7" x14ac:dyDescent="0.25">
      <c r="A564" s="90"/>
      <c r="B564" s="69"/>
      <c r="C564" s="69"/>
      <c r="D564" s="69"/>
      <c r="E564" s="69"/>
      <c r="F564" s="69"/>
      <c r="G564" s="64"/>
    </row>
    <row r="565" spans="1:7" x14ac:dyDescent="0.25">
      <c r="A565" s="910"/>
      <c r="B565" s="80"/>
      <c r="C565" s="80"/>
      <c r="D565" s="80"/>
      <c r="E565" s="89"/>
      <c r="F565" s="80"/>
      <c r="G565" s="67"/>
    </row>
    <row r="566" spans="1:7" x14ac:dyDescent="0.25">
      <c r="A566" s="81"/>
      <c r="B566" s="81"/>
      <c r="C566" s="81"/>
      <c r="D566" s="81"/>
      <c r="E566" s="81"/>
      <c r="F566" s="81"/>
      <c r="G566" s="81"/>
    </row>
    <row r="567" spans="1:7" x14ac:dyDescent="0.25">
      <c r="A567" s="69"/>
      <c r="B567" s="85"/>
      <c r="C567" s="96"/>
      <c r="D567" s="62"/>
      <c r="E567" s="121"/>
      <c r="F567" s="62"/>
      <c r="G567" s="69"/>
    </row>
    <row r="568" spans="1:7" x14ac:dyDescent="0.25">
      <c r="A568" s="881"/>
      <c r="B568" s="85"/>
      <c r="C568" s="96"/>
      <c r="D568" s="62"/>
      <c r="E568" s="101"/>
      <c r="F568" s="62"/>
      <c r="G568" s="69"/>
    </row>
    <row r="569" spans="1:7" x14ac:dyDescent="0.25">
      <c r="A569" s="69"/>
      <c r="B569" s="85"/>
      <c r="C569" s="69"/>
      <c r="D569" s="62"/>
      <c r="E569" s="69"/>
      <c r="F569" s="62"/>
      <c r="G569" s="69"/>
    </row>
    <row r="570" spans="1:7" x14ac:dyDescent="0.25">
      <c r="A570" s="69"/>
      <c r="B570" s="69"/>
      <c r="C570" s="69"/>
      <c r="D570" s="69"/>
      <c r="E570" s="69"/>
      <c r="F570" s="69"/>
      <c r="G570" s="43"/>
    </row>
    <row r="571" spans="1:7" x14ac:dyDescent="0.25">
      <c r="A571" s="82"/>
      <c r="B571" s="82"/>
      <c r="C571" s="82"/>
      <c r="D571" s="82"/>
      <c r="E571" s="82"/>
      <c r="F571" s="82"/>
      <c r="G571" s="64"/>
    </row>
    <row r="572" spans="1:7" x14ac:dyDescent="0.25">
      <c r="A572" s="1230"/>
      <c r="B572" s="1230"/>
      <c r="C572" s="1230"/>
      <c r="D572" s="1230"/>
      <c r="E572" s="1230"/>
      <c r="F572" s="1230"/>
      <c r="G572" s="1233"/>
    </row>
    <row r="573" spans="1:7" x14ac:dyDescent="0.25">
      <c r="A573" s="1248"/>
      <c r="B573" s="1248"/>
      <c r="C573" s="1248"/>
      <c r="D573" s="1248"/>
      <c r="E573" s="1231"/>
      <c r="F573" s="93"/>
      <c r="G573" s="70"/>
    </row>
    <row r="574" spans="1:7" x14ac:dyDescent="0.25">
      <c r="A574" s="1232"/>
      <c r="B574" s="1232"/>
      <c r="C574" s="1222"/>
      <c r="D574" s="1222"/>
      <c r="E574" s="1222"/>
      <c r="F574" s="1222"/>
      <c r="G574" s="1222"/>
    </row>
    <row r="575" spans="1:7" x14ac:dyDescent="0.25">
      <c r="A575" s="1232"/>
      <c r="B575" s="1232"/>
      <c r="C575" s="1222"/>
      <c r="D575" s="1222"/>
      <c r="E575" s="1222"/>
      <c r="F575" s="1222"/>
      <c r="G575" s="1222"/>
    </row>
    <row r="576" spans="1:7" x14ac:dyDescent="0.25">
      <c r="A576" s="1244"/>
      <c r="B576" s="1244"/>
      <c r="C576" s="1244"/>
      <c r="D576" s="1244"/>
      <c r="E576" s="1244"/>
      <c r="F576" s="1221"/>
      <c r="G576" s="1222"/>
    </row>
    <row r="577" spans="1:7" x14ac:dyDescent="0.25">
      <c r="A577" s="1244"/>
      <c r="B577" s="1244"/>
      <c r="C577" s="1244"/>
      <c r="D577" s="1244"/>
      <c r="E577" s="1244"/>
      <c r="F577" s="1221"/>
      <c r="G577" s="1222"/>
    </row>
    <row r="578" spans="1:7" x14ac:dyDescent="0.25">
      <c r="A578" s="1244"/>
      <c r="B578" s="1244"/>
      <c r="C578" s="1244"/>
      <c r="D578" s="1244"/>
      <c r="E578" s="1244"/>
      <c r="F578" s="1221"/>
      <c r="G578" s="1222"/>
    </row>
    <row r="579" spans="1:7" x14ac:dyDescent="0.25">
      <c r="A579" s="1244"/>
      <c r="B579" s="1244"/>
      <c r="C579" s="1244"/>
      <c r="D579" s="1244"/>
      <c r="E579" s="1244"/>
      <c r="F579" s="1221"/>
      <c r="G579" s="1222"/>
    </row>
    <row r="580" spans="1:7" x14ac:dyDescent="0.25">
      <c r="A580" s="1245"/>
      <c r="B580" s="1245"/>
      <c r="C580" s="1245"/>
      <c r="D580" s="1245"/>
      <c r="E580" s="1245"/>
      <c r="F580" s="1222"/>
      <c r="G580" s="1222"/>
    </row>
    <row r="587" spans="1:7" x14ac:dyDescent="0.25">
      <c r="A587" s="95"/>
      <c r="B587" s="94"/>
      <c r="C587" s="94"/>
      <c r="D587" s="94"/>
      <c r="E587" s="94"/>
      <c r="F587" s="882"/>
      <c r="G587" s="882"/>
    </row>
    <row r="588" spans="1:7" ht="27" customHeight="1" x14ac:dyDescent="0.25">
      <c r="A588" s="1238"/>
      <c r="B588" s="1246"/>
      <c r="C588" s="1246"/>
      <c r="D588" s="1246"/>
      <c r="E588" s="1247"/>
      <c r="F588" s="880"/>
      <c r="G588" s="880"/>
    </row>
    <row r="589" spans="1:7" x14ac:dyDescent="0.25">
      <c r="A589" s="1229"/>
      <c r="B589" s="1229"/>
      <c r="C589" s="1229"/>
      <c r="D589" s="1229"/>
      <c r="E589" s="1229"/>
      <c r="F589" s="1229"/>
      <c r="G589" s="1229"/>
    </row>
    <row r="590" spans="1:7" x14ac:dyDescent="0.25">
      <c r="A590" s="1234"/>
      <c r="B590" s="1235"/>
      <c r="C590" s="80"/>
      <c r="D590" s="80"/>
      <c r="E590" s="80"/>
      <c r="F590" s="80"/>
      <c r="G590" s="67"/>
    </row>
    <row r="591" spans="1:7" x14ac:dyDescent="0.25">
      <c r="A591" s="1236"/>
      <c r="B591" s="1236"/>
      <c r="C591" s="69"/>
      <c r="D591" s="62"/>
      <c r="E591" s="62"/>
      <c r="F591" s="62"/>
      <c r="G591" s="81"/>
    </row>
    <row r="592" spans="1:7" x14ac:dyDescent="0.25">
      <c r="A592" s="1236"/>
      <c r="B592" s="1236"/>
      <c r="C592" s="69"/>
      <c r="D592" s="62"/>
      <c r="E592" s="62"/>
      <c r="F592" s="62"/>
      <c r="G592" s="69"/>
    </row>
    <row r="593" spans="1:7" x14ac:dyDescent="0.25">
      <c r="A593" s="1236"/>
      <c r="B593" s="1236"/>
      <c r="C593" s="69"/>
      <c r="D593" s="69"/>
      <c r="E593" s="69"/>
      <c r="F593" s="62"/>
      <c r="G593" s="69"/>
    </row>
    <row r="594" spans="1:7" x14ac:dyDescent="0.25">
      <c r="A594" s="1236"/>
      <c r="B594" s="1236"/>
      <c r="C594" s="69"/>
      <c r="D594" s="69"/>
      <c r="E594" s="69"/>
      <c r="F594" s="69"/>
      <c r="G594" s="69"/>
    </row>
    <row r="595" spans="1:7" x14ac:dyDescent="0.25">
      <c r="A595" s="1236"/>
      <c r="B595" s="1236"/>
      <c r="C595" s="69"/>
      <c r="D595" s="69"/>
      <c r="E595" s="69"/>
      <c r="F595" s="69"/>
      <c r="G595" s="83"/>
    </row>
    <row r="596" spans="1:7" x14ac:dyDescent="0.25">
      <c r="A596" s="1237"/>
      <c r="B596" s="1237"/>
      <c r="C596" s="82"/>
      <c r="D596" s="82"/>
      <c r="E596" s="82"/>
      <c r="F596" s="82"/>
      <c r="G596" s="64"/>
    </row>
    <row r="597" spans="1:7" x14ac:dyDescent="0.25">
      <c r="A597" s="1234"/>
      <c r="B597" s="1235"/>
      <c r="C597" s="80"/>
      <c r="D597" s="80"/>
      <c r="E597" s="80"/>
      <c r="F597" s="80"/>
      <c r="G597" s="67"/>
    </row>
    <row r="598" spans="1:7" x14ac:dyDescent="0.25">
      <c r="A598" s="1226"/>
      <c r="B598" s="1227"/>
      <c r="C598" s="43"/>
      <c r="D598" s="97"/>
      <c r="E598" s="92"/>
      <c r="F598" s="85"/>
      <c r="G598" s="69"/>
    </row>
    <row r="599" spans="1:7" x14ac:dyDescent="0.25">
      <c r="A599" s="1228"/>
      <c r="B599" s="1229"/>
      <c r="C599" s="43"/>
      <c r="D599" s="97"/>
      <c r="E599" s="92"/>
      <c r="F599" s="85"/>
      <c r="G599" s="43"/>
    </row>
    <row r="600" spans="1:7" x14ac:dyDescent="0.25">
      <c r="A600" s="1228"/>
      <c r="B600" s="1229"/>
      <c r="C600" s="69"/>
      <c r="D600" s="69"/>
      <c r="E600" s="69"/>
      <c r="F600" s="69"/>
      <c r="G600" s="65"/>
    </row>
    <row r="601" spans="1:7" x14ac:dyDescent="0.25">
      <c r="A601" s="910"/>
      <c r="B601" s="89"/>
      <c r="C601" s="89"/>
      <c r="D601" s="80"/>
      <c r="E601" s="80"/>
      <c r="F601" s="80"/>
      <c r="G601" s="67"/>
    </row>
    <row r="602" spans="1:7" x14ac:dyDescent="0.25">
      <c r="A602" s="899"/>
      <c r="B602" s="43"/>
      <c r="C602" s="43"/>
      <c r="D602" s="62"/>
      <c r="E602" s="91"/>
      <c r="F602" s="62"/>
      <c r="G602" s="69"/>
    </row>
    <row r="603" spans="1:7" x14ac:dyDescent="0.25">
      <c r="A603" s="90"/>
      <c r="B603" s="43"/>
      <c r="C603" s="43"/>
      <c r="D603" s="62"/>
      <c r="E603" s="91"/>
      <c r="F603" s="62"/>
      <c r="G603" s="69"/>
    </row>
    <row r="604" spans="1:7" x14ac:dyDescent="0.25">
      <c r="A604" s="90"/>
      <c r="B604" s="43"/>
      <c r="C604" s="43"/>
      <c r="D604" s="62"/>
      <c r="E604" s="92"/>
      <c r="F604" s="62"/>
      <c r="G604" s="69"/>
    </row>
    <row r="605" spans="1:7" x14ac:dyDescent="0.25">
      <c r="A605" s="90"/>
      <c r="B605" s="43"/>
      <c r="C605" s="43"/>
      <c r="D605" s="61"/>
      <c r="E605" s="92"/>
      <c r="F605" s="62"/>
      <c r="G605" s="43"/>
    </row>
    <row r="606" spans="1:7" x14ac:dyDescent="0.25">
      <c r="A606" s="90"/>
      <c r="B606" s="69"/>
      <c r="C606" s="69"/>
      <c r="D606" s="69"/>
      <c r="E606" s="69"/>
      <c r="F606" s="69"/>
      <c r="G606" s="64"/>
    </row>
    <row r="607" spans="1:7" x14ac:dyDescent="0.25">
      <c r="A607" s="910"/>
      <c r="B607" s="80"/>
      <c r="C607" s="80"/>
      <c r="D607" s="80"/>
      <c r="E607" s="89"/>
      <c r="F607" s="80"/>
      <c r="G607" s="67"/>
    </row>
    <row r="608" spans="1:7" x14ac:dyDescent="0.25">
      <c r="A608" s="81"/>
      <c r="B608" s="81"/>
      <c r="C608" s="81"/>
      <c r="D608" s="81"/>
      <c r="E608" s="81"/>
      <c r="F608" s="81"/>
      <c r="G608" s="81"/>
    </row>
    <row r="609" spans="1:7" x14ac:dyDescent="0.25">
      <c r="A609" s="69"/>
      <c r="B609" s="85"/>
      <c r="C609" s="96"/>
      <c r="D609" s="62"/>
      <c r="E609" s="121"/>
      <c r="F609" s="62"/>
      <c r="G609" s="69"/>
    </row>
    <row r="610" spans="1:7" x14ac:dyDescent="0.25">
      <c r="A610" s="881"/>
      <c r="B610" s="85"/>
      <c r="C610" s="96"/>
      <c r="D610" s="62"/>
      <c r="E610" s="101"/>
      <c r="F610" s="62"/>
      <c r="G610" s="69"/>
    </row>
    <row r="611" spans="1:7" x14ac:dyDescent="0.25">
      <c r="A611" s="69"/>
      <c r="B611" s="85"/>
      <c r="C611" s="69"/>
      <c r="D611" s="62"/>
      <c r="E611" s="69"/>
      <c r="F611" s="62"/>
      <c r="G611" s="69"/>
    </row>
    <row r="612" spans="1:7" x14ac:dyDescent="0.25">
      <c r="A612" s="69"/>
      <c r="B612" s="69"/>
      <c r="C612" s="69"/>
      <c r="D612" s="69"/>
      <c r="E612" s="69"/>
      <c r="F612" s="69"/>
      <c r="G612" s="43"/>
    </row>
    <row r="613" spans="1:7" x14ac:dyDescent="0.25">
      <c r="A613" s="82"/>
      <c r="B613" s="82"/>
      <c r="C613" s="82"/>
      <c r="D613" s="82"/>
      <c r="E613" s="82"/>
      <c r="F613" s="82"/>
      <c r="G613" s="64"/>
    </row>
    <row r="614" spans="1:7" x14ac:dyDescent="0.25">
      <c r="A614" s="1230"/>
      <c r="B614" s="1230"/>
      <c r="C614" s="1230"/>
      <c r="D614" s="1230"/>
      <c r="E614" s="1230"/>
      <c r="F614" s="1230"/>
      <c r="G614" s="1233"/>
    </row>
    <row r="615" spans="1:7" x14ac:dyDescent="0.25">
      <c r="A615" s="1248"/>
      <c r="B615" s="1248"/>
      <c r="C615" s="1248"/>
      <c r="D615" s="1248"/>
      <c r="E615" s="1231"/>
      <c r="F615" s="93"/>
      <c r="G615" s="70"/>
    </row>
    <row r="616" spans="1:7" x14ac:dyDescent="0.25">
      <c r="A616" s="1232"/>
      <c r="B616" s="1232"/>
      <c r="C616" s="1222"/>
      <c r="D616" s="1222"/>
      <c r="E616" s="1222"/>
      <c r="F616" s="1222"/>
      <c r="G616" s="1222"/>
    </row>
    <row r="617" spans="1:7" x14ac:dyDescent="0.25">
      <c r="A617" s="1232"/>
      <c r="B617" s="1232"/>
      <c r="C617" s="1222"/>
      <c r="D617" s="1222"/>
      <c r="E617" s="1222"/>
      <c r="F617" s="1222"/>
      <c r="G617" s="1222"/>
    </row>
    <row r="618" spans="1:7" x14ac:dyDescent="0.25">
      <c r="A618" s="1244"/>
      <c r="B618" s="1244"/>
      <c r="C618" s="1244"/>
      <c r="D618" s="1244"/>
      <c r="E618" s="1244"/>
      <c r="F618" s="1221"/>
      <c r="G618" s="1222"/>
    </row>
    <row r="619" spans="1:7" x14ac:dyDescent="0.25">
      <c r="A619" s="1244"/>
      <c r="B619" s="1244"/>
      <c r="C619" s="1244"/>
      <c r="D619" s="1244"/>
      <c r="E619" s="1244"/>
      <c r="F619" s="1221"/>
      <c r="G619" s="1222"/>
    </row>
    <row r="620" spans="1:7" x14ac:dyDescent="0.25">
      <c r="A620" s="1244"/>
      <c r="B620" s="1244"/>
      <c r="C620" s="1244"/>
      <c r="D620" s="1244"/>
      <c r="E620" s="1244"/>
      <c r="F620" s="1221"/>
      <c r="G620" s="1222"/>
    </row>
    <row r="621" spans="1:7" x14ac:dyDescent="0.25">
      <c r="A621" s="1244"/>
      <c r="B621" s="1244"/>
      <c r="C621" s="1244"/>
      <c r="D621" s="1244"/>
      <c r="E621" s="1244"/>
      <c r="F621" s="1221"/>
      <c r="G621" s="1222"/>
    </row>
    <row r="622" spans="1:7" x14ac:dyDescent="0.25">
      <c r="A622" s="1245"/>
      <c r="B622" s="1245"/>
      <c r="C622" s="1245"/>
      <c r="D622" s="1245"/>
      <c r="E622" s="1245"/>
      <c r="F622" s="1222"/>
      <c r="G622" s="1222"/>
    </row>
    <row r="629" spans="1:7" x14ac:dyDescent="0.25">
      <c r="A629" s="95"/>
      <c r="B629" s="94"/>
      <c r="C629" s="94"/>
      <c r="D629" s="94"/>
      <c r="E629" s="94"/>
      <c r="F629" s="882"/>
      <c r="G629" s="882"/>
    </row>
    <row r="630" spans="1:7" x14ac:dyDescent="0.25">
      <c r="A630" s="1238"/>
      <c r="B630" s="1246"/>
      <c r="C630" s="1246"/>
      <c r="D630" s="1246"/>
      <c r="E630" s="1247"/>
      <c r="F630" s="880"/>
      <c r="G630" s="880"/>
    </row>
    <row r="631" spans="1:7" x14ac:dyDescent="0.25">
      <c r="A631" s="1229"/>
      <c r="B631" s="1229"/>
      <c r="C631" s="1229"/>
      <c r="D631" s="1229"/>
      <c r="E631" s="1229"/>
      <c r="F631" s="1229"/>
      <c r="G631" s="1229"/>
    </row>
    <row r="632" spans="1:7" x14ac:dyDescent="0.25">
      <c r="A632" s="1234"/>
      <c r="B632" s="1235"/>
      <c r="C632" s="80"/>
      <c r="D632" s="80"/>
      <c r="E632" s="80"/>
      <c r="F632" s="80"/>
      <c r="G632" s="67"/>
    </row>
    <row r="633" spans="1:7" x14ac:dyDescent="0.25">
      <c r="A633" s="1236"/>
      <c r="B633" s="1236"/>
      <c r="C633" s="69"/>
      <c r="D633" s="62"/>
      <c r="E633" s="62"/>
      <c r="F633" s="62"/>
      <c r="G633" s="81"/>
    </row>
    <row r="634" spans="1:7" x14ac:dyDescent="0.25">
      <c r="A634" s="1236"/>
      <c r="B634" s="1236"/>
      <c r="C634" s="69"/>
      <c r="D634" s="62"/>
      <c r="E634" s="62"/>
      <c r="F634" s="62"/>
      <c r="G634" s="69"/>
    </row>
    <row r="635" spans="1:7" x14ac:dyDescent="0.25">
      <c r="A635" s="1236"/>
      <c r="B635" s="1236"/>
      <c r="C635" s="69"/>
      <c r="D635" s="69"/>
      <c r="E635" s="69"/>
      <c r="F635" s="62"/>
      <c r="G635" s="69"/>
    </row>
    <row r="636" spans="1:7" x14ac:dyDescent="0.25">
      <c r="A636" s="1236"/>
      <c r="B636" s="1236"/>
      <c r="C636" s="69"/>
      <c r="D636" s="69"/>
      <c r="E636" s="69"/>
      <c r="F636" s="69"/>
      <c r="G636" s="69"/>
    </row>
    <row r="637" spans="1:7" x14ac:dyDescent="0.25">
      <c r="A637" s="1236"/>
      <c r="B637" s="1236"/>
      <c r="C637" s="69"/>
      <c r="D637" s="69"/>
      <c r="E637" s="69"/>
      <c r="F637" s="69"/>
      <c r="G637" s="83"/>
    </row>
    <row r="638" spans="1:7" x14ac:dyDescent="0.25">
      <c r="A638" s="1237"/>
      <c r="B638" s="1237"/>
      <c r="C638" s="82"/>
      <c r="D638" s="82"/>
      <c r="E638" s="82"/>
      <c r="F638" s="82"/>
      <c r="G638" s="64"/>
    </row>
    <row r="639" spans="1:7" x14ac:dyDescent="0.25">
      <c r="A639" s="1234"/>
      <c r="B639" s="1235"/>
      <c r="C639" s="80"/>
      <c r="D639" s="80"/>
      <c r="E639" s="80"/>
      <c r="F639" s="80"/>
      <c r="G639" s="67"/>
    </row>
    <row r="640" spans="1:7" x14ac:dyDescent="0.25">
      <c r="A640" s="1226"/>
      <c r="B640" s="1227"/>
      <c r="C640" s="43"/>
      <c r="D640" s="97"/>
      <c r="E640" s="92"/>
      <c r="F640" s="85"/>
      <c r="G640" s="69"/>
    </row>
    <row r="641" spans="1:7" x14ac:dyDescent="0.25">
      <c r="A641" s="1228"/>
      <c r="B641" s="1229"/>
      <c r="C641" s="43"/>
      <c r="D641" s="97"/>
      <c r="E641" s="92"/>
      <c r="F641" s="85"/>
      <c r="G641" s="43"/>
    </row>
    <row r="642" spans="1:7" x14ac:dyDescent="0.25">
      <c r="A642" s="1228"/>
      <c r="B642" s="1229"/>
      <c r="C642" s="69"/>
      <c r="D642" s="69"/>
      <c r="E642" s="69"/>
      <c r="F642" s="69"/>
      <c r="G642" s="65"/>
    </row>
    <row r="643" spans="1:7" x14ac:dyDescent="0.25">
      <c r="A643" s="910"/>
      <c r="B643" s="89"/>
      <c r="C643" s="89"/>
      <c r="D643" s="80"/>
      <c r="E643" s="80"/>
      <c r="F643" s="80"/>
      <c r="G643" s="67"/>
    </row>
    <row r="644" spans="1:7" x14ac:dyDescent="0.25">
      <c r="A644" s="899"/>
      <c r="B644" s="43"/>
      <c r="C644" s="43"/>
      <c r="D644" s="62"/>
      <c r="E644" s="91"/>
      <c r="F644" s="62"/>
      <c r="G644" s="69"/>
    </row>
    <row r="645" spans="1:7" x14ac:dyDescent="0.25">
      <c r="A645" s="90"/>
      <c r="B645" s="43"/>
      <c r="C645" s="43"/>
      <c r="D645" s="62"/>
      <c r="E645" s="91"/>
      <c r="F645" s="62"/>
      <c r="G645" s="69"/>
    </row>
    <row r="646" spans="1:7" x14ac:dyDescent="0.25">
      <c r="A646" s="90"/>
      <c r="B646" s="43"/>
      <c r="C646" s="43"/>
      <c r="D646" s="62"/>
      <c r="E646" s="92"/>
      <c r="F646" s="62"/>
      <c r="G646" s="69"/>
    </row>
    <row r="647" spans="1:7" x14ac:dyDescent="0.25">
      <c r="A647" s="90"/>
      <c r="B647" s="43"/>
      <c r="C647" s="43"/>
      <c r="D647" s="61"/>
      <c r="E647" s="92"/>
      <c r="F647" s="62"/>
      <c r="G647" s="43"/>
    </row>
    <row r="648" spans="1:7" x14ac:dyDescent="0.25">
      <c r="A648" s="90"/>
      <c r="B648" s="69"/>
      <c r="C648" s="69"/>
      <c r="D648" s="69"/>
      <c r="E648" s="69"/>
      <c r="F648" s="69"/>
      <c r="G648" s="64"/>
    </row>
    <row r="649" spans="1:7" x14ac:dyDescent="0.25">
      <c r="A649" s="910"/>
      <c r="B649" s="80"/>
      <c r="C649" s="80"/>
      <c r="D649" s="80"/>
      <c r="E649" s="89"/>
      <c r="F649" s="80"/>
      <c r="G649" s="67"/>
    </row>
    <row r="650" spans="1:7" x14ac:dyDescent="0.25">
      <c r="A650" s="81"/>
      <c r="B650" s="81"/>
      <c r="C650" s="81"/>
      <c r="D650" s="81"/>
      <c r="E650" s="81"/>
      <c r="F650" s="81"/>
      <c r="G650" s="81"/>
    </row>
    <row r="651" spans="1:7" x14ac:dyDescent="0.25">
      <c r="A651" s="69"/>
      <c r="B651" s="85"/>
      <c r="C651" s="96"/>
      <c r="D651" s="62"/>
      <c r="E651" s="121"/>
      <c r="F651" s="62"/>
      <c r="G651" s="69"/>
    </row>
    <row r="652" spans="1:7" x14ac:dyDescent="0.25">
      <c r="A652" s="881"/>
      <c r="B652" s="85"/>
      <c r="C652" s="96"/>
      <c r="D652" s="62"/>
      <c r="E652" s="101"/>
      <c r="F652" s="62"/>
      <c r="G652" s="69"/>
    </row>
    <row r="653" spans="1:7" x14ac:dyDescent="0.25">
      <c r="A653" s="69"/>
      <c r="B653" s="85"/>
      <c r="C653" s="69"/>
      <c r="D653" s="62"/>
      <c r="E653" s="69"/>
      <c r="F653" s="62"/>
      <c r="G653" s="69"/>
    </row>
    <row r="654" spans="1:7" x14ac:dyDescent="0.25">
      <c r="A654" s="69"/>
      <c r="B654" s="69"/>
      <c r="C654" s="69"/>
      <c r="D654" s="69"/>
      <c r="E654" s="69"/>
      <c r="F654" s="69"/>
      <c r="G654" s="43"/>
    </row>
    <row r="655" spans="1:7" x14ac:dyDescent="0.25">
      <c r="A655" s="82"/>
      <c r="B655" s="82"/>
      <c r="C655" s="82"/>
      <c r="D655" s="82"/>
      <c r="E655" s="82"/>
      <c r="F655" s="82"/>
      <c r="G655" s="64"/>
    </row>
    <row r="656" spans="1:7" x14ac:dyDescent="0.25">
      <c r="A656" s="1230"/>
      <c r="B656" s="1230"/>
      <c r="C656" s="1230"/>
      <c r="D656" s="1230"/>
      <c r="E656" s="1230"/>
      <c r="F656" s="1230"/>
      <c r="G656" s="1233"/>
    </row>
    <row r="657" spans="1:7" x14ac:dyDescent="0.25">
      <c r="A657" s="1248"/>
      <c r="B657" s="1248"/>
      <c r="C657" s="1248"/>
      <c r="D657" s="1248"/>
      <c r="E657" s="1231"/>
      <c r="F657" s="93"/>
      <c r="G657" s="70"/>
    </row>
    <row r="658" spans="1:7" x14ac:dyDescent="0.25">
      <c r="A658" s="1232"/>
      <c r="B658" s="1232"/>
      <c r="C658" s="1222"/>
      <c r="D658" s="1222"/>
      <c r="E658" s="1222"/>
      <c r="F658" s="1222"/>
      <c r="G658" s="1222"/>
    </row>
    <row r="659" spans="1:7" x14ac:dyDescent="0.25">
      <c r="A659" s="1232"/>
      <c r="B659" s="1232"/>
      <c r="C659" s="1222"/>
      <c r="D659" s="1222"/>
      <c r="E659" s="1222"/>
      <c r="F659" s="1222"/>
      <c r="G659" s="1222"/>
    </row>
    <row r="660" spans="1:7" x14ac:dyDescent="0.25">
      <c r="A660" s="1244"/>
      <c r="B660" s="1244"/>
      <c r="C660" s="1244"/>
      <c r="D660" s="1244"/>
      <c r="E660" s="1244"/>
      <c r="F660" s="1221"/>
      <c r="G660" s="1222"/>
    </row>
    <row r="661" spans="1:7" x14ac:dyDescent="0.25">
      <c r="A661" s="1244"/>
      <c r="B661" s="1244"/>
      <c r="C661" s="1244"/>
      <c r="D661" s="1244"/>
      <c r="E661" s="1244"/>
      <c r="F661" s="1221"/>
      <c r="G661" s="1222"/>
    </row>
    <row r="662" spans="1:7" x14ac:dyDescent="0.25">
      <c r="A662" s="1244"/>
      <c r="B662" s="1244"/>
      <c r="C662" s="1244"/>
      <c r="D662" s="1244"/>
      <c r="E662" s="1244"/>
      <c r="F662" s="1221"/>
      <c r="G662" s="1222"/>
    </row>
    <row r="663" spans="1:7" x14ac:dyDescent="0.25">
      <c r="A663" s="1244"/>
      <c r="B663" s="1244"/>
      <c r="C663" s="1244"/>
      <c r="D663" s="1244"/>
      <c r="E663" s="1244"/>
      <c r="F663" s="1221"/>
      <c r="G663" s="1222"/>
    </row>
    <row r="664" spans="1:7" x14ac:dyDescent="0.25">
      <c r="A664" s="1245"/>
      <c r="B664" s="1245"/>
      <c r="C664" s="1245"/>
      <c r="D664" s="1245"/>
      <c r="E664" s="1245"/>
      <c r="F664" s="1222"/>
      <c r="G664" s="1222"/>
    </row>
    <row r="672" spans="1:7" x14ac:dyDescent="0.25">
      <c r="A672" s="95"/>
      <c r="B672" s="94"/>
      <c r="C672" s="94"/>
      <c r="D672" s="94"/>
      <c r="E672" s="94"/>
      <c r="F672" s="882"/>
      <c r="G672" s="882"/>
    </row>
    <row r="673" spans="1:7" x14ac:dyDescent="0.25">
      <c r="A673" s="1238"/>
      <c r="B673" s="1246"/>
      <c r="C673" s="1246"/>
      <c r="D673" s="1246"/>
      <c r="E673" s="1247"/>
      <c r="F673" s="880"/>
      <c r="G673" s="880"/>
    </row>
    <row r="674" spans="1:7" x14ac:dyDescent="0.25">
      <c r="A674" s="1229"/>
      <c r="B674" s="1229"/>
      <c r="C674" s="1229"/>
      <c r="D674" s="1229"/>
      <c r="E674" s="1229"/>
      <c r="F674" s="1229"/>
      <c r="G674" s="1229"/>
    </row>
    <row r="675" spans="1:7" x14ac:dyDescent="0.25">
      <c r="A675" s="1234"/>
      <c r="B675" s="1235"/>
      <c r="C675" s="80"/>
      <c r="D675" s="80"/>
      <c r="E675" s="80"/>
      <c r="F675" s="80"/>
      <c r="G675" s="67"/>
    </row>
    <row r="676" spans="1:7" x14ac:dyDescent="0.25">
      <c r="A676" s="1236"/>
      <c r="B676" s="1236"/>
      <c r="C676" s="69"/>
      <c r="D676" s="62"/>
      <c r="E676" s="62"/>
      <c r="F676" s="62"/>
      <c r="G676" s="81"/>
    </row>
    <row r="677" spans="1:7" x14ac:dyDescent="0.25">
      <c r="A677" s="1236"/>
      <c r="B677" s="1236"/>
      <c r="C677" s="69"/>
      <c r="D677" s="62"/>
      <c r="E677" s="62"/>
      <c r="F677" s="62"/>
      <c r="G677" s="69"/>
    </row>
    <row r="678" spans="1:7" x14ac:dyDescent="0.25">
      <c r="A678" s="1236"/>
      <c r="B678" s="1236"/>
      <c r="C678" s="69"/>
      <c r="D678" s="69"/>
      <c r="E678" s="69"/>
      <c r="F678" s="62"/>
      <c r="G678" s="69"/>
    </row>
    <row r="679" spans="1:7" x14ac:dyDescent="0.25">
      <c r="A679" s="1236"/>
      <c r="B679" s="1236"/>
      <c r="C679" s="69"/>
      <c r="D679" s="69"/>
      <c r="E679" s="69"/>
      <c r="F679" s="69"/>
      <c r="G679" s="69"/>
    </row>
    <row r="680" spans="1:7" x14ac:dyDescent="0.25">
      <c r="A680" s="1236"/>
      <c r="B680" s="1236"/>
      <c r="C680" s="69"/>
      <c r="D680" s="69"/>
      <c r="E680" s="69"/>
      <c r="F680" s="69"/>
      <c r="G680" s="83"/>
    </row>
    <row r="681" spans="1:7" x14ac:dyDescent="0.25">
      <c r="A681" s="1237"/>
      <c r="B681" s="1237"/>
      <c r="C681" s="82"/>
      <c r="D681" s="82"/>
      <c r="E681" s="82"/>
      <c r="F681" s="82"/>
      <c r="G681" s="64"/>
    </row>
    <row r="682" spans="1:7" x14ac:dyDescent="0.25">
      <c r="A682" s="1234"/>
      <c r="B682" s="1235"/>
      <c r="C682" s="80"/>
      <c r="D682" s="80"/>
      <c r="E682" s="80"/>
      <c r="F682" s="80"/>
      <c r="G682" s="67"/>
    </row>
    <row r="683" spans="1:7" x14ac:dyDescent="0.25">
      <c r="A683" s="1226"/>
      <c r="B683" s="1227"/>
      <c r="C683" s="43"/>
      <c r="D683" s="97"/>
      <c r="E683" s="92"/>
      <c r="F683" s="85"/>
      <c r="G683" s="69"/>
    </row>
    <row r="684" spans="1:7" x14ac:dyDescent="0.25">
      <c r="A684" s="1228"/>
      <c r="B684" s="1229"/>
      <c r="C684" s="43"/>
      <c r="D684" s="97"/>
      <c r="E684" s="92"/>
      <c r="F684" s="85"/>
      <c r="G684" s="43"/>
    </row>
    <row r="685" spans="1:7" x14ac:dyDescent="0.25">
      <c r="A685" s="1228"/>
      <c r="B685" s="1229"/>
      <c r="C685" s="69"/>
      <c r="D685" s="69"/>
      <c r="E685" s="69"/>
      <c r="F685" s="69"/>
      <c r="G685" s="65"/>
    </row>
    <row r="686" spans="1:7" x14ac:dyDescent="0.25">
      <c r="A686" s="910"/>
      <c r="B686" s="89"/>
      <c r="C686" s="89"/>
      <c r="D686" s="80"/>
      <c r="E686" s="80"/>
      <c r="F686" s="80"/>
      <c r="G686" s="67"/>
    </row>
    <row r="687" spans="1:7" x14ac:dyDescent="0.25">
      <c r="A687" s="899"/>
      <c r="B687" s="43"/>
      <c r="C687" s="43"/>
      <c r="D687" s="62"/>
      <c r="E687" s="91"/>
      <c r="F687" s="62"/>
      <c r="G687" s="69"/>
    </row>
    <row r="688" spans="1:7" x14ac:dyDescent="0.25">
      <c r="A688" s="90"/>
      <c r="B688" s="43"/>
      <c r="C688" s="43"/>
      <c r="D688" s="62"/>
      <c r="E688" s="91"/>
      <c r="F688" s="62"/>
      <c r="G688" s="69"/>
    </row>
    <row r="689" spans="1:7" x14ac:dyDescent="0.25">
      <c r="A689" s="90"/>
      <c r="B689" s="43"/>
      <c r="C689" s="43"/>
      <c r="D689" s="62"/>
      <c r="E689" s="92"/>
      <c r="F689" s="62"/>
      <c r="G689" s="69"/>
    </row>
    <row r="690" spans="1:7" x14ac:dyDescent="0.25">
      <c r="A690" s="90"/>
      <c r="B690" s="43"/>
      <c r="C690" s="43"/>
      <c r="D690" s="61"/>
      <c r="E690" s="92"/>
      <c r="F690" s="62"/>
      <c r="G690" s="43"/>
    </row>
    <row r="691" spans="1:7" x14ac:dyDescent="0.25">
      <c r="A691" s="90"/>
      <c r="B691" s="69"/>
      <c r="C691" s="69"/>
      <c r="D691" s="69"/>
      <c r="E691" s="69"/>
      <c r="F691" s="69"/>
      <c r="G691" s="64"/>
    </row>
    <row r="692" spans="1:7" x14ac:dyDescent="0.25">
      <c r="A692" s="910"/>
      <c r="B692" s="80"/>
      <c r="C692" s="80"/>
      <c r="D692" s="80"/>
      <c r="E692" s="89"/>
      <c r="F692" s="80"/>
      <c r="G692" s="67"/>
    </row>
    <row r="693" spans="1:7" x14ac:dyDescent="0.25">
      <c r="A693" s="81"/>
      <c r="B693" s="81"/>
      <c r="C693" s="81"/>
      <c r="D693" s="81"/>
      <c r="E693" s="81"/>
      <c r="F693" s="81"/>
      <c r="G693" s="81"/>
    </row>
    <row r="694" spans="1:7" x14ac:dyDescent="0.25">
      <c r="A694" s="69"/>
      <c r="B694" s="85"/>
      <c r="C694" s="96"/>
      <c r="D694" s="62"/>
      <c r="E694" s="121"/>
      <c r="F694" s="62"/>
      <c r="G694" s="69"/>
    </row>
    <row r="695" spans="1:7" x14ac:dyDescent="0.25">
      <c r="A695" s="881"/>
      <c r="B695" s="85"/>
      <c r="C695" s="96"/>
      <c r="D695" s="62"/>
      <c r="E695" s="101"/>
      <c r="F695" s="62"/>
      <c r="G695" s="69"/>
    </row>
    <row r="696" spans="1:7" x14ac:dyDescent="0.25">
      <c r="A696" s="69"/>
      <c r="B696" s="85"/>
      <c r="C696" s="69"/>
      <c r="D696" s="62"/>
      <c r="E696" s="69"/>
      <c r="F696" s="62"/>
      <c r="G696" s="69"/>
    </row>
    <row r="697" spans="1:7" x14ac:dyDescent="0.25">
      <c r="A697" s="69"/>
      <c r="B697" s="69"/>
      <c r="C697" s="69"/>
      <c r="D697" s="69"/>
      <c r="E697" s="69"/>
      <c r="F697" s="69"/>
      <c r="G697" s="43"/>
    </row>
    <row r="698" spans="1:7" x14ac:dyDescent="0.25">
      <c r="A698" s="82"/>
      <c r="B698" s="82"/>
      <c r="C698" s="82"/>
      <c r="D698" s="82"/>
      <c r="E698" s="82"/>
      <c r="F698" s="82"/>
      <c r="G698" s="64"/>
    </row>
    <row r="699" spans="1:7" x14ac:dyDescent="0.25">
      <c r="A699" s="1230"/>
      <c r="B699" s="1230"/>
      <c r="C699" s="1230"/>
      <c r="D699" s="1230"/>
      <c r="E699" s="1230"/>
      <c r="F699" s="1230"/>
      <c r="G699" s="1233"/>
    </row>
    <row r="700" spans="1:7" x14ac:dyDescent="0.25">
      <c r="A700" s="1248"/>
      <c r="B700" s="1248"/>
      <c r="C700" s="1248"/>
      <c r="D700" s="1248"/>
      <c r="E700" s="1231"/>
      <c r="F700" s="93"/>
      <c r="G700" s="70"/>
    </row>
    <row r="701" spans="1:7" x14ac:dyDescent="0.25">
      <c r="A701" s="1232"/>
      <c r="B701" s="1232"/>
      <c r="C701" s="1222"/>
      <c r="D701" s="1222"/>
      <c r="E701" s="1222"/>
      <c r="F701" s="1222"/>
      <c r="G701" s="1222"/>
    </row>
    <row r="702" spans="1:7" x14ac:dyDescent="0.25">
      <c r="A702" s="1232"/>
      <c r="B702" s="1232"/>
      <c r="C702" s="1222"/>
      <c r="D702" s="1222"/>
      <c r="E702" s="1222"/>
      <c r="F702" s="1222"/>
      <c r="G702" s="1222"/>
    </row>
    <row r="703" spans="1:7" x14ac:dyDescent="0.25">
      <c r="A703" s="1244"/>
      <c r="B703" s="1244"/>
      <c r="C703" s="1244"/>
      <c r="D703" s="1244"/>
      <c r="E703" s="1244"/>
      <c r="F703" s="1221"/>
      <c r="G703" s="1222"/>
    </row>
    <row r="704" spans="1:7" x14ac:dyDescent="0.25">
      <c r="A704" s="1244"/>
      <c r="B704" s="1244"/>
      <c r="C704" s="1244"/>
      <c r="D704" s="1244"/>
      <c r="E704" s="1244"/>
      <c r="F704" s="1221"/>
      <c r="G704" s="1222"/>
    </row>
    <row r="705" spans="1:7" x14ac:dyDescent="0.25">
      <c r="A705" s="1244"/>
      <c r="B705" s="1244"/>
      <c r="C705" s="1244"/>
      <c r="D705" s="1244"/>
      <c r="E705" s="1244"/>
      <c r="F705" s="1221"/>
      <c r="G705" s="1222"/>
    </row>
    <row r="706" spans="1:7" x14ac:dyDescent="0.25">
      <c r="A706" s="1244"/>
      <c r="B706" s="1244"/>
      <c r="C706" s="1244"/>
      <c r="D706" s="1244"/>
      <c r="E706" s="1244"/>
      <c r="F706" s="1221"/>
      <c r="G706" s="1222"/>
    </row>
    <row r="707" spans="1:7" x14ac:dyDescent="0.25">
      <c r="A707" s="1245"/>
      <c r="B707" s="1245"/>
      <c r="C707" s="1245"/>
      <c r="D707" s="1245"/>
      <c r="E707" s="1245"/>
      <c r="F707" s="1222"/>
      <c r="G707" s="1222"/>
    </row>
    <row r="715" spans="1:7" x14ac:dyDescent="0.25">
      <c r="A715" s="95"/>
      <c r="B715" s="94"/>
      <c r="C715" s="94"/>
      <c r="D715" s="94"/>
      <c r="E715" s="94"/>
      <c r="F715" s="882"/>
      <c r="G715" s="882"/>
    </row>
    <row r="716" spans="1:7" x14ac:dyDescent="0.25">
      <c r="A716" s="1238"/>
      <c r="B716" s="1246"/>
      <c r="C716" s="1246"/>
      <c r="D716" s="1246"/>
      <c r="E716" s="1247"/>
      <c r="F716" s="880"/>
      <c r="G716" s="880"/>
    </row>
    <row r="717" spans="1:7" x14ac:dyDescent="0.25">
      <c r="A717" s="1229"/>
      <c r="B717" s="1229"/>
      <c r="C717" s="1229"/>
      <c r="D717" s="1229"/>
      <c r="E717" s="1229"/>
      <c r="F717" s="1229"/>
      <c r="G717" s="1229"/>
    </row>
    <row r="718" spans="1:7" x14ac:dyDescent="0.25">
      <c r="A718" s="1234"/>
      <c r="B718" s="1235"/>
      <c r="C718" s="80"/>
      <c r="D718" s="80"/>
      <c r="E718" s="80"/>
      <c r="F718" s="80"/>
      <c r="G718" s="67"/>
    </row>
    <row r="719" spans="1:7" x14ac:dyDescent="0.25">
      <c r="A719" s="1236"/>
      <c r="B719" s="1236"/>
      <c r="C719" s="69"/>
      <c r="D719" s="62"/>
      <c r="E719" s="62"/>
      <c r="F719" s="62"/>
      <c r="G719" s="81"/>
    </row>
    <row r="720" spans="1:7" x14ac:dyDescent="0.25">
      <c r="A720" s="1236"/>
      <c r="B720" s="1236"/>
      <c r="C720" s="69"/>
      <c r="D720" s="62"/>
      <c r="E720" s="62"/>
      <c r="F720" s="62"/>
      <c r="G720" s="69"/>
    </row>
    <row r="721" spans="1:7" x14ac:dyDescent="0.25">
      <c r="A721" s="1236"/>
      <c r="B721" s="1236"/>
      <c r="C721" s="69"/>
      <c r="D721" s="69"/>
      <c r="E721" s="69"/>
      <c r="F721" s="62"/>
      <c r="G721" s="69"/>
    </row>
    <row r="722" spans="1:7" x14ac:dyDescent="0.25">
      <c r="A722" s="1236"/>
      <c r="B722" s="1236"/>
      <c r="C722" s="69"/>
      <c r="D722" s="69"/>
      <c r="E722" s="69"/>
      <c r="F722" s="69"/>
      <c r="G722" s="69"/>
    </row>
    <row r="723" spans="1:7" x14ac:dyDescent="0.25">
      <c r="A723" s="1236"/>
      <c r="B723" s="1236"/>
      <c r="C723" s="69"/>
      <c r="D723" s="69"/>
      <c r="E723" s="69"/>
      <c r="F723" s="69"/>
      <c r="G723" s="83"/>
    </row>
    <row r="724" spans="1:7" x14ac:dyDescent="0.25">
      <c r="A724" s="1237"/>
      <c r="B724" s="1237"/>
      <c r="C724" s="82"/>
      <c r="D724" s="82"/>
      <c r="E724" s="82"/>
      <c r="F724" s="82"/>
      <c r="G724" s="64"/>
    </row>
    <row r="725" spans="1:7" x14ac:dyDescent="0.25">
      <c r="A725" s="1234"/>
      <c r="B725" s="1235"/>
      <c r="C725" s="80"/>
      <c r="D725" s="80"/>
      <c r="E725" s="80"/>
      <c r="F725" s="80"/>
      <c r="G725" s="67"/>
    </row>
    <row r="726" spans="1:7" x14ac:dyDescent="0.25">
      <c r="A726" s="1226"/>
      <c r="B726" s="1227"/>
      <c r="C726" s="43"/>
      <c r="D726" s="97"/>
      <c r="E726" s="92"/>
      <c r="F726" s="85"/>
      <c r="G726" s="69"/>
    </row>
    <row r="727" spans="1:7" x14ac:dyDescent="0.25">
      <c r="A727" s="1228"/>
      <c r="B727" s="1229"/>
      <c r="C727" s="43"/>
      <c r="D727" s="97"/>
      <c r="E727" s="92"/>
      <c r="F727" s="85"/>
      <c r="G727" s="43"/>
    </row>
    <row r="728" spans="1:7" x14ac:dyDescent="0.25">
      <c r="A728" s="1228"/>
      <c r="B728" s="1229"/>
      <c r="C728" s="69"/>
      <c r="D728" s="69"/>
      <c r="E728" s="69"/>
      <c r="F728" s="69"/>
      <c r="G728" s="65"/>
    </row>
    <row r="729" spans="1:7" x14ac:dyDescent="0.25">
      <c r="A729" s="910"/>
      <c r="B729" s="89"/>
      <c r="C729" s="89"/>
      <c r="D729" s="80"/>
      <c r="E729" s="80"/>
      <c r="F729" s="80"/>
      <c r="G729" s="67"/>
    </row>
    <row r="730" spans="1:7" x14ac:dyDescent="0.25">
      <c r="A730" s="899"/>
      <c r="B730" s="43"/>
      <c r="C730" s="43"/>
      <c r="D730" s="62"/>
      <c r="E730" s="91"/>
      <c r="F730" s="62"/>
      <c r="G730" s="69"/>
    </row>
    <row r="731" spans="1:7" x14ac:dyDescent="0.25">
      <c r="A731" s="90"/>
      <c r="B731" s="43"/>
      <c r="C731" s="43"/>
      <c r="D731" s="62"/>
      <c r="E731" s="91"/>
      <c r="F731" s="62"/>
      <c r="G731" s="69"/>
    </row>
    <row r="732" spans="1:7" x14ac:dyDescent="0.25">
      <c r="A732" s="90"/>
      <c r="B732" s="43"/>
      <c r="C732" s="43"/>
      <c r="D732" s="62"/>
      <c r="E732" s="92"/>
      <c r="F732" s="62"/>
      <c r="G732" s="69"/>
    </row>
    <row r="733" spans="1:7" x14ac:dyDescent="0.25">
      <c r="A733" s="90"/>
      <c r="B733" s="43"/>
      <c r="C733" s="43"/>
      <c r="D733" s="61"/>
      <c r="E733" s="92"/>
      <c r="F733" s="62"/>
      <c r="G733" s="43"/>
    </row>
    <row r="734" spans="1:7" x14ac:dyDescent="0.25">
      <c r="A734" s="90"/>
      <c r="B734" s="69"/>
      <c r="C734" s="69"/>
      <c r="D734" s="69"/>
      <c r="E734" s="69"/>
      <c r="F734" s="69"/>
      <c r="G734" s="64"/>
    </row>
    <row r="735" spans="1:7" x14ac:dyDescent="0.25">
      <c r="A735" s="910"/>
      <c r="B735" s="80"/>
      <c r="C735" s="80"/>
      <c r="D735" s="80"/>
      <c r="E735" s="89"/>
      <c r="F735" s="80"/>
      <c r="G735" s="67"/>
    </row>
    <row r="736" spans="1:7" x14ac:dyDescent="0.25">
      <c r="A736" s="81"/>
      <c r="B736" s="81"/>
      <c r="C736" s="81"/>
      <c r="D736" s="81"/>
      <c r="E736" s="81"/>
      <c r="F736" s="81"/>
      <c r="G736" s="81"/>
    </row>
    <row r="737" spans="1:7" x14ac:dyDescent="0.25">
      <c r="A737" s="69"/>
      <c r="B737" s="85"/>
      <c r="C737" s="96"/>
      <c r="D737" s="62"/>
      <c r="E737" s="121"/>
      <c r="F737" s="62"/>
      <c r="G737" s="69"/>
    </row>
    <row r="738" spans="1:7" x14ac:dyDescent="0.25">
      <c r="A738" s="881"/>
      <c r="B738" s="85"/>
      <c r="C738" s="96"/>
      <c r="D738" s="62"/>
      <c r="E738" s="101"/>
      <c r="F738" s="62"/>
      <c r="G738" s="69"/>
    </row>
    <row r="739" spans="1:7" x14ac:dyDescent="0.25">
      <c r="A739" s="69"/>
      <c r="B739" s="85"/>
      <c r="C739" s="69"/>
      <c r="D739" s="62"/>
      <c r="E739" s="69"/>
      <c r="F739" s="62"/>
      <c r="G739" s="69"/>
    </row>
    <row r="740" spans="1:7" x14ac:dyDescent="0.25">
      <c r="A740" s="69"/>
      <c r="B740" s="69"/>
      <c r="C740" s="69"/>
      <c r="D740" s="69"/>
      <c r="E740" s="69"/>
      <c r="F740" s="69"/>
      <c r="G740" s="43"/>
    </row>
    <row r="741" spans="1:7" x14ac:dyDescent="0.25">
      <c r="A741" s="82"/>
      <c r="B741" s="82"/>
      <c r="C741" s="82"/>
      <c r="D741" s="82"/>
      <c r="E741" s="82"/>
      <c r="F741" s="82"/>
      <c r="G741" s="64"/>
    </row>
    <row r="742" spans="1:7" x14ac:dyDescent="0.25">
      <c r="A742" s="1230"/>
      <c r="B742" s="1230"/>
      <c r="C742" s="1230"/>
      <c r="D742" s="1230"/>
      <c r="E742" s="1230"/>
      <c r="F742" s="1230"/>
      <c r="G742" s="1233"/>
    </row>
    <row r="743" spans="1:7" x14ac:dyDescent="0.25">
      <c r="A743" s="1248"/>
      <c r="B743" s="1248"/>
      <c r="C743" s="1248"/>
      <c r="D743" s="1248"/>
      <c r="E743" s="1231"/>
      <c r="F743" s="93"/>
      <c r="G743" s="70"/>
    </row>
    <row r="744" spans="1:7" x14ac:dyDescent="0.25">
      <c r="A744" s="1232"/>
      <c r="B744" s="1232"/>
      <c r="C744" s="1222"/>
      <c r="D744" s="1222"/>
      <c r="E744" s="1222"/>
      <c r="F744" s="1222"/>
      <c r="G744" s="1222"/>
    </row>
    <row r="745" spans="1:7" x14ac:dyDescent="0.25">
      <c r="A745" s="1232"/>
      <c r="B745" s="1232"/>
      <c r="C745" s="1222"/>
      <c r="D745" s="1222"/>
      <c r="E745" s="1222"/>
      <c r="F745" s="1222"/>
      <c r="G745" s="1222"/>
    </row>
    <row r="746" spans="1:7" x14ac:dyDescent="0.25">
      <c r="A746" s="1244"/>
      <c r="B746" s="1244"/>
      <c r="C746" s="1244"/>
      <c r="D746" s="1244"/>
      <c r="E746" s="1244"/>
      <c r="F746" s="1221"/>
      <c r="G746" s="1222"/>
    </row>
    <row r="747" spans="1:7" x14ac:dyDescent="0.25">
      <c r="A747" s="1244"/>
      <c r="B747" s="1244"/>
      <c r="C747" s="1244"/>
      <c r="D747" s="1244"/>
      <c r="E747" s="1244"/>
      <c r="F747" s="1221"/>
      <c r="G747" s="1222"/>
    </row>
    <row r="748" spans="1:7" x14ac:dyDescent="0.25">
      <c r="A748" s="1244"/>
      <c r="B748" s="1244"/>
      <c r="C748" s="1244"/>
      <c r="D748" s="1244"/>
      <c r="E748" s="1244"/>
      <c r="F748" s="1221"/>
      <c r="G748" s="1222"/>
    </row>
    <row r="749" spans="1:7" x14ac:dyDescent="0.25">
      <c r="A749" s="1244"/>
      <c r="B749" s="1244"/>
      <c r="C749" s="1244"/>
      <c r="D749" s="1244"/>
      <c r="E749" s="1244"/>
      <c r="F749" s="1221"/>
      <c r="G749" s="1222"/>
    </row>
    <row r="750" spans="1:7" x14ac:dyDescent="0.25">
      <c r="A750" s="1245"/>
      <c r="B750" s="1245"/>
      <c r="C750" s="1245"/>
      <c r="D750" s="1245"/>
      <c r="E750" s="1245"/>
      <c r="F750" s="1222"/>
      <c r="G750" s="1222"/>
    </row>
    <row r="759" spans="1:7" x14ac:dyDescent="0.25">
      <c r="A759" s="95"/>
      <c r="B759" s="94"/>
      <c r="C759" s="94"/>
      <c r="D759" s="94"/>
      <c r="E759" s="94"/>
      <c r="F759" s="882"/>
      <c r="G759" s="882"/>
    </row>
    <row r="760" spans="1:7" x14ac:dyDescent="0.25">
      <c r="A760" s="1238"/>
      <c r="B760" s="1246"/>
      <c r="C760" s="1246"/>
      <c r="D760" s="1246"/>
      <c r="E760" s="1247"/>
      <c r="F760" s="880"/>
      <c r="G760" s="880"/>
    </row>
    <row r="761" spans="1:7" x14ac:dyDescent="0.25">
      <c r="A761" s="1229"/>
      <c r="B761" s="1229"/>
      <c r="C761" s="1229"/>
      <c r="D761" s="1229"/>
      <c r="E761" s="1229"/>
      <c r="F761" s="1229"/>
      <c r="G761" s="1229"/>
    </row>
    <row r="762" spans="1:7" x14ac:dyDescent="0.25">
      <c r="A762" s="1234"/>
      <c r="B762" s="1235"/>
      <c r="C762" s="80"/>
      <c r="D762" s="80"/>
      <c r="E762" s="80"/>
      <c r="F762" s="80"/>
      <c r="G762" s="67"/>
    </row>
    <row r="763" spans="1:7" x14ac:dyDescent="0.25">
      <c r="A763" s="1236"/>
      <c r="B763" s="1236"/>
      <c r="C763" s="69"/>
      <c r="D763" s="62"/>
      <c r="E763" s="62"/>
      <c r="F763" s="62"/>
      <c r="G763" s="81"/>
    </row>
    <row r="764" spans="1:7" x14ac:dyDescent="0.25">
      <c r="A764" s="1236"/>
      <c r="B764" s="1236"/>
      <c r="C764" s="69"/>
      <c r="D764" s="62"/>
      <c r="E764" s="62"/>
      <c r="F764" s="62"/>
      <c r="G764" s="69"/>
    </row>
    <row r="765" spans="1:7" x14ac:dyDescent="0.25">
      <c r="A765" s="1236"/>
      <c r="B765" s="1236"/>
      <c r="C765" s="69"/>
      <c r="D765" s="69"/>
      <c r="E765" s="69"/>
      <c r="F765" s="62"/>
      <c r="G765" s="69"/>
    </row>
    <row r="766" spans="1:7" x14ac:dyDescent="0.25">
      <c r="A766" s="1236"/>
      <c r="B766" s="1236"/>
      <c r="C766" s="69"/>
      <c r="D766" s="69"/>
      <c r="E766" s="69"/>
      <c r="F766" s="69"/>
      <c r="G766" s="69"/>
    </row>
    <row r="767" spans="1:7" x14ac:dyDescent="0.25">
      <c r="A767" s="1236"/>
      <c r="B767" s="1236"/>
      <c r="C767" s="69"/>
      <c r="D767" s="69"/>
      <c r="E767" s="69"/>
      <c r="F767" s="69"/>
      <c r="G767" s="83"/>
    </row>
    <row r="768" spans="1:7" x14ac:dyDescent="0.25">
      <c r="A768" s="1237"/>
      <c r="B768" s="1237"/>
      <c r="C768" s="82"/>
      <c r="D768" s="82"/>
      <c r="E768" s="82"/>
      <c r="F768" s="82"/>
      <c r="G768" s="64"/>
    </row>
    <row r="769" spans="1:7" x14ac:dyDescent="0.25">
      <c r="A769" s="1234"/>
      <c r="B769" s="1235"/>
      <c r="C769" s="80"/>
      <c r="D769" s="80"/>
      <c r="E769" s="80"/>
      <c r="F769" s="80"/>
      <c r="G769" s="67"/>
    </row>
    <row r="770" spans="1:7" x14ac:dyDescent="0.25">
      <c r="A770" s="1226"/>
      <c r="B770" s="1227"/>
      <c r="C770" s="43"/>
      <c r="D770" s="97"/>
      <c r="E770" s="92"/>
      <c r="F770" s="85"/>
      <c r="G770" s="69"/>
    </row>
    <row r="771" spans="1:7" x14ac:dyDescent="0.25">
      <c r="A771" s="1228"/>
      <c r="B771" s="1229"/>
      <c r="C771" s="43"/>
      <c r="D771" s="97"/>
      <c r="E771" s="92"/>
      <c r="F771" s="85"/>
      <c r="G771" s="43"/>
    </row>
    <row r="772" spans="1:7" x14ac:dyDescent="0.25">
      <c r="A772" s="1228"/>
      <c r="B772" s="1229"/>
      <c r="C772" s="69"/>
      <c r="D772" s="69"/>
      <c r="E772" s="69"/>
      <c r="F772" s="69"/>
      <c r="G772" s="65"/>
    </row>
    <row r="773" spans="1:7" x14ac:dyDescent="0.25">
      <c r="A773" s="910"/>
      <c r="B773" s="89"/>
      <c r="C773" s="89"/>
      <c r="D773" s="80"/>
      <c r="E773" s="80"/>
      <c r="F773" s="80"/>
      <c r="G773" s="67"/>
    </row>
    <row r="774" spans="1:7" x14ac:dyDescent="0.25">
      <c r="A774" s="899"/>
      <c r="B774" s="43"/>
      <c r="C774" s="43"/>
      <c r="D774" s="62"/>
      <c r="E774" s="91"/>
      <c r="F774" s="62"/>
      <c r="G774" s="69"/>
    </row>
    <row r="775" spans="1:7" x14ac:dyDescent="0.25">
      <c r="A775" s="90"/>
      <c r="B775" s="43"/>
      <c r="C775" s="43"/>
      <c r="D775" s="62"/>
      <c r="E775" s="91"/>
      <c r="F775" s="62"/>
      <c r="G775" s="69"/>
    </row>
    <row r="776" spans="1:7" x14ac:dyDescent="0.25">
      <c r="A776" s="90"/>
      <c r="B776" s="43"/>
      <c r="C776" s="43"/>
      <c r="D776" s="62"/>
      <c r="E776" s="92"/>
      <c r="F776" s="62"/>
      <c r="G776" s="69"/>
    </row>
    <row r="777" spans="1:7" x14ac:dyDescent="0.25">
      <c r="A777" s="90"/>
      <c r="B777" s="43"/>
      <c r="C777" s="43"/>
      <c r="D777" s="61"/>
      <c r="E777" s="92"/>
      <c r="F777" s="62"/>
      <c r="G777" s="43"/>
    </row>
    <row r="778" spans="1:7" x14ac:dyDescent="0.25">
      <c r="A778" s="90"/>
      <c r="B778" s="69"/>
      <c r="C778" s="69"/>
      <c r="D778" s="69"/>
      <c r="E778" s="69"/>
      <c r="F778" s="69"/>
      <c r="G778" s="64"/>
    </row>
    <row r="779" spans="1:7" x14ac:dyDescent="0.25">
      <c r="A779" s="910"/>
      <c r="B779" s="80"/>
      <c r="C779" s="80"/>
      <c r="D779" s="80"/>
      <c r="E779" s="89"/>
      <c r="F779" s="80"/>
      <c r="G779" s="67"/>
    </row>
    <row r="780" spans="1:7" x14ac:dyDescent="0.25">
      <c r="A780" s="81"/>
      <c r="B780" s="81"/>
      <c r="C780" s="81"/>
      <c r="D780" s="81"/>
      <c r="E780" s="81"/>
      <c r="F780" s="81"/>
      <c r="G780" s="81"/>
    </row>
    <row r="781" spans="1:7" x14ac:dyDescent="0.25">
      <c r="A781" s="69"/>
      <c r="B781" s="85"/>
      <c r="C781" s="96"/>
      <c r="D781" s="62"/>
      <c r="E781" s="121"/>
      <c r="F781" s="62"/>
      <c r="G781" s="69"/>
    </row>
    <row r="782" spans="1:7" x14ac:dyDescent="0.25">
      <c r="A782" s="881"/>
      <c r="B782" s="85"/>
      <c r="C782" s="96"/>
      <c r="D782" s="62"/>
      <c r="E782" s="101"/>
      <c r="F782" s="62"/>
      <c r="G782" s="69"/>
    </row>
    <row r="783" spans="1:7" x14ac:dyDescent="0.25">
      <c r="A783" s="69"/>
      <c r="B783" s="85"/>
      <c r="C783" s="69"/>
      <c r="D783" s="62"/>
      <c r="E783" s="69"/>
      <c r="F783" s="62"/>
      <c r="G783" s="69"/>
    </row>
    <row r="784" spans="1:7" x14ac:dyDescent="0.25">
      <c r="A784" s="69"/>
      <c r="B784" s="69"/>
      <c r="C784" s="69"/>
      <c r="D784" s="69"/>
      <c r="E784" s="69"/>
      <c r="F784" s="69"/>
      <c r="G784" s="43"/>
    </row>
    <row r="785" spans="1:7" x14ac:dyDescent="0.25">
      <c r="A785" s="82"/>
      <c r="B785" s="82"/>
      <c r="C785" s="82"/>
      <c r="D785" s="82"/>
      <c r="E785" s="82"/>
      <c r="F785" s="82"/>
      <c r="G785" s="64"/>
    </row>
    <row r="786" spans="1:7" x14ac:dyDescent="0.25">
      <c r="A786" s="1230"/>
      <c r="B786" s="1230"/>
      <c r="C786" s="1230"/>
      <c r="D786" s="1230"/>
      <c r="E786" s="1230"/>
      <c r="F786" s="1230"/>
      <c r="G786" s="1233"/>
    </row>
    <row r="787" spans="1:7" x14ac:dyDescent="0.25">
      <c r="A787" s="1248"/>
      <c r="B787" s="1248"/>
      <c r="C787" s="1248"/>
      <c r="D787" s="1248"/>
      <c r="E787" s="1231"/>
      <c r="F787" s="93"/>
      <c r="G787" s="70"/>
    </row>
    <row r="788" spans="1:7" x14ac:dyDescent="0.25">
      <c r="A788" s="1232"/>
      <c r="B788" s="1232"/>
      <c r="C788" s="1222"/>
      <c r="D788" s="1222"/>
      <c r="E788" s="1222"/>
      <c r="F788" s="1222"/>
      <c r="G788" s="1222"/>
    </row>
    <row r="789" spans="1:7" x14ac:dyDescent="0.25">
      <c r="A789" s="1232"/>
      <c r="B789" s="1232"/>
      <c r="C789" s="1222"/>
      <c r="D789" s="1222"/>
      <c r="E789" s="1222"/>
      <c r="F789" s="1222"/>
      <c r="G789" s="1222"/>
    </row>
    <row r="790" spans="1:7" x14ac:dyDescent="0.25">
      <c r="A790" s="1244"/>
      <c r="B790" s="1244"/>
      <c r="C790" s="1244"/>
      <c r="D790" s="1244"/>
      <c r="E790" s="1244"/>
      <c r="F790" s="1221"/>
      <c r="G790" s="1222"/>
    </row>
    <row r="791" spans="1:7" x14ac:dyDescent="0.25">
      <c r="A791" s="1244"/>
      <c r="B791" s="1244"/>
      <c r="C791" s="1244"/>
      <c r="D791" s="1244"/>
      <c r="E791" s="1244"/>
      <c r="F791" s="1221"/>
      <c r="G791" s="1222"/>
    </row>
    <row r="792" spans="1:7" x14ac:dyDescent="0.25">
      <c r="A792" s="1244"/>
      <c r="B792" s="1244"/>
      <c r="C792" s="1244"/>
      <c r="D792" s="1244"/>
      <c r="E792" s="1244"/>
      <c r="F792" s="1221"/>
      <c r="G792" s="1222"/>
    </row>
    <row r="793" spans="1:7" x14ac:dyDescent="0.25">
      <c r="A793" s="1244"/>
      <c r="B793" s="1244"/>
      <c r="C793" s="1244"/>
      <c r="D793" s="1244"/>
      <c r="E793" s="1244"/>
      <c r="F793" s="1221"/>
      <c r="G793" s="1222"/>
    </row>
    <row r="794" spans="1:7" x14ac:dyDescent="0.25">
      <c r="A794" s="1245"/>
      <c r="B794" s="1245"/>
      <c r="C794" s="1245"/>
      <c r="D794" s="1245"/>
      <c r="E794" s="1245"/>
      <c r="F794" s="1222"/>
      <c r="G794" s="1222"/>
    </row>
    <row r="801" spans="1:7" x14ac:dyDescent="0.25">
      <c r="A801" s="95"/>
      <c r="B801" s="94"/>
      <c r="C801" s="94"/>
      <c r="D801" s="94"/>
      <c r="E801" s="94"/>
      <c r="F801" s="882"/>
      <c r="G801" s="882"/>
    </row>
    <row r="802" spans="1:7" x14ac:dyDescent="0.25">
      <c r="A802" s="1238"/>
      <c r="B802" s="1246"/>
      <c r="C802" s="1246"/>
      <c r="D802" s="1246"/>
      <c r="E802" s="1247"/>
      <c r="F802" s="880"/>
      <c r="G802" s="880"/>
    </row>
    <row r="803" spans="1:7" x14ac:dyDescent="0.25">
      <c r="A803" s="1229"/>
      <c r="B803" s="1229"/>
      <c r="C803" s="1229"/>
      <c r="D803" s="1229"/>
      <c r="E803" s="1229"/>
      <c r="F803" s="1229"/>
      <c r="G803" s="1229"/>
    </row>
    <row r="804" spans="1:7" x14ac:dyDescent="0.25">
      <c r="A804" s="1234"/>
      <c r="B804" s="1235"/>
      <c r="C804" s="80"/>
      <c r="D804" s="80"/>
      <c r="E804" s="80"/>
      <c r="F804" s="80"/>
      <c r="G804" s="67"/>
    </row>
    <row r="805" spans="1:7" x14ac:dyDescent="0.25">
      <c r="A805" s="1236"/>
      <c r="B805" s="1236"/>
      <c r="C805" s="69"/>
      <c r="D805" s="62"/>
      <c r="E805" s="62"/>
      <c r="F805" s="62"/>
      <c r="G805" s="81"/>
    </row>
    <row r="806" spans="1:7" x14ac:dyDescent="0.25">
      <c r="A806" s="1236"/>
      <c r="B806" s="1236"/>
      <c r="C806" s="69"/>
      <c r="D806" s="62"/>
      <c r="E806" s="62"/>
      <c r="F806" s="62"/>
      <c r="G806" s="69"/>
    </row>
    <row r="807" spans="1:7" x14ac:dyDescent="0.25">
      <c r="A807" s="1236"/>
      <c r="B807" s="1236"/>
      <c r="C807" s="69"/>
      <c r="D807" s="69"/>
      <c r="E807" s="69"/>
      <c r="F807" s="62"/>
      <c r="G807" s="69"/>
    </row>
    <row r="808" spans="1:7" x14ac:dyDescent="0.25">
      <c r="A808" s="1236"/>
      <c r="B808" s="1236"/>
      <c r="C808" s="69"/>
      <c r="D808" s="69"/>
      <c r="E808" s="69"/>
      <c r="F808" s="69"/>
      <c r="G808" s="69"/>
    </row>
    <row r="809" spans="1:7" x14ac:dyDescent="0.25">
      <c r="A809" s="1236"/>
      <c r="B809" s="1236"/>
      <c r="C809" s="69"/>
      <c r="D809" s="69"/>
      <c r="E809" s="69"/>
      <c r="F809" s="69"/>
      <c r="G809" s="83"/>
    </row>
    <row r="810" spans="1:7" x14ac:dyDescent="0.25">
      <c r="A810" s="1237"/>
      <c r="B810" s="1237"/>
      <c r="C810" s="82"/>
      <c r="D810" s="82"/>
      <c r="E810" s="82"/>
      <c r="F810" s="82"/>
      <c r="G810" s="64"/>
    </row>
    <row r="811" spans="1:7" x14ac:dyDescent="0.25">
      <c r="A811" s="1234"/>
      <c r="B811" s="1235"/>
      <c r="C811" s="80"/>
      <c r="D811" s="80"/>
      <c r="E811" s="80"/>
      <c r="F811" s="80"/>
      <c r="G811" s="67"/>
    </row>
    <row r="812" spans="1:7" x14ac:dyDescent="0.25">
      <c r="A812" s="1226"/>
      <c r="B812" s="1227"/>
      <c r="C812" s="43"/>
      <c r="D812" s="97"/>
      <c r="E812" s="92"/>
      <c r="F812" s="85"/>
      <c r="G812" s="69"/>
    </row>
    <row r="813" spans="1:7" x14ac:dyDescent="0.25">
      <c r="A813" s="1228"/>
      <c r="B813" s="1229"/>
      <c r="C813" s="43"/>
      <c r="D813" s="97"/>
      <c r="E813" s="92"/>
      <c r="F813" s="85"/>
      <c r="G813" s="43"/>
    </row>
    <row r="814" spans="1:7" x14ac:dyDescent="0.25">
      <c r="A814" s="1228"/>
      <c r="B814" s="1229"/>
      <c r="C814" s="69"/>
      <c r="D814" s="69"/>
      <c r="E814" s="69"/>
      <c r="F814" s="69"/>
      <c r="G814" s="65"/>
    </row>
    <row r="815" spans="1:7" x14ac:dyDescent="0.25">
      <c r="A815" s="910"/>
      <c r="B815" s="89"/>
      <c r="C815" s="89"/>
      <c r="D815" s="80"/>
      <c r="E815" s="80"/>
      <c r="F815" s="80"/>
      <c r="G815" s="67"/>
    </row>
    <row r="816" spans="1:7" x14ac:dyDescent="0.25">
      <c r="A816" s="899"/>
      <c r="B816" s="43"/>
      <c r="C816" s="43"/>
      <c r="D816" s="62"/>
      <c r="E816" s="91"/>
      <c r="F816" s="62"/>
      <c r="G816" s="69"/>
    </row>
    <row r="817" spans="1:7" x14ac:dyDescent="0.25">
      <c r="A817" s="90"/>
      <c r="B817" s="43"/>
      <c r="C817" s="43"/>
      <c r="D817" s="62"/>
      <c r="E817" s="91"/>
      <c r="F817" s="62"/>
      <c r="G817" s="69"/>
    </row>
    <row r="818" spans="1:7" x14ac:dyDescent="0.25">
      <c r="A818" s="90"/>
      <c r="B818" s="43"/>
      <c r="C818" s="43"/>
      <c r="D818" s="62"/>
      <c r="E818" s="92"/>
      <c r="F818" s="62"/>
      <c r="G818" s="69"/>
    </row>
    <row r="819" spans="1:7" x14ac:dyDescent="0.25">
      <c r="A819" s="90"/>
      <c r="B819" s="43"/>
      <c r="C819" s="43"/>
      <c r="D819" s="61"/>
      <c r="E819" s="92"/>
      <c r="F819" s="62"/>
      <c r="G819" s="43"/>
    </row>
    <row r="820" spans="1:7" x14ac:dyDescent="0.25">
      <c r="A820" s="90"/>
      <c r="B820" s="69"/>
      <c r="C820" s="69"/>
      <c r="D820" s="69"/>
      <c r="E820" s="69"/>
      <c r="F820" s="69"/>
      <c r="G820" s="64"/>
    </row>
    <row r="821" spans="1:7" x14ac:dyDescent="0.25">
      <c r="A821" s="910"/>
      <c r="B821" s="80"/>
      <c r="C821" s="80"/>
      <c r="D821" s="80"/>
      <c r="E821" s="89"/>
      <c r="F821" s="80"/>
      <c r="G821" s="67"/>
    </row>
    <row r="822" spans="1:7" x14ac:dyDescent="0.25">
      <c r="A822" s="81"/>
      <c r="B822" s="81"/>
      <c r="C822" s="81"/>
      <c r="D822" s="81"/>
      <c r="E822" s="81"/>
      <c r="F822" s="81"/>
      <c r="G822" s="81"/>
    </row>
    <row r="823" spans="1:7" x14ac:dyDescent="0.25">
      <c r="A823" s="69"/>
      <c r="B823" s="85"/>
      <c r="C823" s="96"/>
      <c r="D823" s="62"/>
      <c r="E823" s="121"/>
      <c r="F823" s="62"/>
      <c r="G823" s="69"/>
    </row>
    <row r="824" spans="1:7" x14ac:dyDescent="0.25">
      <c r="A824" s="881"/>
      <c r="B824" s="85"/>
      <c r="C824" s="96"/>
      <c r="D824" s="62"/>
      <c r="E824" s="101"/>
      <c r="F824" s="62"/>
      <c r="G824" s="69"/>
    </row>
    <row r="825" spans="1:7" x14ac:dyDescent="0.25">
      <c r="A825" s="69"/>
      <c r="B825" s="85"/>
      <c r="C825" s="69"/>
      <c r="D825" s="62"/>
      <c r="E825" s="69"/>
      <c r="F825" s="62"/>
      <c r="G825" s="69"/>
    </row>
    <row r="826" spans="1:7" x14ac:dyDescent="0.25">
      <c r="A826" s="69"/>
      <c r="B826" s="69"/>
      <c r="C826" s="69"/>
      <c r="D826" s="69"/>
      <c r="E826" s="69"/>
      <c r="F826" s="69"/>
      <c r="G826" s="43"/>
    </row>
    <row r="827" spans="1:7" x14ac:dyDescent="0.25">
      <c r="A827" s="82"/>
      <c r="B827" s="82"/>
      <c r="C827" s="82"/>
      <c r="D827" s="82"/>
      <c r="E827" s="82"/>
      <c r="F827" s="82"/>
      <c r="G827" s="64"/>
    </row>
    <row r="828" spans="1:7" x14ac:dyDescent="0.25">
      <c r="A828" s="1230"/>
      <c r="B828" s="1230"/>
      <c r="C828" s="1230"/>
      <c r="D828" s="1230"/>
      <c r="E828" s="1230"/>
      <c r="F828" s="1230"/>
      <c r="G828" s="1233"/>
    </row>
    <row r="829" spans="1:7" x14ac:dyDescent="0.25">
      <c r="A829" s="1248"/>
      <c r="B829" s="1248"/>
      <c r="C829" s="1248"/>
      <c r="D829" s="1248"/>
      <c r="E829" s="1231"/>
      <c r="F829" s="93"/>
      <c r="G829" s="70"/>
    </row>
    <row r="830" spans="1:7" x14ac:dyDescent="0.25">
      <c r="A830" s="1232"/>
      <c r="B830" s="1232"/>
      <c r="C830" s="1222"/>
      <c r="D830" s="1222"/>
      <c r="E830" s="1222"/>
      <c r="F830" s="1222"/>
      <c r="G830" s="1222"/>
    </row>
    <row r="831" spans="1:7" x14ac:dyDescent="0.25">
      <c r="A831" s="1232"/>
      <c r="B831" s="1232"/>
      <c r="C831" s="1222"/>
      <c r="D831" s="1222"/>
      <c r="E831" s="1222"/>
      <c r="F831" s="1222"/>
      <c r="G831" s="1222"/>
    </row>
    <row r="832" spans="1:7" x14ac:dyDescent="0.25">
      <c r="A832" s="1244"/>
      <c r="B832" s="1244"/>
      <c r="C832" s="1244"/>
      <c r="D832" s="1244"/>
      <c r="E832" s="1244"/>
      <c r="F832" s="1221"/>
      <c r="G832" s="1222"/>
    </row>
    <row r="833" spans="1:7" x14ac:dyDescent="0.25">
      <c r="A833" s="1244"/>
      <c r="B833" s="1244"/>
      <c r="C833" s="1244"/>
      <c r="D833" s="1244"/>
      <c r="E833" s="1244"/>
      <c r="F833" s="1221"/>
      <c r="G833" s="1222"/>
    </row>
    <row r="834" spans="1:7" x14ac:dyDescent="0.25">
      <c r="A834" s="1244"/>
      <c r="B834" s="1244"/>
      <c r="C834" s="1244"/>
      <c r="D834" s="1244"/>
      <c r="E834" s="1244"/>
      <c r="F834" s="1221"/>
      <c r="G834" s="1222"/>
    </row>
    <row r="835" spans="1:7" x14ac:dyDescent="0.25">
      <c r="A835" s="1244"/>
      <c r="B835" s="1244"/>
      <c r="C835" s="1244"/>
      <c r="D835" s="1244"/>
      <c r="E835" s="1244"/>
      <c r="F835" s="1221"/>
      <c r="G835" s="1222"/>
    </row>
    <row r="836" spans="1:7" x14ac:dyDescent="0.25">
      <c r="A836" s="1245"/>
      <c r="B836" s="1245"/>
      <c r="C836" s="1245"/>
      <c r="D836" s="1245"/>
      <c r="E836" s="1245"/>
      <c r="F836" s="1222"/>
      <c r="G836" s="1222"/>
    </row>
    <row r="845" spans="1:7" x14ac:dyDescent="0.25">
      <c r="A845" s="95"/>
      <c r="B845" s="94"/>
      <c r="C845" s="94"/>
      <c r="D845" s="94"/>
      <c r="E845" s="94"/>
      <c r="F845" s="882"/>
      <c r="G845" s="882"/>
    </row>
    <row r="846" spans="1:7" x14ac:dyDescent="0.25">
      <c r="A846" s="1238"/>
      <c r="B846" s="1246"/>
      <c r="C846" s="1246"/>
      <c r="D846" s="1246"/>
      <c r="E846" s="1247"/>
      <c r="F846" s="880"/>
      <c r="G846" s="880"/>
    </row>
    <row r="847" spans="1:7" x14ac:dyDescent="0.25">
      <c r="A847" s="1229"/>
      <c r="B847" s="1229"/>
      <c r="C847" s="1229"/>
      <c r="D847" s="1229"/>
      <c r="E847" s="1229"/>
      <c r="F847" s="1229"/>
      <c r="G847" s="1229"/>
    </row>
    <row r="848" spans="1:7" x14ac:dyDescent="0.25">
      <c r="A848" s="1234"/>
      <c r="B848" s="1235"/>
      <c r="C848" s="80"/>
      <c r="D848" s="80"/>
      <c r="E848" s="80"/>
      <c r="F848" s="80"/>
      <c r="G848" s="67"/>
    </row>
    <row r="849" spans="1:7" x14ac:dyDescent="0.25">
      <c r="A849" s="1236"/>
      <c r="B849" s="1236"/>
      <c r="C849" s="69"/>
      <c r="D849" s="62"/>
      <c r="E849" s="62"/>
      <c r="F849" s="62"/>
      <c r="G849" s="81"/>
    </row>
    <row r="850" spans="1:7" x14ac:dyDescent="0.25">
      <c r="A850" s="1236"/>
      <c r="B850" s="1236"/>
      <c r="C850" s="69"/>
      <c r="D850" s="62"/>
      <c r="E850" s="62"/>
      <c r="F850" s="62"/>
      <c r="G850" s="69"/>
    </row>
    <row r="851" spans="1:7" x14ac:dyDescent="0.25">
      <c r="A851" s="1236"/>
      <c r="B851" s="1236"/>
      <c r="C851" s="69"/>
      <c r="D851" s="69"/>
      <c r="E851" s="69"/>
      <c r="F851" s="62"/>
      <c r="G851" s="69"/>
    </row>
    <row r="852" spans="1:7" x14ac:dyDescent="0.25">
      <c r="A852" s="1236"/>
      <c r="B852" s="1236"/>
      <c r="C852" s="69"/>
      <c r="D852" s="69"/>
      <c r="E852" s="69"/>
      <c r="F852" s="69"/>
      <c r="G852" s="69"/>
    </row>
    <row r="853" spans="1:7" x14ac:dyDescent="0.25">
      <c r="A853" s="1236"/>
      <c r="B853" s="1236"/>
      <c r="C853" s="69"/>
      <c r="D853" s="69"/>
      <c r="E853" s="69"/>
      <c r="F853" s="69"/>
      <c r="G853" s="83"/>
    </row>
    <row r="854" spans="1:7" x14ac:dyDescent="0.25">
      <c r="A854" s="1237"/>
      <c r="B854" s="1237"/>
      <c r="C854" s="82"/>
      <c r="D854" s="82"/>
      <c r="E854" s="82"/>
      <c r="F854" s="82"/>
      <c r="G854" s="64"/>
    </row>
    <row r="855" spans="1:7" x14ac:dyDescent="0.25">
      <c r="A855" s="1234"/>
      <c r="B855" s="1235"/>
      <c r="C855" s="80"/>
      <c r="D855" s="80"/>
      <c r="E855" s="80"/>
      <c r="F855" s="80"/>
      <c r="G855" s="67"/>
    </row>
    <row r="856" spans="1:7" x14ac:dyDescent="0.25">
      <c r="A856" s="1226"/>
      <c r="B856" s="1227"/>
      <c r="C856" s="43"/>
      <c r="D856" s="97"/>
      <c r="E856" s="92"/>
      <c r="F856" s="85"/>
      <c r="G856" s="69"/>
    </row>
    <row r="857" spans="1:7" x14ac:dyDescent="0.25">
      <c r="A857" s="1228"/>
      <c r="B857" s="1229"/>
      <c r="C857" s="43"/>
      <c r="D857" s="97"/>
      <c r="E857" s="92"/>
      <c r="F857" s="85"/>
      <c r="G857" s="43"/>
    </row>
    <row r="858" spans="1:7" x14ac:dyDescent="0.25">
      <c r="A858" s="1228"/>
      <c r="B858" s="1229"/>
      <c r="C858" s="69"/>
      <c r="D858" s="69"/>
      <c r="E858" s="69"/>
      <c r="F858" s="69"/>
      <c r="G858" s="65"/>
    </row>
    <row r="859" spans="1:7" x14ac:dyDescent="0.25">
      <c r="A859" s="910"/>
      <c r="B859" s="89"/>
      <c r="C859" s="89"/>
      <c r="D859" s="80"/>
      <c r="E859" s="80"/>
      <c r="F859" s="80"/>
      <c r="G859" s="67"/>
    </row>
    <row r="860" spans="1:7" x14ac:dyDescent="0.25">
      <c r="A860" s="899"/>
      <c r="B860" s="43"/>
      <c r="C860" s="43"/>
      <c r="D860" s="62"/>
      <c r="E860" s="91"/>
      <c r="F860" s="62"/>
      <c r="G860" s="69"/>
    </row>
    <row r="861" spans="1:7" x14ac:dyDescent="0.25">
      <c r="A861" s="90"/>
      <c r="B861" s="43"/>
      <c r="C861" s="43"/>
      <c r="D861" s="62"/>
      <c r="E861" s="91"/>
      <c r="F861" s="62"/>
      <c r="G861" s="69"/>
    </row>
    <row r="862" spans="1:7" x14ac:dyDescent="0.25">
      <c r="A862" s="90"/>
      <c r="B862" s="43"/>
      <c r="C862" s="43"/>
      <c r="D862" s="62"/>
      <c r="E862" s="92"/>
      <c r="F862" s="62"/>
      <c r="G862" s="69"/>
    </row>
    <row r="863" spans="1:7" x14ac:dyDescent="0.25">
      <c r="A863" s="90"/>
      <c r="B863" s="43"/>
      <c r="C863" s="43"/>
      <c r="D863" s="61"/>
      <c r="E863" s="92"/>
      <c r="F863" s="62"/>
      <c r="G863" s="43"/>
    </row>
    <row r="864" spans="1:7" x14ac:dyDescent="0.25">
      <c r="A864" s="90"/>
      <c r="B864" s="69"/>
      <c r="C864" s="69"/>
      <c r="D864" s="69"/>
      <c r="E864" s="69"/>
      <c r="F864" s="69"/>
      <c r="G864" s="64"/>
    </row>
    <row r="865" spans="1:7" x14ac:dyDescent="0.25">
      <c r="A865" s="910"/>
      <c r="B865" s="80"/>
      <c r="C865" s="80"/>
      <c r="D865" s="80"/>
      <c r="E865" s="89"/>
      <c r="F865" s="80"/>
      <c r="G865" s="67"/>
    </row>
    <row r="866" spans="1:7" x14ac:dyDescent="0.25">
      <c r="A866" s="81"/>
      <c r="B866" s="81"/>
      <c r="C866" s="81"/>
      <c r="D866" s="81"/>
      <c r="E866" s="81"/>
      <c r="F866" s="81"/>
      <c r="G866" s="81"/>
    </row>
    <row r="867" spans="1:7" x14ac:dyDescent="0.25">
      <c r="A867" s="69"/>
      <c r="B867" s="85"/>
      <c r="C867" s="96"/>
      <c r="D867" s="62"/>
      <c r="E867" s="121"/>
      <c r="F867" s="62"/>
      <c r="G867" s="69"/>
    </row>
    <row r="868" spans="1:7" x14ac:dyDescent="0.25">
      <c r="A868" s="881"/>
      <c r="B868" s="85"/>
      <c r="C868" s="96"/>
      <c r="D868" s="62"/>
      <c r="E868" s="101"/>
      <c r="F868" s="62"/>
      <c r="G868" s="69"/>
    </row>
    <row r="869" spans="1:7" x14ac:dyDescent="0.25">
      <c r="A869" s="69"/>
      <c r="B869" s="85"/>
      <c r="C869" s="69"/>
      <c r="D869" s="62"/>
      <c r="E869" s="69"/>
      <c r="F869" s="62"/>
      <c r="G869" s="69"/>
    </row>
    <row r="870" spans="1:7" x14ac:dyDescent="0.25">
      <c r="A870" s="69"/>
      <c r="B870" s="69"/>
      <c r="C870" s="69"/>
      <c r="D870" s="69"/>
      <c r="E870" s="69"/>
      <c r="F870" s="69"/>
      <c r="G870" s="43"/>
    </row>
    <row r="871" spans="1:7" x14ac:dyDescent="0.25">
      <c r="A871" s="82"/>
      <c r="B871" s="82"/>
      <c r="C871" s="82"/>
      <c r="D871" s="82"/>
      <c r="E871" s="82"/>
      <c r="F871" s="82"/>
      <c r="G871" s="64"/>
    </row>
    <row r="872" spans="1:7" x14ac:dyDescent="0.25">
      <c r="A872" s="1230"/>
      <c r="B872" s="1230"/>
      <c r="C872" s="1230"/>
      <c r="D872" s="1230"/>
      <c r="E872" s="1230"/>
      <c r="F872" s="1230"/>
      <c r="G872" s="1233"/>
    </row>
    <row r="873" spans="1:7" x14ac:dyDescent="0.25">
      <c r="A873" s="1248"/>
      <c r="B873" s="1248"/>
      <c r="C873" s="1248"/>
      <c r="D873" s="1248"/>
      <c r="E873" s="1231"/>
      <c r="F873" s="93"/>
      <c r="G873" s="70"/>
    </row>
    <row r="874" spans="1:7" x14ac:dyDescent="0.25">
      <c r="A874" s="1232"/>
      <c r="B874" s="1232"/>
      <c r="C874" s="1222"/>
      <c r="D874" s="1222"/>
      <c r="E874" s="1222"/>
      <c r="F874" s="1222"/>
      <c r="G874" s="1222"/>
    </row>
    <row r="875" spans="1:7" x14ac:dyDescent="0.25">
      <c r="A875" s="1232"/>
      <c r="B875" s="1232"/>
      <c r="C875" s="1222"/>
      <c r="D875" s="1222"/>
      <c r="E875" s="1222"/>
      <c r="F875" s="1222"/>
      <c r="G875" s="1222"/>
    </row>
    <row r="876" spans="1:7" x14ac:dyDescent="0.25">
      <c r="A876" s="1244"/>
      <c r="B876" s="1244"/>
      <c r="C876" s="1244"/>
      <c r="D876" s="1244"/>
      <c r="E876" s="1244"/>
      <c r="F876" s="1221"/>
      <c r="G876" s="1222"/>
    </row>
    <row r="877" spans="1:7" x14ac:dyDescent="0.25">
      <c r="A877" s="1244"/>
      <c r="B877" s="1244"/>
      <c r="C877" s="1244"/>
      <c r="D877" s="1244"/>
      <c r="E877" s="1244"/>
      <c r="F877" s="1221"/>
      <c r="G877" s="1222"/>
    </row>
    <row r="878" spans="1:7" x14ac:dyDescent="0.25">
      <c r="A878" s="1244"/>
      <c r="B878" s="1244"/>
      <c r="C878" s="1244"/>
      <c r="D878" s="1244"/>
      <c r="E878" s="1244"/>
      <c r="F878" s="1221"/>
      <c r="G878" s="1222"/>
    </row>
    <row r="879" spans="1:7" x14ac:dyDescent="0.25">
      <c r="A879" s="1244"/>
      <c r="B879" s="1244"/>
      <c r="C879" s="1244"/>
      <c r="D879" s="1244"/>
      <c r="E879" s="1244"/>
      <c r="F879" s="1221"/>
      <c r="G879" s="1222"/>
    </row>
    <row r="880" spans="1:7" x14ac:dyDescent="0.25">
      <c r="A880" s="1245"/>
      <c r="B880" s="1245"/>
      <c r="C880" s="1245"/>
      <c r="D880" s="1245"/>
      <c r="E880" s="1245"/>
      <c r="F880" s="1222"/>
      <c r="G880" s="1222"/>
    </row>
    <row r="887" spans="1:7" x14ac:dyDescent="0.25">
      <c r="A887" s="95"/>
      <c r="B887" s="94"/>
      <c r="C887" s="94"/>
      <c r="D887" s="94"/>
      <c r="E887" s="94"/>
      <c r="F887" s="882"/>
      <c r="G887" s="882"/>
    </row>
    <row r="888" spans="1:7" x14ac:dyDescent="0.25">
      <c r="A888" s="1238"/>
      <c r="B888" s="1246"/>
      <c r="C888" s="1246"/>
      <c r="D888" s="1246"/>
      <c r="E888" s="1247"/>
      <c r="F888" s="880"/>
      <c r="G888" s="880"/>
    </row>
    <row r="889" spans="1:7" x14ac:dyDescent="0.25">
      <c r="A889" s="1229"/>
      <c r="B889" s="1229"/>
      <c r="C889" s="1229"/>
      <c r="D889" s="1229"/>
      <c r="E889" s="1229"/>
      <c r="F889" s="1229"/>
      <c r="G889" s="1229"/>
    </row>
    <row r="890" spans="1:7" x14ac:dyDescent="0.25">
      <c r="A890" s="1234"/>
      <c r="B890" s="1235"/>
      <c r="C890" s="80"/>
      <c r="D890" s="80"/>
      <c r="E890" s="80"/>
      <c r="F890" s="80"/>
      <c r="G890" s="67"/>
    </row>
    <row r="891" spans="1:7" x14ac:dyDescent="0.25">
      <c r="A891" s="1236"/>
      <c r="B891" s="1236"/>
      <c r="C891" s="69"/>
      <c r="D891" s="62"/>
      <c r="E891" s="62"/>
      <c r="F891" s="62"/>
      <c r="G891" s="81"/>
    </row>
    <row r="892" spans="1:7" x14ac:dyDescent="0.25">
      <c r="A892" s="1236"/>
      <c r="B892" s="1236"/>
      <c r="C892" s="69"/>
      <c r="D892" s="62"/>
      <c r="E892" s="62"/>
      <c r="F892" s="62"/>
      <c r="G892" s="69"/>
    </row>
    <row r="893" spans="1:7" x14ac:dyDescent="0.25">
      <c r="A893" s="1236"/>
      <c r="B893" s="1236"/>
      <c r="C893" s="69"/>
      <c r="D893" s="69"/>
      <c r="E893" s="69"/>
      <c r="F893" s="62"/>
      <c r="G893" s="69"/>
    </row>
    <row r="894" spans="1:7" x14ac:dyDescent="0.25">
      <c r="A894" s="1236"/>
      <c r="B894" s="1236"/>
      <c r="C894" s="69"/>
      <c r="D894" s="69"/>
      <c r="E894" s="69"/>
      <c r="F894" s="69"/>
      <c r="G894" s="69"/>
    </row>
    <row r="895" spans="1:7" x14ac:dyDescent="0.25">
      <c r="A895" s="1236"/>
      <c r="B895" s="1236"/>
      <c r="C895" s="69"/>
      <c r="D895" s="69"/>
      <c r="E895" s="69"/>
      <c r="F895" s="69"/>
      <c r="G895" s="83"/>
    </row>
    <row r="896" spans="1:7" x14ac:dyDescent="0.25">
      <c r="A896" s="1237"/>
      <c r="B896" s="1237"/>
      <c r="C896" s="82"/>
      <c r="D896" s="82"/>
      <c r="E896" s="82"/>
      <c r="F896" s="82"/>
      <c r="G896" s="64"/>
    </row>
    <row r="897" spans="1:7" x14ac:dyDescent="0.25">
      <c r="A897" s="1234"/>
      <c r="B897" s="1235"/>
      <c r="C897" s="80"/>
      <c r="D897" s="80"/>
      <c r="E897" s="80"/>
      <c r="F897" s="80"/>
      <c r="G897" s="67"/>
    </row>
    <row r="898" spans="1:7" x14ac:dyDescent="0.25">
      <c r="A898" s="1226"/>
      <c r="B898" s="1227"/>
      <c r="C898" s="43"/>
      <c r="D898" s="97"/>
      <c r="E898" s="92"/>
      <c r="F898" s="85"/>
      <c r="G898" s="69"/>
    </row>
    <row r="899" spans="1:7" x14ac:dyDescent="0.25">
      <c r="A899" s="1228"/>
      <c r="B899" s="1229"/>
      <c r="C899" s="43"/>
      <c r="D899" s="97"/>
      <c r="E899" s="92"/>
      <c r="F899" s="85"/>
      <c r="G899" s="43"/>
    </row>
    <row r="900" spans="1:7" x14ac:dyDescent="0.25">
      <c r="A900" s="1228"/>
      <c r="B900" s="1229"/>
      <c r="C900" s="69"/>
      <c r="D900" s="69"/>
      <c r="E900" s="69"/>
      <c r="F900" s="69"/>
      <c r="G900" s="65"/>
    </row>
    <row r="901" spans="1:7" x14ac:dyDescent="0.25">
      <c r="A901" s="910"/>
      <c r="B901" s="89"/>
      <c r="C901" s="89"/>
      <c r="D901" s="80"/>
      <c r="E901" s="80"/>
      <c r="F901" s="80"/>
      <c r="G901" s="67"/>
    </row>
    <row r="902" spans="1:7" x14ac:dyDescent="0.25">
      <c r="A902" s="899"/>
      <c r="B902" s="43"/>
      <c r="C902" s="43"/>
      <c r="D902" s="62"/>
      <c r="E902" s="91"/>
      <c r="F902" s="62"/>
      <c r="G902" s="69"/>
    </row>
    <row r="903" spans="1:7" x14ac:dyDescent="0.25">
      <c r="A903" s="90"/>
      <c r="B903" s="43"/>
      <c r="C903" s="43"/>
      <c r="D903" s="62"/>
      <c r="E903" s="91"/>
      <c r="F903" s="62"/>
      <c r="G903" s="69"/>
    </row>
    <row r="904" spans="1:7" x14ac:dyDescent="0.25">
      <c r="A904" s="90"/>
      <c r="B904" s="43"/>
      <c r="C904" s="43"/>
      <c r="D904" s="62"/>
      <c r="E904" s="92"/>
      <c r="F904" s="62"/>
      <c r="G904" s="69"/>
    </row>
    <row r="905" spans="1:7" x14ac:dyDescent="0.25">
      <c r="A905" s="90"/>
      <c r="B905" s="43"/>
      <c r="C905" s="43"/>
      <c r="D905" s="61"/>
      <c r="E905" s="92"/>
      <c r="F905" s="62"/>
      <c r="G905" s="43"/>
    </row>
    <row r="906" spans="1:7" x14ac:dyDescent="0.25">
      <c r="A906" s="90"/>
      <c r="B906" s="69"/>
      <c r="C906" s="69"/>
      <c r="D906" s="69"/>
      <c r="E906" s="69"/>
      <c r="F906" s="69"/>
      <c r="G906" s="64"/>
    </row>
    <row r="907" spans="1:7" x14ac:dyDescent="0.25">
      <c r="A907" s="910"/>
      <c r="B907" s="80"/>
      <c r="C907" s="80"/>
      <c r="D907" s="80"/>
      <c r="E907" s="89"/>
      <c r="F907" s="80"/>
      <c r="G907" s="67"/>
    </row>
    <row r="908" spans="1:7" x14ac:dyDescent="0.25">
      <c r="A908" s="81"/>
      <c r="B908" s="81"/>
      <c r="C908" s="81"/>
      <c r="D908" s="81"/>
      <c r="E908" s="81"/>
      <c r="F908" s="81"/>
      <c r="G908" s="81"/>
    </row>
    <row r="909" spans="1:7" x14ac:dyDescent="0.25">
      <c r="A909" s="69"/>
      <c r="B909" s="85"/>
      <c r="C909" s="96"/>
      <c r="D909" s="62"/>
      <c r="E909" s="121"/>
      <c r="F909" s="62"/>
      <c r="G909" s="69"/>
    </row>
    <row r="910" spans="1:7" x14ac:dyDescent="0.25">
      <c r="A910" s="881"/>
      <c r="B910" s="85"/>
      <c r="C910" s="96"/>
      <c r="D910" s="62"/>
      <c r="E910" s="101"/>
      <c r="F910" s="62"/>
      <c r="G910" s="69"/>
    </row>
    <row r="911" spans="1:7" x14ac:dyDescent="0.25">
      <c r="A911" s="69"/>
      <c r="B911" s="85"/>
      <c r="C911" s="69"/>
      <c r="D911" s="62"/>
      <c r="E911" s="69"/>
      <c r="F911" s="62"/>
      <c r="G911" s="69"/>
    </row>
    <row r="912" spans="1:7" x14ac:dyDescent="0.25">
      <c r="A912" s="69"/>
      <c r="B912" s="69"/>
      <c r="C912" s="69"/>
      <c r="D912" s="69"/>
      <c r="E912" s="69"/>
      <c r="F912" s="69"/>
      <c r="G912" s="43"/>
    </row>
    <row r="913" spans="1:7" x14ac:dyDescent="0.25">
      <c r="A913" s="82"/>
      <c r="B913" s="82"/>
      <c r="C913" s="82"/>
      <c r="D913" s="82"/>
      <c r="E913" s="82"/>
      <c r="F913" s="82"/>
      <c r="G913" s="64"/>
    </row>
    <row r="914" spans="1:7" x14ac:dyDescent="0.25">
      <c r="A914" s="1230"/>
      <c r="B914" s="1230"/>
      <c r="C914" s="1230"/>
      <c r="D914" s="1230"/>
      <c r="E914" s="1230"/>
      <c r="F914" s="1230"/>
      <c r="G914" s="1233"/>
    </row>
    <row r="915" spans="1:7" x14ac:dyDescent="0.25">
      <c r="A915" s="1248"/>
      <c r="B915" s="1248"/>
      <c r="C915" s="1248"/>
      <c r="D915" s="1248"/>
      <c r="E915" s="1231"/>
      <c r="F915" s="93"/>
      <c r="G915" s="70"/>
    </row>
    <row r="916" spans="1:7" x14ac:dyDescent="0.25">
      <c r="A916" s="1232"/>
      <c r="B916" s="1232"/>
      <c r="C916" s="1222"/>
      <c r="D916" s="1222"/>
      <c r="E916" s="1222"/>
      <c r="F916" s="1222"/>
      <c r="G916" s="1222"/>
    </row>
    <row r="917" spans="1:7" x14ac:dyDescent="0.25">
      <c r="A917" s="1232"/>
      <c r="B917" s="1232"/>
      <c r="C917" s="1222"/>
      <c r="D917" s="1222"/>
      <c r="E917" s="1222"/>
      <c r="F917" s="1222"/>
      <c r="G917" s="1222"/>
    </row>
    <row r="918" spans="1:7" x14ac:dyDescent="0.25">
      <c r="A918" s="1244"/>
      <c r="B918" s="1244"/>
      <c r="C918" s="1244"/>
      <c r="D918" s="1244"/>
      <c r="E918" s="1244"/>
      <c r="F918" s="1221"/>
      <c r="G918" s="1222"/>
    </row>
    <row r="919" spans="1:7" x14ac:dyDescent="0.25">
      <c r="A919" s="1244"/>
      <c r="B919" s="1244"/>
      <c r="C919" s="1244"/>
      <c r="D919" s="1244"/>
      <c r="E919" s="1244"/>
      <c r="F919" s="1221"/>
      <c r="G919" s="1222"/>
    </row>
    <row r="920" spans="1:7" x14ac:dyDescent="0.25">
      <c r="A920" s="1244"/>
      <c r="B920" s="1244"/>
      <c r="C920" s="1244"/>
      <c r="D920" s="1244"/>
      <c r="E920" s="1244"/>
      <c r="F920" s="1221"/>
      <c r="G920" s="1222"/>
    </row>
    <row r="921" spans="1:7" x14ac:dyDescent="0.25">
      <c r="A921" s="1244"/>
      <c r="B921" s="1244"/>
      <c r="C921" s="1244"/>
      <c r="D921" s="1244"/>
      <c r="E921" s="1244"/>
      <c r="F921" s="1221"/>
      <c r="G921" s="1222"/>
    </row>
    <row r="922" spans="1:7" x14ac:dyDescent="0.25">
      <c r="A922" s="1245"/>
      <c r="B922" s="1245"/>
      <c r="C922" s="1245"/>
      <c r="D922" s="1245"/>
      <c r="E922" s="1245"/>
      <c r="F922" s="1222"/>
      <c r="G922" s="1222"/>
    </row>
    <row r="930" spans="1:7" x14ac:dyDescent="0.25">
      <c r="A930" s="95"/>
      <c r="B930" s="94"/>
      <c r="C930" s="94"/>
      <c r="D930" s="94"/>
      <c r="E930" s="94"/>
      <c r="F930" s="882"/>
      <c r="G930" s="882"/>
    </row>
    <row r="931" spans="1:7" x14ac:dyDescent="0.25">
      <c r="A931" s="1238"/>
      <c r="B931" s="1246"/>
      <c r="C931" s="1246"/>
      <c r="D931" s="1246"/>
      <c r="E931" s="1247"/>
      <c r="F931" s="880"/>
      <c r="G931" s="880"/>
    </row>
    <row r="932" spans="1:7" x14ac:dyDescent="0.25">
      <c r="A932" s="1229"/>
      <c r="B932" s="1229"/>
      <c r="C932" s="1229"/>
      <c r="D932" s="1229"/>
      <c r="E932" s="1229"/>
      <c r="F932" s="1229"/>
      <c r="G932" s="1229"/>
    </row>
    <row r="933" spans="1:7" x14ac:dyDescent="0.25">
      <c r="A933" s="1234"/>
      <c r="B933" s="1235"/>
      <c r="C933" s="80"/>
      <c r="D933" s="80"/>
      <c r="E933" s="80"/>
      <c r="F933" s="80"/>
      <c r="G933" s="67"/>
    </row>
    <row r="934" spans="1:7" x14ac:dyDescent="0.25">
      <c r="A934" s="1236"/>
      <c r="B934" s="1236"/>
      <c r="C934" s="69"/>
      <c r="D934" s="62"/>
      <c r="E934" s="62"/>
      <c r="F934" s="62"/>
      <c r="G934" s="81"/>
    </row>
    <row r="935" spans="1:7" x14ac:dyDescent="0.25">
      <c r="A935" s="1236"/>
      <c r="B935" s="1236"/>
      <c r="C935" s="69"/>
      <c r="D935" s="62"/>
      <c r="E935" s="62"/>
      <c r="F935" s="62"/>
      <c r="G935" s="69"/>
    </row>
    <row r="936" spans="1:7" x14ac:dyDescent="0.25">
      <c r="A936" s="1236"/>
      <c r="B936" s="1236"/>
      <c r="C936" s="69"/>
      <c r="D936" s="69"/>
      <c r="E936" s="69"/>
      <c r="F936" s="62"/>
      <c r="G936" s="69"/>
    </row>
    <row r="937" spans="1:7" x14ac:dyDescent="0.25">
      <c r="A937" s="1236"/>
      <c r="B937" s="1236"/>
      <c r="C937" s="69"/>
      <c r="D937" s="69"/>
      <c r="E937" s="69"/>
      <c r="F937" s="69"/>
      <c r="G937" s="69"/>
    </row>
    <row r="938" spans="1:7" x14ac:dyDescent="0.25">
      <c r="A938" s="1236"/>
      <c r="B938" s="1236"/>
      <c r="C938" s="69"/>
      <c r="D938" s="69"/>
      <c r="E938" s="69"/>
      <c r="F938" s="69"/>
      <c r="G938" s="83"/>
    </row>
    <row r="939" spans="1:7" x14ac:dyDescent="0.25">
      <c r="A939" s="1237"/>
      <c r="B939" s="1237"/>
      <c r="C939" s="82"/>
      <c r="D939" s="82"/>
      <c r="E939" s="82"/>
      <c r="F939" s="82"/>
      <c r="G939" s="64"/>
    </row>
    <row r="940" spans="1:7" x14ac:dyDescent="0.25">
      <c r="A940" s="1234"/>
      <c r="B940" s="1235"/>
      <c r="C940" s="80"/>
      <c r="D940" s="80"/>
      <c r="E940" s="80"/>
      <c r="F940" s="80"/>
      <c r="G940" s="67"/>
    </row>
    <row r="941" spans="1:7" x14ac:dyDescent="0.25">
      <c r="A941" s="1226"/>
      <c r="B941" s="1227"/>
      <c r="C941" s="43"/>
      <c r="D941" s="97"/>
      <c r="E941" s="92"/>
      <c r="F941" s="85"/>
      <c r="G941" s="69"/>
    </row>
    <row r="942" spans="1:7" x14ac:dyDescent="0.25">
      <c r="A942" s="1228"/>
      <c r="B942" s="1229"/>
      <c r="C942" s="43"/>
      <c r="D942" s="97"/>
      <c r="E942" s="92"/>
      <c r="F942" s="85"/>
      <c r="G942" s="43"/>
    </row>
    <row r="943" spans="1:7" x14ac:dyDescent="0.25">
      <c r="A943" s="1228"/>
      <c r="B943" s="1229"/>
      <c r="C943" s="69"/>
      <c r="D943" s="69"/>
      <c r="E943" s="69"/>
      <c r="F943" s="69"/>
      <c r="G943" s="65"/>
    </row>
    <row r="944" spans="1:7" x14ac:dyDescent="0.25">
      <c r="A944" s="910"/>
      <c r="B944" s="89"/>
      <c r="C944" s="89"/>
      <c r="D944" s="80"/>
      <c r="E944" s="80"/>
      <c r="F944" s="80"/>
      <c r="G944" s="67"/>
    </row>
    <row r="945" spans="1:7" x14ac:dyDescent="0.25">
      <c r="A945" s="899"/>
      <c r="B945" s="43"/>
      <c r="C945" s="43"/>
      <c r="D945" s="62"/>
      <c r="E945" s="91"/>
      <c r="F945" s="62"/>
      <c r="G945" s="69"/>
    </row>
    <row r="946" spans="1:7" x14ac:dyDescent="0.25">
      <c r="A946" s="90"/>
      <c r="B946" s="43"/>
      <c r="C946" s="43"/>
      <c r="D946" s="62"/>
      <c r="E946" s="91"/>
      <c r="F946" s="62"/>
      <c r="G946" s="69"/>
    </row>
    <row r="947" spans="1:7" x14ac:dyDescent="0.25">
      <c r="A947" s="90"/>
      <c r="B947" s="43"/>
      <c r="C947" s="43"/>
      <c r="D947" s="62"/>
      <c r="E947" s="92"/>
      <c r="F947" s="62"/>
      <c r="G947" s="69"/>
    </row>
    <row r="948" spans="1:7" x14ac:dyDescent="0.25">
      <c r="A948" s="90"/>
      <c r="B948" s="43"/>
      <c r="C948" s="43"/>
      <c r="D948" s="61"/>
      <c r="E948" s="92"/>
      <c r="F948" s="62"/>
      <c r="G948" s="43"/>
    </row>
    <row r="949" spans="1:7" x14ac:dyDescent="0.25">
      <c r="A949" s="90"/>
      <c r="B949" s="69"/>
      <c r="C949" s="69"/>
      <c r="D949" s="69"/>
      <c r="E949" s="69"/>
      <c r="F949" s="69"/>
      <c r="G949" s="64"/>
    </row>
    <row r="950" spans="1:7" x14ac:dyDescent="0.25">
      <c r="A950" s="910"/>
      <c r="B950" s="80"/>
      <c r="C950" s="80"/>
      <c r="D950" s="80"/>
      <c r="E950" s="89"/>
      <c r="F950" s="80"/>
      <c r="G950" s="67"/>
    </row>
    <row r="951" spans="1:7" x14ac:dyDescent="0.25">
      <c r="A951" s="81"/>
      <c r="B951" s="81"/>
      <c r="C951" s="81"/>
      <c r="D951" s="81"/>
      <c r="E951" s="81"/>
      <c r="F951" s="81"/>
      <c r="G951" s="81"/>
    </row>
    <row r="952" spans="1:7" x14ac:dyDescent="0.25">
      <c r="A952" s="69"/>
      <c r="B952" s="85"/>
      <c r="C952" s="96"/>
      <c r="D952" s="62"/>
      <c r="E952" s="121"/>
      <c r="F952" s="62"/>
      <c r="G952" s="69"/>
    </row>
    <row r="953" spans="1:7" x14ac:dyDescent="0.25">
      <c r="A953" s="881"/>
      <c r="B953" s="85"/>
      <c r="C953" s="96"/>
      <c r="D953" s="62"/>
      <c r="E953" s="101"/>
      <c r="F953" s="62"/>
      <c r="G953" s="69"/>
    </row>
    <row r="954" spans="1:7" x14ac:dyDescent="0.25">
      <c r="A954" s="69"/>
      <c r="B954" s="85"/>
      <c r="C954" s="69"/>
      <c r="D954" s="62"/>
      <c r="E954" s="69"/>
      <c r="F954" s="62"/>
      <c r="G954" s="69"/>
    </row>
    <row r="955" spans="1:7" x14ac:dyDescent="0.25">
      <c r="A955" s="69"/>
      <c r="B955" s="69"/>
      <c r="C955" s="69"/>
      <c r="D955" s="69"/>
      <c r="E955" s="69"/>
      <c r="F955" s="69"/>
      <c r="G955" s="43"/>
    </row>
    <row r="956" spans="1:7" x14ac:dyDescent="0.25">
      <c r="A956" s="82"/>
      <c r="B956" s="82"/>
      <c r="C956" s="82"/>
      <c r="D956" s="82"/>
      <c r="E956" s="82"/>
      <c r="F956" s="82"/>
      <c r="G956" s="64"/>
    </row>
    <row r="957" spans="1:7" x14ac:dyDescent="0.25">
      <c r="A957" s="1230"/>
      <c r="B957" s="1230"/>
      <c r="C957" s="1230"/>
      <c r="D957" s="1230"/>
      <c r="E957" s="1230"/>
      <c r="F957" s="1230"/>
      <c r="G957" s="1233"/>
    </row>
    <row r="958" spans="1:7" x14ac:dyDescent="0.25">
      <c r="A958" s="1248"/>
      <c r="B958" s="1248"/>
      <c r="C958" s="1248"/>
      <c r="D958" s="1248"/>
      <c r="E958" s="1231"/>
      <c r="F958" s="93"/>
      <c r="G958" s="70"/>
    </row>
    <row r="959" spans="1:7" x14ac:dyDescent="0.25">
      <c r="A959" s="1232"/>
      <c r="B959" s="1232"/>
      <c r="C959" s="1222"/>
      <c r="D959" s="1222"/>
      <c r="E959" s="1222"/>
      <c r="F959" s="1222"/>
      <c r="G959" s="1222"/>
    </row>
    <row r="960" spans="1:7" x14ac:dyDescent="0.25">
      <c r="A960" s="1232"/>
      <c r="B960" s="1232"/>
      <c r="C960" s="1222"/>
      <c r="D960" s="1222"/>
      <c r="E960" s="1222"/>
      <c r="F960" s="1222"/>
      <c r="G960" s="1222"/>
    </row>
    <row r="961" spans="1:7" x14ac:dyDescent="0.25">
      <c r="A961" s="1244"/>
      <c r="B961" s="1244"/>
      <c r="C961" s="1244"/>
      <c r="D961" s="1244"/>
      <c r="E961" s="1244"/>
      <c r="F961" s="1221"/>
      <c r="G961" s="1222"/>
    </row>
    <row r="962" spans="1:7" x14ac:dyDescent="0.25">
      <c r="A962" s="1244"/>
      <c r="B962" s="1244"/>
      <c r="C962" s="1244"/>
      <c r="D962" s="1244"/>
      <c r="E962" s="1244"/>
      <c r="F962" s="1221"/>
      <c r="G962" s="1222"/>
    </row>
    <row r="963" spans="1:7" x14ac:dyDescent="0.25">
      <c r="A963" s="1244"/>
      <c r="B963" s="1244"/>
      <c r="C963" s="1244"/>
      <c r="D963" s="1244"/>
      <c r="E963" s="1244"/>
      <c r="F963" s="1221"/>
      <c r="G963" s="1222"/>
    </row>
    <row r="964" spans="1:7" x14ac:dyDescent="0.25">
      <c r="A964" s="1244"/>
      <c r="B964" s="1244"/>
      <c r="C964" s="1244"/>
      <c r="D964" s="1244"/>
      <c r="E964" s="1244"/>
      <c r="F964" s="1221"/>
      <c r="G964" s="1222"/>
    </row>
    <row r="965" spans="1:7" x14ac:dyDescent="0.25">
      <c r="A965" s="1245"/>
      <c r="B965" s="1245"/>
      <c r="C965" s="1245"/>
      <c r="D965" s="1245"/>
      <c r="E965" s="1245"/>
      <c r="F965" s="1222"/>
      <c r="G965" s="1222"/>
    </row>
    <row r="973" spans="1:7" x14ac:dyDescent="0.25">
      <c r="A973" s="95"/>
      <c r="B973" s="94"/>
      <c r="C973" s="94"/>
      <c r="D973" s="94"/>
      <c r="E973" s="94"/>
      <c r="F973" s="882"/>
      <c r="G973" s="882"/>
    </row>
    <row r="974" spans="1:7" ht="27" customHeight="1" x14ac:dyDescent="0.25">
      <c r="A974" s="1238"/>
      <c r="B974" s="1246"/>
      <c r="C974" s="1246"/>
      <c r="D974" s="1246"/>
      <c r="E974" s="1247"/>
      <c r="F974" s="880"/>
      <c r="G974" s="880"/>
    </row>
    <row r="975" spans="1:7" x14ac:dyDescent="0.25">
      <c r="A975" s="1229"/>
      <c r="B975" s="1229"/>
      <c r="C975" s="1229"/>
      <c r="D975" s="1229"/>
      <c r="E975" s="1229"/>
      <c r="F975" s="1229"/>
      <c r="G975" s="1229"/>
    </row>
    <row r="976" spans="1:7" x14ac:dyDescent="0.25">
      <c r="A976" s="1234"/>
      <c r="B976" s="1235"/>
      <c r="C976" s="80"/>
      <c r="D976" s="80"/>
      <c r="E976" s="80"/>
      <c r="F976" s="80"/>
      <c r="G976" s="67"/>
    </row>
    <row r="977" spans="1:7" x14ac:dyDescent="0.25">
      <c r="A977" s="1236"/>
      <c r="B977" s="1236"/>
      <c r="C977" s="69"/>
      <c r="D977" s="62"/>
      <c r="E977" s="62"/>
      <c r="F977" s="62"/>
      <c r="G977" s="81"/>
    </row>
    <row r="978" spans="1:7" x14ac:dyDescent="0.25">
      <c r="A978" s="1236"/>
      <c r="B978" s="1236"/>
      <c r="C978" s="69"/>
      <c r="D978" s="62"/>
      <c r="E978" s="62"/>
      <c r="F978" s="62"/>
      <c r="G978" s="69"/>
    </row>
    <row r="979" spans="1:7" x14ac:dyDescent="0.25">
      <c r="A979" s="1236"/>
      <c r="B979" s="1236"/>
      <c r="C979" s="69"/>
      <c r="D979" s="69"/>
      <c r="E979" s="69"/>
      <c r="F979" s="62"/>
      <c r="G979" s="69"/>
    </row>
    <row r="980" spans="1:7" x14ac:dyDescent="0.25">
      <c r="A980" s="1236"/>
      <c r="B980" s="1236"/>
      <c r="C980" s="69"/>
      <c r="D980" s="69"/>
      <c r="E980" s="69"/>
      <c r="F980" s="69"/>
      <c r="G980" s="69"/>
    </row>
    <row r="981" spans="1:7" x14ac:dyDescent="0.25">
      <c r="A981" s="1236"/>
      <c r="B981" s="1236"/>
      <c r="C981" s="69"/>
      <c r="D981" s="69"/>
      <c r="E981" s="69"/>
      <c r="F981" s="69"/>
      <c r="G981" s="83"/>
    </row>
    <row r="982" spans="1:7" x14ac:dyDescent="0.25">
      <c r="A982" s="1237"/>
      <c r="B982" s="1237"/>
      <c r="C982" s="82"/>
      <c r="D982" s="82"/>
      <c r="E982" s="82"/>
      <c r="F982" s="82"/>
      <c r="G982" s="64"/>
    </row>
    <row r="983" spans="1:7" x14ac:dyDescent="0.25">
      <c r="A983" s="1234"/>
      <c r="B983" s="1235"/>
      <c r="C983" s="80"/>
      <c r="D983" s="80"/>
      <c r="E983" s="80"/>
      <c r="F983" s="80"/>
      <c r="G983" s="67"/>
    </row>
    <row r="984" spans="1:7" x14ac:dyDescent="0.25">
      <c r="A984" s="1226"/>
      <c r="B984" s="1227"/>
      <c r="C984" s="43"/>
      <c r="D984" s="97"/>
      <c r="E984" s="92"/>
      <c r="F984" s="85"/>
      <c r="G984" s="69"/>
    </row>
    <row r="985" spans="1:7" x14ac:dyDescent="0.25">
      <c r="A985" s="1228"/>
      <c r="B985" s="1229"/>
      <c r="C985" s="43"/>
      <c r="D985" s="97"/>
      <c r="E985" s="92"/>
      <c r="F985" s="85"/>
      <c r="G985" s="43"/>
    </row>
    <row r="986" spans="1:7" x14ac:dyDescent="0.25">
      <c r="A986" s="1228"/>
      <c r="B986" s="1229"/>
      <c r="C986" s="69"/>
      <c r="D986" s="69"/>
      <c r="E986" s="69"/>
      <c r="F986" s="69"/>
      <c r="G986" s="65"/>
    </row>
    <row r="987" spans="1:7" x14ac:dyDescent="0.25">
      <c r="A987" s="910"/>
      <c r="B987" s="89"/>
      <c r="C987" s="89"/>
      <c r="D987" s="80"/>
      <c r="E987" s="80"/>
      <c r="F987" s="80"/>
      <c r="G987" s="67"/>
    </row>
    <row r="988" spans="1:7" x14ac:dyDescent="0.25">
      <c r="A988" s="899"/>
      <c r="B988" s="43"/>
      <c r="C988" s="43"/>
      <c r="D988" s="62"/>
      <c r="E988" s="91"/>
      <c r="F988" s="62"/>
      <c r="G988" s="69"/>
    </row>
    <row r="989" spans="1:7" x14ac:dyDescent="0.25">
      <c r="A989" s="90"/>
      <c r="B989" s="43"/>
      <c r="C989" s="43"/>
      <c r="D989" s="62"/>
      <c r="E989" s="91"/>
      <c r="F989" s="62"/>
      <c r="G989" s="69"/>
    </row>
    <row r="990" spans="1:7" x14ac:dyDescent="0.25">
      <c r="A990" s="90"/>
      <c r="B990" s="43"/>
      <c r="C990" s="43"/>
      <c r="D990" s="62"/>
      <c r="E990" s="92"/>
      <c r="F990" s="62"/>
      <c r="G990" s="69"/>
    </row>
    <row r="991" spans="1:7" x14ac:dyDescent="0.25">
      <c r="A991" s="90"/>
      <c r="B991" s="43"/>
      <c r="C991" s="43"/>
      <c r="D991" s="61"/>
      <c r="E991" s="92"/>
      <c r="F991" s="62"/>
      <c r="G991" s="43"/>
    </row>
    <row r="992" spans="1:7" x14ac:dyDescent="0.25">
      <c r="A992" s="90"/>
      <c r="B992" s="69"/>
      <c r="C992" s="69"/>
      <c r="D992" s="69"/>
      <c r="E992" s="69"/>
      <c r="F992" s="69"/>
      <c r="G992" s="64"/>
    </row>
    <row r="993" spans="1:7" x14ac:dyDescent="0.25">
      <c r="A993" s="910"/>
      <c r="B993" s="80"/>
      <c r="C993" s="80"/>
      <c r="D993" s="80"/>
      <c r="E993" s="89"/>
      <c r="F993" s="80"/>
      <c r="G993" s="67"/>
    </row>
    <row r="994" spans="1:7" x14ac:dyDescent="0.25">
      <c r="A994" s="81"/>
      <c r="B994" s="81"/>
      <c r="C994" s="81"/>
      <c r="D994" s="81"/>
      <c r="E994" s="81"/>
      <c r="F994" s="81"/>
      <c r="G994" s="81"/>
    </row>
    <row r="995" spans="1:7" x14ac:dyDescent="0.25">
      <c r="A995" s="69"/>
      <c r="B995" s="85"/>
      <c r="C995" s="96"/>
      <c r="D995" s="62"/>
      <c r="E995" s="121"/>
      <c r="F995" s="62"/>
      <c r="G995" s="69"/>
    </row>
    <row r="996" spans="1:7" x14ac:dyDescent="0.25">
      <c r="A996" s="881"/>
      <c r="B996" s="85"/>
      <c r="C996" s="96"/>
      <c r="D996" s="62"/>
      <c r="E996" s="101"/>
      <c r="F996" s="62"/>
      <c r="G996" s="69"/>
    </row>
    <row r="997" spans="1:7" x14ac:dyDescent="0.25">
      <c r="A997" s="69"/>
      <c r="B997" s="85"/>
      <c r="C997" s="69"/>
      <c r="D997" s="62"/>
      <c r="E997" s="69"/>
      <c r="F997" s="62"/>
      <c r="G997" s="69"/>
    </row>
    <row r="998" spans="1:7" x14ac:dyDescent="0.25">
      <c r="A998" s="69"/>
      <c r="B998" s="69"/>
      <c r="C998" s="69"/>
      <c r="D998" s="69"/>
      <c r="E998" s="69"/>
      <c r="F998" s="69"/>
      <c r="G998" s="43"/>
    </row>
    <row r="999" spans="1:7" x14ac:dyDescent="0.25">
      <c r="A999" s="82"/>
      <c r="B999" s="82"/>
      <c r="C999" s="82"/>
      <c r="D999" s="82"/>
      <c r="E999" s="82"/>
      <c r="F999" s="82"/>
      <c r="G999" s="64"/>
    </row>
    <row r="1000" spans="1:7" x14ac:dyDescent="0.25">
      <c r="A1000" s="1230"/>
      <c r="B1000" s="1230"/>
      <c r="C1000" s="1230"/>
      <c r="D1000" s="1230"/>
      <c r="E1000" s="1230"/>
      <c r="F1000" s="1230"/>
      <c r="G1000" s="1233"/>
    </row>
    <row r="1001" spans="1:7" x14ac:dyDescent="0.25">
      <c r="A1001" s="1248"/>
      <c r="B1001" s="1248"/>
      <c r="C1001" s="1248"/>
      <c r="D1001" s="1248"/>
      <c r="E1001" s="1231"/>
      <c r="F1001" s="93"/>
      <c r="G1001" s="70"/>
    </row>
    <row r="1002" spans="1:7" x14ac:dyDescent="0.25">
      <c r="A1002" s="1232"/>
      <c r="B1002" s="1232"/>
      <c r="C1002" s="1222"/>
      <c r="D1002" s="1222"/>
      <c r="E1002" s="1222"/>
      <c r="F1002" s="1222"/>
      <c r="G1002" s="1222"/>
    </row>
    <row r="1003" spans="1:7" x14ac:dyDescent="0.25">
      <c r="A1003" s="1232"/>
      <c r="B1003" s="1232"/>
      <c r="C1003" s="1222"/>
      <c r="D1003" s="1222"/>
      <c r="E1003" s="1222"/>
      <c r="F1003" s="1222"/>
      <c r="G1003" s="1222"/>
    </row>
    <row r="1004" spans="1:7" x14ac:dyDescent="0.25">
      <c r="A1004" s="1244"/>
      <c r="B1004" s="1244"/>
      <c r="C1004" s="1244"/>
      <c r="D1004" s="1244"/>
      <c r="E1004" s="1244"/>
      <c r="F1004" s="1221"/>
      <c r="G1004" s="1222"/>
    </row>
    <row r="1005" spans="1:7" x14ac:dyDescent="0.25">
      <c r="A1005" s="1244"/>
      <c r="B1005" s="1244"/>
      <c r="C1005" s="1244"/>
      <c r="D1005" s="1244"/>
      <c r="E1005" s="1244"/>
      <c r="F1005" s="1221"/>
      <c r="G1005" s="1222"/>
    </row>
    <row r="1006" spans="1:7" x14ac:dyDescent="0.25">
      <c r="A1006" s="1244"/>
      <c r="B1006" s="1244"/>
      <c r="C1006" s="1244"/>
      <c r="D1006" s="1244"/>
      <c r="E1006" s="1244"/>
      <c r="F1006" s="1221"/>
      <c r="G1006" s="1222"/>
    </row>
    <row r="1007" spans="1:7" x14ac:dyDescent="0.25">
      <c r="A1007" s="1244"/>
      <c r="B1007" s="1244"/>
      <c r="C1007" s="1244"/>
      <c r="D1007" s="1244"/>
      <c r="E1007" s="1244"/>
      <c r="F1007" s="1221"/>
      <c r="G1007" s="1222"/>
    </row>
    <row r="1008" spans="1:7" x14ac:dyDescent="0.25">
      <c r="A1008" s="1245"/>
      <c r="B1008" s="1245"/>
      <c r="C1008" s="1245"/>
      <c r="D1008" s="1245"/>
      <c r="E1008" s="1245"/>
      <c r="F1008" s="1222"/>
      <c r="G1008" s="1222"/>
    </row>
    <row r="1015" spans="1:7" x14ac:dyDescent="0.25">
      <c r="A1015" s="95"/>
      <c r="B1015" s="94"/>
      <c r="C1015" s="94"/>
      <c r="D1015" s="94"/>
      <c r="E1015" s="94"/>
      <c r="F1015" s="882"/>
      <c r="G1015" s="882"/>
    </row>
    <row r="1016" spans="1:7" x14ac:dyDescent="0.25">
      <c r="A1016" s="1238"/>
      <c r="B1016" s="1246"/>
      <c r="C1016" s="1246"/>
      <c r="D1016" s="1246"/>
      <c r="E1016" s="1247"/>
      <c r="F1016" s="880"/>
      <c r="G1016" s="880"/>
    </row>
    <row r="1017" spans="1:7" x14ac:dyDescent="0.25">
      <c r="A1017" s="1229"/>
      <c r="B1017" s="1229"/>
      <c r="C1017" s="1229"/>
      <c r="D1017" s="1229"/>
      <c r="E1017" s="1229"/>
      <c r="F1017" s="1229"/>
      <c r="G1017" s="1229"/>
    </row>
    <row r="1018" spans="1:7" x14ac:dyDescent="0.25">
      <c r="A1018" s="1234"/>
      <c r="B1018" s="1235"/>
      <c r="C1018" s="80"/>
      <c r="D1018" s="80"/>
      <c r="E1018" s="80"/>
      <c r="F1018" s="80"/>
      <c r="G1018" s="67"/>
    </row>
    <row r="1019" spans="1:7" x14ac:dyDescent="0.25">
      <c r="A1019" s="1236"/>
      <c r="B1019" s="1236"/>
      <c r="C1019" s="69"/>
      <c r="D1019" s="62"/>
      <c r="E1019" s="62"/>
      <c r="F1019" s="62"/>
      <c r="G1019" s="81"/>
    </row>
    <row r="1020" spans="1:7" x14ac:dyDescent="0.25">
      <c r="A1020" s="1236"/>
      <c r="B1020" s="1236"/>
      <c r="C1020" s="69"/>
      <c r="D1020" s="62"/>
      <c r="E1020" s="62"/>
      <c r="F1020" s="62"/>
      <c r="G1020" s="69"/>
    </row>
    <row r="1021" spans="1:7" x14ac:dyDescent="0.25">
      <c r="A1021" s="1236"/>
      <c r="B1021" s="1236"/>
      <c r="C1021" s="69"/>
      <c r="D1021" s="69"/>
      <c r="E1021" s="69"/>
      <c r="F1021" s="62"/>
      <c r="G1021" s="69"/>
    </row>
    <row r="1022" spans="1:7" x14ac:dyDescent="0.25">
      <c r="A1022" s="1236"/>
      <c r="B1022" s="1236"/>
      <c r="C1022" s="69"/>
      <c r="D1022" s="69"/>
      <c r="E1022" s="69"/>
      <c r="F1022" s="69"/>
      <c r="G1022" s="69"/>
    </row>
    <row r="1023" spans="1:7" x14ac:dyDescent="0.25">
      <c r="A1023" s="1236"/>
      <c r="B1023" s="1236"/>
      <c r="C1023" s="69"/>
      <c r="D1023" s="69"/>
      <c r="E1023" s="69"/>
      <c r="F1023" s="69"/>
      <c r="G1023" s="83"/>
    </row>
    <row r="1024" spans="1:7" x14ac:dyDescent="0.25">
      <c r="A1024" s="1237"/>
      <c r="B1024" s="1237"/>
      <c r="C1024" s="82"/>
      <c r="D1024" s="82"/>
      <c r="E1024" s="82"/>
      <c r="F1024" s="82"/>
      <c r="G1024" s="64"/>
    </row>
    <row r="1025" spans="1:7" x14ac:dyDescent="0.25">
      <c r="A1025" s="1234"/>
      <c r="B1025" s="1235"/>
      <c r="C1025" s="80"/>
      <c r="D1025" s="80"/>
      <c r="E1025" s="80"/>
      <c r="F1025" s="80"/>
      <c r="G1025" s="67"/>
    </row>
    <row r="1026" spans="1:7" x14ac:dyDescent="0.25">
      <c r="A1026" s="1226"/>
      <c r="B1026" s="1227"/>
      <c r="C1026" s="43"/>
      <c r="D1026" s="97"/>
      <c r="E1026" s="92"/>
      <c r="F1026" s="85"/>
      <c r="G1026" s="69"/>
    </row>
    <row r="1027" spans="1:7" x14ac:dyDescent="0.25">
      <c r="A1027" s="1228"/>
      <c r="B1027" s="1229"/>
      <c r="C1027" s="43"/>
      <c r="D1027" s="97"/>
      <c r="E1027" s="92"/>
      <c r="F1027" s="85"/>
      <c r="G1027" s="43"/>
    </row>
    <row r="1028" spans="1:7" x14ac:dyDescent="0.25">
      <c r="A1028" s="1228"/>
      <c r="B1028" s="1229"/>
      <c r="C1028" s="69"/>
      <c r="D1028" s="69"/>
      <c r="E1028" s="69"/>
      <c r="F1028" s="69"/>
      <c r="G1028" s="65"/>
    </row>
    <row r="1029" spans="1:7" x14ac:dyDescent="0.25">
      <c r="A1029" s="910"/>
      <c r="B1029" s="89"/>
      <c r="C1029" s="89"/>
      <c r="D1029" s="80"/>
      <c r="E1029" s="80"/>
      <c r="F1029" s="80"/>
      <c r="G1029" s="67"/>
    </row>
    <row r="1030" spans="1:7" x14ac:dyDescent="0.25">
      <c r="A1030" s="899"/>
      <c r="B1030" s="43"/>
      <c r="C1030" s="43"/>
      <c r="D1030" s="62"/>
      <c r="E1030" s="91"/>
      <c r="F1030" s="62"/>
      <c r="G1030" s="69"/>
    </row>
    <row r="1031" spans="1:7" x14ac:dyDescent="0.25">
      <c r="A1031" s="90"/>
      <c r="B1031" s="43"/>
      <c r="C1031" s="43"/>
      <c r="D1031" s="62"/>
      <c r="E1031" s="91"/>
      <c r="F1031" s="62"/>
      <c r="G1031" s="69"/>
    </row>
    <row r="1032" spans="1:7" x14ac:dyDescent="0.25">
      <c r="A1032" s="90"/>
      <c r="B1032" s="43"/>
      <c r="C1032" s="43"/>
      <c r="D1032" s="62"/>
      <c r="E1032" s="92"/>
      <c r="F1032" s="62"/>
      <c r="G1032" s="69"/>
    </row>
    <row r="1033" spans="1:7" x14ac:dyDescent="0.25">
      <c r="A1033" s="90"/>
      <c r="B1033" s="43"/>
      <c r="C1033" s="43"/>
      <c r="D1033" s="61"/>
      <c r="E1033" s="92"/>
      <c r="F1033" s="62"/>
      <c r="G1033" s="43"/>
    </row>
    <row r="1034" spans="1:7" x14ac:dyDescent="0.25">
      <c r="A1034" s="90"/>
      <c r="B1034" s="69"/>
      <c r="C1034" s="69"/>
      <c r="D1034" s="69"/>
      <c r="E1034" s="69"/>
      <c r="F1034" s="69"/>
      <c r="G1034" s="64"/>
    </row>
    <row r="1035" spans="1:7" x14ac:dyDescent="0.25">
      <c r="A1035" s="910"/>
      <c r="B1035" s="80"/>
      <c r="C1035" s="80"/>
      <c r="D1035" s="80"/>
      <c r="E1035" s="89"/>
      <c r="F1035" s="80"/>
      <c r="G1035" s="67"/>
    </row>
    <row r="1036" spans="1:7" x14ac:dyDescent="0.25">
      <c r="A1036" s="81"/>
      <c r="B1036" s="81"/>
      <c r="C1036" s="81"/>
      <c r="D1036" s="81"/>
      <c r="E1036" s="81"/>
      <c r="F1036" s="81"/>
      <c r="G1036" s="81"/>
    </row>
    <row r="1037" spans="1:7" x14ac:dyDescent="0.25">
      <c r="A1037" s="69"/>
      <c r="B1037" s="85"/>
      <c r="C1037" s="96"/>
      <c r="D1037" s="62"/>
      <c r="E1037" s="121"/>
      <c r="F1037" s="62"/>
      <c r="G1037" s="69"/>
    </row>
    <row r="1038" spans="1:7" x14ac:dyDescent="0.25">
      <c r="A1038" s="881"/>
      <c r="B1038" s="85"/>
      <c r="C1038" s="96"/>
      <c r="D1038" s="62"/>
      <c r="E1038" s="101"/>
      <c r="F1038" s="62"/>
      <c r="G1038" s="69"/>
    </row>
    <row r="1039" spans="1:7" x14ac:dyDescent="0.25">
      <c r="A1039" s="69"/>
      <c r="B1039" s="85"/>
      <c r="C1039" s="69"/>
      <c r="D1039" s="62"/>
      <c r="E1039" s="69"/>
      <c r="F1039" s="62"/>
      <c r="G1039" s="69"/>
    </row>
    <row r="1040" spans="1:7" x14ac:dyDescent="0.25">
      <c r="A1040" s="69"/>
      <c r="B1040" s="69"/>
      <c r="C1040" s="69"/>
      <c r="D1040" s="69"/>
      <c r="E1040" s="69"/>
      <c r="F1040" s="69"/>
      <c r="G1040" s="43"/>
    </row>
    <row r="1041" spans="1:7" x14ac:dyDescent="0.25">
      <c r="A1041" s="82"/>
      <c r="B1041" s="82"/>
      <c r="C1041" s="82"/>
      <c r="D1041" s="82"/>
      <c r="E1041" s="82"/>
      <c r="F1041" s="82"/>
      <c r="G1041" s="64"/>
    </row>
    <row r="1042" spans="1:7" x14ac:dyDescent="0.25">
      <c r="A1042" s="1230"/>
      <c r="B1042" s="1230"/>
      <c r="C1042" s="1230"/>
      <c r="D1042" s="1230"/>
      <c r="E1042" s="1230"/>
      <c r="F1042" s="1230"/>
      <c r="G1042" s="1233"/>
    </row>
    <row r="1043" spans="1:7" x14ac:dyDescent="0.25">
      <c r="A1043" s="1248"/>
      <c r="B1043" s="1248"/>
      <c r="C1043" s="1248"/>
      <c r="D1043" s="1248"/>
      <c r="E1043" s="1231"/>
      <c r="F1043" s="93"/>
      <c r="G1043" s="70"/>
    </row>
    <row r="1044" spans="1:7" x14ac:dyDescent="0.25">
      <c r="A1044" s="1232"/>
      <c r="B1044" s="1232"/>
      <c r="C1044" s="1222"/>
      <c r="D1044" s="1222"/>
      <c r="E1044" s="1222"/>
      <c r="F1044" s="1222"/>
      <c r="G1044" s="1222"/>
    </row>
    <row r="1045" spans="1:7" x14ac:dyDescent="0.25">
      <c r="A1045" s="1232"/>
      <c r="B1045" s="1232"/>
      <c r="C1045" s="1222"/>
      <c r="D1045" s="1222"/>
      <c r="E1045" s="1222"/>
      <c r="F1045" s="1222"/>
      <c r="G1045" s="1222"/>
    </row>
    <row r="1046" spans="1:7" x14ac:dyDescent="0.25">
      <c r="A1046" s="1244"/>
      <c r="B1046" s="1244"/>
      <c r="C1046" s="1244"/>
      <c r="D1046" s="1244"/>
      <c r="E1046" s="1244"/>
      <c r="F1046" s="1221"/>
      <c r="G1046" s="1222"/>
    </row>
    <row r="1047" spans="1:7" x14ac:dyDescent="0.25">
      <c r="A1047" s="1244"/>
      <c r="B1047" s="1244"/>
      <c r="C1047" s="1244"/>
      <c r="D1047" s="1244"/>
      <c r="E1047" s="1244"/>
      <c r="F1047" s="1221"/>
      <c r="G1047" s="1222"/>
    </row>
    <row r="1048" spans="1:7" x14ac:dyDescent="0.25">
      <c r="A1048" s="1244"/>
      <c r="B1048" s="1244"/>
      <c r="C1048" s="1244"/>
      <c r="D1048" s="1244"/>
      <c r="E1048" s="1244"/>
      <c r="F1048" s="1221"/>
      <c r="G1048" s="1222"/>
    </row>
    <row r="1049" spans="1:7" x14ac:dyDescent="0.25">
      <c r="A1049" s="1244"/>
      <c r="B1049" s="1244"/>
      <c r="C1049" s="1244"/>
      <c r="D1049" s="1244"/>
      <c r="E1049" s="1244"/>
      <c r="F1049" s="1221"/>
      <c r="G1049" s="1222"/>
    </row>
    <row r="1050" spans="1:7" x14ac:dyDescent="0.25">
      <c r="A1050" s="1245"/>
      <c r="B1050" s="1245"/>
      <c r="C1050" s="1245"/>
      <c r="D1050" s="1245"/>
      <c r="E1050" s="1245"/>
      <c r="F1050" s="1222"/>
      <c r="G1050" s="1222"/>
    </row>
    <row r="1059" spans="1:7" x14ac:dyDescent="0.25">
      <c r="A1059" s="95"/>
      <c r="B1059" s="94"/>
      <c r="C1059" s="94"/>
      <c r="D1059" s="94"/>
      <c r="E1059" s="94"/>
      <c r="F1059" s="882"/>
      <c r="G1059" s="882"/>
    </row>
    <row r="1060" spans="1:7" x14ac:dyDescent="0.25">
      <c r="A1060" s="1238"/>
      <c r="B1060" s="1246"/>
      <c r="C1060" s="1246"/>
      <c r="D1060" s="1246"/>
      <c r="E1060" s="1247"/>
      <c r="F1060" s="880"/>
      <c r="G1060" s="880"/>
    </row>
    <row r="1061" spans="1:7" x14ac:dyDescent="0.25">
      <c r="A1061" s="1229"/>
      <c r="B1061" s="1229"/>
      <c r="C1061" s="1229"/>
      <c r="D1061" s="1229"/>
      <c r="E1061" s="1229"/>
      <c r="F1061" s="1229"/>
      <c r="G1061" s="1229"/>
    </row>
    <row r="1062" spans="1:7" x14ac:dyDescent="0.25">
      <c r="A1062" s="1234"/>
      <c r="B1062" s="1235"/>
      <c r="C1062" s="80"/>
      <c r="D1062" s="80"/>
      <c r="E1062" s="80"/>
      <c r="F1062" s="80"/>
      <c r="G1062" s="67"/>
    </row>
    <row r="1063" spans="1:7" x14ac:dyDescent="0.25">
      <c r="A1063" s="1236"/>
      <c r="B1063" s="1236"/>
      <c r="C1063" s="69"/>
      <c r="D1063" s="62"/>
      <c r="E1063" s="62"/>
      <c r="F1063" s="62"/>
      <c r="G1063" s="81"/>
    </row>
    <row r="1064" spans="1:7" x14ac:dyDescent="0.25">
      <c r="A1064" s="1236"/>
      <c r="B1064" s="1236"/>
      <c r="C1064" s="69"/>
      <c r="D1064" s="62"/>
      <c r="E1064" s="62"/>
      <c r="F1064" s="62"/>
      <c r="G1064" s="69"/>
    </row>
    <row r="1065" spans="1:7" x14ac:dyDescent="0.25">
      <c r="A1065" s="1236"/>
      <c r="B1065" s="1236"/>
      <c r="C1065" s="69"/>
      <c r="D1065" s="69"/>
      <c r="E1065" s="69"/>
      <c r="F1065" s="62"/>
      <c r="G1065" s="69"/>
    </row>
    <row r="1066" spans="1:7" x14ac:dyDescent="0.25">
      <c r="A1066" s="1236"/>
      <c r="B1066" s="1236"/>
      <c r="C1066" s="69"/>
      <c r="D1066" s="69"/>
      <c r="E1066" s="69"/>
      <c r="F1066" s="69"/>
      <c r="G1066" s="69"/>
    </row>
    <row r="1067" spans="1:7" x14ac:dyDescent="0.25">
      <c r="A1067" s="1236"/>
      <c r="B1067" s="1236"/>
      <c r="C1067" s="69"/>
      <c r="D1067" s="69"/>
      <c r="E1067" s="69"/>
      <c r="F1067" s="69"/>
      <c r="G1067" s="83"/>
    </row>
    <row r="1068" spans="1:7" x14ac:dyDescent="0.25">
      <c r="A1068" s="1237"/>
      <c r="B1068" s="1237"/>
      <c r="C1068" s="82"/>
      <c r="D1068" s="82"/>
      <c r="E1068" s="82"/>
      <c r="F1068" s="82"/>
      <c r="G1068" s="64"/>
    </row>
    <row r="1069" spans="1:7" x14ac:dyDescent="0.25">
      <c r="A1069" s="1234"/>
      <c r="B1069" s="1235"/>
      <c r="C1069" s="80"/>
      <c r="D1069" s="80"/>
      <c r="E1069" s="80"/>
      <c r="F1069" s="80"/>
      <c r="G1069" s="67"/>
    </row>
    <row r="1070" spans="1:7" x14ac:dyDescent="0.25">
      <c r="A1070" s="1226"/>
      <c r="B1070" s="1227"/>
      <c r="C1070" s="43"/>
      <c r="D1070" s="97"/>
      <c r="E1070" s="92"/>
      <c r="F1070" s="85"/>
      <c r="G1070" s="69"/>
    </row>
    <row r="1071" spans="1:7" x14ac:dyDescent="0.25">
      <c r="A1071" s="1228"/>
      <c r="B1071" s="1229"/>
      <c r="C1071" s="43"/>
      <c r="D1071" s="97"/>
      <c r="E1071" s="92"/>
      <c r="F1071" s="85"/>
      <c r="G1071" s="43"/>
    </row>
    <row r="1072" spans="1:7" x14ac:dyDescent="0.25">
      <c r="A1072" s="1228"/>
      <c r="B1072" s="1229"/>
      <c r="C1072" s="69"/>
      <c r="D1072" s="69"/>
      <c r="E1072" s="69"/>
      <c r="F1072" s="69"/>
      <c r="G1072" s="65"/>
    </row>
    <row r="1073" spans="1:7" x14ac:dyDescent="0.25">
      <c r="A1073" s="910"/>
      <c r="B1073" s="89"/>
      <c r="C1073" s="89"/>
      <c r="D1073" s="80"/>
      <c r="E1073" s="80"/>
      <c r="F1073" s="80"/>
      <c r="G1073" s="67"/>
    </row>
    <row r="1074" spans="1:7" x14ac:dyDescent="0.25">
      <c r="A1074" s="899"/>
      <c r="B1074" s="43"/>
      <c r="C1074" s="43"/>
      <c r="D1074" s="62"/>
      <c r="E1074" s="91"/>
      <c r="F1074" s="62"/>
      <c r="G1074" s="69"/>
    </row>
    <row r="1075" spans="1:7" x14ac:dyDescent="0.25">
      <c r="A1075" s="90"/>
      <c r="B1075" s="43"/>
      <c r="C1075" s="43"/>
      <c r="D1075" s="62"/>
      <c r="E1075" s="91"/>
      <c r="F1075" s="62"/>
      <c r="G1075" s="69"/>
    </row>
    <row r="1076" spans="1:7" x14ac:dyDescent="0.25">
      <c r="A1076" s="90"/>
      <c r="B1076" s="43"/>
      <c r="C1076" s="43"/>
      <c r="D1076" s="62"/>
      <c r="E1076" s="92"/>
      <c r="F1076" s="62"/>
      <c r="G1076" s="69"/>
    </row>
    <row r="1077" spans="1:7" x14ac:dyDescent="0.25">
      <c r="A1077" s="90"/>
      <c r="B1077" s="43"/>
      <c r="C1077" s="43"/>
      <c r="D1077" s="61"/>
      <c r="E1077" s="92"/>
      <c r="F1077" s="62"/>
      <c r="G1077" s="43"/>
    </row>
    <row r="1078" spans="1:7" x14ac:dyDescent="0.25">
      <c r="A1078" s="90"/>
      <c r="B1078" s="69"/>
      <c r="C1078" s="69"/>
      <c r="D1078" s="69"/>
      <c r="E1078" s="69"/>
      <c r="F1078" s="69"/>
      <c r="G1078" s="64"/>
    </row>
    <row r="1079" spans="1:7" x14ac:dyDescent="0.25">
      <c r="A1079" s="910"/>
      <c r="B1079" s="80"/>
      <c r="C1079" s="80"/>
      <c r="D1079" s="80"/>
      <c r="E1079" s="89"/>
      <c r="F1079" s="80"/>
      <c r="G1079" s="67"/>
    </row>
    <row r="1080" spans="1:7" x14ac:dyDescent="0.25">
      <c r="A1080" s="81"/>
      <c r="B1080" s="81"/>
      <c r="C1080" s="81"/>
      <c r="D1080" s="81"/>
      <c r="E1080" s="81"/>
      <c r="F1080" s="81"/>
      <c r="G1080" s="81"/>
    </row>
    <row r="1081" spans="1:7" x14ac:dyDescent="0.25">
      <c r="A1081" s="69"/>
      <c r="B1081" s="85"/>
      <c r="C1081" s="96"/>
      <c r="D1081" s="62"/>
      <c r="E1081" s="121"/>
      <c r="F1081" s="62"/>
      <c r="G1081" s="69"/>
    </row>
    <row r="1082" spans="1:7" x14ac:dyDescent="0.25">
      <c r="A1082" s="881"/>
      <c r="B1082" s="85"/>
      <c r="C1082" s="96"/>
      <c r="D1082" s="62"/>
      <c r="E1082" s="101"/>
      <c r="F1082" s="62"/>
      <c r="G1082" s="69"/>
    </row>
    <row r="1083" spans="1:7" x14ac:dyDescent="0.25">
      <c r="A1083" s="69"/>
      <c r="B1083" s="85"/>
      <c r="C1083" s="69"/>
      <c r="D1083" s="62"/>
      <c r="E1083" s="69"/>
      <c r="F1083" s="62"/>
      <c r="G1083" s="69"/>
    </row>
    <row r="1084" spans="1:7" x14ac:dyDescent="0.25">
      <c r="A1084" s="69"/>
      <c r="B1084" s="69"/>
      <c r="C1084" s="69"/>
      <c r="D1084" s="69"/>
      <c r="E1084" s="69"/>
      <c r="F1084" s="69"/>
      <c r="G1084" s="43"/>
    </row>
    <row r="1085" spans="1:7" x14ac:dyDescent="0.25">
      <c r="A1085" s="82"/>
      <c r="B1085" s="82"/>
      <c r="C1085" s="82"/>
      <c r="D1085" s="82"/>
      <c r="E1085" s="82"/>
      <c r="F1085" s="82"/>
      <c r="G1085" s="64"/>
    </row>
    <row r="1086" spans="1:7" x14ac:dyDescent="0.25">
      <c r="A1086" s="1230"/>
      <c r="B1086" s="1230"/>
      <c r="C1086" s="1230"/>
      <c r="D1086" s="1230"/>
      <c r="E1086" s="1230"/>
      <c r="F1086" s="1230"/>
      <c r="G1086" s="1233"/>
    </row>
    <row r="1087" spans="1:7" x14ac:dyDescent="0.25">
      <c r="A1087" s="1248"/>
      <c r="B1087" s="1248"/>
      <c r="C1087" s="1248"/>
      <c r="D1087" s="1248"/>
      <c r="E1087" s="1231"/>
      <c r="F1087" s="93"/>
      <c r="G1087" s="70"/>
    </row>
    <row r="1088" spans="1:7" x14ac:dyDescent="0.25">
      <c r="A1088" s="1232"/>
      <c r="B1088" s="1232"/>
      <c r="C1088" s="1222"/>
      <c r="D1088" s="1222"/>
      <c r="E1088" s="1222"/>
      <c r="F1088" s="1222"/>
      <c r="G1088" s="1222"/>
    </row>
    <row r="1089" spans="1:7" x14ac:dyDescent="0.25">
      <c r="A1089" s="1232"/>
      <c r="B1089" s="1232"/>
      <c r="C1089" s="1222"/>
      <c r="D1089" s="1222"/>
      <c r="E1089" s="1222"/>
      <c r="F1089" s="1222"/>
      <c r="G1089" s="1222"/>
    </row>
    <row r="1090" spans="1:7" x14ac:dyDescent="0.25">
      <c r="A1090" s="1244"/>
      <c r="B1090" s="1244"/>
      <c r="C1090" s="1244"/>
      <c r="D1090" s="1244"/>
      <c r="E1090" s="1244"/>
      <c r="F1090" s="1221"/>
      <c r="G1090" s="1222"/>
    </row>
    <row r="1091" spans="1:7" x14ac:dyDescent="0.25">
      <c r="A1091" s="1244"/>
      <c r="B1091" s="1244"/>
      <c r="C1091" s="1244"/>
      <c r="D1091" s="1244"/>
      <c r="E1091" s="1244"/>
      <c r="F1091" s="1221"/>
      <c r="G1091" s="1222"/>
    </row>
    <row r="1092" spans="1:7" x14ac:dyDescent="0.25">
      <c r="A1092" s="1244"/>
      <c r="B1092" s="1244"/>
      <c r="C1092" s="1244"/>
      <c r="D1092" s="1244"/>
      <c r="E1092" s="1244"/>
      <c r="F1092" s="1221"/>
      <c r="G1092" s="1222"/>
    </row>
    <row r="1093" spans="1:7" x14ac:dyDescent="0.25">
      <c r="A1093" s="1244"/>
      <c r="B1093" s="1244"/>
      <c r="C1093" s="1244"/>
      <c r="D1093" s="1244"/>
      <c r="E1093" s="1244"/>
      <c r="F1093" s="1221"/>
      <c r="G1093" s="1222"/>
    </row>
    <row r="1094" spans="1:7" x14ac:dyDescent="0.25">
      <c r="A1094" s="1245"/>
      <c r="B1094" s="1245"/>
      <c r="C1094" s="1245"/>
      <c r="D1094" s="1245"/>
      <c r="E1094" s="1245"/>
      <c r="F1094" s="1222"/>
      <c r="G1094" s="1222"/>
    </row>
    <row r="1101" spans="1:7" x14ac:dyDescent="0.25">
      <c r="A1101" s="95"/>
      <c r="B1101" s="94"/>
      <c r="C1101" s="94"/>
      <c r="D1101" s="94"/>
      <c r="E1101" s="94"/>
      <c r="F1101" s="882"/>
      <c r="G1101" s="882"/>
    </row>
    <row r="1102" spans="1:7" x14ac:dyDescent="0.25">
      <c r="A1102" s="1238"/>
      <c r="B1102" s="1246"/>
      <c r="C1102" s="1246"/>
      <c r="D1102" s="1246"/>
      <c r="E1102" s="1247"/>
      <c r="F1102" s="880"/>
      <c r="G1102" s="880"/>
    </row>
    <row r="1103" spans="1:7" x14ac:dyDescent="0.25">
      <c r="A1103" s="1229"/>
      <c r="B1103" s="1229"/>
      <c r="C1103" s="1229"/>
      <c r="D1103" s="1229"/>
      <c r="E1103" s="1229"/>
      <c r="F1103" s="1229"/>
      <c r="G1103" s="1229"/>
    </row>
    <row r="1104" spans="1:7" x14ac:dyDescent="0.25">
      <c r="A1104" s="1234"/>
      <c r="B1104" s="1235"/>
      <c r="C1104" s="80"/>
      <c r="D1104" s="80"/>
      <c r="E1104" s="80"/>
      <c r="F1104" s="80"/>
      <c r="G1104" s="67"/>
    </row>
    <row r="1105" spans="1:7" x14ac:dyDescent="0.25">
      <c r="A1105" s="1236"/>
      <c r="B1105" s="1236"/>
      <c r="C1105" s="69"/>
      <c r="D1105" s="62"/>
      <c r="E1105" s="62"/>
      <c r="F1105" s="62"/>
      <c r="G1105" s="81"/>
    </row>
    <row r="1106" spans="1:7" x14ac:dyDescent="0.25">
      <c r="A1106" s="1236"/>
      <c r="B1106" s="1236"/>
      <c r="C1106" s="69"/>
      <c r="D1106" s="62"/>
      <c r="E1106" s="62"/>
      <c r="F1106" s="62"/>
      <c r="G1106" s="69"/>
    </row>
    <row r="1107" spans="1:7" x14ac:dyDescent="0.25">
      <c r="A1107" s="1236"/>
      <c r="B1107" s="1236"/>
      <c r="C1107" s="69"/>
      <c r="D1107" s="69"/>
      <c r="E1107" s="69"/>
      <c r="F1107" s="62"/>
      <c r="G1107" s="69"/>
    </row>
    <row r="1108" spans="1:7" x14ac:dyDescent="0.25">
      <c r="A1108" s="1236"/>
      <c r="B1108" s="1236"/>
      <c r="C1108" s="69"/>
      <c r="D1108" s="69"/>
      <c r="E1108" s="69"/>
      <c r="F1108" s="69"/>
      <c r="G1108" s="69"/>
    </row>
    <row r="1109" spans="1:7" x14ac:dyDescent="0.25">
      <c r="A1109" s="1236"/>
      <c r="B1109" s="1236"/>
      <c r="C1109" s="69"/>
      <c r="D1109" s="69"/>
      <c r="E1109" s="69"/>
      <c r="F1109" s="69"/>
      <c r="G1109" s="83"/>
    </row>
    <row r="1110" spans="1:7" x14ac:dyDescent="0.25">
      <c r="A1110" s="1237"/>
      <c r="B1110" s="1237"/>
      <c r="C1110" s="82"/>
      <c r="D1110" s="82"/>
      <c r="E1110" s="82"/>
      <c r="F1110" s="82"/>
      <c r="G1110" s="64"/>
    </row>
    <row r="1111" spans="1:7" x14ac:dyDescent="0.25">
      <c r="A1111" s="1234"/>
      <c r="B1111" s="1235"/>
      <c r="C1111" s="80"/>
      <c r="D1111" s="80"/>
      <c r="E1111" s="80"/>
      <c r="F1111" s="80"/>
      <c r="G1111" s="67"/>
    </row>
    <row r="1112" spans="1:7" x14ac:dyDescent="0.25">
      <c r="A1112" s="1226"/>
      <c r="B1112" s="1227"/>
      <c r="C1112" s="43"/>
      <c r="D1112" s="97"/>
      <c r="E1112" s="92"/>
      <c r="F1112" s="85"/>
      <c r="G1112" s="69"/>
    </row>
    <row r="1113" spans="1:7" x14ac:dyDescent="0.25">
      <c r="A1113" s="1228"/>
      <c r="B1113" s="1229"/>
      <c r="C1113" s="43"/>
      <c r="D1113" s="97"/>
      <c r="E1113" s="92"/>
      <c r="F1113" s="85"/>
      <c r="G1113" s="43"/>
    </row>
    <row r="1114" spans="1:7" x14ac:dyDescent="0.25">
      <c r="A1114" s="1228"/>
      <c r="B1114" s="1229"/>
      <c r="C1114" s="69"/>
      <c r="D1114" s="69"/>
      <c r="E1114" s="69"/>
      <c r="F1114" s="69"/>
      <c r="G1114" s="65"/>
    </row>
    <row r="1115" spans="1:7" x14ac:dyDescent="0.25">
      <c r="A1115" s="910"/>
      <c r="B1115" s="89"/>
      <c r="C1115" s="89"/>
      <c r="D1115" s="80"/>
      <c r="E1115" s="80"/>
      <c r="F1115" s="80"/>
      <c r="G1115" s="67"/>
    </row>
    <row r="1116" spans="1:7" x14ac:dyDescent="0.25">
      <c r="A1116" s="899"/>
      <c r="B1116" s="43"/>
      <c r="C1116" s="43"/>
      <c r="D1116" s="62"/>
      <c r="E1116" s="91"/>
      <c r="F1116" s="62"/>
      <c r="G1116" s="69"/>
    </row>
    <row r="1117" spans="1:7" x14ac:dyDescent="0.25">
      <c r="A1117" s="90"/>
      <c r="B1117" s="43"/>
      <c r="C1117" s="43"/>
      <c r="D1117" s="62"/>
      <c r="E1117" s="91"/>
      <c r="F1117" s="62"/>
      <c r="G1117" s="69"/>
    </row>
    <row r="1118" spans="1:7" x14ac:dyDescent="0.25">
      <c r="A1118" s="90"/>
      <c r="B1118" s="43"/>
      <c r="C1118" s="43"/>
      <c r="D1118" s="62"/>
      <c r="E1118" s="92"/>
      <c r="F1118" s="62"/>
      <c r="G1118" s="69"/>
    </row>
    <row r="1119" spans="1:7" x14ac:dyDescent="0.25">
      <c r="A1119" s="90"/>
      <c r="B1119" s="43"/>
      <c r="C1119" s="43"/>
      <c r="D1119" s="61"/>
      <c r="E1119" s="92"/>
      <c r="F1119" s="62"/>
      <c r="G1119" s="43"/>
    </row>
    <row r="1120" spans="1:7" x14ac:dyDescent="0.25">
      <c r="A1120" s="90"/>
      <c r="B1120" s="69"/>
      <c r="C1120" s="69"/>
      <c r="D1120" s="69"/>
      <c r="E1120" s="69"/>
      <c r="F1120" s="69"/>
      <c r="G1120" s="64"/>
    </row>
    <row r="1121" spans="1:7" x14ac:dyDescent="0.25">
      <c r="A1121" s="910"/>
      <c r="B1121" s="80"/>
      <c r="C1121" s="80"/>
      <c r="D1121" s="80"/>
      <c r="E1121" s="89"/>
      <c r="F1121" s="80"/>
      <c r="G1121" s="67"/>
    </row>
    <row r="1122" spans="1:7" x14ac:dyDescent="0.25">
      <c r="A1122" s="81"/>
      <c r="B1122" s="81"/>
      <c r="C1122" s="81"/>
      <c r="D1122" s="81"/>
      <c r="E1122" s="81"/>
      <c r="F1122" s="81"/>
      <c r="G1122" s="81"/>
    </row>
    <row r="1123" spans="1:7" x14ac:dyDescent="0.25">
      <c r="A1123" s="69"/>
      <c r="B1123" s="85"/>
      <c r="C1123" s="96"/>
      <c r="D1123" s="62"/>
      <c r="E1123" s="121"/>
      <c r="F1123" s="62"/>
      <c r="G1123" s="69"/>
    </row>
    <row r="1124" spans="1:7" x14ac:dyDescent="0.25">
      <c r="A1124" s="881"/>
      <c r="B1124" s="85"/>
      <c r="C1124" s="96"/>
      <c r="D1124" s="62"/>
      <c r="E1124" s="101"/>
      <c r="F1124" s="62"/>
      <c r="G1124" s="69"/>
    </row>
    <row r="1125" spans="1:7" x14ac:dyDescent="0.25">
      <c r="A1125" s="69"/>
      <c r="B1125" s="85"/>
      <c r="C1125" s="69"/>
      <c r="D1125" s="62"/>
      <c r="E1125" s="69"/>
      <c r="F1125" s="62"/>
      <c r="G1125" s="69"/>
    </row>
    <row r="1126" spans="1:7" x14ac:dyDescent="0.25">
      <c r="A1126" s="69"/>
      <c r="B1126" s="69"/>
      <c r="C1126" s="69"/>
      <c r="D1126" s="69"/>
      <c r="E1126" s="69"/>
      <c r="F1126" s="69"/>
      <c r="G1126" s="43"/>
    </row>
    <row r="1127" spans="1:7" x14ac:dyDescent="0.25">
      <c r="A1127" s="82"/>
      <c r="B1127" s="82"/>
      <c r="C1127" s="82"/>
      <c r="D1127" s="82"/>
      <c r="E1127" s="82"/>
      <c r="F1127" s="82"/>
      <c r="G1127" s="64"/>
    </row>
    <row r="1128" spans="1:7" x14ac:dyDescent="0.25">
      <c r="A1128" s="1230"/>
      <c r="B1128" s="1230"/>
      <c r="C1128" s="1230"/>
      <c r="D1128" s="1230"/>
      <c r="E1128" s="1230"/>
      <c r="F1128" s="1230"/>
      <c r="G1128" s="1233"/>
    </row>
    <row r="1129" spans="1:7" x14ac:dyDescent="0.25">
      <c r="A1129" s="1248"/>
      <c r="B1129" s="1248"/>
      <c r="C1129" s="1248"/>
      <c r="D1129" s="1248"/>
      <c r="E1129" s="1231"/>
      <c r="F1129" s="93"/>
      <c r="G1129" s="70"/>
    </row>
    <row r="1130" spans="1:7" x14ac:dyDescent="0.25">
      <c r="A1130" s="1232"/>
      <c r="B1130" s="1232"/>
      <c r="C1130" s="1222"/>
      <c r="D1130" s="1222"/>
      <c r="E1130" s="1222"/>
      <c r="F1130" s="1222"/>
      <c r="G1130" s="1222"/>
    </row>
    <row r="1131" spans="1:7" x14ac:dyDescent="0.25">
      <c r="A1131" s="1232"/>
      <c r="B1131" s="1232"/>
      <c r="C1131" s="1222"/>
      <c r="D1131" s="1222"/>
      <c r="E1131" s="1222"/>
      <c r="F1131" s="1222"/>
      <c r="G1131" s="1222"/>
    </row>
    <row r="1132" spans="1:7" x14ac:dyDescent="0.25">
      <c r="A1132" s="1244"/>
      <c r="B1132" s="1244"/>
      <c r="C1132" s="1244"/>
      <c r="D1132" s="1244"/>
      <c r="E1132" s="1244"/>
      <c r="F1132" s="1221"/>
      <c r="G1132" s="1222"/>
    </row>
    <row r="1133" spans="1:7" x14ac:dyDescent="0.25">
      <c r="A1133" s="1244"/>
      <c r="B1133" s="1244"/>
      <c r="C1133" s="1244"/>
      <c r="D1133" s="1244"/>
      <c r="E1133" s="1244"/>
      <c r="F1133" s="1221"/>
      <c r="G1133" s="1222"/>
    </row>
    <row r="1134" spans="1:7" x14ac:dyDescent="0.25">
      <c r="A1134" s="1244"/>
      <c r="B1134" s="1244"/>
      <c r="C1134" s="1244"/>
      <c r="D1134" s="1244"/>
      <c r="E1134" s="1244"/>
      <c r="F1134" s="1221"/>
      <c r="G1134" s="1222"/>
    </row>
    <row r="1135" spans="1:7" x14ac:dyDescent="0.25">
      <c r="A1135" s="1244"/>
      <c r="B1135" s="1244"/>
      <c r="C1135" s="1244"/>
      <c r="D1135" s="1244"/>
      <c r="E1135" s="1244"/>
      <c r="F1135" s="1221"/>
      <c r="G1135" s="1222"/>
    </row>
    <row r="1136" spans="1:7" x14ac:dyDescent="0.25">
      <c r="A1136" s="1245"/>
      <c r="B1136" s="1245"/>
      <c r="C1136" s="1245"/>
      <c r="D1136" s="1245"/>
      <c r="E1136" s="1245"/>
      <c r="F1136" s="1222"/>
      <c r="G1136" s="1222"/>
    </row>
    <row r="1144" spans="1:7" x14ac:dyDescent="0.25">
      <c r="A1144" s="95"/>
      <c r="B1144" s="94"/>
      <c r="C1144" s="94"/>
      <c r="D1144" s="94"/>
      <c r="E1144" s="94"/>
      <c r="F1144" s="882"/>
      <c r="G1144" s="882"/>
    </row>
    <row r="1145" spans="1:7" x14ac:dyDescent="0.25">
      <c r="A1145" s="1238"/>
      <c r="B1145" s="1246"/>
      <c r="C1145" s="1246"/>
      <c r="D1145" s="1246"/>
      <c r="E1145" s="1247"/>
      <c r="F1145" s="880"/>
      <c r="G1145" s="880"/>
    </row>
    <row r="1146" spans="1:7" x14ac:dyDescent="0.25">
      <c r="A1146" s="1229"/>
      <c r="B1146" s="1229"/>
      <c r="C1146" s="1229"/>
      <c r="D1146" s="1229"/>
      <c r="E1146" s="1229"/>
      <c r="F1146" s="1229"/>
      <c r="G1146" s="1229"/>
    </row>
    <row r="1147" spans="1:7" x14ac:dyDescent="0.25">
      <c r="A1147" s="1234"/>
      <c r="B1147" s="1235"/>
      <c r="C1147" s="80"/>
      <c r="D1147" s="80"/>
      <c r="E1147" s="80"/>
      <c r="F1147" s="80"/>
      <c r="G1147" s="67"/>
    </row>
    <row r="1148" spans="1:7" x14ac:dyDescent="0.25">
      <c r="A1148" s="1236"/>
      <c r="B1148" s="1236"/>
      <c r="C1148" s="69"/>
      <c r="D1148" s="62"/>
      <c r="E1148" s="62"/>
      <c r="F1148" s="62"/>
      <c r="G1148" s="81"/>
    </row>
    <row r="1149" spans="1:7" x14ac:dyDescent="0.25">
      <c r="A1149" s="1236"/>
      <c r="B1149" s="1236"/>
      <c r="C1149" s="69"/>
      <c r="D1149" s="62"/>
      <c r="E1149" s="62"/>
      <c r="F1149" s="62"/>
      <c r="G1149" s="69"/>
    </row>
    <row r="1150" spans="1:7" x14ac:dyDescent="0.25">
      <c r="A1150" s="1236"/>
      <c r="B1150" s="1236"/>
      <c r="C1150" s="69"/>
      <c r="D1150" s="69"/>
      <c r="E1150" s="69"/>
      <c r="F1150" s="62"/>
      <c r="G1150" s="69"/>
    </row>
    <row r="1151" spans="1:7" x14ac:dyDescent="0.25">
      <c r="A1151" s="1236"/>
      <c r="B1151" s="1236"/>
      <c r="C1151" s="69"/>
      <c r="D1151" s="69"/>
      <c r="E1151" s="69"/>
      <c r="F1151" s="69"/>
      <c r="G1151" s="69"/>
    </row>
    <row r="1152" spans="1:7" x14ac:dyDescent="0.25">
      <c r="A1152" s="1236"/>
      <c r="B1152" s="1236"/>
      <c r="C1152" s="69"/>
      <c r="D1152" s="69"/>
      <c r="E1152" s="69"/>
      <c r="F1152" s="69"/>
      <c r="G1152" s="83"/>
    </row>
    <row r="1153" spans="1:7" x14ac:dyDescent="0.25">
      <c r="A1153" s="1237"/>
      <c r="B1153" s="1237"/>
      <c r="C1153" s="82"/>
      <c r="D1153" s="82"/>
      <c r="E1153" s="82"/>
      <c r="F1153" s="82"/>
      <c r="G1153" s="64"/>
    </row>
    <row r="1154" spans="1:7" x14ac:dyDescent="0.25">
      <c r="A1154" s="1234"/>
      <c r="B1154" s="1235"/>
      <c r="C1154" s="80"/>
      <c r="D1154" s="80"/>
      <c r="E1154" s="80"/>
      <c r="F1154" s="80"/>
      <c r="G1154" s="67"/>
    </row>
    <row r="1155" spans="1:7" x14ac:dyDescent="0.25">
      <c r="A1155" s="1226"/>
      <c r="B1155" s="1227"/>
      <c r="C1155" s="43"/>
      <c r="D1155" s="97"/>
      <c r="E1155" s="92"/>
      <c r="F1155" s="85"/>
      <c r="G1155" s="69"/>
    </row>
    <row r="1156" spans="1:7" x14ac:dyDescent="0.25">
      <c r="A1156" s="1228"/>
      <c r="B1156" s="1229"/>
      <c r="C1156" s="43"/>
      <c r="D1156" s="97"/>
      <c r="E1156" s="92"/>
      <c r="F1156" s="85"/>
      <c r="G1156" s="43"/>
    </row>
    <row r="1157" spans="1:7" x14ac:dyDescent="0.25">
      <c r="A1157" s="1228"/>
      <c r="B1157" s="1229"/>
      <c r="C1157" s="69"/>
      <c r="D1157" s="69"/>
      <c r="E1157" s="69"/>
      <c r="F1157" s="69"/>
      <c r="G1157" s="65"/>
    </row>
    <row r="1158" spans="1:7" x14ac:dyDescent="0.25">
      <c r="A1158" s="910"/>
      <c r="B1158" s="89"/>
      <c r="C1158" s="89"/>
      <c r="D1158" s="80"/>
      <c r="E1158" s="80"/>
      <c r="F1158" s="80"/>
      <c r="G1158" s="67"/>
    </row>
    <row r="1159" spans="1:7" x14ac:dyDescent="0.25">
      <c r="A1159" s="899"/>
      <c r="B1159" s="43"/>
      <c r="C1159" s="43"/>
      <c r="D1159" s="62"/>
      <c r="E1159" s="91"/>
      <c r="F1159" s="62"/>
      <c r="G1159" s="69"/>
    </row>
    <row r="1160" spans="1:7" x14ac:dyDescent="0.25">
      <c r="A1160" s="90"/>
      <c r="B1160" s="43"/>
      <c r="C1160" s="43"/>
      <c r="D1160" s="62"/>
      <c r="E1160" s="91"/>
      <c r="F1160" s="62"/>
      <c r="G1160" s="69"/>
    </row>
    <row r="1161" spans="1:7" x14ac:dyDescent="0.25">
      <c r="A1161" s="90"/>
      <c r="B1161" s="43"/>
      <c r="C1161" s="43"/>
      <c r="D1161" s="62"/>
      <c r="E1161" s="92"/>
      <c r="F1161" s="62"/>
      <c r="G1161" s="69"/>
    </row>
    <row r="1162" spans="1:7" x14ac:dyDescent="0.25">
      <c r="A1162" s="90"/>
      <c r="B1162" s="43"/>
      <c r="C1162" s="43"/>
      <c r="D1162" s="61"/>
      <c r="E1162" s="92"/>
      <c r="F1162" s="62"/>
      <c r="G1162" s="43"/>
    </row>
    <row r="1163" spans="1:7" x14ac:dyDescent="0.25">
      <c r="A1163" s="90"/>
      <c r="B1163" s="69"/>
      <c r="C1163" s="69"/>
      <c r="D1163" s="69"/>
      <c r="E1163" s="69"/>
      <c r="F1163" s="69"/>
      <c r="G1163" s="64"/>
    </row>
    <row r="1164" spans="1:7" x14ac:dyDescent="0.25">
      <c r="A1164" s="910"/>
      <c r="B1164" s="80"/>
      <c r="C1164" s="80"/>
      <c r="D1164" s="80"/>
      <c r="E1164" s="89"/>
      <c r="F1164" s="80"/>
      <c r="G1164" s="67"/>
    </row>
    <row r="1165" spans="1:7" x14ac:dyDescent="0.25">
      <c r="A1165" s="81"/>
      <c r="B1165" s="81"/>
      <c r="C1165" s="81"/>
      <c r="D1165" s="81"/>
      <c r="E1165" s="81"/>
      <c r="F1165" s="81"/>
      <c r="G1165" s="81"/>
    </row>
    <row r="1166" spans="1:7" x14ac:dyDescent="0.25">
      <c r="A1166" s="69"/>
      <c r="B1166" s="85"/>
      <c r="C1166" s="96"/>
      <c r="D1166" s="62"/>
      <c r="E1166" s="121"/>
      <c r="F1166" s="62"/>
      <c r="G1166" s="69"/>
    </row>
    <row r="1167" spans="1:7" x14ac:dyDescent="0.25">
      <c r="A1167" s="881"/>
      <c r="B1167" s="85"/>
      <c r="C1167" s="96"/>
      <c r="D1167" s="62"/>
      <c r="E1167" s="101"/>
      <c r="F1167" s="62"/>
      <c r="G1167" s="69"/>
    </row>
    <row r="1168" spans="1:7" x14ac:dyDescent="0.25">
      <c r="A1168" s="69"/>
      <c r="B1168" s="85"/>
      <c r="C1168" s="69"/>
      <c r="D1168" s="62"/>
      <c r="E1168" s="69"/>
      <c r="F1168" s="62"/>
      <c r="G1168" s="69"/>
    </row>
    <row r="1169" spans="1:7" x14ac:dyDescent="0.25">
      <c r="A1169" s="69"/>
      <c r="B1169" s="69"/>
      <c r="C1169" s="69"/>
      <c r="D1169" s="69"/>
      <c r="E1169" s="69"/>
      <c r="F1169" s="69"/>
      <c r="G1169" s="43"/>
    </row>
    <row r="1170" spans="1:7" x14ac:dyDescent="0.25">
      <c r="A1170" s="82"/>
      <c r="B1170" s="82"/>
      <c r="C1170" s="82"/>
      <c r="D1170" s="82"/>
      <c r="E1170" s="82"/>
      <c r="F1170" s="82"/>
      <c r="G1170" s="64"/>
    </row>
    <row r="1171" spans="1:7" x14ac:dyDescent="0.25">
      <c r="A1171" s="1230"/>
      <c r="B1171" s="1230"/>
      <c r="C1171" s="1230"/>
      <c r="D1171" s="1230"/>
      <c r="E1171" s="1230"/>
      <c r="F1171" s="1230"/>
      <c r="G1171" s="1233"/>
    </row>
    <row r="1172" spans="1:7" x14ac:dyDescent="0.25">
      <c r="A1172" s="1248"/>
      <c r="B1172" s="1248"/>
      <c r="C1172" s="1248"/>
      <c r="D1172" s="1248"/>
      <c r="E1172" s="1231"/>
      <c r="F1172" s="93"/>
      <c r="G1172" s="70"/>
    </row>
    <row r="1173" spans="1:7" x14ac:dyDescent="0.25">
      <c r="A1173" s="1232"/>
      <c r="B1173" s="1232"/>
      <c r="C1173" s="1222"/>
      <c r="D1173" s="1222"/>
      <c r="E1173" s="1222"/>
      <c r="F1173" s="1222"/>
      <c r="G1173" s="1222"/>
    </row>
    <row r="1174" spans="1:7" x14ac:dyDescent="0.25">
      <c r="A1174" s="1232"/>
      <c r="B1174" s="1232"/>
      <c r="C1174" s="1222"/>
      <c r="D1174" s="1222"/>
      <c r="E1174" s="1222"/>
      <c r="F1174" s="1222"/>
      <c r="G1174" s="1222"/>
    </row>
    <row r="1175" spans="1:7" x14ac:dyDescent="0.25">
      <c r="A1175" s="1244"/>
      <c r="B1175" s="1244"/>
      <c r="C1175" s="1244"/>
      <c r="D1175" s="1244"/>
      <c r="E1175" s="1244"/>
      <c r="F1175" s="1221"/>
      <c r="G1175" s="1222"/>
    </row>
    <row r="1176" spans="1:7" x14ac:dyDescent="0.25">
      <c r="A1176" s="1244"/>
      <c r="B1176" s="1244"/>
      <c r="C1176" s="1244"/>
      <c r="D1176" s="1244"/>
      <c r="E1176" s="1244"/>
      <c r="F1176" s="1221"/>
      <c r="G1176" s="1222"/>
    </row>
    <row r="1177" spans="1:7" x14ac:dyDescent="0.25">
      <c r="A1177" s="1244"/>
      <c r="B1177" s="1244"/>
      <c r="C1177" s="1244"/>
      <c r="D1177" s="1244"/>
      <c r="E1177" s="1244"/>
      <c r="F1177" s="1221"/>
      <c r="G1177" s="1222"/>
    </row>
    <row r="1178" spans="1:7" x14ac:dyDescent="0.25">
      <c r="A1178" s="1244"/>
      <c r="B1178" s="1244"/>
      <c r="C1178" s="1244"/>
      <c r="D1178" s="1244"/>
      <c r="E1178" s="1244"/>
      <c r="F1178" s="1221"/>
      <c r="G1178" s="1222"/>
    </row>
    <row r="1179" spans="1:7" x14ac:dyDescent="0.25">
      <c r="A1179" s="1245"/>
      <c r="B1179" s="1245"/>
      <c r="C1179" s="1245"/>
      <c r="D1179" s="1245"/>
      <c r="E1179" s="1245"/>
      <c r="F1179" s="1222"/>
      <c r="G1179" s="1222"/>
    </row>
    <row r="1187" spans="1:7" x14ac:dyDescent="0.25">
      <c r="A1187" s="95"/>
      <c r="B1187" s="94"/>
      <c r="C1187" s="94"/>
      <c r="D1187" s="94"/>
      <c r="E1187" s="94"/>
      <c r="F1187" s="882"/>
      <c r="G1187" s="882"/>
    </row>
    <row r="1188" spans="1:7" x14ac:dyDescent="0.25">
      <c r="A1188" s="1238"/>
      <c r="B1188" s="1246"/>
      <c r="C1188" s="1246"/>
      <c r="D1188" s="1246"/>
      <c r="E1188" s="1247"/>
      <c r="F1188" s="880"/>
      <c r="G1188" s="880"/>
    </row>
    <row r="1189" spans="1:7" x14ac:dyDescent="0.25">
      <c r="A1189" s="1229"/>
      <c r="B1189" s="1229"/>
      <c r="C1189" s="1229"/>
      <c r="D1189" s="1229"/>
      <c r="E1189" s="1229"/>
      <c r="F1189" s="1229"/>
      <c r="G1189" s="1229"/>
    </row>
    <row r="1190" spans="1:7" x14ac:dyDescent="0.25">
      <c r="A1190" s="1234"/>
      <c r="B1190" s="1235"/>
      <c r="C1190" s="80"/>
      <c r="D1190" s="80"/>
      <c r="E1190" s="80"/>
      <c r="F1190" s="80"/>
      <c r="G1190" s="67"/>
    </row>
    <row r="1191" spans="1:7" x14ac:dyDescent="0.25">
      <c r="A1191" s="1236"/>
      <c r="B1191" s="1236"/>
      <c r="C1191" s="69"/>
      <c r="D1191" s="62"/>
      <c r="E1191" s="62"/>
      <c r="F1191" s="62"/>
      <c r="G1191" s="81"/>
    </row>
    <row r="1192" spans="1:7" x14ac:dyDescent="0.25">
      <c r="A1192" s="1236"/>
      <c r="B1192" s="1236"/>
      <c r="C1192" s="69"/>
      <c r="D1192" s="62"/>
      <c r="E1192" s="62"/>
      <c r="F1192" s="62"/>
      <c r="G1192" s="69"/>
    </row>
    <row r="1193" spans="1:7" x14ac:dyDescent="0.25">
      <c r="A1193" s="1236"/>
      <c r="B1193" s="1236"/>
      <c r="C1193" s="69"/>
      <c r="D1193" s="69"/>
      <c r="E1193" s="69"/>
      <c r="F1193" s="62"/>
      <c r="G1193" s="69"/>
    </row>
    <row r="1194" spans="1:7" x14ac:dyDescent="0.25">
      <c r="A1194" s="1236"/>
      <c r="B1194" s="1236"/>
      <c r="C1194" s="69"/>
      <c r="D1194" s="69"/>
      <c r="E1194" s="69"/>
      <c r="F1194" s="69"/>
      <c r="G1194" s="69"/>
    </row>
    <row r="1195" spans="1:7" x14ac:dyDescent="0.25">
      <c r="A1195" s="1236"/>
      <c r="B1195" s="1236"/>
      <c r="C1195" s="69"/>
      <c r="D1195" s="69"/>
      <c r="E1195" s="69"/>
      <c r="F1195" s="69"/>
      <c r="G1195" s="83"/>
    </row>
    <row r="1196" spans="1:7" x14ac:dyDescent="0.25">
      <c r="A1196" s="1237"/>
      <c r="B1196" s="1237"/>
      <c r="C1196" s="82"/>
      <c r="D1196" s="82"/>
      <c r="E1196" s="82"/>
      <c r="F1196" s="82"/>
      <c r="G1196" s="64"/>
    </row>
    <row r="1197" spans="1:7" x14ac:dyDescent="0.25">
      <c r="A1197" s="1234"/>
      <c r="B1197" s="1235"/>
      <c r="C1197" s="80"/>
      <c r="D1197" s="80"/>
      <c r="E1197" s="80"/>
      <c r="F1197" s="80"/>
      <c r="G1197" s="67"/>
    </row>
    <row r="1198" spans="1:7" x14ac:dyDescent="0.25">
      <c r="A1198" s="1226"/>
      <c r="B1198" s="1227"/>
      <c r="C1198" s="43"/>
      <c r="D1198" s="97"/>
      <c r="E1198" s="92"/>
      <c r="F1198" s="85"/>
      <c r="G1198" s="69"/>
    </row>
    <row r="1199" spans="1:7" x14ac:dyDescent="0.25">
      <c r="A1199" s="1228"/>
      <c r="B1199" s="1229"/>
      <c r="C1199" s="43"/>
      <c r="D1199" s="97"/>
      <c r="E1199" s="92"/>
      <c r="F1199" s="85"/>
      <c r="G1199" s="43"/>
    </row>
    <row r="1200" spans="1:7" x14ac:dyDescent="0.25">
      <c r="A1200" s="1228"/>
      <c r="B1200" s="1229"/>
      <c r="C1200" s="69"/>
      <c r="D1200" s="69"/>
      <c r="E1200" s="69"/>
      <c r="F1200" s="69"/>
      <c r="G1200" s="65"/>
    </row>
    <row r="1201" spans="1:7" x14ac:dyDescent="0.25">
      <c r="A1201" s="910"/>
      <c r="B1201" s="89"/>
      <c r="C1201" s="89"/>
      <c r="D1201" s="80"/>
      <c r="E1201" s="80"/>
      <c r="F1201" s="80"/>
      <c r="G1201" s="67"/>
    </row>
    <row r="1202" spans="1:7" x14ac:dyDescent="0.25">
      <c r="A1202" s="899"/>
      <c r="B1202" s="43"/>
      <c r="C1202" s="43"/>
      <c r="D1202" s="62"/>
      <c r="E1202" s="91"/>
      <c r="F1202" s="62"/>
      <c r="G1202" s="69"/>
    </row>
    <row r="1203" spans="1:7" x14ac:dyDescent="0.25">
      <c r="A1203" s="90"/>
      <c r="B1203" s="43"/>
      <c r="C1203" s="43"/>
      <c r="D1203" s="62"/>
      <c r="E1203" s="91"/>
      <c r="F1203" s="62"/>
      <c r="G1203" s="69"/>
    </row>
    <row r="1204" spans="1:7" x14ac:dyDescent="0.25">
      <c r="A1204" s="90"/>
      <c r="B1204" s="43"/>
      <c r="C1204" s="43"/>
      <c r="D1204" s="62"/>
      <c r="E1204" s="92"/>
      <c r="F1204" s="62"/>
      <c r="G1204" s="69"/>
    </row>
    <row r="1205" spans="1:7" x14ac:dyDescent="0.25">
      <c r="A1205" s="90"/>
      <c r="B1205" s="43"/>
      <c r="C1205" s="43"/>
      <c r="D1205" s="61"/>
      <c r="E1205" s="92"/>
      <c r="F1205" s="62"/>
      <c r="G1205" s="43"/>
    </row>
    <row r="1206" spans="1:7" x14ac:dyDescent="0.25">
      <c r="A1206" s="90"/>
      <c r="B1206" s="69"/>
      <c r="C1206" s="69"/>
      <c r="D1206" s="69"/>
      <c r="E1206" s="69"/>
      <c r="F1206" s="69"/>
      <c r="G1206" s="64"/>
    </row>
    <row r="1207" spans="1:7" x14ac:dyDescent="0.25">
      <c r="A1207" s="910"/>
      <c r="B1207" s="80"/>
      <c r="C1207" s="80"/>
      <c r="D1207" s="80"/>
      <c r="E1207" s="89"/>
      <c r="F1207" s="80"/>
      <c r="G1207" s="67"/>
    </row>
    <row r="1208" spans="1:7" x14ac:dyDescent="0.25">
      <c r="A1208" s="81"/>
      <c r="B1208" s="81"/>
      <c r="C1208" s="81"/>
      <c r="D1208" s="81"/>
      <c r="E1208" s="81"/>
      <c r="F1208" s="81"/>
      <c r="G1208" s="81"/>
    </row>
    <row r="1209" spans="1:7" x14ac:dyDescent="0.25">
      <c r="A1209" s="69"/>
      <c r="B1209" s="85"/>
      <c r="C1209" s="96"/>
      <c r="D1209" s="62"/>
      <c r="E1209" s="121"/>
      <c r="F1209" s="62"/>
      <c r="G1209" s="69"/>
    </row>
    <row r="1210" spans="1:7" x14ac:dyDescent="0.25">
      <c r="A1210" s="881"/>
      <c r="B1210" s="85"/>
      <c r="C1210" s="96"/>
      <c r="D1210" s="62"/>
      <c r="E1210" s="101"/>
      <c r="F1210" s="62"/>
      <c r="G1210" s="69"/>
    </row>
    <row r="1211" spans="1:7" x14ac:dyDescent="0.25">
      <c r="A1211" s="69"/>
      <c r="B1211" s="85"/>
      <c r="C1211" s="69"/>
      <c r="D1211" s="62"/>
      <c r="E1211" s="69"/>
      <c r="F1211" s="62"/>
      <c r="G1211" s="69"/>
    </row>
    <row r="1212" spans="1:7" x14ac:dyDescent="0.25">
      <c r="A1212" s="69"/>
      <c r="B1212" s="69"/>
      <c r="C1212" s="69"/>
      <c r="D1212" s="69"/>
      <c r="E1212" s="69"/>
      <c r="F1212" s="69"/>
      <c r="G1212" s="43"/>
    </row>
    <row r="1213" spans="1:7" x14ac:dyDescent="0.25">
      <c r="A1213" s="82"/>
      <c r="B1213" s="82"/>
      <c r="C1213" s="82"/>
      <c r="D1213" s="82"/>
      <c r="E1213" s="82"/>
      <c r="F1213" s="82"/>
      <c r="G1213" s="64"/>
    </row>
    <row r="1214" spans="1:7" x14ac:dyDescent="0.25">
      <c r="A1214" s="1230"/>
      <c r="B1214" s="1230"/>
      <c r="C1214" s="1230"/>
      <c r="D1214" s="1230"/>
      <c r="E1214" s="1230"/>
      <c r="F1214" s="1230"/>
      <c r="G1214" s="1233"/>
    </row>
    <row r="1215" spans="1:7" x14ac:dyDescent="0.25">
      <c r="A1215" s="1248"/>
      <c r="B1215" s="1248"/>
      <c r="C1215" s="1248"/>
      <c r="D1215" s="1248"/>
      <c r="E1215" s="1231"/>
      <c r="F1215" s="93"/>
      <c r="G1215" s="70"/>
    </row>
    <row r="1216" spans="1:7" x14ac:dyDescent="0.25">
      <c r="A1216" s="1232"/>
      <c r="B1216" s="1232"/>
      <c r="C1216" s="1222"/>
      <c r="D1216" s="1222"/>
      <c r="E1216" s="1222"/>
      <c r="F1216" s="1222"/>
      <c r="G1216" s="1222"/>
    </row>
    <row r="1217" spans="1:7" x14ac:dyDescent="0.25">
      <c r="A1217" s="1232"/>
      <c r="B1217" s="1232"/>
      <c r="C1217" s="1222"/>
      <c r="D1217" s="1222"/>
      <c r="E1217" s="1222"/>
      <c r="F1217" s="1222"/>
      <c r="G1217" s="1222"/>
    </row>
    <row r="1218" spans="1:7" x14ac:dyDescent="0.25">
      <c r="A1218" s="1244"/>
      <c r="B1218" s="1244"/>
      <c r="C1218" s="1244"/>
      <c r="D1218" s="1244"/>
      <c r="E1218" s="1244"/>
      <c r="F1218" s="1221"/>
      <c r="G1218" s="1222"/>
    </row>
    <row r="1219" spans="1:7" x14ac:dyDescent="0.25">
      <c r="A1219" s="1244"/>
      <c r="B1219" s="1244"/>
      <c r="C1219" s="1244"/>
      <c r="D1219" s="1244"/>
      <c r="E1219" s="1244"/>
      <c r="F1219" s="1221"/>
      <c r="G1219" s="1222"/>
    </row>
    <row r="1220" spans="1:7" x14ac:dyDescent="0.25">
      <c r="A1220" s="1244"/>
      <c r="B1220" s="1244"/>
      <c r="C1220" s="1244"/>
      <c r="D1220" s="1244"/>
      <c r="E1220" s="1244"/>
      <c r="F1220" s="1221"/>
      <c r="G1220" s="1222"/>
    </row>
    <row r="1221" spans="1:7" x14ac:dyDescent="0.25">
      <c r="A1221" s="1244"/>
      <c r="B1221" s="1244"/>
      <c r="C1221" s="1244"/>
      <c r="D1221" s="1244"/>
      <c r="E1221" s="1244"/>
      <c r="F1221" s="1221"/>
      <c r="G1221" s="1222"/>
    </row>
    <row r="1222" spans="1:7" x14ac:dyDescent="0.25">
      <c r="A1222" s="1245"/>
      <c r="B1222" s="1245"/>
      <c r="C1222" s="1245"/>
      <c r="D1222" s="1245"/>
      <c r="E1222" s="1245"/>
      <c r="F1222" s="1222"/>
      <c r="G1222" s="1222"/>
    </row>
    <row r="1230" spans="1:7" x14ac:dyDescent="0.25">
      <c r="A1230" s="95"/>
      <c r="B1230" s="94"/>
      <c r="C1230" s="94"/>
      <c r="D1230" s="94"/>
      <c r="E1230" s="94"/>
      <c r="F1230" s="882"/>
      <c r="G1230" s="882"/>
    </row>
    <row r="1231" spans="1:7" x14ac:dyDescent="0.25">
      <c r="A1231" s="1238"/>
      <c r="B1231" s="1246"/>
      <c r="C1231" s="1246"/>
      <c r="D1231" s="1246"/>
      <c r="E1231" s="1247"/>
      <c r="F1231" s="880"/>
      <c r="G1231" s="880"/>
    </row>
    <row r="1232" spans="1:7" x14ac:dyDescent="0.25">
      <c r="A1232" s="1229"/>
      <c r="B1232" s="1229"/>
      <c r="C1232" s="1229"/>
      <c r="D1232" s="1229"/>
      <c r="E1232" s="1229"/>
      <c r="F1232" s="1229"/>
      <c r="G1232" s="1229"/>
    </row>
    <row r="1233" spans="1:7" x14ac:dyDescent="0.25">
      <c r="A1233" s="1234"/>
      <c r="B1233" s="1235"/>
      <c r="C1233" s="80"/>
      <c r="D1233" s="80"/>
      <c r="E1233" s="80"/>
      <c r="F1233" s="80"/>
      <c r="G1233" s="67"/>
    </row>
    <row r="1234" spans="1:7" x14ac:dyDescent="0.25">
      <c r="A1234" s="1236"/>
      <c r="B1234" s="1236"/>
      <c r="C1234" s="69"/>
      <c r="D1234" s="62"/>
      <c r="E1234" s="62"/>
      <c r="F1234" s="62"/>
      <c r="G1234" s="81"/>
    </row>
    <row r="1235" spans="1:7" x14ac:dyDescent="0.25">
      <c r="A1235" s="1236"/>
      <c r="B1235" s="1236"/>
      <c r="C1235" s="69"/>
      <c r="D1235" s="62"/>
      <c r="E1235" s="62"/>
      <c r="F1235" s="62"/>
      <c r="G1235" s="69"/>
    </row>
    <row r="1236" spans="1:7" x14ac:dyDescent="0.25">
      <c r="A1236" s="1236"/>
      <c r="B1236" s="1236"/>
      <c r="C1236" s="69"/>
      <c r="D1236" s="69"/>
      <c r="E1236" s="69"/>
      <c r="F1236" s="62"/>
      <c r="G1236" s="69"/>
    </row>
    <row r="1237" spans="1:7" x14ac:dyDescent="0.25">
      <c r="A1237" s="1236"/>
      <c r="B1237" s="1236"/>
      <c r="C1237" s="69"/>
      <c r="D1237" s="69"/>
      <c r="E1237" s="69"/>
      <c r="F1237" s="69"/>
      <c r="G1237" s="69"/>
    </row>
    <row r="1238" spans="1:7" x14ac:dyDescent="0.25">
      <c r="A1238" s="1236"/>
      <c r="B1238" s="1236"/>
      <c r="C1238" s="69"/>
      <c r="D1238" s="69"/>
      <c r="E1238" s="69"/>
      <c r="F1238" s="69"/>
      <c r="G1238" s="83"/>
    </row>
    <row r="1239" spans="1:7" x14ac:dyDescent="0.25">
      <c r="A1239" s="1237"/>
      <c r="B1239" s="1237"/>
      <c r="C1239" s="82"/>
      <c r="D1239" s="82"/>
      <c r="E1239" s="82"/>
      <c r="F1239" s="82"/>
      <c r="G1239" s="64"/>
    </row>
    <row r="1240" spans="1:7" x14ac:dyDescent="0.25">
      <c r="A1240" s="1234"/>
      <c r="B1240" s="1235"/>
      <c r="C1240" s="80"/>
      <c r="D1240" s="80"/>
      <c r="E1240" s="80"/>
      <c r="F1240" s="80"/>
      <c r="G1240" s="67"/>
    </row>
    <row r="1241" spans="1:7" x14ac:dyDescent="0.25">
      <c r="A1241" s="1226"/>
      <c r="B1241" s="1227"/>
      <c r="C1241" s="43"/>
      <c r="D1241" s="97"/>
      <c r="E1241" s="92"/>
      <c r="F1241" s="85"/>
      <c r="G1241" s="69"/>
    </row>
    <row r="1242" spans="1:7" x14ac:dyDescent="0.25">
      <c r="A1242" s="1228"/>
      <c r="B1242" s="1229"/>
      <c r="C1242" s="43"/>
      <c r="D1242" s="97"/>
      <c r="E1242" s="92"/>
      <c r="F1242" s="85"/>
      <c r="G1242" s="43"/>
    </row>
    <row r="1243" spans="1:7" x14ac:dyDescent="0.25">
      <c r="A1243" s="1228"/>
      <c r="B1243" s="1229"/>
      <c r="C1243" s="69"/>
      <c r="D1243" s="69"/>
      <c r="E1243" s="69"/>
      <c r="F1243" s="69"/>
      <c r="G1243" s="65"/>
    </row>
    <row r="1244" spans="1:7" x14ac:dyDescent="0.25">
      <c r="A1244" s="910"/>
      <c r="B1244" s="89"/>
      <c r="C1244" s="89"/>
      <c r="D1244" s="80"/>
      <c r="E1244" s="80"/>
      <c r="F1244" s="80"/>
      <c r="G1244" s="67"/>
    </row>
    <row r="1245" spans="1:7" x14ac:dyDescent="0.25">
      <c r="A1245" s="899"/>
      <c r="B1245" s="43"/>
      <c r="C1245" s="43"/>
      <c r="D1245" s="62"/>
      <c r="E1245" s="91"/>
      <c r="F1245" s="62"/>
      <c r="G1245" s="69"/>
    </row>
    <row r="1246" spans="1:7" x14ac:dyDescent="0.25">
      <c r="A1246" s="90"/>
      <c r="B1246" s="43"/>
      <c r="C1246" s="43"/>
      <c r="D1246" s="62"/>
      <c r="E1246" s="91"/>
      <c r="F1246" s="62"/>
      <c r="G1246" s="69"/>
    </row>
    <row r="1247" spans="1:7" x14ac:dyDescent="0.25">
      <c r="A1247" s="90"/>
      <c r="B1247" s="43"/>
      <c r="C1247" s="43"/>
      <c r="D1247" s="62"/>
      <c r="E1247" s="92"/>
      <c r="F1247" s="62"/>
      <c r="G1247" s="69"/>
    </row>
    <row r="1248" spans="1:7" x14ac:dyDescent="0.25">
      <c r="A1248" s="90"/>
      <c r="B1248" s="43"/>
      <c r="C1248" s="43"/>
      <c r="D1248" s="61"/>
      <c r="E1248" s="92"/>
      <c r="F1248" s="62"/>
      <c r="G1248" s="43"/>
    </row>
    <row r="1249" spans="1:7" x14ac:dyDescent="0.25">
      <c r="A1249" s="90"/>
      <c r="B1249" s="69"/>
      <c r="C1249" s="69"/>
      <c r="D1249" s="69"/>
      <c r="E1249" s="69"/>
      <c r="F1249" s="69"/>
      <c r="G1249" s="64"/>
    </row>
    <row r="1250" spans="1:7" x14ac:dyDescent="0.25">
      <c r="A1250" s="910"/>
      <c r="B1250" s="80"/>
      <c r="C1250" s="80"/>
      <c r="D1250" s="80"/>
      <c r="E1250" s="89"/>
      <c r="F1250" s="80"/>
      <c r="G1250" s="67"/>
    </row>
    <row r="1251" spans="1:7" x14ac:dyDescent="0.25">
      <c r="A1251" s="81"/>
      <c r="B1251" s="81"/>
      <c r="C1251" s="81"/>
      <c r="D1251" s="81"/>
      <c r="E1251" s="81"/>
      <c r="F1251" s="81"/>
      <c r="G1251" s="81"/>
    </row>
    <row r="1252" spans="1:7" x14ac:dyDescent="0.25">
      <c r="A1252" s="69"/>
      <c r="B1252" s="85"/>
      <c r="C1252" s="96"/>
      <c r="D1252" s="62"/>
      <c r="E1252" s="121"/>
      <c r="F1252" s="62"/>
      <c r="G1252" s="69"/>
    </row>
    <row r="1253" spans="1:7" x14ac:dyDescent="0.25">
      <c r="A1253" s="881"/>
      <c r="B1253" s="85"/>
      <c r="C1253" s="96"/>
      <c r="D1253" s="62"/>
      <c r="E1253" s="101"/>
      <c r="F1253" s="62"/>
      <c r="G1253" s="69"/>
    </row>
    <row r="1254" spans="1:7" x14ac:dyDescent="0.25">
      <c r="A1254" s="69"/>
      <c r="B1254" s="85"/>
      <c r="C1254" s="69"/>
      <c r="D1254" s="62"/>
      <c r="E1254" s="69"/>
      <c r="F1254" s="62"/>
      <c r="G1254" s="69"/>
    </row>
    <row r="1255" spans="1:7" x14ac:dyDescent="0.25">
      <c r="A1255" s="69"/>
      <c r="B1255" s="69"/>
      <c r="C1255" s="69"/>
      <c r="D1255" s="69"/>
      <c r="E1255" s="69"/>
      <c r="F1255" s="69"/>
      <c r="G1255" s="43"/>
    </row>
    <row r="1256" spans="1:7" x14ac:dyDescent="0.25">
      <c r="A1256" s="82"/>
      <c r="B1256" s="82"/>
      <c r="C1256" s="82"/>
      <c r="D1256" s="82"/>
      <c r="E1256" s="82"/>
      <c r="F1256" s="82"/>
      <c r="G1256" s="64"/>
    </row>
    <row r="1257" spans="1:7" x14ac:dyDescent="0.25">
      <c r="A1257" s="1230"/>
      <c r="B1257" s="1230"/>
      <c r="C1257" s="1230"/>
      <c r="D1257" s="1230"/>
      <c r="E1257" s="1230"/>
      <c r="F1257" s="1230"/>
      <c r="G1257" s="1233"/>
    </row>
    <row r="1258" spans="1:7" x14ac:dyDescent="0.25">
      <c r="A1258" s="1248"/>
      <c r="B1258" s="1248"/>
      <c r="C1258" s="1248"/>
      <c r="D1258" s="1248"/>
      <c r="E1258" s="1231"/>
      <c r="F1258" s="93"/>
      <c r="G1258" s="70"/>
    </row>
    <row r="1259" spans="1:7" x14ac:dyDescent="0.25">
      <c r="A1259" s="1232"/>
      <c r="B1259" s="1232"/>
      <c r="C1259" s="1222"/>
      <c r="D1259" s="1222"/>
      <c r="E1259" s="1222"/>
      <c r="F1259" s="1222"/>
      <c r="G1259" s="1222"/>
    </row>
    <row r="1260" spans="1:7" x14ac:dyDescent="0.25">
      <c r="A1260" s="1232"/>
      <c r="B1260" s="1232"/>
      <c r="C1260" s="1222"/>
      <c r="D1260" s="1222"/>
      <c r="E1260" s="1222"/>
      <c r="F1260" s="1222"/>
      <c r="G1260" s="1222"/>
    </row>
    <row r="1261" spans="1:7" x14ac:dyDescent="0.25">
      <c r="A1261" s="1244"/>
      <c r="B1261" s="1244"/>
      <c r="C1261" s="1244"/>
      <c r="D1261" s="1244"/>
      <c r="E1261" s="1244"/>
      <c r="F1261" s="1221"/>
      <c r="G1261" s="1222"/>
    </row>
    <row r="1262" spans="1:7" x14ac:dyDescent="0.25">
      <c r="A1262" s="1244"/>
      <c r="B1262" s="1244"/>
      <c r="C1262" s="1244"/>
      <c r="D1262" s="1244"/>
      <c r="E1262" s="1244"/>
      <c r="F1262" s="1221"/>
      <c r="G1262" s="1222"/>
    </row>
    <row r="1263" spans="1:7" x14ac:dyDescent="0.25">
      <c r="A1263" s="1244"/>
      <c r="B1263" s="1244"/>
      <c r="C1263" s="1244"/>
      <c r="D1263" s="1244"/>
      <c r="E1263" s="1244"/>
      <c r="F1263" s="1221"/>
      <c r="G1263" s="1222"/>
    </row>
    <row r="1264" spans="1:7" x14ac:dyDescent="0.25">
      <c r="A1264" s="1244"/>
      <c r="B1264" s="1244"/>
      <c r="C1264" s="1244"/>
      <c r="D1264" s="1244"/>
      <c r="E1264" s="1244"/>
      <c r="F1264" s="1221"/>
      <c r="G1264" s="1222"/>
    </row>
    <row r="1265" spans="1:7" x14ac:dyDescent="0.25">
      <c r="A1265" s="1245"/>
      <c r="B1265" s="1245"/>
      <c r="C1265" s="1245"/>
      <c r="D1265" s="1245"/>
      <c r="E1265" s="1245"/>
      <c r="F1265" s="1222"/>
      <c r="G1265" s="1222"/>
    </row>
    <row r="1274" spans="1:7" x14ac:dyDescent="0.25">
      <c r="A1274" s="95"/>
      <c r="B1274" s="94"/>
      <c r="C1274" s="94"/>
      <c r="D1274" s="94"/>
      <c r="E1274" s="94"/>
      <c r="F1274" s="882"/>
      <c r="G1274" s="882"/>
    </row>
    <row r="1275" spans="1:7" x14ac:dyDescent="0.25">
      <c r="A1275" s="1238"/>
      <c r="B1275" s="1246"/>
      <c r="C1275" s="1246"/>
      <c r="D1275" s="1246"/>
      <c r="E1275" s="1247"/>
      <c r="F1275" s="880"/>
      <c r="G1275" s="880"/>
    </row>
    <row r="1276" spans="1:7" x14ac:dyDescent="0.25">
      <c r="A1276" s="1229"/>
      <c r="B1276" s="1229"/>
      <c r="C1276" s="1229"/>
      <c r="D1276" s="1229"/>
      <c r="E1276" s="1229"/>
      <c r="F1276" s="1229"/>
      <c r="G1276" s="1229"/>
    </row>
    <row r="1277" spans="1:7" x14ac:dyDescent="0.25">
      <c r="A1277" s="1234"/>
      <c r="B1277" s="1235"/>
      <c r="C1277" s="80"/>
      <c r="D1277" s="80"/>
      <c r="E1277" s="80"/>
      <c r="F1277" s="80"/>
      <c r="G1277" s="67"/>
    </row>
    <row r="1278" spans="1:7" x14ac:dyDescent="0.25">
      <c r="A1278" s="1236"/>
      <c r="B1278" s="1236"/>
      <c r="C1278" s="69"/>
      <c r="D1278" s="62"/>
      <c r="E1278" s="62"/>
      <c r="F1278" s="62"/>
      <c r="G1278" s="81"/>
    </row>
    <row r="1279" spans="1:7" x14ac:dyDescent="0.25">
      <c r="A1279" s="1236"/>
      <c r="B1279" s="1236"/>
      <c r="C1279" s="69"/>
      <c r="D1279" s="62"/>
      <c r="E1279" s="62"/>
      <c r="F1279" s="62"/>
      <c r="G1279" s="69"/>
    </row>
    <row r="1280" spans="1:7" x14ac:dyDescent="0.25">
      <c r="A1280" s="1236"/>
      <c r="B1280" s="1236"/>
      <c r="C1280" s="69"/>
      <c r="D1280" s="69"/>
      <c r="E1280" s="69"/>
      <c r="F1280" s="62"/>
      <c r="G1280" s="69"/>
    </row>
    <row r="1281" spans="1:7" x14ac:dyDescent="0.25">
      <c r="A1281" s="1236"/>
      <c r="B1281" s="1236"/>
      <c r="C1281" s="69"/>
      <c r="D1281" s="69"/>
      <c r="E1281" s="69"/>
      <c r="F1281" s="69"/>
      <c r="G1281" s="69"/>
    </row>
    <row r="1282" spans="1:7" x14ac:dyDescent="0.25">
      <c r="A1282" s="1236"/>
      <c r="B1282" s="1236"/>
      <c r="C1282" s="69"/>
      <c r="D1282" s="69"/>
      <c r="E1282" s="69"/>
      <c r="F1282" s="69"/>
      <c r="G1282" s="83"/>
    </row>
    <row r="1283" spans="1:7" x14ac:dyDescent="0.25">
      <c r="A1283" s="1237"/>
      <c r="B1283" s="1237"/>
      <c r="C1283" s="82"/>
      <c r="D1283" s="82"/>
      <c r="E1283" s="82"/>
      <c r="F1283" s="82"/>
      <c r="G1283" s="64"/>
    </row>
    <row r="1284" spans="1:7" x14ac:dyDescent="0.25">
      <c r="A1284" s="1234"/>
      <c r="B1284" s="1235"/>
      <c r="C1284" s="80"/>
      <c r="D1284" s="80"/>
      <c r="E1284" s="80"/>
      <c r="F1284" s="80"/>
      <c r="G1284" s="67"/>
    </row>
    <row r="1285" spans="1:7" x14ac:dyDescent="0.25">
      <c r="A1285" s="1226"/>
      <c r="B1285" s="1227"/>
      <c r="C1285" s="43"/>
      <c r="D1285" s="97"/>
      <c r="E1285" s="92"/>
      <c r="F1285" s="85"/>
      <c r="G1285" s="69"/>
    </row>
    <row r="1286" spans="1:7" x14ac:dyDescent="0.25">
      <c r="A1286" s="1228"/>
      <c r="B1286" s="1229"/>
      <c r="C1286" s="43"/>
      <c r="D1286" s="97"/>
      <c r="E1286" s="92"/>
      <c r="F1286" s="85"/>
      <c r="G1286" s="43"/>
    </row>
    <row r="1287" spans="1:7" x14ac:dyDescent="0.25">
      <c r="A1287" s="1228"/>
      <c r="B1287" s="1229"/>
      <c r="C1287" s="69"/>
      <c r="D1287" s="69"/>
      <c r="E1287" s="69"/>
      <c r="F1287" s="69"/>
      <c r="G1287" s="65"/>
    </row>
    <row r="1288" spans="1:7" x14ac:dyDescent="0.25">
      <c r="A1288" s="910"/>
      <c r="B1288" s="89"/>
      <c r="C1288" s="89"/>
      <c r="D1288" s="80"/>
      <c r="E1288" s="80"/>
      <c r="F1288" s="80"/>
      <c r="G1288" s="67"/>
    </row>
    <row r="1289" spans="1:7" x14ac:dyDescent="0.25">
      <c r="A1289" s="899"/>
      <c r="B1289" s="43"/>
      <c r="C1289" s="43"/>
      <c r="D1289" s="62"/>
      <c r="E1289" s="91"/>
      <c r="F1289" s="62"/>
      <c r="G1289" s="69"/>
    </row>
    <row r="1290" spans="1:7" x14ac:dyDescent="0.25">
      <c r="A1290" s="90"/>
      <c r="B1290" s="43"/>
      <c r="C1290" s="43"/>
      <c r="D1290" s="62"/>
      <c r="E1290" s="91"/>
      <c r="F1290" s="62"/>
      <c r="G1290" s="69"/>
    </row>
    <row r="1291" spans="1:7" x14ac:dyDescent="0.25">
      <c r="A1291" s="90"/>
      <c r="B1291" s="43"/>
      <c r="C1291" s="43"/>
      <c r="D1291" s="62"/>
      <c r="E1291" s="92"/>
      <c r="F1291" s="62"/>
      <c r="G1291" s="69"/>
    </row>
    <row r="1292" spans="1:7" x14ac:dyDescent="0.25">
      <c r="A1292" s="90"/>
      <c r="B1292" s="43"/>
      <c r="C1292" s="43"/>
      <c r="D1292" s="61"/>
      <c r="E1292" s="92"/>
      <c r="F1292" s="62"/>
      <c r="G1292" s="43"/>
    </row>
    <row r="1293" spans="1:7" x14ac:dyDescent="0.25">
      <c r="A1293" s="90"/>
      <c r="B1293" s="69"/>
      <c r="C1293" s="69"/>
      <c r="D1293" s="69"/>
      <c r="E1293" s="69"/>
      <c r="F1293" s="69"/>
      <c r="G1293" s="64"/>
    </row>
    <row r="1294" spans="1:7" x14ac:dyDescent="0.25">
      <c r="A1294" s="910"/>
      <c r="B1294" s="80"/>
      <c r="C1294" s="80"/>
      <c r="D1294" s="80"/>
      <c r="E1294" s="89"/>
      <c r="F1294" s="80"/>
      <c r="G1294" s="67"/>
    </row>
    <row r="1295" spans="1:7" x14ac:dyDescent="0.25">
      <c r="A1295" s="81"/>
      <c r="B1295" s="81"/>
      <c r="C1295" s="81"/>
      <c r="D1295" s="81"/>
      <c r="E1295" s="81"/>
      <c r="F1295" s="81"/>
      <c r="G1295" s="81"/>
    </row>
    <row r="1296" spans="1:7" x14ac:dyDescent="0.25">
      <c r="A1296" s="69"/>
      <c r="B1296" s="85"/>
      <c r="C1296" s="96"/>
      <c r="D1296" s="62"/>
      <c r="E1296" s="121"/>
      <c r="F1296" s="62"/>
      <c r="G1296" s="69"/>
    </row>
    <row r="1297" spans="1:7" x14ac:dyDescent="0.25">
      <c r="A1297" s="881"/>
      <c r="B1297" s="85"/>
      <c r="C1297" s="96"/>
      <c r="D1297" s="62"/>
      <c r="E1297" s="101"/>
      <c r="F1297" s="62"/>
      <c r="G1297" s="69"/>
    </row>
    <row r="1298" spans="1:7" x14ac:dyDescent="0.25">
      <c r="A1298" s="69"/>
      <c r="B1298" s="85"/>
      <c r="C1298" s="69"/>
      <c r="D1298" s="62"/>
      <c r="E1298" s="69"/>
      <c r="F1298" s="62"/>
      <c r="G1298" s="69"/>
    </row>
    <row r="1299" spans="1:7" x14ac:dyDescent="0.25">
      <c r="A1299" s="69"/>
      <c r="B1299" s="69"/>
      <c r="C1299" s="69"/>
      <c r="D1299" s="69"/>
      <c r="E1299" s="69"/>
      <c r="F1299" s="69"/>
      <c r="G1299" s="43"/>
    </row>
    <row r="1300" spans="1:7" x14ac:dyDescent="0.25">
      <c r="A1300" s="82"/>
      <c r="B1300" s="82"/>
      <c r="C1300" s="82"/>
      <c r="D1300" s="82"/>
      <c r="E1300" s="82"/>
      <c r="F1300" s="82"/>
      <c r="G1300" s="64"/>
    </row>
    <row r="1301" spans="1:7" x14ac:dyDescent="0.25">
      <c r="A1301" s="1230"/>
      <c r="B1301" s="1230"/>
      <c r="C1301" s="1230"/>
      <c r="D1301" s="1230"/>
      <c r="E1301" s="1230"/>
      <c r="F1301" s="1230"/>
      <c r="G1301" s="1233"/>
    </row>
    <row r="1302" spans="1:7" x14ac:dyDescent="0.25">
      <c r="A1302" s="1248"/>
      <c r="B1302" s="1248"/>
      <c r="C1302" s="1248"/>
      <c r="D1302" s="1248"/>
      <c r="E1302" s="1231"/>
      <c r="F1302" s="93"/>
      <c r="G1302" s="70"/>
    </row>
    <row r="1303" spans="1:7" x14ac:dyDescent="0.25">
      <c r="A1303" s="1232"/>
      <c r="B1303" s="1232"/>
      <c r="C1303" s="1222"/>
      <c r="D1303" s="1222"/>
      <c r="E1303" s="1222"/>
      <c r="F1303" s="1222"/>
      <c r="G1303" s="1222"/>
    </row>
    <row r="1304" spans="1:7" x14ac:dyDescent="0.25">
      <c r="A1304" s="1232"/>
      <c r="B1304" s="1232"/>
      <c r="C1304" s="1222"/>
      <c r="D1304" s="1222"/>
      <c r="E1304" s="1222"/>
      <c r="F1304" s="1222"/>
      <c r="G1304" s="1222"/>
    </row>
    <row r="1305" spans="1:7" x14ac:dyDescent="0.25">
      <c r="A1305" s="1244"/>
      <c r="B1305" s="1244"/>
      <c r="C1305" s="1244"/>
      <c r="D1305" s="1244"/>
      <c r="E1305" s="1244"/>
      <c r="F1305" s="1221"/>
      <c r="G1305" s="1222"/>
    </row>
    <row r="1306" spans="1:7" x14ac:dyDescent="0.25">
      <c r="A1306" s="1244"/>
      <c r="B1306" s="1244"/>
      <c r="C1306" s="1244"/>
      <c r="D1306" s="1244"/>
      <c r="E1306" s="1244"/>
      <c r="F1306" s="1221"/>
      <c r="G1306" s="1222"/>
    </row>
    <row r="1307" spans="1:7" x14ac:dyDescent="0.25">
      <c r="A1307" s="1244"/>
      <c r="B1307" s="1244"/>
      <c r="C1307" s="1244"/>
      <c r="D1307" s="1244"/>
      <c r="E1307" s="1244"/>
      <c r="F1307" s="1221"/>
      <c r="G1307" s="1222"/>
    </row>
    <row r="1308" spans="1:7" x14ac:dyDescent="0.25">
      <c r="A1308" s="1244"/>
      <c r="B1308" s="1244"/>
      <c r="C1308" s="1244"/>
      <c r="D1308" s="1244"/>
      <c r="E1308" s="1244"/>
      <c r="F1308" s="1221"/>
      <c r="G1308" s="1222"/>
    </row>
    <row r="1309" spans="1:7" x14ac:dyDescent="0.25">
      <c r="A1309" s="1245"/>
      <c r="B1309" s="1245"/>
      <c r="C1309" s="1245"/>
      <c r="D1309" s="1245"/>
      <c r="E1309" s="1245"/>
      <c r="F1309" s="1222"/>
      <c r="G1309" s="1222"/>
    </row>
  </sheetData>
  <mergeCells count="950">
    <mergeCell ref="A8:B8"/>
    <mergeCell ref="A9:B9"/>
    <mergeCell ref="A10:B10"/>
    <mergeCell ref="A11:B11"/>
    <mergeCell ref="A12:B12"/>
    <mergeCell ref="A13:B13"/>
    <mergeCell ref="A5:B5"/>
    <mergeCell ref="A6:B6"/>
    <mergeCell ref="A7:B7"/>
    <mergeCell ref="A36:E36"/>
    <mergeCell ref="F36:F39"/>
    <mergeCell ref="G36:G39"/>
    <mergeCell ref="A37:E37"/>
    <mergeCell ref="A38:E38"/>
    <mergeCell ref="A33:E33"/>
    <mergeCell ref="E34:E35"/>
    <mergeCell ref="F34:F35"/>
    <mergeCell ref="G34:G35"/>
    <mergeCell ref="A39:E39"/>
    <mergeCell ref="A51:B51"/>
    <mergeCell ref="A52:B52"/>
    <mergeCell ref="A53:B53"/>
    <mergeCell ref="A45:B45"/>
    <mergeCell ref="A46:B46"/>
    <mergeCell ref="A47:B47"/>
    <mergeCell ref="A48:B48"/>
    <mergeCell ref="A49:B49"/>
    <mergeCell ref="A50:B50"/>
    <mergeCell ref="A94:B94"/>
    <mergeCell ref="A95:B95"/>
    <mergeCell ref="A96:B96"/>
    <mergeCell ref="A90:B90"/>
    <mergeCell ref="A91:B91"/>
    <mergeCell ref="A92:B92"/>
    <mergeCell ref="A93:B93"/>
    <mergeCell ref="A84:E84"/>
    <mergeCell ref="A85:G85"/>
    <mergeCell ref="A86:B86"/>
    <mergeCell ref="A137:B137"/>
    <mergeCell ref="A138:B138"/>
    <mergeCell ref="A139:B139"/>
    <mergeCell ref="A131:B131"/>
    <mergeCell ref="A135:B135"/>
    <mergeCell ref="A136:B136"/>
    <mergeCell ref="A133:E133"/>
    <mergeCell ref="A134:G134"/>
    <mergeCell ref="A124:E124"/>
    <mergeCell ref="A129:B129"/>
    <mergeCell ref="A130:B130"/>
    <mergeCell ref="F121:F124"/>
    <mergeCell ref="G121:G124"/>
    <mergeCell ref="A125:E125"/>
    <mergeCell ref="F125:G125"/>
    <mergeCell ref="A121:E121"/>
    <mergeCell ref="A122:E122"/>
    <mergeCell ref="A123:E123"/>
    <mergeCell ref="A173:B173"/>
    <mergeCell ref="A174:B174"/>
    <mergeCell ref="A178:B178"/>
    <mergeCell ref="A183:B183"/>
    <mergeCell ref="A184:B184"/>
    <mergeCell ref="A185:B185"/>
    <mergeCell ref="A186:B186"/>
    <mergeCell ref="A190:B190"/>
    <mergeCell ref="A191:B191"/>
    <mergeCell ref="A216:B216"/>
    <mergeCell ref="A217:B217"/>
    <mergeCell ref="A218:B218"/>
    <mergeCell ref="A219:B219"/>
    <mergeCell ref="A220:B220"/>
    <mergeCell ref="A234:G234"/>
    <mergeCell ref="A214:B214"/>
    <mergeCell ref="A215:B215"/>
    <mergeCell ref="A213:E213"/>
    <mergeCell ref="G236:G237"/>
    <mergeCell ref="A238:E238"/>
    <mergeCell ref="F238:F241"/>
    <mergeCell ref="G238:G241"/>
    <mergeCell ref="A239:E239"/>
    <mergeCell ref="A240:E240"/>
    <mergeCell ref="A241:E241"/>
    <mergeCell ref="A235:E235"/>
    <mergeCell ref="A236:B237"/>
    <mergeCell ref="C236:C237"/>
    <mergeCell ref="D236:D237"/>
    <mergeCell ref="E236:E237"/>
    <mergeCell ref="F236:F237"/>
    <mergeCell ref="A247:E247"/>
    <mergeCell ref="F247:F248"/>
    <mergeCell ref="G247:G248"/>
    <mergeCell ref="A248:E248"/>
    <mergeCell ref="A250:E250"/>
    <mergeCell ref="A251:G251"/>
    <mergeCell ref="A242:E242"/>
    <mergeCell ref="F242:G242"/>
    <mergeCell ref="A243:G243"/>
    <mergeCell ref="A244:E244"/>
    <mergeCell ref="A245:B246"/>
    <mergeCell ref="C245:C246"/>
    <mergeCell ref="D245:D246"/>
    <mergeCell ref="E245:E246"/>
    <mergeCell ref="F245:F246"/>
    <mergeCell ref="G245:G246"/>
    <mergeCell ref="A258:B258"/>
    <mergeCell ref="A259:B259"/>
    <mergeCell ref="A260:B260"/>
    <mergeCell ref="A261:B261"/>
    <mergeCell ref="A262:B262"/>
    <mergeCell ref="A276:G276"/>
    <mergeCell ref="A252:B252"/>
    <mergeCell ref="A253:B253"/>
    <mergeCell ref="A254:B254"/>
    <mergeCell ref="A255:B255"/>
    <mergeCell ref="A256:B256"/>
    <mergeCell ref="A257:B257"/>
    <mergeCell ref="G278:G279"/>
    <mergeCell ref="A280:E280"/>
    <mergeCell ref="F280:F283"/>
    <mergeCell ref="G280:G283"/>
    <mergeCell ref="A281:E281"/>
    <mergeCell ref="A282:E282"/>
    <mergeCell ref="A283:E283"/>
    <mergeCell ref="A277:E277"/>
    <mergeCell ref="A278:B279"/>
    <mergeCell ref="C278:C279"/>
    <mergeCell ref="D278:D279"/>
    <mergeCell ref="E278:E279"/>
    <mergeCell ref="F278:F279"/>
    <mergeCell ref="A289:E289"/>
    <mergeCell ref="F289:F290"/>
    <mergeCell ref="G289:G290"/>
    <mergeCell ref="A290:E290"/>
    <mergeCell ref="A292:E292"/>
    <mergeCell ref="A293:G293"/>
    <mergeCell ref="A284:E284"/>
    <mergeCell ref="F284:G284"/>
    <mergeCell ref="A285:G285"/>
    <mergeCell ref="A286:E286"/>
    <mergeCell ref="A287:B288"/>
    <mergeCell ref="C287:C288"/>
    <mergeCell ref="D287:D288"/>
    <mergeCell ref="E287:E288"/>
    <mergeCell ref="F287:F288"/>
    <mergeCell ref="G287:G288"/>
    <mergeCell ref="A300:B300"/>
    <mergeCell ref="A301:B301"/>
    <mergeCell ref="A302:B302"/>
    <mergeCell ref="A303:B303"/>
    <mergeCell ref="A304:B304"/>
    <mergeCell ref="A318:G318"/>
    <mergeCell ref="A294:B294"/>
    <mergeCell ref="A295:B295"/>
    <mergeCell ref="A296:B296"/>
    <mergeCell ref="A297:B297"/>
    <mergeCell ref="A298:B298"/>
    <mergeCell ref="A299:B299"/>
    <mergeCell ref="G320:G321"/>
    <mergeCell ref="A322:E322"/>
    <mergeCell ref="F322:F325"/>
    <mergeCell ref="G322:G325"/>
    <mergeCell ref="A323:E323"/>
    <mergeCell ref="A324:E324"/>
    <mergeCell ref="A325:E325"/>
    <mergeCell ref="A319:E319"/>
    <mergeCell ref="A320:B321"/>
    <mergeCell ref="C320:C321"/>
    <mergeCell ref="D320:D321"/>
    <mergeCell ref="E320:E321"/>
    <mergeCell ref="F320:F321"/>
    <mergeCell ref="A331:E331"/>
    <mergeCell ref="F331:F332"/>
    <mergeCell ref="G331:G332"/>
    <mergeCell ref="A332:E332"/>
    <mergeCell ref="A334:E334"/>
    <mergeCell ref="A335:G335"/>
    <mergeCell ref="A326:E326"/>
    <mergeCell ref="F326:G326"/>
    <mergeCell ref="A327:G327"/>
    <mergeCell ref="A328:E328"/>
    <mergeCell ref="A329:B330"/>
    <mergeCell ref="C329:C330"/>
    <mergeCell ref="D329:D330"/>
    <mergeCell ref="E329:E330"/>
    <mergeCell ref="F329:F330"/>
    <mergeCell ref="G329:G330"/>
    <mergeCell ref="A342:B342"/>
    <mergeCell ref="A343:B343"/>
    <mergeCell ref="A344:B344"/>
    <mergeCell ref="A345:B345"/>
    <mergeCell ref="A346:B346"/>
    <mergeCell ref="A360:G360"/>
    <mergeCell ref="A336:B336"/>
    <mergeCell ref="A337:B337"/>
    <mergeCell ref="A338:B338"/>
    <mergeCell ref="A339:B339"/>
    <mergeCell ref="A340:B340"/>
    <mergeCell ref="A341:B341"/>
    <mergeCell ref="G362:G363"/>
    <mergeCell ref="A364:E364"/>
    <mergeCell ref="F364:F367"/>
    <mergeCell ref="G364:G367"/>
    <mergeCell ref="A365:E365"/>
    <mergeCell ref="A366:E366"/>
    <mergeCell ref="A367:E367"/>
    <mergeCell ref="A361:E361"/>
    <mergeCell ref="A362:B363"/>
    <mergeCell ref="C362:C363"/>
    <mergeCell ref="D362:D363"/>
    <mergeCell ref="E362:E363"/>
    <mergeCell ref="F362:F363"/>
    <mergeCell ref="A373:E373"/>
    <mergeCell ref="F373:F374"/>
    <mergeCell ref="G373:G374"/>
    <mergeCell ref="A374:E374"/>
    <mergeCell ref="A376:E376"/>
    <mergeCell ref="A377:G377"/>
    <mergeCell ref="A368:E368"/>
    <mergeCell ref="F368:G368"/>
    <mergeCell ref="A369:G369"/>
    <mergeCell ref="A370:E370"/>
    <mergeCell ref="A371:B372"/>
    <mergeCell ref="C371:C372"/>
    <mergeCell ref="D371:D372"/>
    <mergeCell ref="E371:E372"/>
    <mergeCell ref="F371:F372"/>
    <mergeCell ref="G371:G372"/>
    <mergeCell ref="A384:B384"/>
    <mergeCell ref="A385:B385"/>
    <mergeCell ref="A386:B386"/>
    <mergeCell ref="A387:B387"/>
    <mergeCell ref="A388:B388"/>
    <mergeCell ref="A402:G402"/>
    <mergeCell ref="A378:B378"/>
    <mergeCell ref="A379:B379"/>
    <mergeCell ref="A380:B380"/>
    <mergeCell ref="A381:B381"/>
    <mergeCell ref="A382:B382"/>
    <mergeCell ref="A383:B383"/>
    <mergeCell ref="G404:G405"/>
    <mergeCell ref="A406:E406"/>
    <mergeCell ref="F406:F409"/>
    <mergeCell ref="G406:G409"/>
    <mergeCell ref="A407:E407"/>
    <mergeCell ref="A408:E408"/>
    <mergeCell ref="A409:E409"/>
    <mergeCell ref="A403:E403"/>
    <mergeCell ref="A404:B405"/>
    <mergeCell ref="C404:C405"/>
    <mergeCell ref="D404:D405"/>
    <mergeCell ref="E404:E405"/>
    <mergeCell ref="F404:F405"/>
    <mergeCell ref="A423:B423"/>
    <mergeCell ref="A424:B424"/>
    <mergeCell ref="A425:B425"/>
    <mergeCell ref="A426:B426"/>
    <mergeCell ref="A427:B427"/>
    <mergeCell ref="A428:B428"/>
    <mergeCell ref="A410:E410"/>
    <mergeCell ref="F410:G410"/>
    <mergeCell ref="A419:E419"/>
    <mergeCell ref="A420:G420"/>
    <mergeCell ref="A421:B421"/>
    <mergeCell ref="A422:B422"/>
    <mergeCell ref="G447:G448"/>
    <mergeCell ref="A449:E449"/>
    <mergeCell ref="F449:F452"/>
    <mergeCell ref="G449:G452"/>
    <mergeCell ref="A450:E450"/>
    <mergeCell ref="A451:E451"/>
    <mergeCell ref="A452:E452"/>
    <mergeCell ref="A429:B429"/>
    <mergeCell ref="A430:B430"/>
    <mergeCell ref="A431:B431"/>
    <mergeCell ref="A445:G445"/>
    <mergeCell ref="A446:E446"/>
    <mergeCell ref="A447:B448"/>
    <mergeCell ref="C447:C448"/>
    <mergeCell ref="D447:D448"/>
    <mergeCell ref="E447:E448"/>
    <mergeCell ref="F447:F448"/>
    <mergeCell ref="A466:B466"/>
    <mergeCell ref="A467:B467"/>
    <mergeCell ref="A468:B468"/>
    <mergeCell ref="A469:B469"/>
    <mergeCell ref="A470:B470"/>
    <mergeCell ref="A471:B471"/>
    <mergeCell ref="A453:E453"/>
    <mergeCell ref="F453:G453"/>
    <mergeCell ref="A462:E462"/>
    <mergeCell ref="A463:G463"/>
    <mergeCell ref="A464:B464"/>
    <mergeCell ref="A465:B465"/>
    <mergeCell ref="G490:G491"/>
    <mergeCell ref="A492:E492"/>
    <mergeCell ref="F492:F495"/>
    <mergeCell ref="G492:G495"/>
    <mergeCell ref="A493:E493"/>
    <mergeCell ref="A494:E494"/>
    <mergeCell ref="A495:E495"/>
    <mergeCell ref="A472:B472"/>
    <mergeCell ref="A473:B473"/>
    <mergeCell ref="A474:B474"/>
    <mergeCell ref="A488:G488"/>
    <mergeCell ref="A489:E489"/>
    <mergeCell ref="A490:B491"/>
    <mergeCell ref="C490:C491"/>
    <mergeCell ref="D490:D491"/>
    <mergeCell ref="E490:E491"/>
    <mergeCell ref="F490:F491"/>
    <mergeCell ref="A507:B507"/>
    <mergeCell ref="A508:B508"/>
    <mergeCell ref="A509:B509"/>
    <mergeCell ref="A510:B510"/>
    <mergeCell ref="A511:B511"/>
    <mergeCell ref="A512:B512"/>
    <mergeCell ref="A496:E496"/>
    <mergeCell ref="F496:G496"/>
    <mergeCell ref="A503:E503"/>
    <mergeCell ref="A504:G504"/>
    <mergeCell ref="A505:B505"/>
    <mergeCell ref="A506:B506"/>
    <mergeCell ref="G531:G532"/>
    <mergeCell ref="A533:E533"/>
    <mergeCell ref="F533:F536"/>
    <mergeCell ref="G533:G536"/>
    <mergeCell ref="A534:E534"/>
    <mergeCell ref="A535:E535"/>
    <mergeCell ref="A536:E536"/>
    <mergeCell ref="A513:B513"/>
    <mergeCell ref="A514:B514"/>
    <mergeCell ref="A515:B515"/>
    <mergeCell ref="A529:G529"/>
    <mergeCell ref="A530:E530"/>
    <mergeCell ref="A531:B532"/>
    <mergeCell ref="C531:C532"/>
    <mergeCell ref="D531:D532"/>
    <mergeCell ref="E531:E532"/>
    <mergeCell ref="F531:F532"/>
    <mergeCell ref="A550:B550"/>
    <mergeCell ref="A551:B551"/>
    <mergeCell ref="A552:B552"/>
    <mergeCell ref="A553:B553"/>
    <mergeCell ref="A554:B554"/>
    <mergeCell ref="A555:B555"/>
    <mergeCell ref="A537:E537"/>
    <mergeCell ref="F537:G537"/>
    <mergeCell ref="A546:E546"/>
    <mergeCell ref="A547:G547"/>
    <mergeCell ref="A548:B548"/>
    <mergeCell ref="A549:B549"/>
    <mergeCell ref="G574:G575"/>
    <mergeCell ref="A576:E576"/>
    <mergeCell ref="F576:F579"/>
    <mergeCell ref="G576:G579"/>
    <mergeCell ref="A577:E577"/>
    <mergeCell ref="A578:E578"/>
    <mergeCell ref="A579:E579"/>
    <mergeCell ref="A556:B556"/>
    <mergeCell ref="A557:B557"/>
    <mergeCell ref="A558:B558"/>
    <mergeCell ref="A572:G572"/>
    <mergeCell ref="A573:E573"/>
    <mergeCell ref="A574:B575"/>
    <mergeCell ref="C574:C575"/>
    <mergeCell ref="D574:D575"/>
    <mergeCell ref="E574:E575"/>
    <mergeCell ref="F574:F575"/>
    <mergeCell ref="A592:B592"/>
    <mergeCell ref="A593:B593"/>
    <mergeCell ref="A594:B594"/>
    <mergeCell ref="A595:B595"/>
    <mergeCell ref="A596:B596"/>
    <mergeCell ref="A597:B597"/>
    <mergeCell ref="A580:E580"/>
    <mergeCell ref="F580:G580"/>
    <mergeCell ref="A588:E588"/>
    <mergeCell ref="A589:G589"/>
    <mergeCell ref="A590:B590"/>
    <mergeCell ref="A591:B591"/>
    <mergeCell ref="G616:G617"/>
    <mergeCell ref="A618:E618"/>
    <mergeCell ref="F618:F621"/>
    <mergeCell ref="G618:G621"/>
    <mergeCell ref="A619:E619"/>
    <mergeCell ref="A620:E620"/>
    <mergeCell ref="A621:E621"/>
    <mergeCell ref="A598:B598"/>
    <mergeCell ref="A599:B599"/>
    <mergeCell ref="A600:B600"/>
    <mergeCell ref="A614:G614"/>
    <mergeCell ref="A615:E615"/>
    <mergeCell ref="A616:B617"/>
    <mergeCell ref="C616:C617"/>
    <mergeCell ref="D616:D617"/>
    <mergeCell ref="E616:E617"/>
    <mergeCell ref="F616:F617"/>
    <mergeCell ref="A634:B634"/>
    <mergeCell ref="A635:B635"/>
    <mergeCell ref="A636:B636"/>
    <mergeCell ref="A637:B637"/>
    <mergeCell ref="A638:B638"/>
    <mergeCell ref="A639:B639"/>
    <mergeCell ref="A622:E622"/>
    <mergeCell ref="F622:G622"/>
    <mergeCell ref="A630:E630"/>
    <mergeCell ref="A631:G631"/>
    <mergeCell ref="A632:B632"/>
    <mergeCell ref="A633:B633"/>
    <mergeCell ref="G658:G659"/>
    <mergeCell ref="A660:E660"/>
    <mergeCell ref="F660:F663"/>
    <mergeCell ref="G660:G663"/>
    <mergeCell ref="A661:E661"/>
    <mergeCell ref="A662:E662"/>
    <mergeCell ref="A663:E663"/>
    <mergeCell ref="A640:B640"/>
    <mergeCell ref="A641:B641"/>
    <mergeCell ref="A642:B642"/>
    <mergeCell ref="A656:G656"/>
    <mergeCell ref="A657:E657"/>
    <mergeCell ref="A658:B659"/>
    <mergeCell ref="C658:C659"/>
    <mergeCell ref="D658:D659"/>
    <mergeCell ref="E658:E659"/>
    <mergeCell ref="F658:F659"/>
    <mergeCell ref="A677:B677"/>
    <mergeCell ref="A678:B678"/>
    <mergeCell ref="A679:B679"/>
    <mergeCell ref="A680:B680"/>
    <mergeCell ref="A681:B681"/>
    <mergeCell ref="A682:B682"/>
    <mergeCell ref="A664:E664"/>
    <mergeCell ref="F664:G664"/>
    <mergeCell ref="A673:E673"/>
    <mergeCell ref="A674:G674"/>
    <mergeCell ref="A675:B675"/>
    <mergeCell ref="A676:B676"/>
    <mergeCell ref="G701:G702"/>
    <mergeCell ref="A703:E703"/>
    <mergeCell ref="F703:F706"/>
    <mergeCell ref="G703:G706"/>
    <mergeCell ref="A704:E704"/>
    <mergeCell ref="A705:E705"/>
    <mergeCell ref="A706:E706"/>
    <mergeCell ref="A683:B683"/>
    <mergeCell ref="A684:B684"/>
    <mergeCell ref="A685:B685"/>
    <mergeCell ref="A699:G699"/>
    <mergeCell ref="A700:E700"/>
    <mergeCell ref="A701:B702"/>
    <mergeCell ref="C701:C702"/>
    <mergeCell ref="D701:D702"/>
    <mergeCell ref="E701:E702"/>
    <mergeCell ref="F701:F702"/>
    <mergeCell ref="A720:B720"/>
    <mergeCell ref="A721:B721"/>
    <mergeCell ref="A722:B722"/>
    <mergeCell ref="A723:B723"/>
    <mergeCell ref="A724:B724"/>
    <mergeCell ref="A725:B725"/>
    <mergeCell ref="A707:E707"/>
    <mergeCell ref="F707:G707"/>
    <mergeCell ref="A716:E716"/>
    <mergeCell ref="A717:G717"/>
    <mergeCell ref="A718:B718"/>
    <mergeCell ref="A719:B719"/>
    <mergeCell ref="G744:G745"/>
    <mergeCell ref="A746:E746"/>
    <mergeCell ref="F746:F749"/>
    <mergeCell ref="G746:G749"/>
    <mergeCell ref="A747:E747"/>
    <mergeCell ref="A748:E748"/>
    <mergeCell ref="A749:E749"/>
    <mergeCell ref="A726:B726"/>
    <mergeCell ref="A727:B727"/>
    <mergeCell ref="A728:B728"/>
    <mergeCell ref="A742:G742"/>
    <mergeCell ref="A743:E743"/>
    <mergeCell ref="A744:B745"/>
    <mergeCell ref="C744:C745"/>
    <mergeCell ref="D744:D745"/>
    <mergeCell ref="E744:E745"/>
    <mergeCell ref="F744:F745"/>
    <mergeCell ref="A764:B764"/>
    <mergeCell ref="A765:B765"/>
    <mergeCell ref="A766:B766"/>
    <mergeCell ref="A767:B767"/>
    <mergeCell ref="A768:B768"/>
    <mergeCell ref="A769:B769"/>
    <mergeCell ref="A750:E750"/>
    <mergeCell ref="F750:G750"/>
    <mergeCell ref="A760:E760"/>
    <mergeCell ref="A761:G761"/>
    <mergeCell ref="A762:B762"/>
    <mergeCell ref="A763:B763"/>
    <mergeCell ref="G788:G789"/>
    <mergeCell ref="A790:E790"/>
    <mergeCell ref="F790:F793"/>
    <mergeCell ref="G790:G793"/>
    <mergeCell ref="A791:E791"/>
    <mergeCell ref="A792:E792"/>
    <mergeCell ref="A793:E793"/>
    <mergeCell ref="A770:B770"/>
    <mergeCell ref="A771:B771"/>
    <mergeCell ref="A772:B772"/>
    <mergeCell ref="A786:G786"/>
    <mergeCell ref="A787:E787"/>
    <mergeCell ref="A788:B789"/>
    <mergeCell ref="C788:C789"/>
    <mergeCell ref="D788:D789"/>
    <mergeCell ref="E788:E789"/>
    <mergeCell ref="F788:F789"/>
    <mergeCell ref="A806:B806"/>
    <mergeCell ref="A807:B807"/>
    <mergeCell ref="A808:B808"/>
    <mergeCell ref="A809:B809"/>
    <mergeCell ref="A810:B810"/>
    <mergeCell ref="A811:B811"/>
    <mergeCell ref="A794:E794"/>
    <mergeCell ref="F794:G794"/>
    <mergeCell ref="A802:E802"/>
    <mergeCell ref="A803:G803"/>
    <mergeCell ref="A804:B804"/>
    <mergeCell ref="A805:B805"/>
    <mergeCell ref="G830:G831"/>
    <mergeCell ref="A832:E832"/>
    <mergeCell ref="F832:F835"/>
    <mergeCell ref="G832:G835"/>
    <mergeCell ref="A833:E833"/>
    <mergeCell ref="A834:E834"/>
    <mergeCell ref="A835:E835"/>
    <mergeCell ref="A812:B812"/>
    <mergeCell ref="A813:B813"/>
    <mergeCell ref="A814:B814"/>
    <mergeCell ref="A828:G828"/>
    <mergeCell ref="A829:E829"/>
    <mergeCell ref="A830:B831"/>
    <mergeCell ref="C830:C831"/>
    <mergeCell ref="D830:D831"/>
    <mergeCell ref="E830:E831"/>
    <mergeCell ref="F830:F831"/>
    <mergeCell ref="A850:B850"/>
    <mergeCell ref="A851:B851"/>
    <mergeCell ref="A852:B852"/>
    <mergeCell ref="A853:B853"/>
    <mergeCell ref="A854:B854"/>
    <mergeCell ref="A855:B855"/>
    <mergeCell ref="A836:E836"/>
    <mergeCell ref="F836:G836"/>
    <mergeCell ref="A846:E846"/>
    <mergeCell ref="A847:G847"/>
    <mergeCell ref="A848:B848"/>
    <mergeCell ref="A849:B849"/>
    <mergeCell ref="G874:G875"/>
    <mergeCell ref="A876:E876"/>
    <mergeCell ref="F876:F879"/>
    <mergeCell ref="G876:G879"/>
    <mergeCell ref="A877:E877"/>
    <mergeCell ref="A878:E878"/>
    <mergeCell ref="A879:E879"/>
    <mergeCell ref="A856:B856"/>
    <mergeCell ref="A857:B857"/>
    <mergeCell ref="A858:B858"/>
    <mergeCell ref="A872:G872"/>
    <mergeCell ref="A873:E873"/>
    <mergeCell ref="A874:B875"/>
    <mergeCell ref="C874:C875"/>
    <mergeCell ref="D874:D875"/>
    <mergeCell ref="E874:E875"/>
    <mergeCell ref="F874:F875"/>
    <mergeCell ref="A892:B892"/>
    <mergeCell ref="A893:B893"/>
    <mergeCell ref="A894:B894"/>
    <mergeCell ref="A895:B895"/>
    <mergeCell ref="A896:B896"/>
    <mergeCell ref="A897:B897"/>
    <mergeCell ref="A880:E880"/>
    <mergeCell ref="F880:G880"/>
    <mergeCell ref="A888:E888"/>
    <mergeCell ref="A889:G889"/>
    <mergeCell ref="A890:B890"/>
    <mergeCell ref="A891:B891"/>
    <mergeCell ref="G916:G917"/>
    <mergeCell ref="A918:E918"/>
    <mergeCell ref="F918:F921"/>
    <mergeCell ref="G918:G921"/>
    <mergeCell ref="A919:E919"/>
    <mergeCell ref="A920:E920"/>
    <mergeCell ref="A921:E921"/>
    <mergeCell ref="A898:B898"/>
    <mergeCell ref="A899:B899"/>
    <mergeCell ref="A900:B900"/>
    <mergeCell ref="A914:G914"/>
    <mergeCell ref="A915:E915"/>
    <mergeCell ref="A916:B917"/>
    <mergeCell ref="C916:C917"/>
    <mergeCell ref="D916:D917"/>
    <mergeCell ref="E916:E917"/>
    <mergeCell ref="F916:F917"/>
    <mergeCell ref="A935:B935"/>
    <mergeCell ref="A936:B936"/>
    <mergeCell ref="A937:B937"/>
    <mergeCell ref="A938:B938"/>
    <mergeCell ref="A939:B939"/>
    <mergeCell ref="A940:B940"/>
    <mergeCell ref="A922:E922"/>
    <mergeCell ref="F922:G922"/>
    <mergeCell ref="A931:E931"/>
    <mergeCell ref="A932:G932"/>
    <mergeCell ref="A933:B933"/>
    <mergeCell ref="A934:B934"/>
    <mergeCell ref="G959:G960"/>
    <mergeCell ref="A961:E961"/>
    <mergeCell ref="F961:F964"/>
    <mergeCell ref="G961:G964"/>
    <mergeCell ref="A962:E962"/>
    <mergeCell ref="A963:E963"/>
    <mergeCell ref="A964:E964"/>
    <mergeCell ref="A941:B941"/>
    <mergeCell ref="A942:B942"/>
    <mergeCell ref="A943:B943"/>
    <mergeCell ref="A957:G957"/>
    <mergeCell ref="A958:E958"/>
    <mergeCell ref="A959:B960"/>
    <mergeCell ref="C959:C960"/>
    <mergeCell ref="D959:D960"/>
    <mergeCell ref="E959:E960"/>
    <mergeCell ref="F959:F960"/>
    <mergeCell ref="A978:B978"/>
    <mergeCell ref="A979:B979"/>
    <mergeCell ref="A980:B980"/>
    <mergeCell ref="A981:B981"/>
    <mergeCell ref="A982:B982"/>
    <mergeCell ref="A983:B983"/>
    <mergeCell ref="A965:E965"/>
    <mergeCell ref="F965:G965"/>
    <mergeCell ref="A974:E974"/>
    <mergeCell ref="A975:G975"/>
    <mergeCell ref="A976:B976"/>
    <mergeCell ref="A977:B977"/>
    <mergeCell ref="G1002:G1003"/>
    <mergeCell ref="A1004:E1004"/>
    <mergeCell ref="F1004:F1007"/>
    <mergeCell ref="G1004:G1007"/>
    <mergeCell ref="A1005:E1005"/>
    <mergeCell ref="A1006:E1006"/>
    <mergeCell ref="A1007:E1007"/>
    <mergeCell ref="A984:B984"/>
    <mergeCell ref="A985:B985"/>
    <mergeCell ref="A986:B986"/>
    <mergeCell ref="A1000:G1000"/>
    <mergeCell ref="A1001:E1001"/>
    <mergeCell ref="A1002:B1003"/>
    <mergeCell ref="C1002:C1003"/>
    <mergeCell ref="D1002:D1003"/>
    <mergeCell ref="E1002:E1003"/>
    <mergeCell ref="F1002:F1003"/>
    <mergeCell ref="A1020:B1020"/>
    <mergeCell ref="A1021:B1021"/>
    <mergeCell ref="A1022:B1022"/>
    <mergeCell ref="A1023:B1023"/>
    <mergeCell ref="A1024:B1024"/>
    <mergeCell ref="A1025:B1025"/>
    <mergeCell ref="A1008:E1008"/>
    <mergeCell ref="F1008:G1008"/>
    <mergeCell ref="A1016:E1016"/>
    <mergeCell ref="A1017:G1017"/>
    <mergeCell ref="A1018:B1018"/>
    <mergeCell ref="A1019:B1019"/>
    <mergeCell ref="G1044:G1045"/>
    <mergeCell ref="A1046:E1046"/>
    <mergeCell ref="F1046:F1049"/>
    <mergeCell ref="G1046:G1049"/>
    <mergeCell ref="A1047:E1047"/>
    <mergeCell ref="A1048:E1048"/>
    <mergeCell ref="A1049:E1049"/>
    <mergeCell ref="A1026:B1026"/>
    <mergeCell ref="A1027:B1027"/>
    <mergeCell ref="A1028:B1028"/>
    <mergeCell ref="A1042:G1042"/>
    <mergeCell ref="A1043:E1043"/>
    <mergeCell ref="A1044:B1045"/>
    <mergeCell ref="C1044:C1045"/>
    <mergeCell ref="D1044:D1045"/>
    <mergeCell ref="E1044:E1045"/>
    <mergeCell ref="F1044:F1045"/>
    <mergeCell ref="A1064:B1064"/>
    <mergeCell ref="A1065:B1065"/>
    <mergeCell ref="A1066:B1066"/>
    <mergeCell ref="A1067:B1067"/>
    <mergeCell ref="A1068:B1068"/>
    <mergeCell ref="A1069:B1069"/>
    <mergeCell ref="A1050:E1050"/>
    <mergeCell ref="F1050:G1050"/>
    <mergeCell ref="A1060:E1060"/>
    <mergeCell ref="A1061:G1061"/>
    <mergeCell ref="A1062:B1062"/>
    <mergeCell ref="A1063:B1063"/>
    <mergeCell ref="G1088:G1089"/>
    <mergeCell ref="A1090:E1090"/>
    <mergeCell ref="F1090:F1093"/>
    <mergeCell ref="G1090:G1093"/>
    <mergeCell ref="A1091:E1091"/>
    <mergeCell ref="A1092:E1092"/>
    <mergeCell ref="A1093:E1093"/>
    <mergeCell ref="A1070:B1070"/>
    <mergeCell ref="A1071:B1071"/>
    <mergeCell ref="A1072:B1072"/>
    <mergeCell ref="A1086:G1086"/>
    <mergeCell ref="A1087:E1087"/>
    <mergeCell ref="A1088:B1089"/>
    <mergeCell ref="C1088:C1089"/>
    <mergeCell ref="D1088:D1089"/>
    <mergeCell ref="E1088:E1089"/>
    <mergeCell ref="F1088:F1089"/>
    <mergeCell ref="A1106:B1106"/>
    <mergeCell ref="A1107:B1107"/>
    <mergeCell ref="A1108:B1108"/>
    <mergeCell ref="A1109:B1109"/>
    <mergeCell ref="A1110:B1110"/>
    <mergeCell ref="A1111:B1111"/>
    <mergeCell ref="A1094:E1094"/>
    <mergeCell ref="F1094:G1094"/>
    <mergeCell ref="A1102:E1102"/>
    <mergeCell ref="A1103:G1103"/>
    <mergeCell ref="A1104:B1104"/>
    <mergeCell ref="A1105:B1105"/>
    <mergeCell ref="G1130:G1131"/>
    <mergeCell ref="A1132:E1132"/>
    <mergeCell ref="F1132:F1135"/>
    <mergeCell ref="G1132:G1135"/>
    <mergeCell ref="A1133:E1133"/>
    <mergeCell ref="A1134:E1134"/>
    <mergeCell ref="A1135:E1135"/>
    <mergeCell ref="A1112:B1112"/>
    <mergeCell ref="A1113:B1113"/>
    <mergeCell ref="A1114:B1114"/>
    <mergeCell ref="A1128:G1128"/>
    <mergeCell ref="A1129:E1129"/>
    <mergeCell ref="A1130:B1131"/>
    <mergeCell ref="C1130:C1131"/>
    <mergeCell ref="D1130:D1131"/>
    <mergeCell ref="E1130:E1131"/>
    <mergeCell ref="F1130:F1131"/>
    <mergeCell ref="A1149:B1149"/>
    <mergeCell ref="A1150:B1150"/>
    <mergeCell ref="A1151:B1151"/>
    <mergeCell ref="A1152:B1152"/>
    <mergeCell ref="A1153:B1153"/>
    <mergeCell ref="A1154:B1154"/>
    <mergeCell ref="A1136:E1136"/>
    <mergeCell ref="F1136:G1136"/>
    <mergeCell ref="A1145:E1145"/>
    <mergeCell ref="A1146:G1146"/>
    <mergeCell ref="A1147:B1147"/>
    <mergeCell ref="A1148:B1148"/>
    <mergeCell ref="G1173:G1174"/>
    <mergeCell ref="A1175:E1175"/>
    <mergeCell ref="F1175:F1178"/>
    <mergeCell ref="G1175:G1178"/>
    <mergeCell ref="A1176:E1176"/>
    <mergeCell ref="A1177:E1177"/>
    <mergeCell ref="A1178:E1178"/>
    <mergeCell ref="A1155:B1155"/>
    <mergeCell ref="A1156:B1156"/>
    <mergeCell ref="A1157:B1157"/>
    <mergeCell ref="A1171:G1171"/>
    <mergeCell ref="A1172:E1172"/>
    <mergeCell ref="A1173:B1174"/>
    <mergeCell ref="C1173:C1174"/>
    <mergeCell ref="D1173:D1174"/>
    <mergeCell ref="E1173:E1174"/>
    <mergeCell ref="F1173:F1174"/>
    <mergeCell ref="A1192:B1192"/>
    <mergeCell ref="A1193:B1193"/>
    <mergeCell ref="A1194:B1194"/>
    <mergeCell ref="A1195:B1195"/>
    <mergeCell ref="A1196:B1196"/>
    <mergeCell ref="A1197:B1197"/>
    <mergeCell ref="A1179:E1179"/>
    <mergeCell ref="F1179:G1179"/>
    <mergeCell ref="A1188:E1188"/>
    <mergeCell ref="A1189:G1189"/>
    <mergeCell ref="A1190:B1190"/>
    <mergeCell ref="A1191:B1191"/>
    <mergeCell ref="G1216:G1217"/>
    <mergeCell ref="A1218:E1218"/>
    <mergeCell ref="F1218:F1221"/>
    <mergeCell ref="G1218:G1221"/>
    <mergeCell ref="A1219:E1219"/>
    <mergeCell ref="A1220:E1220"/>
    <mergeCell ref="A1221:E1221"/>
    <mergeCell ref="A1198:B1198"/>
    <mergeCell ref="A1199:B1199"/>
    <mergeCell ref="A1200:B1200"/>
    <mergeCell ref="A1214:G1214"/>
    <mergeCell ref="A1215:E1215"/>
    <mergeCell ref="A1216:B1217"/>
    <mergeCell ref="C1216:C1217"/>
    <mergeCell ref="D1216:D1217"/>
    <mergeCell ref="E1216:E1217"/>
    <mergeCell ref="F1216:F1217"/>
    <mergeCell ref="A1235:B1235"/>
    <mergeCell ref="A1236:B1236"/>
    <mergeCell ref="A1237:B1237"/>
    <mergeCell ref="A1238:B1238"/>
    <mergeCell ref="A1239:B1239"/>
    <mergeCell ref="A1240:B1240"/>
    <mergeCell ref="A1222:E1222"/>
    <mergeCell ref="F1222:G1222"/>
    <mergeCell ref="A1231:E1231"/>
    <mergeCell ref="A1232:G1232"/>
    <mergeCell ref="A1233:B1233"/>
    <mergeCell ref="A1234:B1234"/>
    <mergeCell ref="G1259:G1260"/>
    <mergeCell ref="A1261:E1261"/>
    <mergeCell ref="F1261:F1264"/>
    <mergeCell ref="G1261:G1264"/>
    <mergeCell ref="A1262:E1262"/>
    <mergeCell ref="A1263:E1263"/>
    <mergeCell ref="A1264:E1264"/>
    <mergeCell ref="A1241:B1241"/>
    <mergeCell ref="A1242:B1242"/>
    <mergeCell ref="A1243:B1243"/>
    <mergeCell ref="A1257:G1257"/>
    <mergeCell ref="A1258:E1258"/>
    <mergeCell ref="A1259:B1260"/>
    <mergeCell ref="C1259:C1260"/>
    <mergeCell ref="D1259:D1260"/>
    <mergeCell ref="E1259:E1260"/>
    <mergeCell ref="F1259:F1260"/>
    <mergeCell ref="A1279:B1279"/>
    <mergeCell ref="A1280:B1280"/>
    <mergeCell ref="A1281:B1281"/>
    <mergeCell ref="A1282:B1282"/>
    <mergeCell ref="A1283:B1283"/>
    <mergeCell ref="A1284:B1284"/>
    <mergeCell ref="A1265:E1265"/>
    <mergeCell ref="F1265:G1265"/>
    <mergeCell ref="A1275:E1275"/>
    <mergeCell ref="A1276:G1276"/>
    <mergeCell ref="A1277:B1277"/>
    <mergeCell ref="A1278:B1278"/>
    <mergeCell ref="A1286:B1286"/>
    <mergeCell ref="A1287:B1287"/>
    <mergeCell ref="A1301:G1301"/>
    <mergeCell ref="A1302:E1302"/>
    <mergeCell ref="A1303:B1304"/>
    <mergeCell ref="C1303:C1304"/>
    <mergeCell ref="D1303:D1304"/>
    <mergeCell ref="E1303:E1304"/>
    <mergeCell ref="F1303:F1304"/>
    <mergeCell ref="A40:E40"/>
    <mergeCell ref="F40:G40"/>
    <mergeCell ref="A43:E43"/>
    <mergeCell ref="A44:G44"/>
    <mergeCell ref="A57:B57"/>
    <mergeCell ref="A1309:E1309"/>
    <mergeCell ref="F1309:G1309"/>
    <mergeCell ref="A3:E3"/>
    <mergeCell ref="A4:G4"/>
    <mergeCell ref="A17:B17"/>
    <mergeCell ref="A18:B18"/>
    <mergeCell ref="A32:G32"/>
    <mergeCell ref="A34:B35"/>
    <mergeCell ref="C34:C35"/>
    <mergeCell ref="D34:D35"/>
    <mergeCell ref="G1303:G1304"/>
    <mergeCell ref="A1305:E1305"/>
    <mergeCell ref="F1305:F1308"/>
    <mergeCell ref="G1305:G1308"/>
    <mergeCell ref="A1306:E1306"/>
    <mergeCell ref="A1307:E1307"/>
    <mergeCell ref="A1308:E1308"/>
    <mergeCell ref="A1285:B1285"/>
    <mergeCell ref="A78:E78"/>
    <mergeCell ref="A79:E79"/>
    <mergeCell ref="A80:E80"/>
    <mergeCell ref="F80:G80"/>
    <mergeCell ref="A88:E88"/>
    <mergeCell ref="A89:G89"/>
    <mergeCell ref="A58:B58"/>
    <mergeCell ref="A72:G72"/>
    <mergeCell ref="A74:B75"/>
    <mergeCell ref="C74:C75"/>
    <mergeCell ref="D74:D75"/>
    <mergeCell ref="E74:E75"/>
    <mergeCell ref="F74:F75"/>
    <mergeCell ref="G74:G75"/>
    <mergeCell ref="A76:E76"/>
    <mergeCell ref="F76:F79"/>
    <mergeCell ref="G76:G79"/>
    <mergeCell ref="A77:E77"/>
    <mergeCell ref="A73:E73"/>
    <mergeCell ref="A97:B97"/>
    <mergeCell ref="A98:B98"/>
    <mergeCell ref="A102:B102"/>
    <mergeCell ref="A103:B103"/>
    <mergeCell ref="A117:G117"/>
    <mergeCell ref="A119:B120"/>
    <mergeCell ref="C119:C120"/>
    <mergeCell ref="D119:D120"/>
    <mergeCell ref="E119:E120"/>
    <mergeCell ref="F119:F120"/>
    <mergeCell ref="A118:E118"/>
    <mergeCell ref="G119:G120"/>
    <mergeCell ref="F164:F165"/>
    <mergeCell ref="G164:G165"/>
    <mergeCell ref="A166:E166"/>
    <mergeCell ref="F166:F169"/>
    <mergeCell ref="G166:G169"/>
    <mergeCell ref="A167:E167"/>
    <mergeCell ref="A169:E169"/>
    <mergeCell ref="A140:B140"/>
    <mergeCell ref="A141:B141"/>
    <mergeCell ref="A142:B142"/>
    <mergeCell ref="A143:B143"/>
    <mergeCell ref="A147:B147"/>
    <mergeCell ref="A148:B148"/>
    <mergeCell ref="A168:E168"/>
    <mergeCell ref="A164:B165"/>
    <mergeCell ref="C164:C165"/>
    <mergeCell ref="D164:D165"/>
    <mergeCell ref="E164:E165"/>
    <mergeCell ref="A162:G162"/>
    <mergeCell ref="A163:E163"/>
    <mergeCell ref="A170:E170"/>
    <mergeCell ref="F170:G170"/>
    <mergeCell ref="A176:E176"/>
    <mergeCell ref="A177:G177"/>
    <mergeCell ref="A181:B181"/>
    <mergeCell ref="A182:B182"/>
    <mergeCell ref="A172:B172"/>
    <mergeCell ref="F213:G213"/>
    <mergeCell ref="E207:E208"/>
    <mergeCell ref="F207:F208"/>
    <mergeCell ref="G207:G208"/>
    <mergeCell ref="A209:E209"/>
    <mergeCell ref="F209:F212"/>
    <mergeCell ref="G209:G212"/>
    <mergeCell ref="A210:E210"/>
    <mergeCell ref="A211:E211"/>
    <mergeCell ref="A212:E212"/>
    <mergeCell ref="A206:E206"/>
    <mergeCell ref="A205:G205"/>
    <mergeCell ref="A207:B208"/>
    <mergeCell ref="C207:C208"/>
    <mergeCell ref="D207:D208"/>
    <mergeCell ref="A179:B179"/>
    <mergeCell ref="A180:B180"/>
  </mergeCells>
  <pageMargins left="0.7" right="0.7" top="0.75" bottom="0.75" header="0.3" footer="0.3"/>
  <pageSetup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K2714"/>
  <sheetViews>
    <sheetView view="pageBreakPreview" topLeftCell="A2046" zoomScale="143" zoomScaleNormal="120" zoomScaleSheetLayoutView="143" zoomScalePageLayoutView="80" workbookViewId="0">
      <selection activeCell="G1647" sqref="G1647"/>
    </sheetView>
  </sheetViews>
  <sheetFormatPr baseColWidth="10" defaultColWidth="11.42578125" defaultRowHeight="14.25" x14ac:dyDescent="0.2"/>
  <cols>
    <col min="1" max="1" width="22.7109375" style="197" customWidth="1"/>
    <col min="2" max="2" width="25.7109375" style="197" customWidth="1"/>
    <col min="3" max="3" width="12.7109375" style="197" customWidth="1"/>
    <col min="4" max="4" width="12.42578125" style="197" customWidth="1"/>
    <col min="5" max="5" width="11.140625" style="197" customWidth="1"/>
    <col min="6" max="6" width="13.140625" style="197" customWidth="1"/>
    <col min="7" max="7" width="13.42578125" style="197" customWidth="1"/>
    <col min="8" max="10" width="11.42578125" style="197"/>
    <col min="11" max="11" width="13" style="197" bestFit="1" customWidth="1"/>
    <col min="12" max="16384" width="11.42578125" style="197"/>
  </cols>
  <sheetData>
    <row r="1" spans="1:7" ht="15" x14ac:dyDescent="0.2">
      <c r="A1" s="1193" t="s">
        <v>474</v>
      </c>
      <c r="B1" s="1194"/>
      <c r="C1" s="1194"/>
      <c r="D1" s="1194"/>
      <c r="E1" s="1194"/>
      <c r="F1" s="286" t="s">
        <v>303</v>
      </c>
      <c r="G1" s="287"/>
    </row>
    <row r="2" spans="1:7" ht="15" x14ac:dyDescent="0.2">
      <c r="A2" s="1195" t="s">
        <v>301</v>
      </c>
      <c r="B2" s="1196"/>
      <c r="C2" s="1196"/>
      <c r="D2" s="1196"/>
      <c r="E2" s="1196"/>
      <c r="F2" s="288" t="s">
        <v>302</v>
      </c>
      <c r="G2" s="289"/>
    </row>
    <row r="3" spans="1:7" ht="15" x14ac:dyDescent="0.2">
      <c r="A3" s="1195" t="s">
        <v>472</v>
      </c>
      <c r="B3" s="1196"/>
      <c r="C3" s="1196"/>
      <c r="D3" s="1196"/>
      <c r="E3" s="1196"/>
      <c r="F3" s="288" t="s">
        <v>304</v>
      </c>
      <c r="G3" s="290"/>
    </row>
    <row r="4" spans="1:7" ht="15.75" customHeight="1" x14ac:dyDescent="0.2">
      <c r="A4" s="1195" t="s">
        <v>680</v>
      </c>
      <c r="B4" s="1196"/>
      <c r="C4" s="1196"/>
      <c r="D4" s="1196"/>
      <c r="E4" s="1196"/>
      <c r="F4" s="1196"/>
      <c r="G4" s="1197"/>
    </row>
    <row r="5" spans="1:7" ht="20.25" customHeight="1" thickBot="1" x14ac:dyDescent="0.25">
      <c r="A5" s="1198" t="s">
        <v>78</v>
      </c>
      <c r="B5" s="1199"/>
      <c r="C5" s="1199"/>
      <c r="D5" s="1199"/>
      <c r="E5" s="1199"/>
      <c r="F5" s="1199"/>
      <c r="G5" s="1200"/>
    </row>
    <row r="6" spans="1:7" ht="15" thickBot="1" x14ac:dyDescent="0.25">
      <c r="A6" s="1201"/>
      <c r="B6" s="1202"/>
      <c r="C6" s="1202"/>
      <c r="D6" s="1202"/>
      <c r="E6" s="1202"/>
      <c r="F6" s="291" t="s">
        <v>24</v>
      </c>
      <c r="G6" s="292"/>
    </row>
    <row r="7" spans="1:7" ht="15" thickBot="1" x14ac:dyDescent="0.25">
      <c r="A7" s="1188" t="s">
        <v>1642</v>
      </c>
      <c r="B7" s="1189"/>
      <c r="C7" s="1189"/>
      <c r="D7" s="1189"/>
      <c r="E7" s="1189"/>
      <c r="F7" s="1189"/>
      <c r="G7" s="1190"/>
    </row>
    <row r="8" spans="1:7" ht="18" customHeight="1" x14ac:dyDescent="0.2">
      <c r="A8" s="293" t="s">
        <v>1643</v>
      </c>
      <c r="B8" s="294" t="s">
        <v>1644</v>
      </c>
      <c r="C8" s="295" t="s">
        <v>26</v>
      </c>
      <c r="D8" s="295" t="s">
        <v>27</v>
      </c>
      <c r="E8" s="295" t="s">
        <v>28</v>
      </c>
      <c r="F8" s="295" t="s">
        <v>29</v>
      </c>
      <c r="G8" s="296"/>
    </row>
    <row r="9" spans="1:7" ht="36" x14ac:dyDescent="0.2">
      <c r="A9" s="297" t="str">
        <f>VLOOKUP(B9,PRECIOS!$A$309:$E$485,2,FALSE)</f>
        <v>EQUIPO01</v>
      </c>
      <c r="B9" s="298" t="s">
        <v>487</v>
      </c>
      <c r="C9" s="288" t="str">
        <f>VLOOKUP(B9,PRECIOS!$A$309:$E$485,3,FALSE)</f>
        <v>Estructura</v>
      </c>
      <c r="D9" s="299">
        <f>VLOOKUP(B9,PRECIOS!$A$309:$E$485,5,FALSE)</f>
        <v>8417.7198750000007</v>
      </c>
      <c r="E9" s="300"/>
      <c r="F9" s="301">
        <f>+D9*E9</f>
        <v>0</v>
      </c>
      <c r="G9" s="302"/>
    </row>
    <row r="10" spans="1:7" x14ac:dyDescent="0.2">
      <c r="A10" s="297" t="str">
        <f>VLOOKUP(B10,PRECIOS!$A$310:$E$486,2,FALSE)</f>
        <v>EQUIPO02</v>
      </c>
      <c r="B10" s="298" t="s">
        <v>591</v>
      </c>
      <c r="C10" s="288" t="str">
        <f>VLOOKUP(B10,PRECIOS!$A$309:$E$485,3,FALSE)</f>
        <v>Manual</v>
      </c>
      <c r="D10" s="299">
        <f>VLOOKUP(B10,PRECIOS!$A$309:$E$485,5,FALSE)</f>
        <v>3717.2129999999997</v>
      </c>
      <c r="E10" s="300"/>
      <c r="F10" s="301">
        <f t="shared" ref="F10:F14" si="0">+D10*E10</f>
        <v>0</v>
      </c>
      <c r="G10" s="302"/>
    </row>
    <row r="11" spans="1:7" x14ac:dyDescent="0.2">
      <c r="A11" s="297" t="e">
        <f>VLOOKUP(B11,PRECIOS!$A$311:$E$487,2,FALSE)</f>
        <v>#N/A</v>
      </c>
      <c r="B11" s="298" t="s">
        <v>1648</v>
      </c>
      <c r="C11" s="288" t="e">
        <f>VLOOKUP(B11,PRECIOS!$A$309:$E$485,3,FALSE)</f>
        <v>#N/A</v>
      </c>
      <c r="D11" s="299" t="e">
        <f>VLOOKUP(B11,PRECIOS!$A$309:$E$485,5,FALSE)</f>
        <v>#N/A</v>
      </c>
      <c r="E11" s="300"/>
      <c r="F11" s="301" t="e">
        <f t="shared" si="0"/>
        <v>#N/A</v>
      </c>
      <c r="G11" s="302"/>
    </row>
    <row r="12" spans="1:7" x14ac:dyDescent="0.2">
      <c r="A12" s="297" t="e">
        <f>VLOOKUP(B12,PRECIOS!$A$312:$E$488,2,FALSE)</f>
        <v>#N/A</v>
      </c>
      <c r="B12" s="298" t="s">
        <v>1648</v>
      </c>
      <c r="C12" s="288" t="e">
        <f>VLOOKUP(B12,PRECIOS!$A$309:$E$485,3,FALSE)</f>
        <v>#N/A</v>
      </c>
      <c r="D12" s="299" t="e">
        <f>VLOOKUP(B12,PRECIOS!$A$309:$E$485,5,FALSE)</f>
        <v>#N/A</v>
      </c>
      <c r="E12" s="300"/>
      <c r="F12" s="301" t="e">
        <f t="shared" si="0"/>
        <v>#N/A</v>
      </c>
      <c r="G12" s="302"/>
    </row>
    <row r="13" spans="1:7" ht="15" customHeight="1" x14ac:dyDescent="0.2">
      <c r="A13" s="297" t="e">
        <f>VLOOKUP(B13,PRECIOS!$A$313:$E$489,2,FALSE)</f>
        <v>#N/A</v>
      </c>
      <c r="B13" s="298" t="s">
        <v>1648</v>
      </c>
      <c r="C13" s="288" t="e">
        <f>VLOOKUP(B13,PRECIOS!$A$309:$E$485,3,FALSE)</f>
        <v>#N/A</v>
      </c>
      <c r="D13" s="299" t="e">
        <f>VLOOKUP(B13,PRECIOS!$A$309:$E$485,5,FALSE)</f>
        <v>#N/A</v>
      </c>
      <c r="E13" s="300"/>
      <c r="F13" s="301" t="e">
        <f t="shared" si="0"/>
        <v>#N/A</v>
      </c>
      <c r="G13" s="302"/>
    </row>
    <row r="14" spans="1:7" ht="15" customHeight="1" x14ac:dyDescent="0.2">
      <c r="A14" s="297" t="e">
        <f>VLOOKUP(B14,PRECIOS!$A$314:$E$490,2,FALSE)</f>
        <v>#N/A</v>
      </c>
      <c r="B14" s="298" t="s">
        <v>1648</v>
      </c>
      <c r="C14" s="288" t="e">
        <f>VLOOKUP(B14,PRECIOS!$A$309:$E$485,3,FALSE)</f>
        <v>#N/A</v>
      </c>
      <c r="D14" s="299" t="e">
        <f>VLOOKUP(B14,PRECIOS!$A$309:$E$485,5,FALSE)</f>
        <v>#N/A</v>
      </c>
      <c r="E14" s="300"/>
      <c r="F14" s="301" t="e">
        <f t="shared" si="0"/>
        <v>#N/A</v>
      </c>
      <c r="G14" s="302"/>
    </row>
    <row r="15" spans="1:7" ht="14.25" customHeight="1" x14ac:dyDescent="0.2">
      <c r="A15" s="1191" t="s">
        <v>1650</v>
      </c>
      <c r="B15" s="1192"/>
      <c r="C15" s="303">
        <v>0.05</v>
      </c>
      <c r="D15" s="304"/>
      <c r="E15" s="305"/>
      <c r="F15" s="306" t="e">
        <f>+G42*C15</f>
        <v>#N/A</v>
      </c>
      <c r="G15" s="307"/>
    </row>
    <row r="16" spans="1:7" x14ac:dyDescent="0.2">
      <c r="A16" s="308" t="s">
        <v>25</v>
      </c>
      <c r="B16" s="309"/>
      <c r="C16" s="309"/>
      <c r="D16" s="309"/>
      <c r="E16" s="309"/>
      <c r="F16" s="309"/>
      <c r="G16" s="307" t="s">
        <v>31</v>
      </c>
    </row>
    <row r="17" spans="1:7" ht="15" thickBot="1" x14ac:dyDescent="0.25">
      <c r="A17" s="310"/>
      <c r="B17" s="311"/>
      <c r="C17" s="311"/>
      <c r="D17" s="311"/>
      <c r="E17" s="311"/>
      <c r="F17" s="311"/>
      <c r="G17" s="312" t="e">
        <f>SUM(F9:F15)</f>
        <v>#N/A</v>
      </c>
    </row>
    <row r="18" spans="1:7" ht="15" thickBot="1" x14ac:dyDescent="0.25">
      <c r="A18" s="1188" t="s">
        <v>1645</v>
      </c>
      <c r="B18" s="1189"/>
      <c r="C18" s="1189"/>
      <c r="D18" s="1189"/>
      <c r="E18" s="1189"/>
      <c r="F18" s="1189"/>
      <c r="G18" s="1190"/>
    </row>
    <row r="19" spans="1:7" x14ac:dyDescent="0.2">
      <c r="A19" s="293" t="s">
        <v>1643</v>
      </c>
      <c r="B19" s="294" t="s">
        <v>1644</v>
      </c>
      <c r="C19" s="295" t="s">
        <v>32</v>
      </c>
      <c r="D19" s="295" t="s">
        <v>33</v>
      </c>
      <c r="E19" s="295" t="s">
        <v>34</v>
      </c>
      <c r="F19" s="295" t="s">
        <v>35</v>
      </c>
      <c r="G19" s="296"/>
    </row>
    <row r="20" spans="1:7" ht="15" customHeight="1" x14ac:dyDescent="0.2">
      <c r="A20" s="308" t="e">
        <f>VLOOKUP(B20,PRECIOS!$A$5:$D$303,2,FALSE)</f>
        <v>#N/A</v>
      </c>
      <c r="B20" s="309" t="s">
        <v>1648</v>
      </c>
      <c r="C20" s="309" t="e">
        <f>VLOOKUP(B20,PRECIOS!$A$5:$D$303,3,FALSE)</f>
        <v>#N/A</v>
      </c>
      <c r="D20" s="313" t="e">
        <f>VLOOKUP(B20,PRECIOS!$A$5:$D$303,4,FALSE)</f>
        <v>#N/A</v>
      </c>
      <c r="E20" s="314"/>
      <c r="F20" s="315" t="e">
        <f>+D20*E20</f>
        <v>#N/A</v>
      </c>
      <c r="G20" s="307"/>
    </row>
    <row r="21" spans="1:7" ht="15" customHeight="1" x14ac:dyDescent="0.2">
      <c r="A21" s="308" t="e">
        <f>VLOOKUP(B21,PRECIOS!$A$6:$D$304,2,FALSE)</f>
        <v>#N/A</v>
      </c>
      <c r="B21" s="309" t="s">
        <v>1648</v>
      </c>
      <c r="C21" s="309" t="e">
        <f>VLOOKUP(B21,PRECIOS!$A$6:$D$304,3,FALSE)</f>
        <v>#N/A</v>
      </c>
      <c r="D21" s="313" t="e">
        <f>VLOOKUP(B21,PRECIOS!$A$6:$D$304,4,FALSE)</f>
        <v>#N/A</v>
      </c>
      <c r="E21" s="314"/>
      <c r="F21" s="315" t="e">
        <f t="shared" ref="F21:F26" si="1">+D21*E21</f>
        <v>#N/A</v>
      </c>
      <c r="G21" s="307"/>
    </row>
    <row r="22" spans="1:7" ht="15" customHeight="1" x14ac:dyDescent="0.2">
      <c r="A22" s="308" t="e">
        <f>VLOOKUP(B22,PRECIOS!$A$7:$D$305,2,FALSE)</f>
        <v>#N/A</v>
      </c>
      <c r="B22" s="309" t="s">
        <v>1648</v>
      </c>
      <c r="C22" s="309" t="e">
        <f>VLOOKUP(B22,PRECIOS!$A$7:$D$305,3,FALSE)</f>
        <v>#N/A</v>
      </c>
      <c r="D22" s="313" t="e">
        <f>VLOOKUP(B22,PRECIOS!$A$7:$D$305,4,FALSE)</f>
        <v>#N/A</v>
      </c>
      <c r="E22" s="314"/>
      <c r="F22" s="315" t="e">
        <f t="shared" si="1"/>
        <v>#N/A</v>
      </c>
      <c r="G22" s="307"/>
    </row>
    <row r="23" spans="1:7" ht="15" customHeight="1" x14ac:dyDescent="0.2">
      <c r="A23" s="308" t="e">
        <f>VLOOKUP(B23,PRECIOS!$A$8:$D$306,2,FALSE)</f>
        <v>#N/A</v>
      </c>
      <c r="B23" s="309" t="s">
        <v>1648</v>
      </c>
      <c r="C23" s="309" t="e">
        <f>VLOOKUP(B23,PRECIOS!$A$8:$D$306,3,FALSE)</f>
        <v>#N/A</v>
      </c>
      <c r="D23" s="313" t="e">
        <f>VLOOKUP(B23,PRECIOS!$A$8:$D$306,4,FALSE)</f>
        <v>#N/A</v>
      </c>
      <c r="E23" s="314"/>
      <c r="F23" s="315" t="e">
        <f t="shared" si="1"/>
        <v>#N/A</v>
      </c>
      <c r="G23" s="307"/>
    </row>
    <row r="24" spans="1:7" ht="15" customHeight="1" x14ac:dyDescent="0.2">
      <c r="A24" s="308" t="e">
        <f>VLOOKUP(B24,PRECIOS!$A$9:$D$307,2,FALSE)</f>
        <v>#N/A</v>
      </c>
      <c r="B24" s="309" t="s">
        <v>1648</v>
      </c>
      <c r="C24" s="309" t="e">
        <f>VLOOKUP(B24,PRECIOS!$A$9:$D$307,3,FALSE)</f>
        <v>#N/A</v>
      </c>
      <c r="D24" s="313" t="e">
        <f>VLOOKUP(B24,PRECIOS!$A$9:$D$307,4,FALSE)</f>
        <v>#N/A</v>
      </c>
      <c r="E24" s="314"/>
      <c r="F24" s="315" t="e">
        <f t="shared" si="1"/>
        <v>#N/A</v>
      </c>
      <c r="G24" s="307"/>
    </row>
    <row r="25" spans="1:7" ht="15" customHeight="1" x14ac:dyDescent="0.2">
      <c r="A25" s="308" t="e">
        <f>VLOOKUP(B25,PRECIOS!$A$10:$D$308,2,FALSE)</f>
        <v>#N/A</v>
      </c>
      <c r="B25" s="309" t="s">
        <v>1648</v>
      </c>
      <c r="C25" s="309" t="e">
        <f>VLOOKUP(B25,PRECIOS!$A$10:$D$308,3,FALSE)</f>
        <v>#N/A</v>
      </c>
      <c r="D25" s="313" t="e">
        <f>VLOOKUP(B25,PRECIOS!$A$10:$D$308,4,FALSE)</f>
        <v>#N/A</v>
      </c>
      <c r="E25" s="314"/>
      <c r="F25" s="315" t="e">
        <f t="shared" si="1"/>
        <v>#N/A</v>
      </c>
      <c r="G25" s="307"/>
    </row>
    <row r="26" spans="1:7" ht="15" customHeight="1" x14ac:dyDescent="0.2">
      <c r="A26" s="308" t="e">
        <f>VLOOKUP(B26,PRECIOS!$A$11:$D$309,2,FALSE)</f>
        <v>#N/A</v>
      </c>
      <c r="B26" s="309" t="s">
        <v>1648</v>
      </c>
      <c r="C26" s="309" t="e">
        <f>VLOOKUP(B26,PRECIOS!$A$11:$D$309,3,FALSE)</f>
        <v>#N/A</v>
      </c>
      <c r="D26" s="313" t="e">
        <f>VLOOKUP(B26,PRECIOS!$A$11:$D$309,4,FALSE)</f>
        <v>#N/A</v>
      </c>
      <c r="E26" s="314"/>
      <c r="F26" s="315" t="e">
        <f t="shared" si="1"/>
        <v>#N/A</v>
      </c>
      <c r="G26" s="307"/>
    </row>
    <row r="27" spans="1:7" ht="15" customHeight="1" x14ac:dyDescent="0.2">
      <c r="A27" s="1191" t="s">
        <v>1649</v>
      </c>
      <c r="B27" s="1192"/>
      <c r="C27" s="303">
        <v>0.02</v>
      </c>
      <c r="D27" s="316"/>
      <c r="E27" s="305"/>
      <c r="F27" s="306">
        <f>+G52*C27</f>
        <v>0</v>
      </c>
      <c r="G27" s="307"/>
    </row>
    <row r="28" spans="1:7" x14ac:dyDescent="0.2">
      <c r="A28" s="308"/>
      <c r="B28" s="309"/>
      <c r="C28" s="317"/>
      <c r="D28" s="317"/>
      <c r="E28" s="317"/>
      <c r="F28" s="317"/>
      <c r="G28" s="307" t="s">
        <v>31</v>
      </c>
    </row>
    <row r="29" spans="1:7" ht="15" thickBot="1" x14ac:dyDescent="0.25">
      <c r="A29" s="310"/>
      <c r="B29" s="311"/>
      <c r="C29" s="311"/>
      <c r="D29" s="311"/>
      <c r="E29" s="311"/>
      <c r="F29" s="311"/>
      <c r="G29" s="318" t="e">
        <f>SUM(F20:F27)</f>
        <v>#N/A</v>
      </c>
    </row>
    <row r="30" spans="1:7" ht="15" thickBot="1" x14ac:dyDescent="0.25">
      <c r="A30" s="1188" t="s">
        <v>1646</v>
      </c>
      <c r="B30" s="1189"/>
      <c r="C30" s="1189"/>
      <c r="D30" s="1189"/>
      <c r="E30" s="1189"/>
      <c r="F30" s="1189"/>
      <c r="G30" s="1190"/>
    </row>
    <row r="31" spans="1:7" x14ac:dyDescent="0.2">
      <c r="A31" s="319" t="s">
        <v>305</v>
      </c>
      <c r="B31" s="295" t="s">
        <v>38</v>
      </c>
      <c r="C31" s="295" t="s">
        <v>39</v>
      </c>
      <c r="D31" s="295" t="s">
        <v>40</v>
      </c>
      <c r="E31" s="295" t="s">
        <v>34</v>
      </c>
      <c r="F31" s="295" t="s">
        <v>35</v>
      </c>
      <c r="G31" s="296"/>
    </row>
    <row r="32" spans="1:7" x14ac:dyDescent="0.2">
      <c r="A32" s="320"/>
      <c r="B32" s="321"/>
      <c r="C32" s="322"/>
      <c r="D32" s="323"/>
      <c r="E32" s="324"/>
      <c r="F32" s="325"/>
      <c r="G32" s="326"/>
    </row>
    <row r="33" spans="1:7" x14ac:dyDescent="0.2">
      <c r="A33" s="320"/>
      <c r="B33" s="321"/>
      <c r="C33" s="322"/>
      <c r="D33" s="323"/>
      <c r="E33" s="324"/>
      <c r="F33" s="325"/>
      <c r="G33" s="326"/>
    </row>
    <row r="34" spans="1:7" x14ac:dyDescent="0.2">
      <c r="A34" s="308" t="s">
        <v>25</v>
      </c>
      <c r="B34" s="317" t="s">
        <v>25</v>
      </c>
      <c r="C34" s="317" t="s">
        <v>25</v>
      </c>
      <c r="D34" s="327" t="s">
        <v>25</v>
      </c>
      <c r="E34" s="328" t="s">
        <v>25</v>
      </c>
      <c r="F34" s="329" t="s">
        <v>25</v>
      </c>
      <c r="G34" s="307" t="s">
        <v>31</v>
      </c>
    </row>
    <row r="35" spans="1:7" ht="15" thickBot="1" x14ac:dyDescent="0.25">
      <c r="A35" s="310"/>
      <c r="B35" s="311"/>
      <c r="C35" s="311"/>
      <c r="D35" s="311"/>
      <c r="E35" s="311"/>
      <c r="F35" s="311"/>
      <c r="G35" s="318">
        <f>SUM(F32:F33)</f>
        <v>0</v>
      </c>
    </row>
    <row r="36" spans="1:7" ht="15" thickBot="1" x14ac:dyDescent="0.25">
      <c r="A36" s="1188" t="s">
        <v>1647</v>
      </c>
      <c r="B36" s="1189"/>
      <c r="C36" s="1189"/>
      <c r="D36" s="1189"/>
      <c r="E36" s="1189"/>
      <c r="F36" s="1189"/>
      <c r="G36" s="1190"/>
    </row>
    <row r="37" spans="1:7" ht="24" x14ac:dyDescent="0.2">
      <c r="A37" s="330" t="s">
        <v>1681</v>
      </c>
      <c r="B37" s="295" t="s">
        <v>42</v>
      </c>
      <c r="C37" s="295" t="s">
        <v>43</v>
      </c>
      <c r="D37" s="295" t="s">
        <v>44</v>
      </c>
      <c r="E37" s="295" t="s">
        <v>306</v>
      </c>
      <c r="F37" s="295" t="s">
        <v>29</v>
      </c>
      <c r="G37" s="296"/>
    </row>
    <row r="38" spans="1:7" x14ac:dyDescent="0.2">
      <c r="A38" s="331" t="s">
        <v>1648</v>
      </c>
      <c r="B38" s="332" t="e">
        <f>VLOOKUP(A38,JORNALES!$A$5:$B$28,2,FALSE)</f>
        <v>#N/A</v>
      </c>
      <c r="C38" s="333">
        <f>+PRESTACIONES!$C$20/100</f>
        <v>0.89990000000000014</v>
      </c>
      <c r="D38" s="334" t="e">
        <f>+(B38*C38)+B38</f>
        <v>#N/A</v>
      </c>
      <c r="E38" s="335">
        <v>25</v>
      </c>
      <c r="F38" s="336" t="e">
        <f>+D38/E38</f>
        <v>#N/A</v>
      </c>
      <c r="G38" s="307"/>
    </row>
    <row r="39" spans="1:7" x14ac:dyDescent="0.2">
      <c r="A39" s="331" t="s">
        <v>1648</v>
      </c>
      <c r="B39" s="332" t="e">
        <f>VLOOKUP(A39,JORNALES!$A$6:$B$29,2,FALSE)</f>
        <v>#N/A</v>
      </c>
      <c r="C39" s="333">
        <f>+PRESTACIONES!$C$20/100</f>
        <v>0.89990000000000014</v>
      </c>
      <c r="D39" s="334" t="e">
        <f t="shared" ref="D39:D40" si="2">+(B39*C39)+B39</f>
        <v>#N/A</v>
      </c>
      <c r="E39" s="335">
        <v>25</v>
      </c>
      <c r="F39" s="336" t="e">
        <f t="shared" ref="F39:F40" si="3">+D39/E39</f>
        <v>#N/A</v>
      </c>
      <c r="G39" s="307"/>
    </row>
    <row r="40" spans="1:7" x14ac:dyDescent="0.2">
      <c r="A40" s="331" t="s">
        <v>1648</v>
      </c>
      <c r="B40" s="332" t="e">
        <f>VLOOKUP(A40,JORNALES!$A$7:$B$30,2,FALSE)</f>
        <v>#N/A</v>
      </c>
      <c r="C40" s="333">
        <f>+PRESTACIONES!$C$20/100</f>
        <v>0.89990000000000014</v>
      </c>
      <c r="D40" s="334" t="e">
        <f t="shared" si="2"/>
        <v>#N/A</v>
      </c>
      <c r="E40" s="335">
        <v>25</v>
      </c>
      <c r="F40" s="336" t="e">
        <f t="shared" si="3"/>
        <v>#N/A</v>
      </c>
      <c r="G40" s="307"/>
    </row>
    <row r="41" spans="1:7" x14ac:dyDescent="0.2">
      <c r="A41" s="308"/>
      <c r="B41" s="309"/>
      <c r="C41" s="309"/>
      <c r="D41" s="309"/>
      <c r="E41" s="309"/>
      <c r="F41" s="309"/>
      <c r="G41" s="307" t="s">
        <v>31</v>
      </c>
    </row>
    <row r="42" spans="1:7" x14ac:dyDescent="0.2">
      <c r="A42" s="308"/>
      <c r="B42" s="309"/>
      <c r="C42" s="309"/>
      <c r="D42" s="309"/>
      <c r="E42" s="309"/>
      <c r="F42" s="309"/>
      <c r="G42" s="337" t="e">
        <f>SUM(F38:F40)</f>
        <v>#N/A</v>
      </c>
    </row>
    <row r="43" spans="1:7" ht="15" thickBot="1" x14ac:dyDescent="0.25">
      <c r="A43" s="1209" t="s">
        <v>25</v>
      </c>
      <c r="B43" s="1210"/>
      <c r="C43" s="1210"/>
      <c r="D43" s="1210"/>
      <c r="E43" s="1210"/>
      <c r="F43" s="1210"/>
      <c r="G43" s="1211"/>
    </row>
    <row r="44" spans="1:7" ht="15" thickBot="1" x14ac:dyDescent="0.25">
      <c r="A44" s="1212" t="s">
        <v>45</v>
      </c>
      <c r="B44" s="1213"/>
      <c r="C44" s="1213"/>
      <c r="D44" s="1213"/>
      <c r="E44" s="1213"/>
      <c r="F44" s="338"/>
      <c r="G44" s="339" t="e">
        <f xml:space="preserve"> ROUND(G42+G35+G29+G17,0)</f>
        <v>#N/A</v>
      </c>
    </row>
    <row r="45" spans="1:7" ht="18" customHeight="1" x14ac:dyDescent="0.2">
      <c r="A45" s="1214" t="s">
        <v>476</v>
      </c>
      <c r="B45" s="1215"/>
      <c r="C45" s="1215"/>
      <c r="D45" s="1215"/>
      <c r="E45" s="1215"/>
      <c r="F45" s="340" t="s">
        <v>51</v>
      </c>
      <c r="G45" s="341" t="s">
        <v>307</v>
      </c>
    </row>
    <row r="46" spans="1:7" x14ac:dyDescent="0.2">
      <c r="A46" s="1216" t="s">
        <v>17</v>
      </c>
      <c r="B46" s="1217"/>
      <c r="C46" s="1217"/>
      <c r="D46" s="1217"/>
      <c r="E46" s="1217"/>
      <c r="F46" s="342"/>
      <c r="G46" s="289"/>
    </row>
    <row r="47" spans="1:7" x14ac:dyDescent="0.2">
      <c r="A47" s="1216" t="s">
        <v>308</v>
      </c>
      <c r="B47" s="1217"/>
      <c r="C47" s="1217"/>
      <c r="D47" s="1217"/>
      <c r="E47" s="1217"/>
      <c r="F47" s="342"/>
      <c r="G47" s="289"/>
    </row>
    <row r="48" spans="1:7" x14ac:dyDescent="0.2">
      <c r="A48" s="1216" t="s">
        <v>19</v>
      </c>
      <c r="B48" s="1217"/>
      <c r="C48" s="1217"/>
      <c r="D48" s="1217"/>
      <c r="E48" s="1217"/>
      <c r="F48" s="342"/>
      <c r="G48" s="289"/>
    </row>
    <row r="49" spans="1:10" ht="15" thickBot="1" x14ac:dyDescent="0.25">
      <c r="A49" s="1203" t="s">
        <v>309</v>
      </c>
      <c r="B49" s="1204"/>
      <c r="C49" s="1204"/>
      <c r="D49" s="1204"/>
      <c r="E49" s="1204"/>
      <c r="F49" s="343"/>
      <c r="G49" s="344"/>
    </row>
    <row r="50" spans="1:10" ht="15" thickBot="1" x14ac:dyDescent="0.25">
      <c r="A50" s="1205" t="s">
        <v>310</v>
      </c>
      <c r="B50" s="1206"/>
      <c r="C50" s="1206"/>
      <c r="D50" s="1206"/>
      <c r="E50" s="1206"/>
      <c r="F50" s="1207"/>
      <c r="G50" s="1208"/>
    </row>
    <row r="51" spans="1:10" ht="7.5" customHeight="1" x14ac:dyDescent="0.2">
      <c r="A51" s="345"/>
      <c r="B51" s="346"/>
      <c r="C51" s="346"/>
      <c r="D51" s="346"/>
      <c r="E51" s="346"/>
      <c r="F51" s="340"/>
      <c r="G51" s="347"/>
    </row>
    <row r="52" spans="1:10" ht="15" thickBot="1" x14ac:dyDescent="0.25">
      <c r="A52" s="348" t="s">
        <v>681</v>
      </c>
      <c r="B52" s="349"/>
      <c r="C52" s="349" t="s">
        <v>682</v>
      </c>
      <c r="D52" s="349"/>
      <c r="E52" s="349"/>
      <c r="F52" s="349" t="s">
        <v>683</v>
      </c>
      <c r="G52" s="350"/>
    </row>
    <row r="53" spans="1:10" ht="15" thickBot="1" x14ac:dyDescent="0.25">
      <c r="A53" s="1174" t="str">
        <f>+LIST_ACTIVIDADES!D4</f>
        <v>Campamento, incluye instalaciones provisionales para su correcto funcionamiento.</v>
      </c>
      <c r="B53" s="1175"/>
      <c r="C53" s="1175"/>
      <c r="D53" s="1175"/>
      <c r="E53" s="1175"/>
      <c r="F53" s="241" t="s">
        <v>24</v>
      </c>
      <c r="G53" s="264" t="str">
        <f>+LIST_ACTIVIDADES!E4</f>
        <v>m²</v>
      </c>
    </row>
    <row r="54" spans="1:10" ht="15" thickBot="1" x14ac:dyDescent="0.25">
      <c r="A54" s="1176" t="s">
        <v>1642</v>
      </c>
      <c r="B54" s="1177"/>
      <c r="C54" s="1177"/>
      <c r="D54" s="1177"/>
      <c r="E54" s="1177"/>
      <c r="F54" s="1177"/>
      <c r="G54" s="1178"/>
    </row>
    <row r="55" spans="1:10" x14ac:dyDescent="0.2">
      <c r="A55" s="242" t="s">
        <v>1643</v>
      </c>
      <c r="B55" s="191" t="s">
        <v>1644</v>
      </c>
      <c r="C55" s="190" t="s">
        <v>26</v>
      </c>
      <c r="D55" s="190" t="s">
        <v>27</v>
      </c>
      <c r="E55" s="190" t="s">
        <v>28</v>
      </c>
      <c r="F55" s="190" t="s">
        <v>29</v>
      </c>
      <c r="G55" s="243"/>
    </row>
    <row r="56" spans="1:10" x14ac:dyDescent="0.2">
      <c r="A56" s="244" t="str">
        <f>VLOOKUP(B56,PRECIOS!$A$309:$E$485,2,FALSE)</f>
        <v>EQUIPO158</v>
      </c>
      <c r="B56" s="200" t="s">
        <v>1699</v>
      </c>
      <c r="C56" s="89" t="str">
        <f>VLOOKUP(B56,PRECIOS!$A$309:$E$485,3,FALSE)</f>
        <v>Electrica</v>
      </c>
      <c r="D56" s="209">
        <f>VLOOKUP(B56,PRECIOS!$A$309:$E$485,5,FALSE)</f>
        <v>6250</v>
      </c>
      <c r="E56" s="210">
        <v>0.1</v>
      </c>
      <c r="F56" s="203">
        <f>+D56*E56</f>
        <v>625</v>
      </c>
      <c r="G56" s="245"/>
    </row>
    <row r="57" spans="1:10" x14ac:dyDescent="0.2">
      <c r="A57" s="1179" t="s">
        <v>1650</v>
      </c>
      <c r="B57" s="1180"/>
      <c r="C57" s="214">
        <v>0.05</v>
      </c>
      <c r="D57" s="213"/>
      <c r="E57" s="158"/>
      <c r="F57" s="212">
        <f>+G87*C57</f>
        <v>1361.5950000000003</v>
      </c>
      <c r="G57" s="246"/>
    </row>
    <row r="58" spans="1:10" x14ac:dyDescent="0.2">
      <c r="A58" s="247" t="s">
        <v>25</v>
      </c>
      <c r="B58" s="154"/>
      <c r="C58" s="154"/>
      <c r="D58" s="154"/>
      <c r="E58" s="154"/>
      <c r="F58" s="154"/>
      <c r="G58" s="246" t="s">
        <v>31</v>
      </c>
    </row>
    <row r="59" spans="1:10" ht="15" thickBot="1" x14ac:dyDescent="0.25">
      <c r="A59" s="248"/>
      <c r="B59" s="156"/>
      <c r="C59" s="156"/>
      <c r="D59" s="156"/>
      <c r="E59" s="156"/>
      <c r="F59" s="156"/>
      <c r="G59" s="249">
        <f>SUM(F56:F57)</f>
        <v>1986.5950000000003</v>
      </c>
    </row>
    <row r="60" spans="1:10" ht="15" thickBot="1" x14ac:dyDescent="0.25">
      <c r="A60" s="1176" t="s">
        <v>1645</v>
      </c>
      <c r="B60" s="1177"/>
      <c r="C60" s="1177"/>
      <c r="D60" s="1177"/>
      <c r="E60" s="1177"/>
      <c r="F60" s="1177"/>
      <c r="G60" s="1178"/>
    </row>
    <row r="61" spans="1:10" x14ac:dyDescent="0.2">
      <c r="A61" s="242" t="s">
        <v>1643</v>
      </c>
      <c r="B61" s="191" t="s">
        <v>1644</v>
      </c>
      <c r="C61" s="190" t="s">
        <v>32</v>
      </c>
      <c r="D61" s="190" t="s">
        <v>33</v>
      </c>
      <c r="E61" s="190" t="s">
        <v>34</v>
      </c>
      <c r="F61" s="190" t="s">
        <v>35</v>
      </c>
      <c r="G61" s="243"/>
    </row>
    <row r="62" spans="1:10" x14ac:dyDescent="0.2">
      <c r="A62" s="352" t="str">
        <f>VLOOKUP(B62,PRECIOS!$A$5:$D$303,2,FALSE)</f>
        <v>MADERFINA01</v>
      </c>
      <c r="B62" s="105" t="s">
        <v>210</v>
      </c>
      <c r="C62" s="105" t="str">
        <f>VLOOKUP(B62,PRECIOS!$A$5:$D$303,3,FALSE)</f>
        <v>Docena</v>
      </c>
      <c r="D62" s="353">
        <f>VLOOKUP(B62,PRECIOS!$A$5:$D$303,4,FALSE)</f>
        <v>148445.79750000002</v>
      </c>
      <c r="E62" s="360">
        <v>0.04</v>
      </c>
      <c r="F62" s="355">
        <f t="shared" ref="F62:F65" si="4">+D62*E62</f>
        <v>5937.831900000001</v>
      </c>
      <c r="G62" s="246"/>
      <c r="J62" s="358"/>
    </row>
    <row r="63" spans="1:10" x14ac:dyDescent="0.2">
      <c r="A63" s="352" t="str">
        <f>VLOOKUP(B63,PRECIOS!$A$5:$D$303,2,FALSE)</f>
        <v>MADECOMUN</v>
      </c>
      <c r="B63" s="105" t="s">
        <v>67</v>
      </c>
      <c r="C63" s="105" t="str">
        <f>VLOOKUP(B63,PRECIOS!$A$5:$D$303,3,FALSE)</f>
        <v>Docena</v>
      </c>
      <c r="D63" s="353">
        <f>VLOOKUP(B63,PRECIOS!$A$5:$D$303,4,FALSE)</f>
        <v>30145.915800000006</v>
      </c>
      <c r="E63" s="360">
        <v>5.0000000000000001E-3</v>
      </c>
      <c r="F63" s="355">
        <f t="shared" si="4"/>
        <v>150.72957900000003</v>
      </c>
      <c r="G63" s="246"/>
    </row>
    <row r="64" spans="1:10" x14ac:dyDescent="0.2">
      <c r="A64" s="352" t="str">
        <f>VLOOKUP(B64,PRECIOS!$A$5:$D$303,2,FALSE)</f>
        <v>MADERFINA07</v>
      </c>
      <c r="B64" s="105" t="s">
        <v>217</v>
      </c>
      <c r="C64" s="105" t="str">
        <f>VLOOKUP(B64,PRECIOS!$A$5:$D$303,3,FALSE)</f>
        <v>Docena</v>
      </c>
      <c r="D64" s="353">
        <f>VLOOKUP(B64,PRECIOS!$A$5:$D$303,4,FALSE)</f>
        <v>219243.02400000003</v>
      </c>
      <c r="E64" s="360">
        <v>5.0000000000000001E-3</v>
      </c>
      <c r="F64" s="355">
        <f t="shared" si="4"/>
        <v>1096.2151200000003</v>
      </c>
      <c r="G64" s="246"/>
    </row>
    <row r="65" spans="1:10" x14ac:dyDescent="0.2">
      <c r="A65" s="248"/>
      <c r="B65" s="356" t="str">
        <f>+LIST_APUS_AUX!A92</f>
        <v>Concreto de 3000 PSI</v>
      </c>
      <c r="C65" s="357" t="str">
        <f>+LIST_APUS_AUX!G92</f>
        <v>m³</v>
      </c>
      <c r="D65" s="272">
        <f>+LIST_APUS_AUX!G120</f>
        <v>841990</v>
      </c>
      <c r="E65" s="274">
        <v>0.02</v>
      </c>
      <c r="F65" s="355">
        <f t="shared" si="4"/>
        <v>16839.8</v>
      </c>
      <c r="G65" s="275"/>
    </row>
    <row r="66" spans="1:10" x14ac:dyDescent="0.2">
      <c r="A66" s="352" t="str">
        <f>VLOOKUP(B66,PRECIOS!$A$5:$D$303,2,FALSE)</f>
        <v>MADERFINA06</v>
      </c>
      <c r="B66" s="105" t="s">
        <v>216</v>
      </c>
      <c r="C66" s="105" t="str">
        <f>VLOOKUP(B66,PRECIOS!$A$5:$D$303,3,FALSE)</f>
        <v>Docena</v>
      </c>
      <c r="D66" s="353">
        <f>VLOOKUP(B66,PRECIOS!$A$5:$D$303,4,FALSE)</f>
        <v>109621.51200000002</v>
      </c>
      <c r="E66" s="360">
        <v>5.0000000000000001E-3</v>
      </c>
      <c r="F66" s="355">
        <f t="shared" ref="F66:F73" si="5">+D66*E66</f>
        <v>548.10756000000015</v>
      </c>
      <c r="G66" s="275"/>
    </row>
    <row r="67" spans="1:10" x14ac:dyDescent="0.2">
      <c r="A67" s="352" t="str">
        <f>VLOOKUP(B67,PRECIOS!$A$5:$D$303,2,FALSE)</f>
        <v>MADERFINA05</v>
      </c>
      <c r="B67" s="105" t="s">
        <v>215</v>
      </c>
      <c r="C67" s="105" t="str">
        <f>VLOOKUP(B67,PRECIOS!$A$5:$D$303,3,FALSE)</f>
        <v>Docena</v>
      </c>
      <c r="D67" s="353">
        <f>VLOOKUP(B67,PRECIOS!$A$5:$D$303,4,FALSE)</f>
        <v>68513.445000000007</v>
      </c>
      <c r="E67" s="360">
        <v>5.0000000000000001E-3</v>
      </c>
      <c r="F67" s="355">
        <f t="shared" si="5"/>
        <v>342.56722500000006</v>
      </c>
      <c r="G67" s="275"/>
    </row>
    <row r="68" spans="1:10" x14ac:dyDescent="0.2">
      <c r="A68" s="352" t="str">
        <f>VLOOKUP(B68,PRECIOS!$A$5:$D$303,2,FALSE)</f>
        <v>CUBIERT16</v>
      </c>
      <c r="B68" s="105" t="s">
        <v>118</v>
      </c>
      <c r="C68" s="105" t="str">
        <f>VLOOKUP(B68,PRECIOS!$A$5:$D$303,3,FALSE)</f>
        <v>Lámina</v>
      </c>
      <c r="D68" s="353">
        <f>VLOOKUP(B68,PRECIOS!$A$5:$D$303,4,FALSE)</f>
        <v>17743.225500000004</v>
      </c>
      <c r="E68" s="360">
        <v>0.6</v>
      </c>
      <c r="F68" s="355">
        <f t="shared" si="5"/>
        <v>10645.935300000003</v>
      </c>
      <c r="G68" s="275"/>
    </row>
    <row r="69" spans="1:10" x14ac:dyDescent="0.2">
      <c r="A69" s="352" t="str">
        <f>VLOOKUP(B69,PRECIOS!$A$5:$D$303,2,FALSE)</f>
        <v>MADECOMUN</v>
      </c>
      <c r="B69" s="105" t="s">
        <v>47</v>
      </c>
      <c r="C69" s="105" t="str">
        <f>VLOOKUP(B69,PRECIOS!$A$5:$D$303,3,FALSE)</f>
        <v>Lb.</v>
      </c>
      <c r="D69" s="353">
        <f>VLOOKUP(B69,PRECIOS!$A$5:$D$303,4,FALSE)</f>
        <v>4879.8750000000009</v>
      </c>
      <c r="E69" s="360">
        <v>1</v>
      </c>
      <c r="F69" s="355">
        <f t="shared" si="5"/>
        <v>4879.8750000000009</v>
      </c>
      <c r="G69" s="275"/>
    </row>
    <row r="70" spans="1:10" x14ac:dyDescent="0.2">
      <c r="A70" s="247"/>
      <c r="B70" s="267" t="s">
        <v>1684</v>
      </c>
      <c r="C70" s="278" t="s">
        <v>37</v>
      </c>
      <c r="D70" s="361">
        <v>5000000</v>
      </c>
      <c r="E70" s="360">
        <v>2.5000000000000001E-3</v>
      </c>
      <c r="F70" s="355">
        <f t="shared" si="5"/>
        <v>12500</v>
      </c>
      <c r="G70" s="275"/>
    </row>
    <row r="71" spans="1:10" x14ac:dyDescent="0.2">
      <c r="A71" s="247"/>
      <c r="B71" s="267" t="s">
        <v>1685</v>
      </c>
      <c r="C71" s="278" t="s">
        <v>37</v>
      </c>
      <c r="D71" s="361">
        <v>1800000</v>
      </c>
      <c r="E71" s="360">
        <v>2.5000000000000001E-3</v>
      </c>
      <c r="F71" s="355">
        <f t="shared" si="5"/>
        <v>4500</v>
      </c>
      <c r="G71" s="275"/>
    </row>
    <row r="72" spans="1:10" x14ac:dyDescent="0.2">
      <c r="A72" s="247"/>
      <c r="B72" s="267" t="s">
        <v>1686</v>
      </c>
      <c r="C72" s="278" t="s">
        <v>37</v>
      </c>
      <c r="D72" s="361">
        <v>5000000</v>
      </c>
      <c r="E72" s="360">
        <v>2.5000000000000001E-3</v>
      </c>
      <c r="F72" s="355">
        <f t="shared" si="5"/>
        <v>12500</v>
      </c>
      <c r="G72" s="275"/>
    </row>
    <row r="73" spans="1:10" ht="24" x14ac:dyDescent="0.2">
      <c r="A73" s="247"/>
      <c r="B73" s="267" t="s">
        <v>1687</v>
      </c>
      <c r="C73" s="278" t="s">
        <v>37</v>
      </c>
      <c r="D73" s="361">
        <v>5000000</v>
      </c>
      <c r="E73" s="360">
        <v>2.5000000000000001E-3</v>
      </c>
      <c r="F73" s="355">
        <f t="shared" si="5"/>
        <v>12500</v>
      </c>
      <c r="G73" s="275"/>
    </row>
    <row r="74" spans="1:10" x14ac:dyDescent="0.2">
      <c r="A74" s="1179" t="s">
        <v>1649</v>
      </c>
      <c r="B74" s="1180"/>
      <c r="C74" s="214">
        <v>0.02</v>
      </c>
      <c r="D74" s="157"/>
      <c r="E74" s="158"/>
      <c r="F74" s="276">
        <f>SUM(F62:F73)*C74</f>
        <v>1648.82123368</v>
      </c>
      <c r="G74" s="246"/>
      <c r="J74" s="359"/>
    </row>
    <row r="75" spans="1:10" x14ac:dyDescent="0.2">
      <c r="A75" s="247"/>
      <c r="B75" s="154"/>
      <c r="C75" s="104"/>
      <c r="D75" s="104"/>
      <c r="E75" s="104"/>
      <c r="F75" s="104"/>
      <c r="G75" s="246" t="s">
        <v>31</v>
      </c>
    </row>
    <row r="76" spans="1:10" ht="15" thickBot="1" x14ac:dyDescent="0.25">
      <c r="A76" s="248"/>
      <c r="B76" s="156"/>
      <c r="C76" s="156"/>
      <c r="D76" s="156"/>
      <c r="E76" s="156"/>
      <c r="F76" s="156"/>
      <c r="G76" s="250">
        <f>SUM(F62:F74)</f>
        <v>84089.882917680006</v>
      </c>
    </row>
    <row r="77" spans="1:10" ht="15" thickBot="1" x14ac:dyDescent="0.25">
      <c r="A77" s="1176" t="s">
        <v>1646</v>
      </c>
      <c r="B77" s="1177"/>
      <c r="C77" s="1177"/>
      <c r="D77" s="1177"/>
      <c r="E77" s="1177"/>
      <c r="F77" s="1177"/>
      <c r="G77" s="1178"/>
    </row>
    <row r="78" spans="1:10" x14ac:dyDescent="0.2">
      <c r="A78" s="251" t="s">
        <v>305</v>
      </c>
      <c r="B78" s="190" t="s">
        <v>38</v>
      </c>
      <c r="C78" s="190" t="s">
        <v>39</v>
      </c>
      <c r="D78" s="190" t="s">
        <v>40</v>
      </c>
      <c r="E78" s="190" t="s">
        <v>34</v>
      </c>
      <c r="F78" s="190" t="s">
        <v>35</v>
      </c>
      <c r="G78" s="243"/>
    </row>
    <row r="79" spans="1:10" x14ac:dyDescent="0.2">
      <c r="A79" s="252"/>
      <c r="B79" s="235"/>
      <c r="C79" s="238"/>
      <c r="D79" s="236"/>
      <c r="E79" s="237"/>
      <c r="F79" s="239"/>
      <c r="G79" s="253"/>
    </row>
    <row r="80" spans="1:10" x14ac:dyDescent="0.2">
      <c r="A80" s="252"/>
      <c r="B80" s="235"/>
      <c r="C80" s="238"/>
      <c r="D80" s="236"/>
      <c r="E80" s="237"/>
      <c r="F80" s="239"/>
      <c r="G80" s="253"/>
    </row>
    <row r="81" spans="1:7" x14ac:dyDescent="0.2">
      <c r="A81" s="247" t="s">
        <v>25</v>
      </c>
      <c r="B81" s="104" t="s">
        <v>25</v>
      </c>
      <c r="C81" s="104" t="s">
        <v>25</v>
      </c>
      <c r="D81" s="188" t="s">
        <v>25</v>
      </c>
      <c r="E81" s="189" t="s">
        <v>25</v>
      </c>
      <c r="F81" s="187" t="s">
        <v>25</v>
      </c>
      <c r="G81" s="246" t="s">
        <v>31</v>
      </c>
    </row>
    <row r="82" spans="1:7" ht="15" thickBot="1" x14ac:dyDescent="0.25">
      <c r="A82" s="248"/>
      <c r="B82" s="156"/>
      <c r="C82" s="156"/>
      <c r="D82" s="156"/>
      <c r="E82" s="156"/>
      <c r="F82" s="156"/>
      <c r="G82" s="250">
        <f>SUM(F79:F80)</f>
        <v>0</v>
      </c>
    </row>
    <row r="83" spans="1:7" ht="15" thickBot="1" x14ac:dyDescent="0.25">
      <c r="A83" s="1176" t="s">
        <v>1647</v>
      </c>
      <c r="B83" s="1177"/>
      <c r="C83" s="1177"/>
      <c r="D83" s="1177"/>
      <c r="E83" s="1177"/>
      <c r="F83" s="1177"/>
      <c r="G83" s="1178"/>
    </row>
    <row r="84" spans="1:7" ht="24" x14ac:dyDescent="0.2">
      <c r="A84" s="254" t="s">
        <v>1681</v>
      </c>
      <c r="B84" s="190" t="s">
        <v>42</v>
      </c>
      <c r="C84" s="190" t="s">
        <v>43</v>
      </c>
      <c r="D84" s="190" t="s">
        <v>44</v>
      </c>
      <c r="E84" s="190" t="s">
        <v>306</v>
      </c>
      <c r="F84" s="190" t="s">
        <v>29</v>
      </c>
      <c r="G84" s="243"/>
    </row>
    <row r="85" spans="1:7" ht="36" x14ac:dyDescent="0.2">
      <c r="A85" s="255" t="s">
        <v>1674</v>
      </c>
      <c r="B85" s="202">
        <f>VLOOKUP(A85,JORNALES!$A$5:$B$28,2,FALSE)</f>
        <v>215000</v>
      </c>
      <c r="C85" s="233">
        <f>+PRESTACIONES!$C$20/100</f>
        <v>0.89990000000000014</v>
      </c>
      <c r="D85" s="234">
        <f>+(B85*C85)+B85</f>
        <v>408478.5</v>
      </c>
      <c r="E85" s="155">
        <v>15</v>
      </c>
      <c r="F85" s="199">
        <f>+D85/E85</f>
        <v>27231.9</v>
      </c>
      <c r="G85" s="246"/>
    </row>
    <row r="86" spans="1:7" x14ac:dyDescent="0.2">
      <c r="A86" s="247"/>
      <c r="B86" s="154"/>
      <c r="C86" s="154"/>
      <c r="D86" s="154"/>
      <c r="E86" s="154"/>
      <c r="F86" s="154"/>
      <c r="G86" s="246" t="s">
        <v>31</v>
      </c>
    </row>
    <row r="87" spans="1:7" x14ac:dyDescent="0.2">
      <c r="A87" s="247"/>
      <c r="B87" s="154"/>
      <c r="C87" s="154"/>
      <c r="D87" s="154"/>
      <c r="E87" s="154"/>
      <c r="F87" s="154"/>
      <c r="G87" s="256">
        <f>SUM(F85:F85)</f>
        <v>27231.9</v>
      </c>
    </row>
    <row r="88" spans="1:7" ht="15" thickBot="1" x14ac:dyDescent="0.25">
      <c r="A88" s="1181" t="s">
        <v>25</v>
      </c>
      <c r="B88" s="1182"/>
      <c r="C88" s="1182"/>
      <c r="D88" s="1182"/>
      <c r="E88" s="1182"/>
      <c r="F88" s="1182"/>
      <c r="G88" s="1183"/>
    </row>
    <row r="89" spans="1:7" ht="15" thickBot="1" x14ac:dyDescent="0.25">
      <c r="A89" s="1184" t="s">
        <v>45</v>
      </c>
      <c r="B89" s="1185"/>
      <c r="C89" s="1185"/>
      <c r="D89" s="1185"/>
      <c r="E89" s="1185"/>
      <c r="F89" s="192"/>
      <c r="G89" s="277">
        <f xml:space="preserve"> ROUND(G87+G82+G76+G59,0)</f>
        <v>113308</v>
      </c>
    </row>
    <row r="90" spans="1:7" x14ac:dyDescent="0.2">
      <c r="A90" s="1186" t="s">
        <v>476</v>
      </c>
      <c r="B90" s="1187"/>
      <c r="C90" s="1187"/>
      <c r="D90" s="1187"/>
      <c r="E90" s="1187"/>
      <c r="F90" s="193" t="s">
        <v>51</v>
      </c>
      <c r="G90" s="257" t="s">
        <v>307</v>
      </c>
    </row>
    <row r="91" spans="1:7" x14ac:dyDescent="0.2">
      <c r="A91" s="1166" t="s">
        <v>17</v>
      </c>
      <c r="B91" s="1167"/>
      <c r="C91" s="1167"/>
      <c r="D91" s="1167"/>
      <c r="E91" s="1167"/>
      <c r="F91" s="240"/>
      <c r="G91" s="196"/>
    </row>
    <row r="92" spans="1:7" x14ac:dyDescent="0.2">
      <c r="A92" s="1166" t="s">
        <v>308</v>
      </c>
      <c r="B92" s="1167"/>
      <c r="C92" s="1167"/>
      <c r="D92" s="1167"/>
      <c r="E92" s="1167"/>
      <c r="F92" s="240"/>
      <c r="G92" s="196"/>
    </row>
    <row r="93" spans="1:7" x14ac:dyDescent="0.2">
      <c r="A93" s="1166" t="s">
        <v>19</v>
      </c>
      <c r="B93" s="1167"/>
      <c r="C93" s="1167"/>
      <c r="D93" s="1167"/>
      <c r="E93" s="1167"/>
      <c r="F93" s="240"/>
      <c r="G93" s="196"/>
    </row>
    <row r="94" spans="1:7" ht="15" thickBot="1" x14ac:dyDescent="0.25">
      <c r="A94" s="1168" t="s">
        <v>309</v>
      </c>
      <c r="B94" s="1169"/>
      <c r="C94" s="1169"/>
      <c r="D94" s="1169"/>
      <c r="E94" s="1169"/>
      <c r="F94" s="198"/>
      <c r="G94" s="258"/>
    </row>
    <row r="95" spans="1:7" ht="15" thickBot="1" x14ac:dyDescent="0.25">
      <c r="A95" s="1170" t="s">
        <v>310</v>
      </c>
      <c r="B95" s="1171"/>
      <c r="C95" s="1171"/>
      <c r="D95" s="1171"/>
      <c r="E95" s="1171"/>
      <c r="F95" s="1172"/>
      <c r="G95" s="1173"/>
    </row>
    <row r="96" spans="1:7" x14ac:dyDescent="0.2">
      <c r="A96" s="259"/>
      <c r="B96" s="195"/>
      <c r="C96" s="195"/>
      <c r="D96" s="195"/>
      <c r="E96" s="195"/>
      <c r="F96" s="193"/>
      <c r="G96" s="260"/>
    </row>
    <row r="97" spans="1:7" ht="15" thickBot="1" x14ac:dyDescent="0.25">
      <c r="A97" s="261" t="s">
        <v>681</v>
      </c>
      <c r="B97" s="262"/>
      <c r="C97" s="262" t="s">
        <v>682</v>
      </c>
      <c r="D97" s="262"/>
      <c r="E97" s="262"/>
      <c r="F97" s="262" t="s">
        <v>683</v>
      </c>
      <c r="G97" s="263"/>
    </row>
    <row r="98" spans="1:7" ht="15" customHeight="1" thickBot="1" x14ac:dyDescent="0.25">
      <c r="A98" s="1174" t="str">
        <f>+LIST_ACTIVIDADES!D5</f>
        <v>Cerramiento provisional en tela verde H=2.1 m, incluye estructura en madera</v>
      </c>
      <c r="B98" s="1175"/>
      <c r="C98" s="1175"/>
      <c r="D98" s="1175"/>
      <c r="E98" s="1175"/>
      <c r="F98" s="241" t="s">
        <v>24</v>
      </c>
      <c r="G98" s="264" t="str">
        <f>+LIST_ACTIVIDADES!E5</f>
        <v>m²</v>
      </c>
    </row>
    <row r="99" spans="1:7" ht="15" thickBot="1" x14ac:dyDescent="0.25">
      <c r="A99" s="1176" t="s">
        <v>1642</v>
      </c>
      <c r="B99" s="1177"/>
      <c r="C99" s="1177"/>
      <c r="D99" s="1177"/>
      <c r="E99" s="1177"/>
      <c r="F99" s="1177"/>
      <c r="G99" s="1178"/>
    </row>
    <row r="100" spans="1:7" x14ac:dyDescent="0.2">
      <c r="A100" s="242" t="s">
        <v>1643</v>
      </c>
      <c r="B100" s="191" t="s">
        <v>1644</v>
      </c>
      <c r="C100" s="190" t="s">
        <v>26</v>
      </c>
      <c r="D100" s="190" t="s">
        <v>27</v>
      </c>
      <c r="E100" s="190" t="s">
        <v>28</v>
      </c>
      <c r="F100" s="190" t="s">
        <v>29</v>
      </c>
      <c r="G100" s="243"/>
    </row>
    <row r="101" spans="1:7" x14ac:dyDescent="0.2">
      <c r="A101" s="244" t="str">
        <f>VLOOKUP(B101,PRECIOS!$A$309:$E$485,2,FALSE)</f>
        <v>EQUIPO158</v>
      </c>
      <c r="B101" s="200" t="s">
        <v>1699</v>
      </c>
      <c r="C101" s="89" t="str">
        <f>VLOOKUP(B101,PRECIOS!$A$309:$E$485,3,FALSE)</f>
        <v>Electrica</v>
      </c>
      <c r="D101" s="209">
        <f>VLOOKUP(B101,PRECIOS!$A$309:$E$485,5,FALSE)</f>
        <v>6250</v>
      </c>
      <c r="E101" s="210">
        <v>0.1</v>
      </c>
      <c r="F101" s="203">
        <f>+D101*E101</f>
        <v>625</v>
      </c>
      <c r="G101" s="245"/>
    </row>
    <row r="102" spans="1:7" ht="14.25" customHeight="1" x14ac:dyDescent="0.2">
      <c r="A102" s="1179" t="s">
        <v>1650</v>
      </c>
      <c r="B102" s="1180"/>
      <c r="C102" s="214">
        <v>0.05</v>
      </c>
      <c r="D102" s="213"/>
      <c r="E102" s="269"/>
      <c r="F102" s="212">
        <f>+G124*C102</f>
        <v>138.53437500000001</v>
      </c>
      <c r="G102" s="246"/>
    </row>
    <row r="103" spans="1:7" x14ac:dyDescent="0.2">
      <c r="A103" s="247" t="s">
        <v>25</v>
      </c>
      <c r="B103" s="267"/>
      <c r="C103" s="267"/>
      <c r="D103" s="267"/>
      <c r="E103" s="267"/>
      <c r="F103" s="267"/>
      <c r="G103" s="246" t="s">
        <v>31</v>
      </c>
    </row>
    <row r="104" spans="1:7" ht="15" thickBot="1" x14ac:dyDescent="0.25">
      <c r="A104" s="248"/>
      <c r="B104" s="271"/>
      <c r="C104" s="271"/>
      <c r="D104" s="271"/>
      <c r="E104" s="271"/>
      <c r="F104" s="271"/>
      <c r="G104" s="249">
        <f>SUM(F101:F102)</f>
        <v>763.53437499999995</v>
      </c>
    </row>
    <row r="105" spans="1:7" ht="15" thickBot="1" x14ac:dyDescent="0.25">
      <c r="A105" s="1176" t="s">
        <v>1645</v>
      </c>
      <c r="B105" s="1177"/>
      <c r="C105" s="1177"/>
      <c r="D105" s="1177"/>
      <c r="E105" s="1177"/>
      <c r="F105" s="1177"/>
      <c r="G105" s="1178"/>
    </row>
    <row r="106" spans="1:7" x14ac:dyDescent="0.2">
      <c r="A106" s="242" t="s">
        <v>1643</v>
      </c>
      <c r="B106" s="191" t="s">
        <v>1644</v>
      </c>
      <c r="C106" s="190" t="s">
        <v>32</v>
      </c>
      <c r="D106" s="190" t="s">
        <v>33</v>
      </c>
      <c r="E106" s="190" t="s">
        <v>34</v>
      </c>
      <c r="F106" s="190" t="s">
        <v>35</v>
      </c>
      <c r="G106" s="243"/>
    </row>
    <row r="107" spans="1:7" ht="24" x14ac:dyDescent="0.2">
      <c r="A107" s="352" t="str">
        <f>VLOOKUP(B107,PRECIOS!$A$5:$D$303,2,FALSE)</f>
        <v>VARIOS29</v>
      </c>
      <c r="B107" s="105" t="s">
        <v>1702</v>
      </c>
      <c r="C107" s="105" t="str">
        <f>VLOOKUP(B107,PRECIOS!$A$5:$D$303,3,FALSE)</f>
        <v>Rollo</v>
      </c>
      <c r="D107" s="353">
        <f>VLOOKUP(B107,PRECIOS!$A$5:$D$303,4,FALSE)</f>
        <v>287849.10000000003</v>
      </c>
      <c r="E107" s="360">
        <v>0.01</v>
      </c>
      <c r="F107" s="355">
        <f t="shared" ref="F107:F110" si="6">+D107*E107</f>
        <v>2878.4910000000004</v>
      </c>
      <c r="G107" s="246"/>
    </row>
    <row r="108" spans="1:7" x14ac:dyDescent="0.2">
      <c r="A108" s="352" t="str">
        <f>VLOOKUP(B108,PRECIOS!$A$5:$D$303,2,FALSE)</f>
        <v>MADECOMUN</v>
      </c>
      <c r="B108" s="105" t="s">
        <v>67</v>
      </c>
      <c r="C108" s="105" t="str">
        <f>VLOOKUP(B108,PRECIOS!$A$5:$D$303,3,FALSE)</f>
        <v>Docena</v>
      </c>
      <c r="D108" s="353">
        <f>VLOOKUP(B108,PRECIOS!$A$5:$D$303,4,FALSE)</f>
        <v>30145.915800000006</v>
      </c>
      <c r="E108" s="360">
        <v>0.02</v>
      </c>
      <c r="F108" s="355">
        <f t="shared" si="6"/>
        <v>602.91831600000012</v>
      </c>
      <c r="G108" s="246"/>
    </row>
    <row r="109" spans="1:7" x14ac:dyDescent="0.2">
      <c r="A109" s="352" t="str">
        <f>VLOOKUP(B109,PRECIOS!$A$5:$D$303,2,FALSE)</f>
        <v>MADERFINA07</v>
      </c>
      <c r="B109" s="105" t="s">
        <v>217</v>
      </c>
      <c r="C109" s="105" t="str">
        <f>VLOOKUP(B109,PRECIOS!$A$5:$D$303,3,FALSE)</f>
        <v>Docena</v>
      </c>
      <c r="D109" s="353">
        <f>VLOOKUP(B109,PRECIOS!$A$5:$D$303,4,FALSE)</f>
        <v>219243.02400000003</v>
      </c>
      <c r="E109" s="360">
        <v>1E-3</v>
      </c>
      <c r="F109" s="355">
        <f t="shared" si="6"/>
        <v>219.24302400000005</v>
      </c>
      <c r="G109" s="246"/>
    </row>
    <row r="110" spans="1:7" x14ac:dyDescent="0.2">
      <c r="A110" s="248"/>
      <c r="B110" s="356" t="str">
        <f>+LIST_APUS_AUX!A92</f>
        <v>Concreto de 3000 PSI</v>
      </c>
      <c r="C110" s="357" t="str">
        <f>+LIST_APUS_AUX!G92</f>
        <v>m³</v>
      </c>
      <c r="D110" s="272">
        <f>+LIST_APUS_AUX!G120</f>
        <v>841990</v>
      </c>
      <c r="E110" s="274">
        <v>1E-3</v>
      </c>
      <c r="F110" s="355">
        <f t="shared" si="6"/>
        <v>841.99</v>
      </c>
      <c r="G110" s="275"/>
    </row>
    <row r="111" spans="1:7" x14ac:dyDescent="0.2">
      <c r="A111" s="1179" t="s">
        <v>1649</v>
      </c>
      <c r="B111" s="1180"/>
      <c r="C111" s="214">
        <v>0.02</v>
      </c>
      <c r="D111" s="268"/>
      <c r="E111" s="269"/>
      <c r="F111" s="276">
        <f>SUM(F107:F110)*C111</f>
        <v>90.852846800000009</v>
      </c>
      <c r="G111" s="246"/>
    </row>
    <row r="112" spans="1:7" x14ac:dyDescent="0.2">
      <c r="A112" s="247"/>
      <c r="B112" s="267"/>
      <c r="C112" s="104"/>
      <c r="D112" s="104"/>
      <c r="E112" s="104"/>
      <c r="F112" s="104"/>
      <c r="G112" s="246" t="s">
        <v>31</v>
      </c>
    </row>
    <row r="113" spans="1:7" ht="15" thickBot="1" x14ac:dyDescent="0.25">
      <c r="A113" s="248"/>
      <c r="B113" s="271"/>
      <c r="C113" s="271"/>
      <c r="D113" s="271"/>
      <c r="E113" s="271"/>
      <c r="F113" s="271"/>
      <c r="G113" s="250">
        <f>SUM(F107:F111)</f>
        <v>4633.4951868000007</v>
      </c>
    </row>
    <row r="114" spans="1:7" ht="15" thickBot="1" x14ac:dyDescent="0.25">
      <c r="A114" s="1176" t="s">
        <v>1646</v>
      </c>
      <c r="B114" s="1177"/>
      <c r="C114" s="1177"/>
      <c r="D114" s="1177"/>
      <c r="E114" s="1177"/>
      <c r="F114" s="1177"/>
      <c r="G114" s="1178"/>
    </row>
    <row r="115" spans="1:7" x14ac:dyDescent="0.2">
      <c r="A115" s="251" t="s">
        <v>305</v>
      </c>
      <c r="B115" s="190" t="s">
        <v>38</v>
      </c>
      <c r="C115" s="190" t="s">
        <v>39</v>
      </c>
      <c r="D115" s="190" t="s">
        <v>40</v>
      </c>
      <c r="E115" s="190" t="s">
        <v>34</v>
      </c>
      <c r="F115" s="190" t="s">
        <v>35</v>
      </c>
      <c r="G115" s="243"/>
    </row>
    <row r="116" spans="1:7" x14ac:dyDescent="0.2">
      <c r="A116" s="252"/>
      <c r="B116" s="235"/>
      <c r="C116" s="238"/>
      <c r="D116" s="236"/>
      <c r="E116" s="237"/>
      <c r="F116" s="239"/>
      <c r="G116" s="253"/>
    </row>
    <row r="117" spans="1:7" x14ac:dyDescent="0.2">
      <c r="A117" s="252"/>
      <c r="B117" s="235"/>
      <c r="C117" s="238"/>
      <c r="D117" s="236"/>
      <c r="E117" s="237"/>
      <c r="F117" s="239"/>
      <c r="G117" s="253"/>
    </row>
    <row r="118" spans="1:7" x14ac:dyDescent="0.2">
      <c r="A118" s="247" t="s">
        <v>25</v>
      </c>
      <c r="B118" s="104" t="s">
        <v>25</v>
      </c>
      <c r="C118" s="104" t="s">
        <v>25</v>
      </c>
      <c r="D118" s="188" t="s">
        <v>25</v>
      </c>
      <c r="E118" s="189" t="s">
        <v>25</v>
      </c>
      <c r="F118" s="187" t="s">
        <v>25</v>
      </c>
      <c r="G118" s="246" t="s">
        <v>31</v>
      </c>
    </row>
    <row r="119" spans="1:7" ht="14.25" customHeight="1" thickBot="1" x14ac:dyDescent="0.25">
      <c r="A119" s="248"/>
      <c r="B119" s="271"/>
      <c r="C119" s="271"/>
      <c r="D119" s="271"/>
      <c r="E119" s="271"/>
      <c r="F119" s="271"/>
      <c r="G119" s="250">
        <f>SUM(F116:F117)</f>
        <v>0</v>
      </c>
    </row>
    <row r="120" spans="1:7" ht="15" thickBot="1" x14ac:dyDescent="0.25">
      <c r="A120" s="1176" t="s">
        <v>1647</v>
      </c>
      <c r="B120" s="1177"/>
      <c r="C120" s="1177"/>
      <c r="D120" s="1177"/>
      <c r="E120" s="1177"/>
      <c r="F120" s="1177"/>
      <c r="G120" s="1178"/>
    </row>
    <row r="121" spans="1:7" ht="24" x14ac:dyDescent="0.2">
      <c r="A121" s="254" t="s">
        <v>1681</v>
      </c>
      <c r="B121" s="190" t="s">
        <v>42</v>
      </c>
      <c r="C121" s="190" t="s">
        <v>43</v>
      </c>
      <c r="D121" s="190" t="s">
        <v>44</v>
      </c>
      <c r="E121" s="190" t="s">
        <v>306</v>
      </c>
      <c r="F121" s="190" t="s">
        <v>29</v>
      </c>
      <c r="G121" s="243"/>
    </row>
    <row r="122" spans="1:7" ht="36" x14ac:dyDescent="0.2">
      <c r="A122" s="255" t="s">
        <v>1672</v>
      </c>
      <c r="B122" s="202">
        <f>VLOOKUP(A122,JORNALES!$A$5:$B$28,2,FALSE)</f>
        <v>175000</v>
      </c>
      <c r="C122" s="233">
        <f>+PRESTACIONES!$C$20/100</f>
        <v>0.89990000000000014</v>
      </c>
      <c r="D122" s="234">
        <f>+(B122*C122)+B122</f>
        <v>332482.5</v>
      </c>
      <c r="E122" s="270">
        <v>120</v>
      </c>
      <c r="F122" s="199">
        <f>+D122/E122</f>
        <v>2770.6875</v>
      </c>
      <c r="G122" s="246"/>
    </row>
    <row r="123" spans="1:7" x14ac:dyDescent="0.2">
      <c r="A123" s="247"/>
      <c r="B123" s="267"/>
      <c r="C123" s="267"/>
      <c r="D123" s="267"/>
      <c r="E123" s="267"/>
      <c r="F123" s="267"/>
      <c r="G123" s="246" t="s">
        <v>31</v>
      </c>
    </row>
    <row r="124" spans="1:7" x14ac:dyDescent="0.2">
      <c r="A124" s="247"/>
      <c r="B124" s="267"/>
      <c r="C124" s="267"/>
      <c r="D124" s="267"/>
      <c r="E124" s="267"/>
      <c r="F124" s="267"/>
      <c r="G124" s="256">
        <f>SUM(F122:F122)</f>
        <v>2770.6875</v>
      </c>
    </row>
    <row r="125" spans="1:7" ht="15" thickBot="1" x14ac:dyDescent="0.25">
      <c r="A125" s="1181" t="s">
        <v>25</v>
      </c>
      <c r="B125" s="1182"/>
      <c r="C125" s="1182"/>
      <c r="D125" s="1182"/>
      <c r="E125" s="1182"/>
      <c r="F125" s="1182"/>
      <c r="G125" s="1183"/>
    </row>
    <row r="126" spans="1:7" ht="15" thickBot="1" x14ac:dyDescent="0.25">
      <c r="A126" s="1184" t="s">
        <v>45</v>
      </c>
      <c r="B126" s="1185"/>
      <c r="C126" s="1185"/>
      <c r="D126" s="1185"/>
      <c r="E126" s="1185"/>
      <c r="F126" s="192"/>
      <c r="G126" s="277">
        <f xml:space="preserve"> ROUND(G124+G119+G113+G104,0)</f>
        <v>8168</v>
      </c>
    </row>
    <row r="127" spans="1:7" x14ac:dyDescent="0.2">
      <c r="A127" s="1186" t="s">
        <v>476</v>
      </c>
      <c r="B127" s="1187"/>
      <c r="C127" s="1187"/>
      <c r="D127" s="1187"/>
      <c r="E127" s="1187"/>
      <c r="F127" s="193" t="s">
        <v>51</v>
      </c>
      <c r="G127" s="257" t="s">
        <v>307</v>
      </c>
    </row>
    <row r="128" spans="1:7" x14ac:dyDescent="0.2">
      <c r="A128" s="1166" t="s">
        <v>17</v>
      </c>
      <c r="B128" s="1167"/>
      <c r="C128" s="1167"/>
      <c r="D128" s="1167"/>
      <c r="E128" s="1167"/>
      <c r="F128" s="240"/>
      <c r="G128" s="196"/>
    </row>
    <row r="129" spans="1:7" x14ac:dyDescent="0.2">
      <c r="A129" s="1166" t="s">
        <v>308</v>
      </c>
      <c r="B129" s="1167"/>
      <c r="C129" s="1167"/>
      <c r="D129" s="1167"/>
      <c r="E129" s="1167"/>
      <c r="F129" s="240"/>
      <c r="G129" s="196"/>
    </row>
    <row r="130" spans="1:7" x14ac:dyDescent="0.2">
      <c r="A130" s="1166" t="s">
        <v>19</v>
      </c>
      <c r="B130" s="1167"/>
      <c r="C130" s="1167"/>
      <c r="D130" s="1167"/>
      <c r="E130" s="1167"/>
      <c r="F130" s="240"/>
      <c r="G130" s="196"/>
    </row>
    <row r="131" spans="1:7" ht="15" thickBot="1" x14ac:dyDescent="0.25">
      <c r="A131" s="1168" t="s">
        <v>309</v>
      </c>
      <c r="B131" s="1169"/>
      <c r="C131" s="1169"/>
      <c r="D131" s="1169"/>
      <c r="E131" s="1169"/>
      <c r="F131" s="198"/>
      <c r="G131" s="258"/>
    </row>
    <row r="132" spans="1:7" ht="15" thickBot="1" x14ac:dyDescent="0.25">
      <c r="A132" s="1170" t="s">
        <v>310</v>
      </c>
      <c r="B132" s="1171"/>
      <c r="C132" s="1171"/>
      <c r="D132" s="1171"/>
      <c r="E132" s="1171"/>
      <c r="F132" s="1172"/>
      <c r="G132" s="1173"/>
    </row>
    <row r="133" spans="1:7" x14ac:dyDescent="0.2">
      <c r="A133" s="265"/>
      <c r="B133" s="266"/>
      <c r="C133" s="266"/>
      <c r="D133" s="266"/>
      <c r="E133" s="266"/>
      <c r="F133" s="193"/>
      <c r="G133" s="260"/>
    </row>
    <row r="134" spans="1:7" ht="15" customHeight="1" thickBot="1" x14ac:dyDescent="0.25">
      <c r="A134" s="261" t="s">
        <v>681</v>
      </c>
      <c r="B134" s="262"/>
      <c r="C134" s="262" t="s">
        <v>682</v>
      </c>
      <c r="D134" s="262"/>
      <c r="E134" s="262"/>
      <c r="F134" s="262" t="s">
        <v>683</v>
      </c>
      <c r="G134" s="263"/>
    </row>
    <row r="135" spans="1:7" x14ac:dyDescent="0.2">
      <c r="A135" s="1186" t="s">
        <v>476</v>
      </c>
      <c r="B135" s="1187"/>
      <c r="C135" s="1187"/>
      <c r="D135" s="1187"/>
      <c r="E135" s="1187"/>
      <c r="F135" s="193" t="s">
        <v>51</v>
      </c>
      <c r="G135" s="257" t="s">
        <v>307</v>
      </c>
    </row>
    <row r="136" spans="1:7" x14ac:dyDescent="0.2">
      <c r="A136" s="1166" t="s">
        <v>17</v>
      </c>
      <c r="B136" s="1167"/>
      <c r="C136" s="1167"/>
      <c r="D136" s="1167"/>
      <c r="E136" s="1167"/>
      <c r="F136" s="240"/>
      <c r="G136" s="196"/>
    </row>
    <row r="137" spans="1:7" x14ac:dyDescent="0.2">
      <c r="A137" s="1166" t="s">
        <v>308</v>
      </c>
      <c r="B137" s="1167"/>
      <c r="C137" s="1167"/>
      <c r="D137" s="1167"/>
      <c r="E137" s="1167"/>
      <c r="F137" s="240"/>
      <c r="G137" s="196"/>
    </row>
    <row r="138" spans="1:7" x14ac:dyDescent="0.2">
      <c r="A138" s="1166" t="s">
        <v>19</v>
      </c>
      <c r="B138" s="1167"/>
      <c r="C138" s="1167"/>
      <c r="D138" s="1167"/>
      <c r="E138" s="1167"/>
      <c r="F138" s="240"/>
      <c r="G138" s="196"/>
    </row>
    <row r="139" spans="1:7" ht="15" thickBot="1" x14ac:dyDescent="0.25">
      <c r="A139" s="1168" t="s">
        <v>309</v>
      </c>
      <c r="B139" s="1169"/>
      <c r="C139" s="1169"/>
      <c r="D139" s="1169"/>
      <c r="E139" s="1169"/>
      <c r="F139" s="198"/>
      <c r="G139" s="258"/>
    </row>
    <row r="140" spans="1:7" ht="15" thickBot="1" x14ac:dyDescent="0.25">
      <c r="A140" s="1170" t="s">
        <v>310</v>
      </c>
      <c r="B140" s="1171"/>
      <c r="C140" s="1171"/>
      <c r="D140" s="1171"/>
      <c r="E140" s="1171"/>
      <c r="F140" s="1172"/>
      <c r="G140" s="1173"/>
    </row>
    <row r="141" spans="1:7" x14ac:dyDescent="0.2">
      <c r="A141" s="265"/>
      <c r="B141" s="266"/>
      <c r="C141" s="266"/>
      <c r="D141" s="266"/>
      <c r="E141" s="266"/>
      <c r="F141" s="193"/>
      <c r="G141" s="260"/>
    </row>
    <row r="142" spans="1:7" ht="15" thickBot="1" x14ac:dyDescent="0.25">
      <c r="A142" s="261" t="s">
        <v>681</v>
      </c>
      <c r="B142" s="262"/>
      <c r="C142" s="262" t="s">
        <v>682</v>
      </c>
      <c r="D142" s="262"/>
      <c r="E142" s="262"/>
      <c r="F142" s="262" t="s">
        <v>683</v>
      </c>
      <c r="G142" s="263"/>
    </row>
    <row r="143" spans="1:7" ht="15" thickBot="1" x14ac:dyDescent="0.25">
      <c r="A143" s="1174" t="str">
        <f>+LIST_ACTIVIDADES!D6</f>
        <v>Localización, trazado y replanteo</v>
      </c>
      <c r="B143" s="1175"/>
      <c r="C143" s="1175"/>
      <c r="D143" s="1175"/>
      <c r="E143" s="1175"/>
      <c r="F143" s="241" t="s">
        <v>24</v>
      </c>
      <c r="G143" s="264" t="str">
        <f>+LIST_ACTIVIDADES!E6</f>
        <v>m²</v>
      </c>
    </row>
    <row r="144" spans="1:7" ht="15" thickBot="1" x14ac:dyDescent="0.25">
      <c r="A144" s="1176" t="s">
        <v>1642</v>
      </c>
      <c r="B144" s="1177"/>
      <c r="C144" s="1177"/>
      <c r="D144" s="1177"/>
      <c r="E144" s="1177"/>
      <c r="F144" s="1177"/>
      <c r="G144" s="1178"/>
    </row>
    <row r="145" spans="1:7" x14ac:dyDescent="0.2">
      <c r="A145" s="242" t="s">
        <v>1643</v>
      </c>
      <c r="B145" s="191" t="s">
        <v>1644</v>
      </c>
      <c r="C145" s="190" t="s">
        <v>26</v>
      </c>
      <c r="D145" s="190" t="s">
        <v>27</v>
      </c>
      <c r="E145" s="190" t="s">
        <v>28</v>
      </c>
      <c r="F145" s="190" t="s">
        <v>29</v>
      </c>
      <c r="G145" s="243"/>
    </row>
    <row r="146" spans="1:7" ht="86.25" customHeight="1" x14ac:dyDescent="0.2">
      <c r="A146" s="362" t="str">
        <f>VLOOKUP(B146,PRECIOS!$A$309:$E$485,2,FALSE)</f>
        <v>EQUIPO59</v>
      </c>
      <c r="B146" s="363" t="s">
        <v>526</v>
      </c>
      <c r="C146" s="99" t="str">
        <f>VLOOKUP(B146,PRECIOS!$A$309:$E$485,3,FALSE)</f>
        <v>Manual</v>
      </c>
      <c r="D146" s="364">
        <f>VLOOKUP(B146,PRECIOS!$A$309:$E$485,5,FALSE)</f>
        <v>24763.256999999998</v>
      </c>
      <c r="E146" s="365">
        <v>0.06</v>
      </c>
      <c r="F146" s="366">
        <f>+D146*E146</f>
        <v>1485.7954199999999</v>
      </c>
      <c r="G146" s="245"/>
    </row>
    <row r="147" spans="1:7" x14ac:dyDescent="0.2">
      <c r="A147" s="1179" t="s">
        <v>1650</v>
      </c>
      <c r="B147" s="1180"/>
      <c r="C147" s="214">
        <v>0.05</v>
      </c>
      <c r="D147" s="213"/>
      <c r="E147" s="269"/>
      <c r="F147" s="212">
        <f>+G167*C147</f>
        <v>103.47669642857143</v>
      </c>
      <c r="G147" s="246"/>
    </row>
    <row r="148" spans="1:7" x14ac:dyDescent="0.2">
      <c r="A148" s="247" t="s">
        <v>25</v>
      </c>
      <c r="B148" s="267"/>
      <c r="C148" s="267"/>
      <c r="D148" s="267"/>
      <c r="E148" s="267"/>
      <c r="F148" s="267"/>
      <c r="G148" s="246" t="s">
        <v>31</v>
      </c>
    </row>
    <row r="149" spans="1:7" ht="15" thickBot="1" x14ac:dyDescent="0.25">
      <c r="A149" s="248"/>
      <c r="B149" s="271"/>
      <c r="C149" s="271"/>
      <c r="D149" s="271"/>
      <c r="E149" s="271"/>
      <c r="F149" s="271"/>
      <c r="G149" s="249">
        <f>SUM(F146:F147)</f>
        <v>1589.2721164285713</v>
      </c>
    </row>
    <row r="150" spans="1:7" ht="15" thickBot="1" x14ac:dyDescent="0.25">
      <c r="A150" s="1176" t="s">
        <v>1645</v>
      </c>
      <c r="B150" s="1177"/>
      <c r="C150" s="1177"/>
      <c r="D150" s="1177"/>
      <c r="E150" s="1177"/>
      <c r="F150" s="1177"/>
      <c r="G150" s="1178"/>
    </row>
    <row r="151" spans="1:7" x14ac:dyDescent="0.2">
      <c r="A151" s="242" t="s">
        <v>1643</v>
      </c>
      <c r="B151" s="191" t="s">
        <v>1644</v>
      </c>
      <c r="C151" s="190" t="s">
        <v>32</v>
      </c>
      <c r="D151" s="190" t="s">
        <v>33</v>
      </c>
      <c r="E151" s="190" t="s">
        <v>34</v>
      </c>
      <c r="F151" s="190" t="s">
        <v>35</v>
      </c>
      <c r="G151" s="243"/>
    </row>
    <row r="152" spans="1:7" x14ac:dyDescent="0.2">
      <c r="A152" s="352" t="str">
        <f>VLOOKUP(B152,PRECIOS!$A$5:$D$303,2,FALSE)</f>
        <v>MADECOMUN</v>
      </c>
      <c r="B152" s="105" t="s">
        <v>67</v>
      </c>
      <c r="C152" s="105" t="str">
        <f>VLOOKUP(B152,PRECIOS!$A$5:$D$303,3,FALSE)</f>
        <v>Docena</v>
      </c>
      <c r="D152" s="353">
        <f>VLOOKUP(B152,PRECIOS!$A$5:$D$303,4,FALSE)</f>
        <v>30145.915800000006</v>
      </c>
      <c r="E152" s="360">
        <v>5.0000000000000001E-3</v>
      </c>
      <c r="F152" s="355">
        <f t="shared" ref="F152:F153" si="7">+D152*E152</f>
        <v>150.72957900000003</v>
      </c>
      <c r="G152" s="246"/>
    </row>
    <row r="153" spans="1:7" x14ac:dyDescent="0.2">
      <c r="A153" s="352" t="str">
        <f>VLOOKUP(B153,PRECIOS!$A$5:$D$303,2,FALSE)</f>
        <v>MADERFINA07</v>
      </c>
      <c r="B153" s="105" t="s">
        <v>217</v>
      </c>
      <c r="C153" s="105" t="str">
        <f>VLOOKUP(B153,PRECIOS!$A$5:$D$303,3,FALSE)</f>
        <v>Docena</v>
      </c>
      <c r="D153" s="353">
        <f>VLOOKUP(B153,PRECIOS!$A$5:$D$303,4,FALSE)</f>
        <v>219243.02400000003</v>
      </c>
      <c r="E153" s="360">
        <v>3.0000000000000001E-3</v>
      </c>
      <c r="F153" s="355">
        <f t="shared" si="7"/>
        <v>657.72907200000009</v>
      </c>
      <c r="G153" s="246"/>
    </row>
    <row r="154" spans="1:7" x14ac:dyDescent="0.2">
      <c r="A154" s="1179" t="s">
        <v>1649</v>
      </c>
      <c r="B154" s="1180"/>
      <c r="C154" s="214">
        <v>0.02</v>
      </c>
      <c r="D154" s="268"/>
      <c r="E154" s="269"/>
      <c r="F154" s="276">
        <f>SUM(F152:F153)*C154</f>
        <v>16.169173020000002</v>
      </c>
      <c r="G154" s="246"/>
    </row>
    <row r="155" spans="1:7" x14ac:dyDescent="0.2">
      <c r="A155" s="247"/>
      <c r="B155" s="267"/>
      <c r="C155" s="104"/>
      <c r="D155" s="104"/>
      <c r="E155" s="104"/>
      <c r="F155" s="104"/>
      <c r="G155" s="246" t="s">
        <v>31</v>
      </c>
    </row>
    <row r="156" spans="1:7" ht="15" thickBot="1" x14ac:dyDescent="0.25">
      <c r="A156" s="248"/>
      <c r="B156" s="271"/>
      <c r="C156" s="271"/>
      <c r="D156" s="271"/>
      <c r="E156" s="271"/>
      <c r="F156" s="271"/>
      <c r="G156" s="250">
        <f>SUM(F152:F154)</f>
        <v>824.62782402000016</v>
      </c>
    </row>
    <row r="157" spans="1:7" ht="15" thickBot="1" x14ac:dyDescent="0.25">
      <c r="A157" s="1176" t="s">
        <v>1646</v>
      </c>
      <c r="B157" s="1177"/>
      <c r="C157" s="1177"/>
      <c r="D157" s="1177"/>
      <c r="E157" s="1177"/>
      <c r="F157" s="1177"/>
      <c r="G157" s="1178"/>
    </row>
    <row r="158" spans="1:7" x14ac:dyDescent="0.2">
      <c r="A158" s="251" t="s">
        <v>305</v>
      </c>
      <c r="B158" s="190" t="s">
        <v>38</v>
      </c>
      <c r="C158" s="190" t="s">
        <v>39</v>
      </c>
      <c r="D158" s="190" t="s">
        <v>40</v>
      </c>
      <c r="E158" s="190" t="s">
        <v>34</v>
      </c>
      <c r="F158" s="190" t="s">
        <v>35</v>
      </c>
      <c r="G158" s="243"/>
    </row>
    <row r="159" spans="1:7" x14ac:dyDescent="0.2">
      <c r="A159" s="252"/>
      <c r="B159" s="235"/>
      <c r="C159" s="238"/>
      <c r="D159" s="236"/>
      <c r="E159" s="237"/>
      <c r="F159" s="239"/>
      <c r="G159" s="253"/>
    </row>
    <row r="160" spans="1:7" x14ac:dyDescent="0.2">
      <c r="A160" s="252"/>
      <c r="B160" s="235"/>
      <c r="C160" s="238"/>
      <c r="D160" s="236"/>
      <c r="E160" s="237"/>
      <c r="F160" s="239"/>
      <c r="G160" s="253"/>
    </row>
    <row r="161" spans="1:7" x14ac:dyDescent="0.2">
      <c r="A161" s="247" t="s">
        <v>25</v>
      </c>
      <c r="B161" s="104" t="s">
        <v>25</v>
      </c>
      <c r="C161" s="104" t="s">
        <v>25</v>
      </c>
      <c r="D161" s="188" t="s">
        <v>25</v>
      </c>
      <c r="E161" s="189" t="s">
        <v>25</v>
      </c>
      <c r="F161" s="187" t="s">
        <v>25</v>
      </c>
      <c r="G161" s="246" t="s">
        <v>31</v>
      </c>
    </row>
    <row r="162" spans="1:7" ht="15" thickBot="1" x14ac:dyDescent="0.25">
      <c r="A162" s="248"/>
      <c r="B162" s="271"/>
      <c r="C162" s="271"/>
      <c r="D162" s="271"/>
      <c r="E162" s="271"/>
      <c r="F162" s="271"/>
      <c r="G162" s="250">
        <f>SUM(F159:F160)</f>
        <v>0</v>
      </c>
    </row>
    <row r="163" spans="1:7" ht="15" thickBot="1" x14ac:dyDescent="0.25">
      <c r="A163" s="1176" t="s">
        <v>1647</v>
      </c>
      <c r="B163" s="1177"/>
      <c r="C163" s="1177"/>
      <c r="D163" s="1177"/>
      <c r="E163" s="1177"/>
      <c r="F163" s="1177"/>
      <c r="G163" s="1178"/>
    </row>
    <row r="164" spans="1:7" ht="24" x14ac:dyDescent="0.2">
      <c r="A164" s="254" t="s">
        <v>1681</v>
      </c>
      <c r="B164" s="190" t="s">
        <v>42</v>
      </c>
      <c r="C164" s="190" t="s">
        <v>43</v>
      </c>
      <c r="D164" s="190" t="s">
        <v>44</v>
      </c>
      <c r="E164" s="190" t="s">
        <v>306</v>
      </c>
      <c r="F164" s="190" t="s">
        <v>29</v>
      </c>
      <c r="G164" s="243"/>
    </row>
    <row r="165" spans="1:7" ht="24" x14ac:dyDescent="0.2">
      <c r="A165" s="255" t="s">
        <v>1673</v>
      </c>
      <c r="B165" s="202">
        <f>VLOOKUP(A165,JORNALES!$A$5:$B$28,2,FALSE)</f>
        <v>305000</v>
      </c>
      <c r="C165" s="233">
        <f>+PRESTACIONES!$C$20/100</f>
        <v>0.89990000000000014</v>
      </c>
      <c r="D165" s="234">
        <f>+(B165*C165)+B165</f>
        <v>579469.5</v>
      </c>
      <c r="E165" s="270">
        <v>280</v>
      </c>
      <c r="F165" s="199">
        <f>+D165/E165</f>
        <v>2069.5339285714285</v>
      </c>
      <c r="G165" s="246"/>
    </row>
    <row r="166" spans="1:7" x14ac:dyDescent="0.2">
      <c r="A166" s="247"/>
      <c r="B166" s="267"/>
      <c r="C166" s="267"/>
      <c r="D166" s="267"/>
      <c r="E166" s="267"/>
      <c r="F166" s="267"/>
      <c r="G166" s="246" t="s">
        <v>31</v>
      </c>
    </row>
    <row r="167" spans="1:7" x14ac:dyDescent="0.2">
      <c r="A167" s="247"/>
      <c r="B167" s="267"/>
      <c r="C167" s="267"/>
      <c r="D167" s="267"/>
      <c r="E167" s="267"/>
      <c r="F167" s="267"/>
      <c r="G167" s="256">
        <f>SUM(F165:F165)</f>
        <v>2069.5339285714285</v>
      </c>
    </row>
    <row r="168" spans="1:7" ht="15" thickBot="1" x14ac:dyDescent="0.25">
      <c r="A168" s="1181" t="s">
        <v>25</v>
      </c>
      <c r="B168" s="1182"/>
      <c r="C168" s="1182"/>
      <c r="D168" s="1182"/>
      <c r="E168" s="1182"/>
      <c r="F168" s="1182"/>
      <c r="G168" s="1183"/>
    </row>
    <row r="169" spans="1:7" ht="15" thickBot="1" x14ac:dyDescent="0.25">
      <c r="A169" s="1184" t="s">
        <v>45</v>
      </c>
      <c r="B169" s="1185"/>
      <c r="C169" s="1185"/>
      <c r="D169" s="1185"/>
      <c r="E169" s="1185"/>
      <c r="F169" s="192"/>
      <c r="G169" s="277">
        <f xml:space="preserve"> ROUND(G167+G162+G156+G149,0)</f>
        <v>4483</v>
      </c>
    </row>
    <row r="170" spans="1:7" x14ac:dyDescent="0.2">
      <c r="A170" s="1186" t="s">
        <v>476</v>
      </c>
      <c r="B170" s="1187"/>
      <c r="C170" s="1187"/>
      <c r="D170" s="1187"/>
      <c r="E170" s="1187"/>
      <c r="F170" s="193" t="s">
        <v>51</v>
      </c>
      <c r="G170" s="257" t="s">
        <v>307</v>
      </c>
    </row>
    <row r="171" spans="1:7" x14ac:dyDescent="0.2">
      <c r="A171" s="1166" t="s">
        <v>17</v>
      </c>
      <c r="B171" s="1167"/>
      <c r="C171" s="1167"/>
      <c r="D171" s="1167"/>
      <c r="E171" s="1167"/>
      <c r="F171" s="240"/>
      <c r="G171" s="196"/>
    </row>
    <row r="172" spans="1:7" x14ac:dyDescent="0.2">
      <c r="A172" s="1166" t="s">
        <v>308</v>
      </c>
      <c r="B172" s="1167"/>
      <c r="C172" s="1167"/>
      <c r="D172" s="1167"/>
      <c r="E172" s="1167"/>
      <c r="F172" s="240"/>
      <c r="G172" s="196"/>
    </row>
    <row r="173" spans="1:7" x14ac:dyDescent="0.2">
      <c r="A173" s="1166" t="s">
        <v>19</v>
      </c>
      <c r="B173" s="1167"/>
      <c r="C173" s="1167"/>
      <c r="D173" s="1167"/>
      <c r="E173" s="1167"/>
      <c r="F173" s="240"/>
      <c r="G173" s="196"/>
    </row>
    <row r="174" spans="1:7" ht="15" thickBot="1" x14ac:dyDescent="0.25">
      <c r="A174" s="1168" t="s">
        <v>309</v>
      </c>
      <c r="B174" s="1169"/>
      <c r="C174" s="1169"/>
      <c r="D174" s="1169"/>
      <c r="E174" s="1169"/>
      <c r="F174" s="198"/>
      <c r="G174" s="258"/>
    </row>
    <row r="175" spans="1:7" ht="15" thickBot="1" x14ac:dyDescent="0.25">
      <c r="A175" s="1170" t="s">
        <v>310</v>
      </c>
      <c r="B175" s="1171"/>
      <c r="C175" s="1171"/>
      <c r="D175" s="1171"/>
      <c r="E175" s="1171"/>
      <c r="F175" s="1172"/>
      <c r="G175" s="1173"/>
    </row>
    <row r="176" spans="1:7" x14ac:dyDescent="0.2">
      <c r="A176" s="265"/>
      <c r="B176" s="266"/>
      <c r="C176" s="266"/>
      <c r="D176" s="266"/>
      <c r="E176" s="266"/>
      <c r="F176" s="193"/>
      <c r="G176" s="260"/>
    </row>
    <row r="177" spans="1:7" ht="15" thickBot="1" x14ac:dyDescent="0.25">
      <c r="A177" s="261" t="s">
        <v>681</v>
      </c>
      <c r="B177" s="262"/>
      <c r="C177" s="262" t="s">
        <v>682</v>
      </c>
      <c r="D177" s="262"/>
      <c r="E177" s="262"/>
      <c r="F177" s="262" t="s">
        <v>683</v>
      </c>
      <c r="G177" s="263"/>
    </row>
    <row r="178" spans="1:7" ht="15" thickBot="1" x14ac:dyDescent="0.25">
      <c r="A178" s="1174" t="str">
        <f>+LIST_ACTIVIDADES!D7</f>
        <v>Desmonte, descapote y limpieza a Maquina</v>
      </c>
      <c r="B178" s="1175"/>
      <c r="C178" s="1175"/>
      <c r="D178" s="1175"/>
      <c r="E178" s="1175"/>
      <c r="F178" s="241" t="s">
        <v>24</v>
      </c>
      <c r="G178" s="264" t="str">
        <f>+LIST_ACTIVIDADES!E7</f>
        <v>m²</v>
      </c>
    </row>
    <row r="179" spans="1:7" ht="15" thickBot="1" x14ac:dyDescent="0.25">
      <c r="A179" s="1176" t="s">
        <v>1642</v>
      </c>
      <c r="B179" s="1177"/>
      <c r="C179" s="1177"/>
      <c r="D179" s="1177"/>
      <c r="E179" s="1177"/>
      <c r="F179" s="1177"/>
      <c r="G179" s="1178"/>
    </row>
    <row r="180" spans="1:7" x14ac:dyDescent="0.2">
      <c r="A180" s="242" t="s">
        <v>1643</v>
      </c>
      <c r="B180" s="191" t="s">
        <v>1644</v>
      </c>
      <c r="C180" s="190" t="s">
        <v>26</v>
      </c>
      <c r="D180" s="190" t="s">
        <v>27</v>
      </c>
      <c r="E180" s="190" t="s">
        <v>28</v>
      </c>
      <c r="F180" s="190" t="s">
        <v>29</v>
      </c>
      <c r="G180" s="243"/>
    </row>
    <row r="181" spans="1:7" ht="84" x14ac:dyDescent="0.2">
      <c r="A181" s="362" t="str">
        <f>VLOOKUP(B181,PRECIOS!$A$309:$E$485,2,FALSE)</f>
        <v>EQUIPO59</v>
      </c>
      <c r="B181" s="363" t="s">
        <v>526</v>
      </c>
      <c r="C181" s="99" t="str">
        <f>VLOOKUP(B181,PRECIOS!$A$309:$E$485,3,FALSE)</f>
        <v>Manual</v>
      </c>
      <c r="D181" s="364">
        <f>VLOOKUP(B181,PRECIOS!$A$309:$E$485,5,FALSE)</f>
        <v>24763.256999999998</v>
      </c>
      <c r="E181" s="365">
        <v>0.12</v>
      </c>
      <c r="F181" s="366">
        <f>+D181*E181</f>
        <v>2971.5908399999998</v>
      </c>
      <c r="G181" s="245"/>
    </row>
    <row r="182" spans="1:7" ht="29.25" customHeight="1" x14ac:dyDescent="0.2">
      <c r="A182" s="362" t="str">
        <f>VLOOKUP(B182,PRECIOS!$A$309:$E$485,2,FALSE)</f>
        <v>EQUIPO114</v>
      </c>
      <c r="B182" s="363" t="s">
        <v>611</v>
      </c>
      <c r="C182" s="99" t="str">
        <f>VLOOKUP(B182,PRECIOS!$A$309:$E$485,3,FALSE)</f>
        <v>Hidraulico</v>
      </c>
      <c r="D182" s="364">
        <f>VLOOKUP(B182,PRECIOS!$A$309:$E$485,5,FALSE)</f>
        <v>239956.266</v>
      </c>
      <c r="E182" s="365">
        <v>0.02</v>
      </c>
      <c r="F182" s="366">
        <f>+D182*E182</f>
        <v>4799.1253200000001</v>
      </c>
      <c r="G182" s="245"/>
    </row>
    <row r="183" spans="1:7" x14ac:dyDescent="0.2">
      <c r="A183" s="1179" t="s">
        <v>1650</v>
      </c>
      <c r="B183" s="1180"/>
      <c r="C183" s="214">
        <v>0.05</v>
      </c>
      <c r="D183" s="213"/>
      <c r="E183" s="269"/>
      <c r="F183" s="212">
        <f>+G203*C183</f>
        <v>115.89390000000002</v>
      </c>
      <c r="G183" s="246"/>
    </row>
    <row r="184" spans="1:7" x14ac:dyDescent="0.2">
      <c r="A184" s="247" t="s">
        <v>25</v>
      </c>
      <c r="B184" s="267"/>
      <c r="C184" s="267"/>
      <c r="D184" s="267"/>
      <c r="E184" s="267"/>
      <c r="F184" s="267"/>
      <c r="G184" s="246" t="s">
        <v>31</v>
      </c>
    </row>
    <row r="185" spans="1:7" ht="15" thickBot="1" x14ac:dyDescent="0.25">
      <c r="A185" s="248"/>
      <c r="B185" s="271"/>
      <c r="C185" s="271"/>
      <c r="D185" s="271"/>
      <c r="E185" s="271"/>
      <c r="F185" s="271"/>
      <c r="G185" s="249">
        <f>SUM(F181:F183)</f>
        <v>7886.61006</v>
      </c>
    </row>
    <row r="186" spans="1:7" ht="15" thickBot="1" x14ac:dyDescent="0.25">
      <c r="A186" s="1176" t="s">
        <v>1645</v>
      </c>
      <c r="B186" s="1177"/>
      <c r="C186" s="1177"/>
      <c r="D186" s="1177"/>
      <c r="E186" s="1177"/>
      <c r="F186" s="1177"/>
      <c r="G186" s="1178"/>
    </row>
    <row r="187" spans="1:7" x14ac:dyDescent="0.2">
      <c r="A187" s="242" t="s">
        <v>1643</v>
      </c>
      <c r="B187" s="191" t="s">
        <v>1644</v>
      </c>
      <c r="C187" s="190" t="s">
        <v>32</v>
      </c>
      <c r="D187" s="190" t="s">
        <v>33</v>
      </c>
      <c r="E187" s="190" t="s">
        <v>34</v>
      </c>
      <c r="F187" s="190" t="s">
        <v>35</v>
      </c>
      <c r="G187" s="243"/>
    </row>
    <row r="188" spans="1:7" x14ac:dyDescent="0.2">
      <c r="A188" s="352"/>
      <c r="B188" s="105"/>
      <c r="C188" s="105"/>
      <c r="D188" s="353"/>
      <c r="E188" s="360"/>
      <c r="F188" s="355"/>
      <c r="G188" s="246"/>
    </row>
    <row r="189" spans="1:7" x14ac:dyDescent="0.2">
      <c r="A189" s="352"/>
      <c r="B189" s="105"/>
      <c r="C189" s="105"/>
      <c r="D189" s="353"/>
      <c r="E189" s="360"/>
      <c r="F189" s="355"/>
      <c r="G189" s="246"/>
    </row>
    <row r="190" spans="1:7" x14ac:dyDescent="0.2">
      <c r="A190" s="1179" t="s">
        <v>1649</v>
      </c>
      <c r="B190" s="1180"/>
      <c r="C190" s="214">
        <v>0.02</v>
      </c>
      <c r="D190" s="268"/>
      <c r="E190" s="269"/>
      <c r="F190" s="276">
        <f>SUM(F188:F189)*C190</f>
        <v>0</v>
      </c>
      <c r="G190" s="246"/>
    </row>
    <row r="191" spans="1:7" x14ac:dyDescent="0.2">
      <c r="A191" s="247"/>
      <c r="B191" s="267"/>
      <c r="C191" s="104"/>
      <c r="D191" s="104"/>
      <c r="E191" s="104"/>
      <c r="F191" s="104"/>
      <c r="G191" s="246" t="s">
        <v>31</v>
      </c>
    </row>
    <row r="192" spans="1:7" ht="15" thickBot="1" x14ac:dyDescent="0.25">
      <c r="A192" s="248"/>
      <c r="B192" s="271"/>
      <c r="C192" s="271"/>
      <c r="D192" s="271"/>
      <c r="E192" s="271"/>
      <c r="F192" s="271"/>
      <c r="G192" s="250">
        <f>SUM(F188:F190)</f>
        <v>0</v>
      </c>
    </row>
    <row r="193" spans="1:7" ht="15" thickBot="1" x14ac:dyDescent="0.25">
      <c r="A193" s="1176" t="s">
        <v>1646</v>
      </c>
      <c r="B193" s="1177"/>
      <c r="C193" s="1177"/>
      <c r="D193" s="1177"/>
      <c r="E193" s="1177"/>
      <c r="F193" s="1177"/>
      <c r="G193" s="1178"/>
    </row>
    <row r="194" spans="1:7" x14ac:dyDescent="0.2">
      <c r="A194" s="251" t="s">
        <v>305</v>
      </c>
      <c r="B194" s="190" t="s">
        <v>38</v>
      </c>
      <c r="C194" s="190" t="s">
        <v>39</v>
      </c>
      <c r="D194" s="190" t="s">
        <v>40</v>
      </c>
      <c r="E194" s="190" t="s">
        <v>34</v>
      </c>
      <c r="F194" s="190" t="s">
        <v>35</v>
      </c>
      <c r="G194" s="243"/>
    </row>
    <row r="195" spans="1:7" x14ac:dyDescent="0.2">
      <c r="A195" s="252"/>
      <c r="B195" s="235"/>
      <c r="C195" s="238"/>
      <c r="D195" s="236"/>
      <c r="E195" s="237"/>
      <c r="F195" s="239"/>
      <c r="G195" s="253"/>
    </row>
    <row r="196" spans="1:7" x14ac:dyDescent="0.2">
      <c r="A196" s="252"/>
      <c r="B196" s="235"/>
      <c r="C196" s="238"/>
      <c r="D196" s="236"/>
      <c r="E196" s="237"/>
      <c r="F196" s="239"/>
      <c r="G196" s="253"/>
    </row>
    <row r="197" spans="1:7" x14ac:dyDescent="0.2">
      <c r="A197" s="247" t="s">
        <v>25</v>
      </c>
      <c r="B197" s="104" t="s">
        <v>25</v>
      </c>
      <c r="C197" s="104" t="s">
        <v>25</v>
      </c>
      <c r="D197" s="188" t="s">
        <v>25</v>
      </c>
      <c r="E197" s="189" t="s">
        <v>25</v>
      </c>
      <c r="F197" s="187" t="s">
        <v>25</v>
      </c>
      <c r="G197" s="246" t="s">
        <v>31</v>
      </c>
    </row>
    <row r="198" spans="1:7" ht="15" thickBot="1" x14ac:dyDescent="0.25">
      <c r="A198" s="248"/>
      <c r="B198" s="271"/>
      <c r="C198" s="271"/>
      <c r="D198" s="271"/>
      <c r="E198" s="271"/>
      <c r="F198" s="271"/>
      <c r="G198" s="250">
        <f>SUM(F195:F196)</f>
        <v>0</v>
      </c>
    </row>
    <row r="199" spans="1:7" ht="15" thickBot="1" x14ac:dyDescent="0.25">
      <c r="A199" s="1176" t="s">
        <v>1647</v>
      </c>
      <c r="B199" s="1177"/>
      <c r="C199" s="1177"/>
      <c r="D199" s="1177"/>
      <c r="E199" s="1177"/>
      <c r="F199" s="1177"/>
      <c r="G199" s="1178"/>
    </row>
    <row r="200" spans="1:7" ht="24" x14ac:dyDescent="0.2">
      <c r="A200" s="254" t="s">
        <v>1681</v>
      </c>
      <c r="B200" s="190" t="s">
        <v>42</v>
      </c>
      <c r="C200" s="190" t="s">
        <v>43</v>
      </c>
      <c r="D200" s="190" t="s">
        <v>44</v>
      </c>
      <c r="E200" s="190" t="s">
        <v>306</v>
      </c>
      <c r="F200" s="190" t="s">
        <v>29</v>
      </c>
      <c r="G200" s="243"/>
    </row>
    <row r="201" spans="1:7" ht="24" x14ac:dyDescent="0.2">
      <c r="A201" s="255" t="s">
        <v>1673</v>
      </c>
      <c r="B201" s="202">
        <f>VLOOKUP(A201,JORNALES!$A$5:$B$28,2,FALSE)</f>
        <v>305000</v>
      </c>
      <c r="C201" s="233">
        <f>+PRESTACIONES!$C$20/100</f>
        <v>0.89990000000000014</v>
      </c>
      <c r="D201" s="234">
        <f>+(B201*C201)+B201</f>
        <v>579469.5</v>
      </c>
      <c r="E201" s="270">
        <v>250</v>
      </c>
      <c r="F201" s="199">
        <f>+D201/E201</f>
        <v>2317.8780000000002</v>
      </c>
      <c r="G201" s="246"/>
    </row>
    <row r="202" spans="1:7" x14ac:dyDescent="0.2">
      <c r="A202" s="247"/>
      <c r="B202" s="267"/>
      <c r="C202" s="267"/>
      <c r="D202" s="267"/>
      <c r="E202" s="267"/>
      <c r="F202" s="267"/>
      <c r="G202" s="246" t="s">
        <v>31</v>
      </c>
    </row>
    <row r="203" spans="1:7" x14ac:dyDescent="0.2">
      <c r="A203" s="247"/>
      <c r="B203" s="267"/>
      <c r="C203" s="267"/>
      <c r="D203" s="267"/>
      <c r="E203" s="267"/>
      <c r="F203" s="267"/>
      <c r="G203" s="256">
        <f>SUM(F201:F201)</f>
        <v>2317.8780000000002</v>
      </c>
    </row>
    <row r="204" spans="1:7" ht="15" thickBot="1" x14ac:dyDescent="0.25">
      <c r="A204" s="1181" t="s">
        <v>25</v>
      </c>
      <c r="B204" s="1182"/>
      <c r="C204" s="1182"/>
      <c r="D204" s="1182"/>
      <c r="E204" s="1182"/>
      <c r="F204" s="1182"/>
      <c r="G204" s="1183"/>
    </row>
    <row r="205" spans="1:7" ht="15" thickBot="1" x14ac:dyDescent="0.25">
      <c r="A205" s="1184" t="s">
        <v>45</v>
      </c>
      <c r="B205" s="1185"/>
      <c r="C205" s="1185"/>
      <c r="D205" s="1185"/>
      <c r="E205" s="1185"/>
      <c r="F205" s="192"/>
      <c r="G205" s="277">
        <f xml:space="preserve"> ROUND(G203+G198+G192+G185,0)</f>
        <v>10204</v>
      </c>
    </row>
    <row r="206" spans="1:7" x14ac:dyDescent="0.2">
      <c r="A206" s="1186" t="s">
        <v>476</v>
      </c>
      <c r="B206" s="1187"/>
      <c r="C206" s="1187"/>
      <c r="D206" s="1187"/>
      <c r="E206" s="1187"/>
      <c r="F206" s="193" t="s">
        <v>51</v>
      </c>
      <c r="G206" s="257" t="s">
        <v>307</v>
      </c>
    </row>
    <row r="207" spans="1:7" x14ac:dyDescent="0.2">
      <c r="A207" s="1166" t="s">
        <v>17</v>
      </c>
      <c r="B207" s="1167"/>
      <c r="C207" s="1167"/>
      <c r="D207" s="1167"/>
      <c r="E207" s="1167"/>
      <c r="F207" s="240"/>
      <c r="G207" s="196"/>
    </row>
    <row r="208" spans="1:7" x14ac:dyDescent="0.2">
      <c r="A208" s="1166" t="s">
        <v>308</v>
      </c>
      <c r="B208" s="1167"/>
      <c r="C208" s="1167"/>
      <c r="D208" s="1167"/>
      <c r="E208" s="1167"/>
      <c r="F208" s="240"/>
      <c r="G208" s="196"/>
    </row>
    <row r="209" spans="1:7" x14ac:dyDescent="0.2">
      <c r="A209" s="1166" t="s">
        <v>19</v>
      </c>
      <c r="B209" s="1167"/>
      <c r="C209" s="1167"/>
      <c r="D209" s="1167"/>
      <c r="E209" s="1167"/>
      <c r="F209" s="240"/>
      <c r="G209" s="196"/>
    </row>
    <row r="210" spans="1:7" ht="15" thickBot="1" x14ac:dyDescent="0.25">
      <c r="A210" s="1168" t="s">
        <v>309</v>
      </c>
      <c r="B210" s="1169"/>
      <c r="C210" s="1169"/>
      <c r="D210" s="1169"/>
      <c r="E210" s="1169"/>
      <c r="F210" s="198"/>
      <c r="G210" s="258"/>
    </row>
    <row r="211" spans="1:7" ht="15" thickBot="1" x14ac:dyDescent="0.25">
      <c r="A211" s="1170" t="s">
        <v>310</v>
      </c>
      <c r="B211" s="1171"/>
      <c r="C211" s="1171"/>
      <c r="D211" s="1171"/>
      <c r="E211" s="1171"/>
      <c r="F211" s="1172"/>
      <c r="G211" s="1173"/>
    </row>
    <row r="212" spans="1:7" x14ac:dyDescent="0.2">
      <c r="A212" s="265"/>
      <c r="B212" s="266"/>
      <c r="C212" s="266"/>
      <c r="D212" s="266"/>
      <c r="E212" s="266"/>
      <c r="F212" s="193"/>
      <c r="G212" s="260"/>
    </row>
    <row r="213" spans="1:7" ht="15" thickBot="1" x14ac:dyDescent="0.25">
      <c r="A213" s="261" t="s">
        <v>681</v>
      </c>
      <c r="B213" s="262"/>
      <c r="C213" s="262" t="s">
        <v>682</v>
      </c>
      <c r="D213" s="262"/>
      <c r="E213" s="262"/>
      <c r="F213" s="262" t="s">
        <v>683</v>
      </c>
      <c r="G213" s="263"/>
    </row>
    <row r="214" spans="1:7" ht="15" thickBot="1" x14ac:dyDescent="0.25">
      <c r="A214" s="1174" t="str">
        <f>+LIST_ACTIVIDADES!D8</f>
        <v>Retiro de material sobrante, cargue mecanico</v>
      </c>
      <c r="B214" s="1175"/>
      <c r="C214" s="1175"/>
      <c r="D214" s="1175"/>
      <c r="E214" s="1175"/>
      <c r="F214" s="241" t="s">
        <v>24</v>
      </c>
      <c r="G214" s="264" t="str">
        <f>+LIST_ACTIVIDADES!E8</f>
        <v>m³</v>
      </c>
    </row>
    <row r="215" spans="1:7" ht="15" thickBot="1" x14ac:dyDescent="0.25">
      <c r="A215" s="1176" t="s">
        <v>1642</v>
      </c>
      <c r="B215" s="1177"/>
      <c r="C215" s="1177"/>
      <c r="D215" s="1177"/>
      <c r="E215" s="1177"/>
      <c r="F215" s="1177"/>
      <c r="G215" s="1178"/>
    </row>
    <row r="216" spans="1:7" x14ac:dyDescent="0.2">
      <c r="A216" s="242" t="s">
        <v>1643</v>
      </c>
      <c r="B216" s="191" t="s">
        <v>1644</v>
      </c>
      <c r="C216" s="190" t="s">
        <v>26</v>
      </c>
      <c r="D216" s="190" t="s">
        <v>27</v>
      </c>
      <c r="E216" s="190" t="s">
        <v>28</v>
      </c>
      <c r="F216" s="190" t="s">
        <v>29</v>
      </c>
      <c r="G216" s="243"/>
    </row>
    <row r="217" spans="1:7" ht="24" x14ac:dyDescent="0.2">
      <c r="A217" s="362" t="str">
        <f>VLOOKUP(B217,PRECIOS!$A$309:$E$485,2,FALSE)</f>
        <v>EQUIPO114</v>
      </c>
      <c r="B217" s="363" t="s">
        <v>611</v>
      </c>
      <c r="C217" s="99" t="str">
        <f>VLOOKUP(B217,PRECIOS!$A$309:$E$485,3,FALSE)</f>
        <v>Hidraulico</v>
      </c>
      <c r="D217" s="364">
        <f>VLOOKUP(B217,PRECIOS!$A$309:$E$485,5,FALSE)</f>
        <v>239956.266</v>
      </c>
      <c r="E217" s="365">
        <v>0.05</v>
      </c>
      <c r="F217" s="366">
        <f>+D217*E217</f>
        <v>11997.813300000002</v>
      </c>
      <c r="G217" s="245"/>
    </row>
    <row r="218" spans="1:7" x14ac:dyDescent="0.2">
      <c r="A218" s="1179" t="s">
        <v>1650</v>
      </c>
      <c r="B218" s="1180"/>
      <c r="C218" s="214">
        <v>0.05</v>
      </c>
      <c r="D218" s="213"/>
      <c r="E218" s="269"/>
      <c r="F218" s="212">
        <f>+G238*C218</f>
        <v>138.53437500000001</v>
      </c>
      <c r="G218" s="246"/>
    </row>
    <row r="219" spans="1:7" x14ac:dyDescent="0.2">
      <c r="A219" s="247" t="s">
        <v>25</v>
      </c>
      <c r="B219" s="267"/>
      <c r="C219" s="267"/>
      <c r="D219" s="267"/>
      <c r="E219" s="267"/>
      <c r="F219" s="267"/>
      <c r="G219" s="246" t="s">
        <v>31</v>
      </c>
    </row>
    <row r="220" spans="1:7" ht="15" thickBot="1" x14ac:dyDescent="0.25">
      <c r="A220" s="248"/>
      <c r="B220" s="271"/>
      <c r="C220" s="271"/>
      <c r="D220" s="271"/>
      <c r="E220" s="271"/>
      <c r="F220" s="271"/>
      <c r="G220" s="249">
        <f>SUM(F217:F218)</f>
        <v>12136.347675000001</v>
      </c>
    </row>
    <row r="221" spans="1:7" ht="15" thickBot="1" x14ac:dyDescent="0.25">
      <c r="A221" s="1176" t="s">
        <v>1645</v>
      </c>
      <c r="B221" s="1177"/>
      <c r="C221" s="1177"/>
      <c r="D221" s="1177"/>
      <c r="E221" s="1177"/>
      <c r="F221" s="1177"/>
      <c r="G221" s="1178"/>
    </row>
    <row r="222" spans="1:7" x14ac:dyDescent="0.2">
      <c r="A222" s="242" t="s">
        <v>1643</v>
      </c>
      <c r="B222" s="191" t="s">
        <v>1644</v>
      </c>
      <c r="C222" s="190" t="s">
        <v>32</v>
      </c>
      <c r="D222" s="190" t="s">
        <v>33</v>
      </c>
      <c r="E222" s="190" t="s">
        <v>34</v>
      </c>
      <c r="F222" s="190" t="s">
        <v>35</v>
      </c>
      <c r="G222" s="243"/>
    </row>
    <row r="223" spans="1:7" x14ac:dyDescent="0.2">
      <c r="A223" s="352"/>
      <c r="B223" s="105"/>
      <c r="C223" s="105"/>
      <c r="D223" s="353"/>
      <c r="E223" s="360"/>
      <c r="F223" s="355"/>
      <c r="G223" s="246"/>
    </row>
    <row r="224" spans="1:7" x14ac:dyDescent="0.2">
      <c r="A224" s="352"/>
      <c r="B224" s="105"/>
      <c r="C224" s="105"/>
      <c r="D224" s="353"/>
      <c r="E224" s="360"/>
      <c r="F224" s="355"/>
      <c r="G224" s="246"/>
    </row>
    <row r="225" spans="1:7" x14ac:dyDescent="0.2">
      <c r="A225" s="1179" t="s">
        <v>1649</v>
      </c>
      <c r="B225" s="1180"/>
      <c r="C225" s="214">
        <v>0.02</v>
      </c>
      <c r="D225" s="268"/>
      <c r="E225" s="269"/>
      <c r="F225" s="276">
        <f>SUM(F223:F224)*C225</f>
        <v>0</v>
      </c>
      <c r="G225" s="246"/>
    </row>
    <row r="226" spans="1:7" x14ac:dyDescent="0.2">
      <c r="A226" s="247"/>
      <c r="B226" s="267"/>
      <c r="C226" s="104"/>
      <c r="D226" s="104"/>
      <c r="E226" s="104"/>
      <c r="F226" s="104"/>
      <c r="G226" s="246" t="s">
        <v>31</v>
      </c>
    </row>
    <row r="227" spans="1:7" ht="15" thickBot="1" x14ac:dyDescent="0.25">
      <c r="A227" s="248"/>
      <c r="B227" s="271"/>
      <c r="C227" s="271"/>
      <c r="D227" s="271"/>
      <c r="E227" s="271"/>
      <c r="F227" s="271"/>
      <c r="G227" s="250">
        <f>SUM(F223:F225)</f>
        <v>0</v>
      </c>
    </row>
    <row r="228" spans="1:7" ht="15" thickBot="1" x14ac:dyDescent="0.25">
      <c r="A228" s="1176" t="s">
        <v>1646</v>
      </c>
      <c r="B228" s="1177"/>
      <c r="C228" s="1177"/>
      <c r="D228" s="1177"/>
      <c r="E228" s="1177"/>
      <c r="F228" s="1177"/>
      <c r="G228" s="1178"/>
    </row>
    <row r="229" spans="1:7" x14ac:dyDescent="0.2">
      <c r="A229" s="251" t="s">
        <v>305</v>
      </c>
      <c r="B229" s="190" t="s">
        <v>38</v>
      </c>
      <c r="C229" s="190" t="s">
        <v>39</v>
      </c>
      <c r="D229" s="190" t="s">
        <v>40</v>
      </c>
      <c r="E229" s="190" t="s">
        <v>34</v>
      </c>
      <c r="F229" s="190" t="s">
        <v>35</v>
      </c>
      <c r="G229" s="243"/>
    </row>
    <row r="230" spans="1:7" x14ac:dyDescent="0.2">
      <c r="A230" s="255" t="s">
        <v>1703</v>
      </c>
      <c r="B230" s="89" t="str">
        <f>+PRECIOS!$D$444</f>
        <v>m3k</v>
      </c>
      <c r="C230" s="209" t="s">
        <v>1704</v>
      </c>
      <c r="D230" s="199">
        <f>+PRECIOS!$E$444</f>
        <v>1534.9949999999999</v>
      </c>
      <c r="E230" s="367">
        <v>8</v>
      </c>
      <c r="F230" s="234">
        <f>+D230*E230</f>
        <v>12279.96</v>
      </c>
      <c r="G230" s="253"/>
    </row>
    <row r="231" spans="1:7" x14ac:dyDescent="0.2">
      <c r="A231" s="252"/>
      <c r="B231" s="235"/>
      <c r="C231" s="238"/>
      <c r="D231" s="236"/>
      <c r="E231" s="237"/>
      <c r="F231" s="239"/>
      <c r="G231" s="253"/>
    </row>
    <row r="232" spans="1:7" x14ac:dyDescent="0.2">
      <c r="A232" s="247" t="s">
        <v>25</v>
      </c>
      <c r="B232" s="104" t="s">
        <v>25</v>
      </c>
      <c r="C232" s="104" t="s">
        <v>25</v>
      </c>
      <c r="D232" s="188" t="s">
        <v>25</v>
      </c>
      <c r="E232" s="189" t="s">
        <v>25</v>
      </c>
      <c r="F232" s="187" t="s">
        <v>25</v>
      </c>
      <c r="G232" s="246" t="s">
        <v>31</v>
      </c>
    </row>
    <row r="233" spans="1:7" ht="15" thickBot="1" x14ac:dyDescent="0.25">
      <c r="A233" s="248"/>
      <c r="B233" s="271"/>
      <c r="C233" s="271"/>
      <c r="D233" s="271"/>
      <c r="E233" s="271"/>
      <c r="F233" s="271"/>
      <c r="G233" s="250">
        <f>SUM(F230:F231)</f>
        <v>12279.96</v>
      </c>
    </row>
    <row r="234" spans="1:7" ht="15" thickBot="1" x14ac:dyDescent="0.25">
      <c r="A234" s="1176" t="s">
        <v>1647</v>
      </c>
      <c r="B234" s="1177"/>
      <c r="C234" s="1177"/>
      <c r="D234" s="1177"/>
      <c r="E234" s="1177"/>
      <c r="F234" s="1177"/>
      <c r="G234" s="1178"/>
    </row>
    <row r="235" spans="1:7" ht="24" x14ac:dyDescent="0.2">
      <c r="A235" s="254" t="s">
        <v>1681</v>
      </c>
      <c r="B235" s="190" t="s">
        <v>42</v>
      </c>
      <c r="C235" s="190" t="s">
        <v>43</v>
      </c>
      <c r="D235" s="190" t="s">
        <v>44</v>
      </c>
      <c r="E235" s="190" t="s">
        <v>306</v>
      </c>
      <c r="F235" s="190" t="s">
        <v>29</v>
      </c>
      <c r="G235" s="243"/>
    </row>
    <row r="236" spans="1:7" ht="34.5" customHeight="1" x14ac:dyDescent="0.2">
      <c r="A236" s="255" t="s">
        <v>1672</v>
      </c>
      <c r="B236" s="202">
        <f>VLOOKUP(A236,JORNALES!$A$5:$B$28,2,FALSE)</f>
        <v>175000</v>
      </c>
      <c r="C236" s="233">
        <f>+PRESTACIONES!$C$20/100</f>
        <v>0.89990000000000014</v>
      </c>
      <c r="D236" s="234">
        <f>+(B236*C236)+B236</f>
        <v>332482.5</v>
      </c>
      <c r="E236" s="270">
        <v>120</v>
      </c>
      <c r="F236" s="199">
        <f>+D236/E236</f>
        <v>2770.6875</v>
      </c>
      <c r="G236" s="246"/>
    </row>
    <row r="237" spans="1:7" x14ac:dyDescent="0.2">
      <c r="A237" s="247"/>
      <c r="B237" s="267"/>
      <c r="C237" s="267"/>
      <c r="D237" s="267"/>
      <c r="E237" s="267"/>
      <c r="F237" s="267"/>
      <c r="G237" s="246" t="s">
        <v>31</v>
      </c>
    </row>
    <row r="238" spans="1:7" x14ac:dyDescent="0.2">
      <c r="A238" s="247"/>
      <c r="B238" s="267"/>
      <c r="C238" s="267"/>
      <c r="D238" s="267"/>
      <c r="E238" s="267"/>
      <c r="F238" s="267"/>
      <c r="G238" s="256">
        <f>SUM(F236:F236)</f>
        <v>2770.6875</v>
      </c>
    </row>
    <row r="239" spans="1:7" ht="15" thickBot="1" x14ac:dyDescent="0.25">
      <c r="A239" s="1181" t="s">
        <v>25</v>
      </c>
      <c r="B239" s="1182"/>
      <c r="C239" s="1182"/>
      <c r="D239" s="1182"/>
      <c r="E239" s="1182"/>
      <c r="F239" s="1182"/>
      <c r="G239" s="1183"/>
    </row>
    <row r="240" spans="1:7" ht="15" thickBot="1" x14ac:dyDescent="0.25">
      <c r="A240" s="1184" t="s">
        <v>45</v>
      </c>
      <c r="B240" s="1185"/>
      <c r="C240" s="1185"/>
      <c r="D240" s="1185"/>
      <c r="E240" s="1185"/>
      <c r="F240" s="192"/>
      <c r="G240" s="277">
        <f xml:space="preserve"> ROUND(G238+G233+G227+G220,0)</f>
        <v>27187</v>
      </c>
    </row>
    <row r="241" spans="1:7" x14ac:dyDescent="0.2">
      <c r="A241" s="1186" t="s">
        <v>476</v>
      </c>
      <c r="B241" s="1187"/>
      <c r="C241" s="1187"/>
      <c r="D241" s="1187"/>
      <c r="E241" s="1187"/>
      <c r="F241" s="193" t="s">
        <v>51</v>
      </c>
      <c r="G241" s="257" t="s">
        <v>307</v>
      </c>
    </row>
    <row r="242" spans="1:7" x14ac:dyDescent="0.2">
      <c r="A242" s="1166" t="s">
        <v>17</v>
      </c>
      <c r="B242" s="1167"/>
      <c r="C242" s="1167"/>
      <c r="D242" s="1167"/>
      <c r="E242" s="1167"/>
      <c r="F242" s="240"/>
      <c r="G242" s="196"/>
    </row>
    <row r="243" spans="1:7" x14ac:dyDescent="0.2">
      <c r="A243" s="1166" t="s">
        <v>308</v>
      </c>
      <c r="B243" s="1167"/>
      <c r="C243" s="1167"/>
      <c r="D243" s="1167"/>
      <c r="E243" s="1167"/>
      <c r="F243" s="240"/>
      <c r="G243" s="196"/>
    </row>
    <row r="244" spans="1:7" x14ac:dyDescent="0.2">
      <c r="A244" s="1166" t="s">
        <v>19</v>
      </c>
      <c r="B244" s="1167"/>
      <c r="C244" s="1167"/>
      <c r="D244" s="1167"/>
      <c r="E244" s="1167"/>
      <c r="F244" s="240"/>
      <c r="G244" s="196"/>
    </row>
    <row r="245" spans="1:7" ht="15" thickBot="1" x14ac:dyDescent="0.25">
      <c r="A245" s="1168" t="s">
        <v>309</v>
      </c>
      <c r="B245" s="1169"/>
      <c r="C245" s="1169"/>
      <c r="D245" s="1169"/>
      <c r="E245" s="1169"/>
      <c r="F245" s="198"/>
      <c r="G245" s="258"/>
    </row>
    <row r="246" spans="1:7" ht="15" thickBot="1" x14ac:dyDescent="0.25">
      <c r="A246" s="1170" t="s">
        <v>310</v>
      </c>
      <c r="B246" s="1171"/>
      <c r="C246" s="1171"/>
      <c r="D246" s="1171"/>
      <c r="E246" s="1171"/>
      <c r="F246" s="1172"/>
      <c r="G246" s="1173"/>
    </row>
    <row r="247" spans="1:7" x14ac:dyDescent="0.2">
      <c r="A247" s="265"/>
      <c r="B247" s="266"/>
      <c r="C247" s="266"/>
      <c r="D247" s="266"/>
      <c r="E247" s="266"/>
      <c r="F247" s="193"/>
      <c r="G247" s="260"/>
    </row>
    <row r="248" spans="1:7" ht="15" thickBot="1" x14ac:dyDescent="0.25">
      <c r="A248" s="261" t="s">
        <v>681</v>
      </c>
      <c r="B248" s="262"/>
      <c r="C248" s="262" t="s">
        <v>682</v>
      </c>
      <c r="D248" s="262"/>
      <c r="E248" s="262"/>
      <c r="F248" s="262" t="s">
        <v>683</v>
      </c>
      <c r="G248" s="263"/>
    </row>
    <row r="249" spans="1:7" ht="15" thickBot="1" x14ac:dyDescent="0.25">
      <c r="A249" s="1174" t="str">
        <f>+LIST_ACTIVIDADES!D11</f>
        <v xml:space="preserve">Excavacion Manual en material Heterogeneo </v>
      </c>
      <c r="B249" s="1175"/>
      <c r="C249" s="1175"/>
      <c r="D249" s="1175"/>
      <c r="E249" s="1175"/>
      <c r="F249" s="241" t="s">
        <v>24</v>
      </c>
      <c r="G249" s="264" t="str">
        <f>+LIST_ACTIVIDADES!E11</f>
        <v>m³</v>
      </c>
    </row>
    <row r="250" spans="1:7" ht="15" thickBot="1" x14ac:dyDescent="0.25">
      <c r="A250" s="1176" t="s">
        <v>1642</v>
      </c>
      <c r="B250" s="1177"/>
      <c r="C250" s="1177"/>
      <c r="D250" s="1177"/>
      <c r="E250" s="1177"/>
      <c r="F250" s="1177"/>
      <c r="G250" s="1178"/>
    </row>
    <row r="251" spans="1:7" x14ac:dyDescent="0.2">
      <c r="A251" s="242" t="s">
        <v>1643</v>
      </c>
      <c r="B251" s="191" t="s">
        <v>1644</v>
      </c>
      <c r="C251" s="190" t="s">
        <v>26</v>
      </c>
      <c r="D251" s="190" t="s">
        <v>27</v>
      </c>
      <c r="E251" s="190" t="s">
        <v>28</v>
      </c>
      <c r="F251" s="190" t="s">
        <v>29</v>
      </c>
      <c r="G251" s="243"/>
    </row>
    <row r="252" spans="1:7" x14ac:dyDescent="0.2">
      <c r="A252" s="362"/>
      <c r="B252" s="363"/>
      <c r="C252" s="99"/>
      <c r="D252" s="364"/>
      <c r="E252" s="365"/>
      <c r="F252" s="366"/>
      <c r="G252" s="245"/>
    </row>
    <row r="253" spans="1:7" x14ac:dyDescent="0.2">
      <c r="A253" s="1179" t="s">
        <v>1650</v>
      </c>
      <c r="B253" s="1180"/>
      <c r="C253" s="214">
        <v>0.05</v>
      </c>
      <c r="D253" s="213"/>
      <c r="E253" s="269"/>
      <c r="F253" s="212">
        <f>+G273*C253</f>
        <v>1134.6625000000001</v>
      </c>
      <c r="G253" s="246"/>
    </row>
    <row r="254" spans="1:7" x14ac:dyDescent="0.2">
      <c r="A254" s="247" t="s">
        <v>25</v>
      </c>
      <c r="B254" s="267"/>
      <c r="C254" s="267"/>
      <c r="D254" s="267"/>
      <c r="E254" s="267"/>
      <c r="F254" s="267"/>
      <c r="G254" s="246" t="s">
        <v>31</v>
      </c>
    </row>
    <row r="255" spans="1:7" ht="15" thickBot="1" x14ac:dyDescent="0.25">
      <c r="A255" s="248"/>
      <c r="B255" s="271"/>
      <c r="C255" s="271"/>
      <c r="D255" s="271"/>
      <c r="E255" s="271"/>
      <c r="F255" s="271"/>
      <c r="G255" s="249">
        <f>SUM(F252:F253)</f>
        <v>1134.6625000000001</v>
      </c>
    </row>
    <row r="256" spans="1:7" ht="15" thickBot="1" x14ac:dyDescent="0.25">
      <c r="A256" s="1176" t="s">
        <v>1645</v>
      </c>
      <c r="B256" s="1177"/>
      <c r="C256" s="1177"/>
      <c r="D256" s="1177"/>
      <c r="E256" s="1177"/>
      <c r="F256" s="1177"/>
      <c r="G256" s="1178"/>
    </row>
    <row r="257" spans="1:7" x14ac:dyDescent="0.2">
      <c r="A257" s="242" t="s">
        <v>1643</v>
      </c>
      <c r="B257" s="191" t="s">
        <v>1644</v>
      </c>
      <c r="C257" s="190" t="s">
        <v>32</v>
      </c>
      <c r="D257" s="190" t="s">
        <v>33</v>
      </c>
      <c r="E257" s="190" t="s">
        <v>34</v>
      </c>
      <c r="F257" s="190" t="s">
        <v>35</v>
      </c>
      <c r="G257" s="243"/>
    </row>
    <row r="258" spans="1:7" x14ac:dyDescent="0.2">
      <c r="A258" s="352"/>
      <c r="B258" s="105"/>
      <c r="C258" s="105"/>
      <c r="D258" s="353"/>
      <c r="E258" s="360"/>
      <c r="F258" s="355"/>
      <c r="G258" s="246"/>
    </row>
    <row r="259" spans="1:7" x14ac:dyDescent="0.2">
      <c r="A259" s="352"/>
      <c r="B259" s="105"/>
      <c r="C259" s="105"/>
      <c r="D259" s="353"/>
      <c r="E259" s="360"/>
      <c r="F259" s="355"/>
      <c r="G259" s="246"/>
    </row>
    <row r="260" spans="1:7" x14ac:dyDescent="0.2">
      <c r="A260" s="1179" t="s">
        <v>1649</v>
      </c>
      <c r="B260" s="1180"/>
      <c r="C260" s="214">
        <v>0.02</v>
      </c>
      <c r="D260" s="268"/>
      <c r="E260" s="269"/>
      <c r="F260" s="276">
        <f>SUM(F258:F259)*C260</f>
        <v>0</v>
      </c>
      <c r="G260" s="246"/>
    </row>
    <row r="261" spans="1:7" x14ac:dyDescent="0.2">
      <c r="A261" s="247"/>
      <c r="B261" s="267"/>
      <c r="C261" s="104"/>
      <c r="D261" s="104"/>
      <c r="E261" s="104"/>
      <c r="F261" s="104"/>
      <c r="G261" s="246" t="s">
        <v>31</v>
      </c>
    </row>
    <row r="262" spans="1:7" ht="15" thickBot="1" x14ac:dyDescent="0.25">
      <c r="A262" s="248"/>
      <c r="B262" s="271"/>
      <c r="C262" s="271"/>
      <c r="D262" s="271"/>
      <c r="E262" s="271"/>
      <c r="F262" s="271"/>
      <c r="G262" s="250">
        <f>SUM(F258:F260)</f>
        <v>0</v>
      </c>
    </row>
    <row r="263" spans="1:7" ht="15" thickBot="1" x14ac:dyDescent="0.25">
      <c r="A263" s="1176" t="s">
        <v>1646</v>
      </c>
      <c r="B263" s="1177"/>
      <c r="C263" s="1177"/>
      <c r="D263" s="1177"/>
      <c r="E263" s="1177"/>
      <c r="F263" s="1177"/>
      <c r="G263" s="1178"/>
    </row>
    <row r="264" spans="1:7" x14ac:dyDescent="0.2">
      <c r="A264" s="251" t="s">
        <v>305</v>
      </c>
      <c r="B264" s="190" t="s">
        <v>38</v>
      </c>
      <c r="C264" s="190" t="s">
        <v>39</v>
      </c>
      <c r="D264" s="190" t="s">
        <v>40</v>
      </c>
      <c r="E264" s="190" t="s">
        <v>34</v>
      </c>
      <c r="F264" s="190" t="s">
        <v>35</v>
      </c>
      <c r="G264" s="243"/>
    </row>
    <row r="265" spans="1:7" ht="24" x14ac:dyDescent="0.2">
      <c r="A265" s="255" t="s">
        <v>1706</v>
      </c>
      <c r="B265" s="89" t="str">
        <f>+PRECIOS!D444</f>
        <v>m3k</v>
      </c>
      <c r="C265" s="209" t="s">
        <v>1704</v>
      </c>
      <c r="D265" s="199">
        <f>+PRECIOS!E444*1.6</f>
        <v>2455.9919999999997</v>
      </c>
      <c r="E265" s="367">
        <v>5</v>
      </c>
      <c r="F265" s="234">
        <f>+D265*E265</f>
        <v>12279.96</v>
      </c>
      <c r="G265" s="253"/>
    </row>
    <row r="266" spans="1:7" x14ac:dyDescent="0.2">
      <c r="A266" s="252"/>
      <c r="B266" s="235"/>
      <c r="C266" s="238"/>
      <c r="D266" s="236"/>
      <c r="E266" s="237"/>
      <c r="F266" s="239"/>
      <c r="G266" s="253"/>
    </row>
    <row r="267" spans="1:7" x14ac:dyDescent="0.2">
      <c r="A267" s="247" t="s">
        <v>25</v>
      </c>
      <c r="B267" s="104" t="s">
        <v>25</v>
      </c>
      <c r="C267" s="104" t="s">
        <v>25</v>
      </c>
      <c r="D267" s="188" t="s">
        <v>25</v>
      </c>
      <c r="E267" s="189" t="s">
        <v>25</v>
      </c>
      <c r="F267" s="187" t="s">
        <v>25</v>
      </c>
      <c r="G267" s="246" t="s">
        <v>31</v>
      </c>
    </row>
    <row r="268" spans="1:7" ht="15" thickBot="1" x14ac:dyDescent="0.25">
      <c r="A268" s="248"/>
      <c r="B268" s="271"/>
      <c r="C268" s="271"/>
      <c r="D268" s="271"/>
      <c r="E268" s="271"/>
      <c r="F268" s="271"/>
      <c r="G268" s="250">
        <f>SUM(F265:F266)</f>
        <v>12279.96</v>
      </c>
    </row>
    <row r="269" spans="1:7" ht="15" thickBot="1" x14ac:dyDescent="0.25">
      <c r="A269" s="1176" t="s">
        <v>1647</v>
      </c>
      <c r="B269" s="1177"/>
      <c r="C269" s="1177"/>
      <c r="D269" s="1177"/>
      <c r="E269" s="1177"/>
      <c r="F269" s="1177"/>
      <c r="G269" s="1178"/>
    </row>
    <row r="270" spans="1:7" ht="24" x14ac:dyDescent="0.2">
      <c r="A270" s="254" t="s">
        <v>1681</v>
      </c>
      <c r="B270" s="190" t="s">
        <v>42</v>
      </c>
      <c r="C270" s="190" t="s">
        <v>43</v>
      </c>
      <c r="D270" s="190" t="s">
        <v>44</v>
      </c>
      <c r="E270" s="190" t="s">
        <v>306</v>
      </c>
      <c r="F270" s="190" t="s">
        <v>29</v>
      </c>
      <c r="G270" s="243"/>
    </row>
    <row r="271" spans="1:7" ht="36" x14ac:dyDescent="0.2">
      <c r="A271" s="255" t="s">
        <v>1674</v>
      </c>
      <c r="B271" s="202">
        <f>VLOOKUP(A271,JORNALES!$A$5:$B$28,2,FALSE)</f>
        <v>215000</v>
      </c>
      <c r="C271" s="233">
        <f>+PRESTACIONES!$C$20/100</f>
        <v>0.89990000000000014</v>
      </c>
      <c r="D271" s="234">
        <f>+(B271*C271)+B271</f>
        <v>408478.5</v>
      </c>
      <c r="E271" s="270">
        <v>18</v>
      </c>
      <c r="F271" s="199">
        <f>+D271/E271</f>
        <v>22693.25</v>
      </c>
      <c r="G271" s="246"/>
    </row>
    <row r="272" spans="1:7" x14ac:dyDescent="0.2">
      <c r="A272" s="247"/>
      <c r="B272" s="267"/>
      <c r="C272" s="267"/>
      <c r="D272" s="267"/>
      <c r="E272" s="267"/>
      <c r="F272" s="267"/>
      <c r="G272" s="246" t="s">
        <v>31</v>
      </c>
    </row>
    <row r="273" spans="1:7" x14ac:dyDescent="0.2">
      <c r="A273" s="247"/>
      <c r="B273" s="267"/>
      <c r="C273" s="267"/>
      <c r="D273" s="267"/>
      <c r="E273" s="267"/>
      <c r="F273" s="267"/>
      <c r="G273" s="256">
        <f>SUM(F271:F271)</f>
        <v>22693.25</v>
      </c>
    </row>
    <row r="274" spans="1:7" ht="15" thickBot="1" x14ac:dyDescent="0.25">
      <c r="A274" s="1181" t="s">
        <v>25</v>
      </c>
      <c r="B274" s="1182"/>
      <c r="C274" s="1182"/>
      <c r="D274" s="1182"/>
      <c r="E274" s="1182"/>
      <c r="F274" s="1182"/>
      <c r="G274" s="1183"/>
    </row>
    <row r="275" spans="1:7" ht="15" thickBot="1" x14ac:dyDescent="0.25">
      <c r="A275" s="1184" t="s">
        <v>45</v>
      </c>
      <c r="B275" s="1185"/>
      <c r="C275" s="1185"/>
      <c r="D275" s="1185"/>
      <c r="E275" s="1185"/>
      <c r="F275" s="192"/>
      <c r="G275" s="277">
        <f xml:space="preserve"> ROUND(G273+G268+G262+G255,0)</f>
        <v>36108</v>
      </c>
    </row>
    <row r="276" spans="1:7" x14ac:dyDescent="0.2">
      <c r="A276" s="1186" t="s">
        <v>476</v>
      </c>
      <c r="B276" s="1187"/>
      <c r="C276" s="1187"/>
      <c r="D276" s="1187"/>
      <c r="E276" s="1187"/>
      <c r="F276" s="193" t="s">
        <v>51</v>
      </c>
      <c r="G276" s="257" t="s">
        <v>307</v>
      </c>
    </row>
    <row r="277" spans="1:7" x14ac:dyDescent="0.2">
      <c r="A277" s="1166" t="s">
        <v>17</v>
      </c>
      <c r="B277" s="1167"/>
      <c r="C277" s="1167"/>
      <c r="D277" s="1167"/>
      <c r="E277" s="1167"/>
      <c r="F277" s="240"/>
      <c r="G277" s="196"/>
    </row>
    <row r="278" spans="1:7" x14ac:dyDescent="0.2">
      <c r="A278" s="1166" t="s">
        <v>308</v>
      </c>
      <c r="B278" s="1167"/>
      <c r="C278" s="1167"/>
      <c r="D278" s="1167"/>
      <c r="E278" s="1167"/>
      <c r="F278" s="240"/>
      <c r="G278" s="196"/>
    </row>
    <row r="279" spans="1:7" x14ac:dyDescent="0.2">
      <c r="A279" s="1166" t="s">
        <v>19</v>
      </c>
      <c r="B279" s="1167"/>
      <c r="C279" s="1167"/>
      <c r="D279" s="1167"/>
      <c r="E279" s="1167"/>
      <c r="F279" s="240"/>
      <c r="G279" s="196"/>
    </row>
    <row r="280" spans="1:7" ht="15" thickBot="1" x14ac:dyDescent="0.25">
      <c r="A280" s="1168" t="s">
        <v>309</v>
      </c>
      <c r="B280" s="1169"/>
      <c r="C280" s="1169"/>
      <c r="D280" s="1169"/>
      <c r="E280" s="1169"/>
      <c r="F280" s="198"/>
      <c r="G280" s="258"/>
    </row>
    <row r="281" spans="1:7" ht="15" thickBot="1" x14ac:dyDescent="0.25">
      <c r="A281" s="1170" t="s">
        <v>310</v>
      </c>
      <c r="B281" s="1171"/>
      <c r="C281" s="1171"/>
      <c r="D281" s="1171"/>
      <c r="E281" s="1171"/>
      <c r="F281" s="1172"/>
      <c r="G281" s="1173"/>
    </row>
    <row r="282" spans="1:7" x14ac:dyDescent="0.2">
      <c r="A282" s="265"/>
      <c r="B282" s="266"/>
      <c r="C282" s="266"/>
      <c r="D282" s="266"/>
      <c r="E282" s="266"/>
      <c r="F282" s="193"/>
      <c r="G282" s="260"/>
    </row>
    <row r="283" spans="1:7" ht="15" thickBot="1" x14ac:dyDescent="0.25">
      <c r="A283" s="261" t="s">
        <v>681</v>
      </c>
      <c r="B283" s="262"/>
      <c r="C283" s="262" t="s">
        <v>682</v>
      </c>
      <c r="D283" s="262"/>
      <c r="E283" s="262"/>
      <c r="F283" s="262" t="s">
        <v>683</v>
      </c>
      <c r="G283" s="263"/>
    </row>
    <row r="284" spans="1:7" ht="27.75" customHeight="1" thickBot="1" x14ac:dyDescent="0.25">
      <c r="A284" s="1362" t="str">
        <f>+'PRESUPUESTO DE OBRA'!D13</f>
        <v>Corte mecanico en material Heterogeneo</v>
      </c>
      <c r="B284" s="1363"/>
      <c r="C284" s="1363"/>
      <c r="D284" s="1363"/>
      <c r="E284" s="1363"/>
      <c r="F284" s="241" t="s">
        <v>24</v>
      </c>
      <c r="G284" s="368" t="str">
        <f>+LIST_ACTIVIDADES!E12</f>
        <v>m³</v>
      </c>
    </row>
    <row r="285" spans="1:7" ht="15" thickBot="1" x14ac:dyDescent="0.25">
      <c r="A285" s="1176" t="s">
        <v>1642</v>
      </c>
      <c r="B285" s="1177"/>
      <c r="C285" s="1177"/>
      <c r="D285" s="1177"/>
      <c r="E285" s="1177"/>
      <c r="F285" s="1177"/>
      <c r="G285" s="1178"/>
    </row>
    <row r="286" spans="1:7" x14ac:dyDescent="0.2">
      <c r="A286" s="242" t="s">
        <v>1643</v>
      </c>
      <c r="B286" s="191" t="s">
        <v>1644</v>
      </c>
      <c r="C286" s="190" t="s">
        <v>26</v>
      </c>
      <c r="D286" s="190" t="s">
        <v>27</v>
      </c>
      <c r="E286" s="190" t="s">
        <v>28</v>
      </c>
      <c r="F286" s="190" t="s">
        <v>29</v>
      </c>
      <c r="G286" s="243"/>
    </row>
    <row r="287" spans="1:7" x14ac:dyDescent="0.2">
      <c r="A287" s="362" t="str">
        <f>VLOOKUP(B287,PRECIOS!$A$309:$E$485,2,FALSE)</f>
        <v>EQUIPO167</v>
      </c>
      <c r="B287" s="363" t="s">
        <v>1707</v>
      </c>
      <c r="C287" s="99" t="str">
        <f>VLOOKUP(B287,PRECIOS!$A$309:$E$485,3,FALSE)</f>
        <v>Estructura</v>
      </c>
      <c r="D287" s="364">
        <f>VLOOKUP(B287,PRECIOS!$A$309:$E$485,5,FALSE)</f>
        <v>1250</v>
      </c>
      <c r="E287" s="365">
        <v>0.5</v>
      </c>
      <c r="F287" s="366">
        <f>+D287*E287</f>
        <v>625</v>
      </c>
      <c r="G287" s="245"/>
    </row>
    <row r="288" spans="1:7" x14ac:dyDescent="0.2">
      <c r="A288" s="362" t="str">
        <f>VLOOKUP(B288,PRECIOS!$A$309:$E$485,2,FALSE)</f>
        <v>EQUIPO169</v>
      </c>
      <c r="B288" s="363" t="s">
        <v>449</v>
      </c>
      <c r="C288" s="99" t="str">
        <f>VLOOKUP(B288,PRECIOS!$A$309:$E$485,3,FALSE)</f>
        <v>Estructura</v>
      </c>
      <c r="D288" s="364">
        <f>VLOOKUP(B288,PRECIOS!$A$309:$E$485,5,FALSE)</f>
        <v>1500</v>
      </c>
      <c r="E288" s="365">
        <v>0.5</v>
      </c>
      <c r="F288" s="366">
        <f>+D288*E288</f>
        <v>750</v>
      </c>
      <c r="G288" s="245"/>
    </row>
    <row r="289" spans="1:7" x14ac:dyDescent="0.2">
      <c r="A289" s="1179" t="s">
        <v>1650</v>
      </c>
      <c r="B289" s="1180"/>
      <c r="C289" s="214">
        <v>0.05</v>
      </c>
      <c r="D289" s="213"/>
      <c r="E289" s="269"/>
      <c r="F289" s="212">
        <f>+G309*C289</f>
        <v>8879.9673913043498</v>
      </c>
      <c r="G289" s="246"/>
    </row>
    <row r="290" spans="1:7" x14ac:dyDescent="0.2">
      <c r="A290" s="247" t="s">
        <v>25</v>
      </c>
      <c r="B290" s="267"/>
      <c r="C290" s="267"/>
      <c r="D290" s="267"/>
      <c r="E290" s="267"/>
      <c r="F290" s="267"/>
      <c r="G290" s="246" t="s">
        <v>31</v>
      </c>
    </row>
    <row r="291" spans="1:7" ht="15" thickBot="1" x14ac:dyDescent="0.25">
      <c r="A291" s="248"/>
      <c r="B291" s="271"/>
      <c r="C291" s="271"/>
      <c r="D291" s="271"/>
      <c r="E291" s="271"/>
      <c r="F291" s="271"/>
      <c r="G291" s="249">
        <f>SUM(F287:F289)</f>
        <v>10254.96739130435</v>
      </c>
    </row>
    <row r="292" spans="1:7" ht="15" thickBot="1" x14ac:dyDescent="0.25">
      <c r="A292" s="1176" t="s">
        <v>1645</v>
      </c>
      <c r="B292" s="1177"/>
      <c r="C292" s="1177"/>
      <c r="D292" s="1177"/>
      <c r="E292" s="1177"/>
      <c r="F292" s="1177"/>
      <c r="G292" s="1178"/>
    </row>
    <row r="293" spans="1:7" x14ac:dyDescent="0.2">
      <c r="A293" s="242" t="s">
        <v>1643</v>
      </c>
      <c r="B293" s="191" t="s">
        <v>1644</v>
      </c>
      <c r="C293" s="190" t="s">
        <v>32</v>
      </c>
      <c r="D293" s="190" t="s">
        <v>33</v>
      </c>
      <c r="E293" s="190" t="s">
        <v>34</v>
      </c>
      <c r="F293" s="190" t="s">
        <v>35</v>
      </c>
      <c r="G293" s="243"/>
    </row>
    <row r="294" spans="1:7" x14ac:dyDescent="0.2">
      <c r="A294" s="352"/>
      <c r="B294" s="105"/>
      <c r="C294" s="105"/>
      <c r="D294" s="353"/>
      <c r="E294" s="360"/>
      <c r="F294" s="355"/>
      <c r="G294" s="246"/>
    </row>
    <row r="295" spans="1:7" x14ac:dyDescent="0.2">
      <c r="A295" s="352"/>
      <c r="B295" s="105"/>
      <c r="C295" s="105"/>
      <c r="D295" s="353"/>
      <c r="E295" s="360"/>
      <c r="F295" s="355"/>
      <c r="G295" s="246"/>
    </row>
    <row r="296" spans="1:7" x14ac:dyDescent="0.2">
      <c r="A296" s="1179" t="s">
        <v>1649</v>
      </c>
      <c r="B296" s="1180"/>
      <c r="C296" s="214">
        <v>0.02</v>
      </c>
      <c r="D296" s="268"/>
      <c r="E296" s="269"/>
      <c r="F296" s="276">
        <f>SUM(F294:F295)*C296</f>
        <v>0</v>
      </c>
      <c r="G296" s="246"/>
    </row>
    <row r="297" spans="1:7" x14ac:dyDescent="0.2">
      <c r="A297" s="247"/>
      <c r="B297" s="267"/>
      <c r="C297" s="104"/>
      <c r="D297" s="104"/>
      <c r="E297" s="104"/>
      <c r="F297" s="104"/>
      <c r="G297" s="246" t="s">
        <v>31</v>
      </c>
    </row>
    <row r="298" spans="1:7" ht="15" thickBot="1" x14ac:dyDescent="0.25">
      <c r="A298" s="248"/>
      <c r="B298" s="271"/>
      <c r="C298" s="271"/>
      <c r="D298" s="271"/>
      <c r="E298" s="271"/>
      <c r="F298" s="271"/>
      <c r="G298" s="250">
        <f>SUM(F294:F296)</f>
        <v>0</v>
      </c>
    </row>
    <row r="299" spans="1:7" ht="15" thickBot="1" x14ac:dyDescent="0.25">
      <c r="A299" s="1176" t="s">
        <v>1646</v>
      </c>
      <c r="B299" s="1177"/>
      <c r="C299" s="1177"/>
      <c r="D299" s="1177"/>
      <c r="E299" s="1177"/>
      <c r="F299" s="1177"/>
      <c r="G299" s="1178"/>
    </row>
    <row r="300" spans="1:7" x14ac:dyDescent="0.2">
      <c r="A300" s="251" t="s">
        <v>305</v>
      </c>
      <c r="B300" s="190" t="s">
        <v>38</v>
      </c>
      <c r="C300" s="190" t="s">
        <v>39</v>
      </c>
      <c r="D300" s="190" t="s">
        <v>40</v>
      </c>
      <c r="E300" s="190" t="s">
        <v>34</v>
      </c>
      <c r="F300" s="190" t="s">
        <v>35</v>
      </c>
      <c r="G300" s="243"/>
    </row>
    <row r="301" spans="1:7" ht="24" x14ac:dyDescent="0.2">
      <c r="A301" s="255" t="s">
        <v>1706</v>
      </c>
      <c r="B301" s="89" t="str">
        <f>+PRECIOS!$D$444</f>
        <v>m3k</v>
      </c>
      <c r="C301" s="209" t="s">
        <v>1704</v>
      </c>
      <c r="D301" s="199">
        <f>+PRECIOS!$E$444*1.6</f>
        <v>2455.9919999999997</v>
      </c>
      <c r="E301" s="367">
        <v>5</v>
      </c>
      <c r="F301" s="234">
        <f>+D301*E301</f>
        <v>12279.96</v>
      </c>
      <c r="G301" s="253"/>
    </row>
    <row r="302" spans="1:7" x14ac:dyDescent="0.2">
      <c r="A302" s="252"/>
      <c r="B302" s="235"/>
      <c r="C302" s="238"/>
      <c r="D302" s="236"/>
      <c r="E302" s="237"/>
      <c r="F302" s="239"/>
      <c r="G302" s="253"/>
    </row>
    <row r="303" spans="1:7" x14ac:dyDescent="0.2">
      <c r="A303" s="247" t="s">
        <v>25</v>
      </c>
      <c r="B303" s="104" t="s">
        <v>25</v>
      </c>
      <c r="C303" s="104" t="s">
        <v>25</v>
      </c>
      <c r="D303" s="188" t="s">
        <v>25</v>
      </c>
      <c r="E303" s="189" t="s">
        <v>25</v>
      </c>
      <c r="F303" s="187" t="s">
        <v>25</v>
      </c>
      <c r="G303" s="246" t="s">
        <v>31</v>
      </c>
    </row>
    <row r="304" spans="1:7" ht="15" thickBot="1" x14ac:dyDescent="0.25">
      <c r="A304" s="248"/>
      <c r="B304" s="271"/>
      <c r="C304" s="271"/>
      <c r="D304" s="271"/>
      <c r="E304" s="271"/>
      <c r="F304" s="271"/>
      <c r="G304" s="250">
        <f>SUM(F301:F302)</f>
        <v>12279.96</v>
      </c>
    </row>
    <row r="305" spans="1:7" ht="15" thickBot="1" x14ac:dyDescent="0.25">
      <c r="A305" s="1176" t="s">
        <v>1647</v>
      </c>
      <c r="B305" s="1177"/>
      <c r="C305" s="1177"/>
      <c r="D305" s="1177"/>
      <c r="E305" s="1177"/>
      <c r="F305" s="1177"/>
      <c r="G305" s="1178"/>
    </row>
    <row r="306" spans="1:7" ht="24" x14ac:dyDescent="0.2">
      <c r="A306" s="254" t="s">
        <v>1681</v>
      </c>
      <c r="B306" s="190" t="s">
        <v>42</v>
      </c>
      <c r="C306" s="190" t="s">
        <v>43</v>
      </c>
      <c r="D306" s="190" t="s">
        <v>44</v>
      </c>
      <c r="E306" s="190" t="s">
        <v>306</v>
      </c>
      <c r="F306" s="190" t="s">
        <v>29</v>
      </c>
      <c r="G306" s="243"/>
    </row>
    <row r="307" spans="1:7" ht="36" x14ac:dyDescent="0.2">
      <c r="A307" s="255" t="s">
        <v>1674</v>
      </c>
      <c r="B307" s="202">
        <f>VLOOKUP(A307,JORNALES!$A$5:$B$28,2,FALSE)</f>
        <v>215000</v>
      </c>
      <c r="C307" s="233">
        <f>+PRESTACIONES!$C$20/100</f>
        <v>0.89990000000000014</v>
      </c>
      <c r="D307" s="234">
        <f>+(B307*C307)+B307</f>
        <v>408478.5</v>
      </c>
      <c r="E307" s="270">
        <v>2.2999999999999998</v>
      </c>
      <c r="F307" s="199">
        <f>+D307/E307</f>
        <v>177599.34782608697</v>
      </c>
      <c r="G307" s="246"/>
    </row>
    <row r="308" spans="1:7" x14ac:dyDescent="0.2">
      <c r="A308" s="247"/>
      <c r="B308" s="267"/>
      <c r="C308" s="267"/>
      <c r="D308" s="267"/>
      <c r="E308" s="267"/>
      <c r="F308" s="267"/>
      <c r="G308" s="246" t="s">
        <v>31</v>
      </c>
    </row>
    <row r="309" spans="1:7" x14ac:dyDescent="0.2">
      <c r="A309" s="247"/>
      <c r="B309" s="267"/>
      <c r="C309" s="267"/>
      <c r="D309" s="267"/>
      <c r="E309" s="267"/>
      <c r="F309" s="267"/>
      <c r="G309" s="256">
        <f>SUM(F307:F307)</f>
        <v>177599.34782608697</v>
      </c>
    </row>
    <row r="310" spans="1:7" ht="15" thickBot="1" x14ac:dyDescent="0.25">
      <c r="A310" s="1181" t="s">
        <v>25</v>
      </c>
      <c r="B310" s="1182"/>
      <c r="C310" s="1182"/>
      <c r="D310" s="1182"/>
      <c r="E310" s="1182"/>
      <c r="F310" s="1182"/>
      <c r="G310" s="1183"/>
    </row>
    <row r="311" spans="1:7" ht="15" thickBot="1" x14ac:dyDescent="0.25">
      <c r="A311" s="1184" t="s">
        <v>45</v>
      </c>
      <c r="B311" s="1185"/>
      <c r="C311" s="1185"/>
      <c r="D311" s="1185"/>
      <c r="E311" s="1185"/>
      <c r="F311" s="192"/>
      <c r="G311" s="277">
        <f xml:space="preserve"> ROUND(G309+G304+G298+G291,0)</f>
        <v>200134</v>
      </c>
    </row>
    <row r="312" spans="1:7" x14ac:dyDescent="0.2">
      <c r="A312" s="1186" t="s">
        <v>476</v>
      </c>
      <c r="B312" s="1187"/>
      <c r="C312" s="1187"/>
      <c r="D312" s="1187"/>
      <c r="E312" s="1187"/>
      <c r="F312" s="193" t="s">
        <v>51</v>
      </c>
      <c r="G312" s="257" t="s">
        <v>307</v>
      </c>
    </row>
    <row r="313" spans="1:7" x14ac:dyDescent="0.2">
      <c r="A313" s="1166" t="s">
        <v>17</v>
      </c>
      <c r="B313" s="1167"/>
      <c r="C313" s="1167"/>
      <c r="D313" s="1167"/>
      <c r="E313" s="1167"/>
      <c r="F313" s="240"/>
      <c r="G313" s="196"/>
    </row>
    <row r="314" spans="1:7" x14ac:dyDescent="0.2">
      <c r="A314" s="1166" t="s">
        <v>308</v>
      </c>
      <c r="B314" s="1167"/>
      <c r="C314" s="1167"/>
      <c r="D314" s="1167"/>
      <c r="E314" s="1167"/>
      <c r="F314" s="240"/>
      <c r="G314" s="196"/>
    </row>
    <row r="315" spans="1:7" x14ac:dyDescent="0.2">
      <c r="A315" s="1166" t="s">
        <v>19</v>
      </c>
      <c r="B315" s="1167"/>
      <c r="C315" s="1167"/>
      <c r="D315" s="1167"/>
      <c r="E315" s="1167"/>
      <c r="F315" s="240"/>
      <c r="G315" s="196"/>
    </row>
    <row r="316" spans="1:7" ht="15" thickBot="1" x14ac:dyDescent="0.25">
      <c r="A316" s="1168" t="s">
        <v>309</v>
      </c>
      <c r="B316" s="1169"/>
      <c r="C316" s="1169"/>
      <c r="D316" s="1169"/>
      <c r="E316" s="1169"/>
      <c r="F316" s="198"/>
      <c r="G316" s="258"/>
    </row>
    <row r="317" spans="1:7" ht="15" thickBot="1" x14ac:dyDescent="0.25">
      <c r="A317" s="1170" t="s">
        <v>310</v>
      </c>
      <c r="B317" s="1171"/>
      <c r="C317" s="1171"/>
      <c r="D317" s="1171"/>
      <c r="E317" s="1171"/>
      <c r="F317" s="1172"/>
      <c r="G317" s="1173"/>
    </row>
    <row r="318" spans="1:7" x14ac:dyDescent="0.2">
      <c r="A318" s="265"/>
      <c r="B318" s="266"/>
      <c r="C318" s="266"/>
      <c r="D318" s="266"/>
      <c r="E318" s="266"/>
      <c r="F318" s="193"/>
      <c r="G318" s="260"/>
    </row>
    <row r="319" spans="1:7" ht="15" thickBot="1" x14ac:dyDescent="0.25">
      <c r="A319" s="261" t="s">
        <v>681</v>
      </c>
      <c r="B319" s="262"/>
      <c r="C319" s="262" t="s">
        <v>682</v>
      </c>
      <c r="D319" s="262"/>
      <c r="E319" s="262"/>
      <c r="F319" s="262" t="s">
        <v>683</v>
      </c>
      <c r="G319" s="263"/>
    </row>
    <row r="320" spans="1:7" ht="15" thickBot="1" x14ac:dyDescent="0.25">
      <c r="A320" s="1174" t="str">
        <f>+LIST_ACTIVIDADES!D13</f>
        <v>Corte mecanico en material Heterogeneo</v>
      </c>
      <c r="B320" s="1175"/>
      <c r="C320" s="1175"/>
      <c r="D320" s="1175"/>
      <c r="E320" s="1175"/>
      <c r="F320" s="241" t="s">
        <v>24</v>
      </c>
      <c r="G320" s="264" t="str">
        <f>+LIST_ACTIVIDADES!E13</f>
        <v>m³</v>
      </c>
    </row>
    <row r="321" spans="1:7" ht="15" thickBot="1" x14ac:dyDescent="0.25">
      <c r="A321" s="1176" t="s">
        <v>1642</v>
      </c>
      <c r="B321" s="1177"/>
      <c r="C321" s="1177"/>
      <c r="D321" s="1177"/>
      <c r="E321" s="1177"/>
      <c r="F321" s="1177"/>
      <c r="G321" s="1178"/>
    </row>
    <row r="322" spans="1:7" x14ac:dyDescent="0.2">
      <c r="A322" s="242" t="s">
        <v>1643</v>
      </c>
      <c r="B322" s="191" t="s">
        <v>1644</v>
      </c>
      <c r="C322" s="190" t="s">
        <v>26</v>
      </c>
      <c r="D322" s="190" t="s">
        <v>27</v>
      </c>
      <c r="E322" s="190" t="s">
        <v>28</v>
      </c>
      <c r="F322" s="190" t="s">
        <v>29</v>
      </c>
      <c r="G322" s="243"/>
    </row>
    <row r="323" spans="1:7" ht="24" x14ac:dyDescent="0.2">
      <c r="A323" s="362" t="str">
        <f>VLOOKUP(B323,PRECIOS!$A$309:$E$485,2,FALSE)</f>
        <v>EQUIPO114</v>
      </c>
      <c r="B323" s="363" t="s">
        <v>611</v>
      </c>
      <c r="C323" s="99" t="str">
        <f>VLOOKUP(B323,PRECIOS!$A$309:$E$485,3,FALSE)</f>
        <v>Hidraulico</v>
      </c>
      <c r="D323" s="364">
        <f>VLOOKUP(B323,PRECIOS!$A$309:$E$485,5,FALSE)</f>
        <v>239956.266</v>
      </c>
      <c r="E323" s="365">
        <v>0.04</v>
      </c>
      <c r="F323" s="366">
        <f>+D323*E323</f>
        <v>9598.2506400000002</v>
      </c>
      <c r="G323" s="245"/>
    </row>
    <row r="324" spans="1:7" x14ac:dyDescent="0.2">
      <c r="A324" s="1179" t="s">
        <v>1650</v>
      </c>
      <c r="B324" s="1180"/>
      <c r="C324" s="214">
        <v>0.05</v>
      </c>
      <c r="D324" s="213"/>
      <c r="E324" s="269"/>
      <c r="F324" s="212">
        <f>+G344*C324</f>
        <v>83.120625000000004</v>
      </c>
      <c r="G324" s="246"/>
    </row>
    <row r="325" spans="1:7" x14ac:dyDescent="0.2">
      <c r="A325" s="247" t="s">
        <v>25</v>
      </c>
      <c r="B325" s="267"/>
      <c r="C325" s="267"/>
      <c r="D325" s="267"/>
      <c r="E325" s="267"/>
      <c r="F325" s="267"/>
      <c r="G325" s="246" t="s">
        <v>31</v>
      </c>
    </row>
    <row r="326" spans="1:7" ht="15" thickBot="1" x14ac:dyDescent="0.25">
      <c r="A326" s="248"/>
      <c r="B326" s="271"/>
      <c r="C326" s="271"/>
      <c r="D326" s="271"/>
      <c r="E326" s="271"/>
      <c r="F326" s="271"/>
      <c r="G326" s="249">
        <f>SUM(F323:F324)</f>
        <v>9681.3712649999998</v>
      </c>
    </row>
    <row r="327" spans="1:7" ht="15" thickBot="1" x14ac:dyDescent="0.25">
      <c r="A327" s="1176" t="s">
        <v>1645</v>
      </c>
      <c r="B327" s="1177"/>
      <c r="C327" s="1177"/>
      <c r="D327" s="1177"/>
      <c r="E327" s="1177"/>
      <c r="F327" s="1177"/>
      <c r="G327" s="1178"/>
    </row>
    <row r="328" spans="1:7" x14ac:dyDescent="0.2">
      <c r="A328" s="242" t="s">
        <v>1643</v>
      </c>
      <c r="B328" s="191" t="s">
        <v>1644</v>
      </c>
      <c r="C328" s="190" t="s">
        <v>32</v>
      </c>
      <c r="D328" s="190" t="s">
        <v>33</v>
      </c>
      <c r="E328" s="190" t="s">
        <v>34</v>
      </c>
      <c r="F328" s="190" t="s">
        <v>35</v>
      </c>
      <c r="G328" s="243"/>
    </row>
    <row r="329" spans="1:7" x14ac:dyDescent="0.2">
      <c r="A329" s="352"/>
      <c r="B329" s="105"/>
      <c r="C329" s="105"/>
      <c r="D329" s="353"/>
      <c r="E329" s="360"/>
      <c r="F329" s="355"/>
      <c r="G329" s="246"/>
    </row>
    <row r="330" spans="1:7" x14ac:dyDescent="0.2">
      <c r="A330" s="352"/>
      <c r="B330" s="105"/>
      <c r="C330" s="105"/>
      <c r="D330" s="353"/>
      <c r="E330" s="360"/>
      <c r="F330" s="355"/>
      <c r="G330" s="246"/>
    </row>
    <row r="331" spans="1:7" x14ac:dyDescent="0.2">
      <c r="A331" s="1179" t="s">
        <v>1649</v>
      </c>
      <c r="B331" s="1180"/>
      <c r="C331" s="214">
        <v>0.02</v>
      </c>
      <c r="D331" s="268"/>
      <c r="E331" s="269"/>
      <c r="F331" s="276">
        <f>SUM(F329:F330)*C331</f>
        <v>0</v>
      </c>
      <c r="G331" s="246"/>
    </row>
    <row r="332" spans="1:7" x14ac:dyDescent="0.2">
      <c r="A332" s="247"/>
      <c r="B332" s="267"/>
      <c r="C332" s="104"/>
      <c r="D332" s="104"/>
      <c r="E332" s="104"/>
      <c r="F332" s="104"/>
      <c r="G332" s="246" t="s">
        <v>31</v>
      </c>
    </row>
    <row r="333" spans="1:7" ht="15" thickBot="1" x14ac:dyDescent="0.25">
      <c r="A333" s="248"/>
      <c r="B333" s="271"/>
      <c r="C333" s="271"/>
      <c r="D333" s="271"/>
      <c r="E333" s="271"/>
      <c r="F333" s="271"/>
      <c r="G333" s="250">
        <f>SUM(F329:F331)</f>
        <v>0</v>
      </c>
    </row>
    <row r="334" spans="1:7" ht="15" thickBot="1" x14ac:dyDescent="0.25">
      <c r="A334" s="1176" t="s">
        <v>1646</v>
      </c>
      <c r="B334" s="1177"/>
      <c r="C334" s="1177"/>
      <c r="D334" s="1177"/>
      <c r="E334" s="1177"/>
      <c r="F334" s="1177"/>
      <c r="G334" s="1178"/>
    </row>
    <row r="335" spans="1:7" x14ac:dyDescent="0.2">
      <c r="A335" s="251" t="s">
        <v>305</v>
      </c>
      <c r="B335" s="190" t="s">
        <v>38</v>
      </c>
      <c r="C335" s="190" t="s">
        <v>39</v>
      </c>
      <c r="D335" s="190" t="s">
        <v>40</v>
      </c>
      <c r="E335" s="190" t="s">
        <v>34</v>
      </c>
      <c r="F335" s="190" t="s">
        <v>35</v>
      </c>
      <c r="G335" s="243"/>
    </row>
    <row r="336" spans="1:7" ht="19.5" customHeight="1" x14ac:dyDescent="0.2">
      <c r="A336" s="369" t="str">
        <f>+PRECIOS!$A$444</f>
        <v xml:space="preserve">Tarifa de transporte </v>
      </c>
      <c r="B336" s="89" t="str">
        <f>+PRECIOS!$D$444</f>
        <v>m3k</v>
      </c>
      <c r="C336" s="209" t="s">
        <v>1704</v>
      </c>
      <c r="D336" s="199">
        <f>+PRECIOS!$E$444</f>
        <v>1534.9949999999999</v>
      </c>
      <c r="E336" s="367">
        <v>7</v>
      </c>
      <c r="F336" s="234">
        <f>+D336*E336</f>
        <v>10744.965</v>
      </c>
      <c r="G336" s="253"/>
    </row>
    <row r="337" spans="1:7" x14ac:dyDescent="0.2">
      <c r="A337" s="252"/>
      <c r="B337" s="235"/>
      <c r="C337" s="238"/>
      <c r="D337" s="236"/>
      <c r="E337" s="237"/>
      <c r="F337" s="239"/>
      <c r="G337" s="253"/>
    </row>
    <row r="338" spans="1:7" x14ac:dyDescent="0.2">
      <c r="A338" s="247" t="s">
        <v>25</v>
      </c>
      <c r="B338" s="104" t="s">
        <v>25</v>
      </c>
      <c r="C338" s="104" t="s">
        <v>25</v>
      </c>
      <c r="D338" s="188" t="s">
        <v>25</v>
      </c>
      <c r="E338" s="189" t="s">
        <v>25</v>
      </c>
      <c r="F338" s="187" t="s">
        <v>25</v>
      </c>
      <c r="G338" s="246" t="s">
        <v>31</v>
      </c>
    </row>
    <row r="339" spans="1:7" ht="15" thickBot="1" x14ac:dyDescent="0.25">
      <c r="A339" s="248"/>
      <c r="B339" s="271"/>
      <c r="C339" s="271"/>
      <c r="D339" s="271"/>
      <c r="E339" s="271"/>
      <c r="F339" s="271"/>
      <c r="G339" s="250">
        <f>SUM(F336:F337)</f>
        <v>10744.965</v>
      </c>
    </row>
    <row r="340" spans="1:7" ht="15" thickBot="1" x14ac:dyDescent="0.25">
      <c r="A340" s="1176" t="s">
        <v>1647</v>
      </c>
      <c r="B340" s="1177"/>
      <c r="C340" s="1177"/>
      <c r="D340" s="1177"/>
      <c r="E340" s="1177"/>
      <c r="F340" s="1177"/>
      <c r="G340" s="1178"/>
    </row>
    <row r="341" spans="1:7" ht="24" x14ac:dyDescent="0.2">
      <c r="A341" s="254" t="s">
        <v>1681</v>
      </c>
      <c r="B341" s="190" t="s">
        <v>42</v>
      </c>
      <c r="C341" s="190" t="s">
        <v>43</v>
      </c>
      <c r="D341" s="190" t="s">
        <v>44</v>
      </c>
      <c r="E341" s="190" t="s">
        <v>306</v>
      </c>
      <c r="F341" s="190" t="s">
        <v>29</v>
      </c>
      <c r="G341" s="243"/>
    </row>
    <row r="342" spans="1:7" ht="36" x14ac:dyDescent="0.2">
      <c r="A342" s="255" t="s">
        <v>1672</v>
      </c>
      <c r="B342" s="202">
        <f>VLOOKUP(A342,JORNALES!$A$5:$B$28,2,FALSE)</f>
        <v>175000</v>
      </c>
      <c r="C342" s="233">
        <f>+PRESTACIONES!$C$20/100</f>
        <v>0.89990000000000014</v>
      </c>
      <c r="D342" s="234">
        <f>+(B342*C342)+B342</f>
        <v>332482.5</v>
      </c>
      <c r="E342" s="270">
        <v>200</v>
      </c>
      <c r="F342" s="199">
        <f>+D342/E342</f>
        <v>1662.4124999999999</v>
      </c>
      <c r="G342" s="246"/>
    </row>
    <row r="343" spans="1:7" x14ac:dyDescent="0.2">
      <c r="A343" s="247"/>
      <c r="B343" s="267"/>
      <c r="C343" s="267"/>
      <c r="D343" s="267"/>
      <c r="E343" s="267"/>
      <c r="F343" s="267"/>
      <c r="G343" s="246" t="s">
        <v>31</v>
      </c>
    </row>
    <row r="344" spans="1:7" x14ac:dyDescent="0.2">
      <c r="A344" s="247"/>
      <c r="B344" s="267"/>
      <c r="C344" s="267"/>
      <c r="D344" s="267"/>
      <c r="E344" s="267"/>
      <c r="F344" s="267"/>
      <c r="G344" s="256">
        <f>SUM(F342:F342)</f>
        <v>1662.4124999999999</v>
      </c>
    </row>
    <row r="345" spans="1:7" ht="15" thickBot="1" x14ac:dyDescent="0.25">
      <c r="A345" s="1181" t="s">
        <v>25</v>
      </c>
      <c r="B345" s="1182"/>
      <c r="C345" s="1182"/>
      <c r="D345" s="1182"/>
      <c r="E345" s="1182"/>
      <c r="F345" s="1182"/>
      <c r="G345" s="1183"/>
    </row>
    <row r="346" spans="1:7" ht="15" thickBot="1" x14ac:dyDescent="0.25">
      <c r="A346" s="1184" t="s">
        <v>45</v>
      </c>
      <c r="B346" s="1185"/>
      <c r="C346" s="1185"/>
      <c r="D346" s="1185"/>
      <c r="E346" s="1185"/>
      <c r="F346" s="192"/>
      <c r="G346" s="277">
        <f xml:space="preserve"> ROUND(G344+G339+G333+G326,0)</f>
        <v>22089</v>
      </c>
    </row>
    <row r="347" spans="1:7" x14ac:dyDescent="0.2">
      <c r="A347" s="1186" t="s">
        <v>476</v>
      </c>
      <c r="B347" s="1187"/>
      <c r="C347" s="1187"/>
      <c r="D347" s="1187"/>
      <c r="E347" s="1187"/>
      <c r="F347" s="193" t="s">
        <v>51</v>
      </c>
      <c r="G347" s="257" t="s">
        <v>307</v>
      </c>
    </row>
    <row r="348" spans="1:7" x14ac:dyDescent="0.2">
      <c r="A348" s="1166" t="s">
        <v>17</v>
      </c>
      <c r="B348" s="1167"/>
      <c r="C348" s="1167"/>
      <c r="D348" s="1167"/>
      <c r="E348" s="1167"/>
      <c r="F348" s="240"/>
      <c r="G348" s="196"/>
    </row>
    <row r="349" spans="1:7" x14ac:dyDescent="0.2">
      <c r="A349" s="1166" t="s">
        <v>308</v>
      </c>
      <c r="B349" s="1167"/>
      <c r="C349" s="1167"/>
      <c r="D349" s="1167"/>
      <c r="E349" s="1167"/>
      <c r="F349" s="240"/>
      <c r="G349" s="196"/>
    </row>
    <row r="350" spans="1:7" x14ac:dyDescent="0.2">
      <c r="A350" s="1166" t="s">
        <v>19</v>
      </c>
      <c r="B350" s="1167"/>
      <c r="C350" s="1167"/>
      <c r="D350" s="1167"/>
      <c r="E350" s="1167"/>
      <c r="F350" s="240"/>
      <c r="G350" s="196"/>
    </row>
    <row r="351" spans="1:7" ht="15" thickBot="1" x14ac:dyDescent="0.25">
      <c r="A351" s="1168" t="s">
        <v>309</v>
      </c>
      <c r="B351" s="1169"/>
      <c r="C351" s="1169"/>
      <c r="D351" s="1169"/>
      <c r="E351" s="1169"/>
      <c r="F351" s="198"/>
      <c r="G351" s="258"/>
    </row>
    <row r="352" spans="1:7" ht="15" thickBot="1" x14ac:dyDescent="0.25">
      <c r="A352" s="1170" t="s">
        <v>310</v>
      </c>
      <c r="B352" s="1171"/>
      <c r="C352" s="1171"/>
      <c r="D352" s="1171"/>
      <c r="E352" s="1171"/>
      <c r="F352" s="1172"/>
      <c r="G352" s="1173"/>
    </row>
    <row r="353" spans="1:7" x14ac:dyDescent="0.2">
      <c r="A353" s="265"/>
      <c r="B353" s="266"/>
      <c r="C353" s="266"/>
      <c r="D353" s="266"/>
      <c r="E353" s="266"/>
      <c r="F353" s="193"/>
      <c r="G353" s="260"/>
    </row>
    <row r="354" spans="1:7" ht="15" thickBot="1" x14ac:dyDescent="0.25">
      <c r="A354" s="261" t="s">
        <v>681</v>
      </c>
      <c r="B354" s="262"/>
      <c r="C354" s="262" t="s">
        <v>682</v>
      </c>
      <c r="D354" s="262"/>
      <c r="E354" s="262"/>
      <c r="F354" s="262" t="s">
        <v>683</v>
      </c>
      <c r="G354" s="263"/>
    </row>
    <row r="355" spans="1:7" ht="15" thickBot="1" x14ac:dyDescent="0.25">
      <c r="A355" s="1174" t="str">
        <f>+LIST_ACTIVIDADES!D16</f>
        <v>Lleno compactado con material del sitio, Incluye transporte interno</v>
      </c>
      <c r="B355" s="1175"/>
      <c r="C355" s="1175"/>
      <c r="D355" s="1175"/>
      <c r="E355" s="1175"/>
      <c r="F355" s="241" t="s">
        <v>24</v>
      </c>
      <c r="G355" s="264" t="str">
        <f>+LIST_ACTIVIDADES!E16</f>
        <v>m³</v>
      </c>
    </row>
    <row r="356" spans="1:7" ht="15" thickBot="1" x14ac:dyDescent="0.25">
      <c r="A356" s="1176" t="s">
        <v>1642</v>
      </c>
      <c r="B356" s="1177"/>
      <c r="C356" s="1177"/>
      <c r="D356" s="1177"/>
      <c r="E356" s="1177"/>
      <c r="F356" s="1177"/>
      <c r="G356" s="1178"/>
    </row>
    <row r="357" spans="1:7" x14ac:dyDescent="0.2">
      <c r="A357" s="242" t="s">
        <v>1643</v>
      </c>
      <c r="B357" s="191" t="s">
        <v>1644</v>
      </c>
      <c r="C357" s="190" t="s">
        <v>26</v>
      </c>
      <c r="D357" s="190" t="s">
        <v>27</v>
      </c>
      <c r="E357" s="190" t="s">
        <v>28</v>
      </c>
      <c r="F357" s="190" t="s">
        <v>29</v>
      </c>
      <c r="G357" s="243"/>
    </row>
    <row r="358" spans="1:7" ht="24" x14ac:dyDescent="0.2">
      <c r="A358" s="362" t="str">
        <f>VLOOKUP(B358,PRECIOS!$A$309:$E$485,2,FALSE)</f>
        <v>EQUIPO114</v>
      </c>
      <c r="B358" s="363" t="s">
        <v>611</v>
      </c>
      <c r="C358" s="99" t="str">
        <f>VLOOKUP(B358,PRECIOS!$A$309:$E$485,3,FALSE)</f>
        <v>Hidraulico</v>
      </c>
      <c r="D358" s="364">
        <f>VLOOKUP(B358,PRECIOS!$A$309:$E$485,5,FALSE)</f>
        <v>239956.266</v>
      </c>
      <c r="E358" s="365">
        <v>0.06</v>
      </c>
      <c r="F358" s="366">
        <f>+D358*E358</f>
        <v>14397.375959999999</v>
      </c>
      <c r="G358" s="245"/>
    </row>
    <row r="359" spans="1:7" ht="24" x14ac:dyDescent="0.2">
      <c r="A359" s="362" t="str">
        <f>VLOOKUP(B359,PRECIOS!$A$309:$E$485,2,FALSE)</f>
        <v>EQUIPO147</v>
      </c>
      <c r="B359" s="363" t="s">
        <v>589</v>
      </c>
      <c r="C359" s="99" t="str">
        <f>VLOOKUP(B359,PRECIOS!$A$309:$E$485,3,FALSE)</f>
        <v>Hidraulico</v>
      </c>
      <c r="D359" s="364">
        <f>VLOOKUP(B359,PRECIOS!$A$309:$E$485,5,FALSE)</f>
        <v>164970.09899999999</v>
      </c>
      <c r="E359" s="365">
        <v>0.05</v>
      </c>
      <c r="F359" s="366">
        <f>+D359*E359</f>
        <v>8248.5049500000005</v>
      </c>
      <c r="G359" s="245"/>
    </row>
    <row r="360" spans="1:7" x14ac:dyDescent="0.2">
      <c r="A360" s="1179" t="s">
        <v>1650</v>
      </c>
      <c r="B360" s="1180"/>
      <c r="C360" s="214">
        <v>0.05</v>
      </c>
      <c r="D360" s="213"/>
      <c r="E360" s="269"/>
      <c r="F360" s="212">
        <f>+G380*C360</f>
        <v>207.80156250000002</v>
      </c>
      <c r="G360" s="246"/>
    </row>
    <row r="361" spans="1:7" x14ac:dyDescent="0.2">
      <c r="A361" s="247" t="s">
        <v>25</v>
      </c>
      <c r="B361" s="267"/>
      <c r="C361" s="267"/>
      <c r="D361" s="267"/>
      <c r="E361" s="267"/>
      <c r="F361" s="267"/>
      <c r="G361" s="246" t="s">
        <v>31</v>
      </c>
    </row>
    <row r="362" spans="1:7" ht="15" thickBot="1" x14ac:dyDescent="0.25">
      <c r="A362" s="248"/>
      <c r="B362" s="271"/>
      <c r="C362" s="271"/>
      <c r="D362" s="271"/>
      <c r="E362" s="271"/>
      <c r="F362" s="271"/>
      <c r="G362" s="249">
        <f>SUM(F358:F360)</f>
        <v>22853.682472500001</v>
      </c>
    </row>
    <row r="363" spans="1:7" ht="15" thickBot="1" x14ac:dyDescent="0.25">
      <c r="A363" s="1176" t="s">
        <v>1645</v>
      </c>
      <c r="B363" s="1177"/>
      <c r="C363" s="1177"/>
      <c r="D363" s="1177"/>
      <c r="E363" s="1177"/>
      <c r="F363" s="1177"/>
      <c r="G363" s="1178"/>
    </row>
    <row r="364" spans="1:7" x14ac:dyDescent="0.2">
      <c r="A364" s="242" t="s">
        <v>1643</v>
      </c>
      <c r="B364" s="191" t="s">
        <v>1644</v>
      </c>
      <c r="C364" s="190" t="s">
        <v>32</v>
      </c>
      <c r="D364" s="190" t="s">
        <v>33</v>
      </c>
      <c r="E364" s="190" t="s">
        <v>34</v>
      </c>
      <c r="F364" s="190" t="s">
        <v>35</v>
      </c>
      <c r="G364" s="243"/>
    </row>
    <row r="365" spans="1:7" x14ac:dyDescent="0.2">
      <c r="A365" s="352"/>
      <c r="B365" s="105"/>
      <c r="C365" s="105"/>
      <c r="D365" s="353"/>
      <c r="E365" s="360"/>
      <c r="F365" s="355"/>
      <c r="G365" s="246"/>
    </row>
    <row r="366" spans="1:7" x14ac:dyDescent="0.2">
      <c r="A366" s="352"/>
      <c r="B366" s="105"/>
      <c r="C366" s="105"/>
      <c r="D366" s="353"/>
      <c r="E366" s="360"/>
      <c r="F366" s="355"/>
      <c r="G366" s="246"/>
    </row>
    <row r="367" spans="1:7" x14ac:dyDescent="0.2">
      <c r="A367" s="1179" t="s">
        <v>1649</v>
      </c>
      <c r="B367" s="1180"/>
      <c r="C367" s="214">
        <v>0.02</v>
      </c>
      <c r="D367" s="268"/>
      <c r="E367" s="269"/>
      <c r="F367" s="276">
        <f>SUM(F365:F366)*C367</f>
        <v>0</v>
      </c>
      <c r="G367" s="246"/>
    </row>
    <row r="368" spans="1:7" x14ac:dyDescent="0.2">
      <c r="A368" s="247"/>
      <c r="B368" s="267"/>
      <c r="C368" s="104"/>
      <c r="D368" s="104"/>
      <c r="E368" s="104"/>
      <c r="F368" s="104"/>
      <c r="G368" s="246" t="s">
        <v>31</v>
      </c>
    </row>
    <row r="369" spans="1:7" ht="15" thickBot="1" x14ac:dyDescent="0.25">
      <c r="A369" s="248"/>
      <c r="B369" s="271"/>
      <c r="C369" s="271"/>
      <c r="D369" s="271"/>
      <c r="E369" s="271"/>
      <c r="F369" s="271"/>
      <c r="G369" s="250">
        <f>SUM(F365:F367)</f>
        <v>0</v>
      </c>
    </row>
    <row r="370" spans="1:7" ht="15" thickBot="1" x14ac:dyDescent="0.25">
      <c r="A370" s="1176" t="s">
        <v>1646</v>
      </c>
      <c r="B370" s="1177"/>
      <c r="C370" s="1177"/>
      <c r="D370" s="1177"/>
      <c r="E370" s="1177"/>
      <c r="F370" s="1177"/>
      <c r="G370" s="1178"/>
    </row>
    <row r="371" spans="1:7" x14ac:dyDescent="0.2">
      <c r="A371" s="251" t="s">
        <v>305</v>
      </c>
      <c r="B371" s="190" t="s">
        <v>38</v>
      </c>
      <c r="C371" s="190" t="s">
        <v>39</v>
      </c>
      <c r="D371" s="190" t="s">
        <v>40</v>
      </c>
      <c r="E371" s="190" t="s">
        <v>34</v>
      </c>
      <c r="F371" s="190" t="s">
        <v>35</v>
      </c>
      <c r="G371" s="243"/>
    </row>
    <row r="372" spans="1:7" x14ac:dyDescent="0.2">
      <c r="A372" s="369" t="str">
        <f>+PRECIOS!$A$444</f>
        <v xml:space="preserve">Tarifa de transporte </v>
      </c>
      <c r="B372" s="89" t="str">
        <f>+PRECIOS!$D$444</f>
        <v>m3k</v>
      </c>
      <c r="C372" s="209" t="s">
        <v>1704</v>
      </c>
      <c r="D372" s="199">
        <f>+PRECIOS!$E$444</f>
        <v>1534.9949999999999</v>
      </c>
      <c r="E372" s="367">
        <v>3</v>
      </c>
      <c r="F372" s="234">
        <f>+D372*E372</f>
        <v>4604.9849999999997</v>
      </c>
      <c r="G372" s="253"/>
    </row>
    <row r="373" spans="1:7" x14ac:dyDescent="0.2">
      <c r="A373" s="252"/>
      <c r="B373" s="235"/>
      <c r="C373" s="238"/>
      <c r="D373" s="236"/>
      <c r="E373" s="237"/>
      <c r="F373" s="239"/>
      <c r="G373" s="253"/>
    </row>
    <row r="374" spans="1:7" x14ac:dyDescent="0.2">
      <c r="A374" s="247" t="s">
        <v>25</v>
      </c>
      <c r="B374" s="104" t="s">
        <v>25</v>
      </c>
      <c r="C374" s="104" t="s">
        <v>25</v>
      </c>
      <c r="D374" s="188" t="s">
        <v>25</v>
      </c>
      <c r="E374" s="189" t="s">
        <v>25</v>
      </c>
      <c r="F374" s="187" t="s">
        <v>25</v>
      </c>
      <c r="G374" s="246" t="s">
        <v>31</v>
      </c>
    </row>
    <row r="375" spans="1:7" ht="15" thickBot="1" x14ac:dyDescent="0.25">
      <c r="A375" s="248"/>
      <c r="B375" s="271"/>
      <c r="C375" s="271"/>
      <c r="D375" s="271"/>
      <c r="E375" s="271"/>
      <c r="F375" s="271"/>
      <c r="G375" s="250">
        <f>SUM(F372:F373)</f>
        <v>4604.9849999999997</v>
      </c>
    </row>
    <row r="376" spans="1:7" ht="15" thickBot="1" x14ac:dyDescent="0.25">
      <c r="A376" s="1176" t="s">
        <v>1647</v>
      </c>
      <c r="B376" s="1177"/>
      <c r="C376" s="1177"/>
      <c r="D376" s="1177"/>
      <c r="E376" s="1177"/>
      <c r="F376" s="1177"/>
      <c r="G376" s="1178"/>
    </row>
    <row r="377" spans="1:7" ht="24" x14ac:dyDescent="0.2">
      <c r="A377" s="254" t="s">
        <v>1681</v>
      </c>
      <c r="B377" s="190" t="s">
        <v>42</v>
      </c>
      <c r="C377" s="190" t="s">
        <v>43</v>
      </c>
      <c r="D377" s="190" t="s">
        <v>44</v>
      </c>
      <c r="E377" s="190" t="s">
        <v>306</v>
      </c>
      <c r="F377" s="190" t="s">
        <v>29</v>
      </c>
      <c r="G377" s="243"/>
    </row>
    <row r="378" spans="1:7" ht="36" x14ac:dyDescent="0.2">
      <c r="A378" s="255" t="s">
        <v>1672</v>
      </c>
      <c r="B378" s="202">
        <f>VLOOKUP(A378,JORNALES!$A$5:$B$28,2,FALSE)</f>
        <v>175000</v>
      </c>
      <c r="C378" s="233">
        <f>+PRESTACIONES!$C$20/100</f>
        <v>0.89990000000000014</v>
      </c>
      <c r="D378" s="234">
        <f>+(B378*C378)+B378</f>
        <v>332482.5</v>
      </c>
      <c r="E378" s="270">
        <v>80</v>
      </c>
      <c r="F378" s="199">
        <f>+D378/E378</f>
        <v>4156.03125</v>
      </c>
      <c r="G378" s="246"/>
    </row>
    <row r="379" spans="1:7" x14ac:dyDescent="0.2">
      <c r="A379" s="247"/>
      <c r="B379" s="267"/>
      <c r="C379" s="267"/>
      <c r="D379" s="267"/>
      <c r="E379" s="267"/>
      <c r="F379" s="267"/>
      <c r="G379" s="246" t="s">
        <v>31</v>
      </c>
    </row>
    <row r="380" spans="1:7" x14ac:dyDescent="0.2">
      <c r="A380" s="247"/>
      <c r="B380" s="267"/>
      <c r="C380" s="267"/>
      <c r="D380" s="267"/>
      <c r="E380" s="267"/>
      <c r="F380" s="267"/>
      <c r="G380" s="256">
        <f>SUM(F378:F378)</f>
        <v>4156.03125</v>
      </c>
    </row>
    <row r="381" spans="1:7" ht="15" thickBot="1" x14ac:dyDescent="0.25">
      <c r="A381" s="1181" t="s">
        <v>25</v>
      </c>
      <c r="B381" s="1182"/>
      <c r="C381" s="1182"/>
      <c r="D381" s="1182"/>
      <c r="E381" s="1182"/>
      <c r="F381" s="1182"/>
      <c r="G381" s="1183"/>
    </row>
    <row r="382" spans="1:7" ht="15" thickBot="1" x14ac:dyDescent="0.25">
      <c r="A382" s="1184" t="s">
        <v>45</v>
      </c>
      <c r="B382" s="1185"/>
      <c r="C382" s="1185"/>
      <c r="D382" s="1185"/>
      <c r="E382" s="1185"/>
      <c r="F382" s="192"/>
      <c r="G382" s="277">
        <f xml:space="preserve"> ROUND(G380+G375+G369+G362,0)</f>
        <v>31615</v>
      </c>
    </row>
    <row r="383" spans="1:7" x14ac:dyDescent="0.2">
      <c r="A383" s="1186" t="s">
        <v>476</v>
      </c>
      <c r="B383" s="1187"/>
      <c r="C383" s="1187"/>
      <c r="D383" s="1187"/>
      <c r="E383" s="1187"/>
      <c r="F383" s="193" t="s">
        <v>51</v>
      </c>
      <c r="G383" s="257" t="s">
        <v>307</v>
      </c>
    </row>
    <row r="384" spans="1:7" x14ac:dyDescent="0.2">
      <c r="A384" s="1166" t="s">
        <v>17</v>
      </c>
      <c r="B384" s="1167"/>
      <c r="C384" s="1167"/>
      <c r="D384" s="1167"/>
      <c r="E384" s="1167"/>
      <c r="F384" s="240"/>
      <c r="G384" s="196"/>
    </row>
    <row r="385" spans="1:7" x14ac:dyDescent="0.2">
      <c r="A385" s="1166" t="s">
        <v>308</v>
      </c>
      <c r="B385" s="1167"/>
      <c r="C385" s="1167"/>
      <c r="D385" s="1167"/>
      <c r="E385" s="1167"/>
      <c r="F385" s="240"/>
      <c r="G385" s="196"/>
    </row>
    <row r="386" spans="1:7" x14ac:dyDescent="0.2">
      <c r="A386" s="1166" t="s">
        <v>19</v>
      </c>
      <c r="B386" s="1167"/>
      <c r="C386" s="1167"/>
      <c r="D386" s="1167"/>
      <c r="E386" s="1167"/>
      <c r="F386" s="240"/>
      <c r="G386" s="196"/>
    </row>
    <row r="387" spans="1:7" ht="15" thickBot="1" x14ac:dyDescent="0.25">
      <c r="A387" s="1168" t="s">
        <v>309</v>
      </c>
      <c r="B387" s="1169"/>
      <c r="C387" s="1169"/>
      <c r="D387" s="1169"/>
      <c r="E387" s="1169"/>
      <c r="F387" s="198"/>
      <c r="G387" s="258"/>
    </row>
    <row r="388" spans="1:7" ht="15" thickBot="1" x14ac:dyDescent="0.25">
      <c r="A388" s="1170" t="s">
        <v>310</v>
      </c>
      <c r="B388" s="1171"/>
      <c r="C388" s="1171"/>
      <c r="D388" s="1171"/>
      <c r="E388" s="1171"/>
      <c r="F388" s="1172"/>
      <c r="G388" s="1173"/>
    </row>
    <row r="389" spans="1:7" x14ac:dyDescent="0.2">
      <c r="A389" s="265"/>
      <c r="B389" s="266"/>
      <c r="C389" s="266"/>
      <c r="D389" s="266"/>
      <c r="E389" s="266"/>
      <c r="F389" s="193"/>
      <c r="G389" s="260"/>
    </row>
    <row r="390" spans="1:7" ht="15" thickBot="1" x14ac:dyDescent="0.25">
      <c r="A390" s="261" t="s">
        <v>681</v>
      </c>
      <c r="B390" s="262"/>
      <c r="C390" s="262" t="s">
        <v>682</v>
      </c>
      <c r="D390" s="262"/>
      <c r="E390" s="262"/>
      <c r="F390" s="262" t="s">
        <v>683</v>
      </c>
      <c r="G390" s="263"/>
    </row>
    <row r="391" spans="1:7" ht="15" thickBot="1" x14ac:dyDescent="0.25">
      <c r="A391" s="1174" t="str">
        <f>+LIST_ACTIVIDADES!D17</f>
        <v>Lleno compactado con material granular, Incluye transporte interno</v>
      </c>
      <c r="B391" s="1175"/>
      <c r="C391" s="1175"/>
      <c r="D391" s="1175"/>
      <c r="E391" s="1175"/>
      <c r="F391" s="241" t="s">
        <v>24</v>
      </c>
      <c r="G391" s="264" t="str">
        <f>+LIST_ACTIVIDADES!E17</f>
        <v>m³</v>
      </c>
    </row>
    <row r="392" spans="1:7" ht="15" thickBot="1" x14ac:dyDescent="0.25">
      <c r="A392" s="1176" t="s">
        <v>1642</v>
      </c>
      <c r="B392" s="1177"/>
      <c r="C392" s="1177"/>
      <c r="D392" s="1177"/>
      <c r="E392" s="1177"/>
      <c r="F392" s="1177"/>
      <c r="G392" s="1178"/>
    </row>
    <row r="393" spans="1:7" x14ac:dyDescent="0.2">
      <c r="A393" s="242" t="s">
        <v>1643</v>
      </c>
      <c r="B393" s="191" t="s">
        <v>1644</v>
      </c>
      <c r="C393" s="190" t="s">
        <v>26</v>
      </c>
      <c r="D393" s="190" t="s">
        <v>27</v>
      </c>
      <c r="E393" s="190" t="s">
        <v>28</v>
      </c>
      <c r="F393" s="190" t="s">
        <v>29</v>
      </c>
      <c r="G393" s="243"/>
    </row>
    <row r="394" spans="1:7" ht="24" x14ac:dyDescent="0.2">
      <c r="A394" s="362" t="str">
        <f>VLOOKUP(B394,PRECIOS!$A$309:$E$485,2,FALSE)</f>
        <v>EQUIPO114</v>
      </c>
      <c r="B394" s="363" t="s">
        <v>611</v>
      </c>
      <c r="C394" s="99" t="str">
        <f>VLOOKUP(B394,PRECIOS!$A$309:$E$485,3,FALSE)</f>
        <v>Hidraulico</v>
      </c>
      <c r="D394" s="364">
        <f>VLOOKUP(B394,PRECIOS!$A$309:$E$485,5,FALSE)</f>
        <v>239956.266</v>
      </c>
      <c r="E394" s="365">
        <v>0.06</v>
      </c>
      <c r="F394" s="366">
        <f>+D394*E394</f>
        <v>14397.375959999999</v>
      </c>
      <c r="G394" s="245"/>
    </row>
    <row r="395" spans="1:7" ht="24" x14ac:dyDescent="0.2">
      <c r="A395" s="362" t="str">
        <f>VLOOKUP(B395,PRECIOS!$A$309:$E$485,2,FALSE)</f>
        <v>EQUIPO147</v>
      </c>
      <c r="B395" s="363" t="s">
        <v>589</v>
      </c>
      <c r="C395" s="99" t="str">
        <f>VLOOKUP(B395,PRECIOS!$A$309:$E$485,3,FALSE)</f>
        <v>Hidraulico</v>
      </c>
      <c r="D395" s="364">
        <f>VLOOKUP(B395,PRECIOS!$A$309:$E$485,5,FALSE)</f>
        <v>164970.09899999999</v>
      </c>
      <c r="E395" s="365">
        <v>0.05</v>
      </c>
      <c r="F395" s="366">
        <f>+D395*E395</f>
        <v>8248.5049500000005</v>
      </c>
      <c r="G395" s="245"/>
    </row>
    <row r="396" spans="1:7" x14ac:dyDescent="0.2">
      <c r="A396" s="1179" t="s">
        <v>1650</v>
      </c>
      <c r="B396" s="1180"/>
      <c r="C396" s="214">
        <v>0.05</v>
      </c>
      <c r="D396" s="213"/>
      <c r="E396" s="269"/>
      <c r="F396" s="212">
        <f>+G416*C396</f>
        <v>207.80156250000002</v>
      </c>
      <c r="G396" s="246"/>
    </row>
    <row r="397" spans="1:7" x14ac:dyDescent="0.2">
      <c r="A397" s="247" t="s">
        <v>25</v>
      </c>
      <c r="B397" s="267"/>
      <c r="C397" s="267"/>
      <c r="D397" s="267"/>
      <c r="E397" s="267"/>
      <c r="F397" s="267"/>
      <c r="G397" s="246" t="s">
        <v>31</v>
      </c>
    </row>
    <row r="398" spans="1:7" ht="15" thickBot="1" x14ac:dyDescent="0.25">
      <c r="A398" s="248"/>
      <c r="B398" s="271"/>
      <c r="C398" s="271"/>
      <c r="D398" s="271"/>
      <c r="E398" s="271"/>
      <c r="F398" s="271"/>
      <c r="G398" s="249">
        <f>SUM(F394:F396)</f>
        <v>22853.682472500001</v>
      </c>
    </row>
    <row r="399" spans="1:7" ht="15" thickBot="1" x14ac:dyDescent="0.25">
      <c r="A399" s="1176" t="s">
        <v>1645</v>
      </c>
      <c r="B399" s="1177"/>
      <c r="C399" s="1177"/>
      <c r="D399" s="1177"/>
      <c r="E399" s="1177"/>
      <c r="F399" s="1177"/>
      <c r="G399" s="1178"/>
    </row>
    <row r="400" spans="1:7" x14ac:dyDescent="0.2">
      <c r="A400" s="242" t="s">
        <v>1643</v>
      </c>
      <c r="B400" s="191" t="s">
        <v>1644</v>
      </c>
      <c r="C400" s="190" t="s">
        <v>32</v>
      </c>
      <c r="D400" s="190" t="s">
        <v>33</v>
      </c>
      <c r="E400" s="190" t="s">
        <v>34</v>
      </c>
      <c r="F400" s="190" t="s">
        <v>35</v>
      </c>
      <c r="G400" s="243"/>
    </row>
    <row r="401" spans="1:7" x14ac:dyDescent="0.2">
      <c r="A401" s="352" t="str">
        <f>VLOOKUP(B401,PRECIOS!$A$5:$D$303,2,FALSE)</f>
        <v>MATPLAYA03</v>
      </c>
      <c r="B401" s="105" t="s">
        <v>465</v>
      </c>
      <c r="C401" s="105" t="str">
        <f>VLOOKUP(B401,PRECIOS!$A$5:$D$303,3,FALSE)</f>
        <v>m3</v>
      </c>
      <c r="D401" s="353">
        <f>VLOOKUP(B401,PRECIOS!$A$5:$D$303,4,FALSE)</f>
        <v>46299</v>
      </c>
      <c r="E401" s="354">
        <v>1</v>
      </c>
      <c r="F401" s="355">
        <f>+D401*E401</f>
        <v>46299</v>
      </c>
      <c r="G401" s="370"/>
    </row>
    <row r="402" spans="1:7" x14ac:dyDescent="0.2">
      <c r="A402" s="352"/>
      <c r="B402" s="105"/>
      <c r="C402" s="105"/>
      <c r="D402" s="353"/>
      <c r="E402" s="360"/>
      <c r="F402" s="355"/>
      <c r="G402" s="246"/>
    </row>
    <row r="403" spans="1:7" x14ac:dyDescent="0.2">
      <c r="A403" s="1179" t="s">
        <v>1649</v>
      </c>
      <c r="B403" s="1180"/>
      <c r="C403" s="214">
        <v>0.03</v>
      </c>
      <c r="D403" s="268"/>
      <c r="E403" s="269"/>
      <c r="F403" s="276">
        <f>SUM(F401:F402)*C403</f>
        <v>1388.97</v>
      </c>
      <c r="G403" s="246"/>
    </row>
    <row r="404" spans="1:7" x14ac:dyDescent="0.2">
      <c r="A404" s="247"/>
      <c r="B404" s="267"/>
      <c r="C404" s="104"/>
      <c r="D404" s="104"/>
      <c r="E404" s="104"/>
      <c r="F404" s="104"/>
      <c r="G404" s="246" t="s">
        <v>31</v>
      </c>
    </row>
    <row r="405" spans="1:7" ht="15" thickBot="1" x14ac:dyDescent="0.25">
      <c r="A405" s="248"/>
      <c r="B405" s="271"/>
      <c r="C405" s="271"/>
      <c r="D405" s="271"/>
      <c r="E405" s="271"/>
      <c r="F405" s="271"/>
      <c r="G405" s="250">
        <f>SUM(F401:F403)</f>
        <v>47687.97</v>
      </c>
    </row>
    <row r="406" spans="1:7" ht="15" thickBot="1" x14ac:dyDescent="0.25">
      <c r="A406" s="1176" t="s">
        <v>1646</v>
      </c>
      <c r="B406" s="1177"/>
      <c r="C406" s="1177"/>
      <c r="D406" s="1177"/>
      <c r="E406" s="1177"/>
      <c r="F406" s="1177"/>
      <c r="G406" s="1178"/>
    </row>
    <row r="407" spans="1:7" x14ac:dyDescent="0.2">
      <c r="A407" s="251" t="s">
        <v>305</v>
      </c>
      <c r="B407" s="190" t="s">
        <v>38</v>
      </c>
      <c r="C407" s="190" t="s">
        <v>39</v>
      </c>
      <c r="D407" s="190" t="s">
        <v>40</v>
      </c>
      <c r="E407" s="190" t="s">
        <v>34</v>
      </c>
      <c r="F407" s="190" t="s">
        <v>35</v>
      </c>
      <c r="G407" s="243"/>
    </row>
    <row r="408" spans="1:7" x14ac:dyDescent="0.2">
      <c r="A408" s="369" t="str">
        <f>+PRECIOS!$A$444</f>
        <v xml:space="preserve">Tarifa de transporte </v>
      </c>
      <c r="B408" s="89" t="str">
        <f>+PRECIOS!$D$444</f>
        <v>m3k</v>
      </c>
      <c r="C408" s="209" t="s">
        <v>1704</v>
      </c>
      <c r="D408" s="199">
        <f>+PRECIOS!$E$444</f>
        <v>1534.9949999999999</v>
      </c>
      <c r="E408" s="367">
        <v>9</v>
      </c>
      <c r="F408" s="234">
        <f>+D408*E408</f>
        <v>13814.954999999998</v>
      </c>
      <c r="G408" s="253"/>
    </row>
    <row r="409" spans="1:7" x14ac:dyDescent="0.2">
      <c r="A409" s="252"/>
      <c r="B409" s="235"/>
      <c r="C409" s="238"/>
      <c r="D409" s="236"/>
      <c r="E409" s="237"/>
      <c r="F409" s="239"/>
      <c r="G409" s="253"/>
    </row>
    <row r="410" spans="1:7" x14ac:dyDescent="0.2">
      <c r="A410" s="247" t="s">
        <v>25</v>
      </c>
      <c r="B410" s="104" t="s">
        <v>25</v>
      </c>
      <c r="C410" s="104" t="s">
        <v>25</v>
      </c>
      <c r="D410" s="188" t="s">
        <v>25</v>
      </c>
      <c r="E410" s="189" t="s">
        <v>25</v>
      </c>
      <c r="F410" s="187" t="s">
        <v>25</v>
      </c>
      <c r="G410" s="246" t="s">
        <v>31</v>
      </c>
    </row>
    <row r="411" spans="1:7" ht="15" thickBot="1" x14ac:dyDescent="0.25">
      <c r="A411" s="248"/>
      <c r="B411" s="271"/>
      <c r="C411" s="271"/>
      <c r="D411" s="271"/>
      <c r="E411" s="271"/>
      <c r="F411" s="271"/>
      <c r="G411" s="250">
        <f>SUM(F408:F409)</f>
        <v>13814.954999999998</v>
      </c>
    </row>
    <row r="412" spans="1:7" ht="15" thickBot="1" x14ac:dyDescent="0.25">
      <c r="A412" s="1176" t="s">
        <v>1647</v>
      </c>
      <c r="B412" s="1177"/>
      <c r="C412" s="1177"/>
      <c r="D412" s="1177"/>
      <c r="E412" s="1177"/>
      <c r="F412" s="1177"/>
      <c r="G412" s="1178"/>
    </row>
    <row r="413" spans="1:7" ht="24" x14ac:dyDescent="0.2">
      <c r="A413" s="254" t="s">
        <v>1681</v>
      </c>
      <c r="B413" s="190" t="s">
        <v>42</v>
      </c>
      <c r="C413" s="190" t="s">
        <v>43</v>
      </c>
      <c r="D413" s="190" t="s">
        <v>44</v>
      </c>
      <c r="E413" s="190" t="s">
        <v>306</v>
      </c>
      <c r="F413" s="190" t="s">
        <v>29</v>
      </c>
      <c r="G413" s="243"/>
    </row>
    <row r="414" spans="1:7" ht="36" x14ac:dyDescent="0.2">
      <c r="A414" s="255" t="s">
        <v>1672</v>
      </c>
      <c r="B414" s="202">
        <f>VLOOKUP(A414,JORNALES!$A$5:$B$28,2,FALSE)</f>
        <v>175000</v>
      </c>
      <c r="C414" s="233">
        <f>+PRESTACIONES!$C$20/100</f>
        <v>0.89990000000000014</v>
      </c>
      <c r="D414" s="234">
        <f>+(B414*C414)+B414</f>
        <v>332482.5</v>
      </c>
      <c r="E414" s="270">
        <v>80</v>
      </c>
      <c r="F414" s="199">
        <f>+D414/E414</f>
        <v>4156.03125</v>
      </c>
      <c r="G414" s="246"/>
    </row>
    <row r="415" spans="1:7" x14ac:dyDescent="0.2">
      <c r="A415" s="247"/>
      <c r="B415" s="267"/>
      <c r="C415" s="267"/>
      <c r="D415" s="267"/>
      <c r="E415" s="267"/>
      <c r="F415" s="267"/>
      <c r="G415" s="246" t="s">
        <v>31</v>
      </c>
    </row>
    <row r="416" spans="1:7" x14ac:dyDescent="0.2">
      <c r="A416" s="247"/>
      <c r="B416" s="267"/>
      <c r="C416" s="267"/>
      <c r="D416" s="267"/>
      <c r="E416" s="267"/>
      <c r="F416" s="267"/>
      <c r="G416" s="256">
        <f>SUM(F414:F414)</f>
        <v>4156.03125</v>
      </c>
    </row>
    <row r="417" spans="1:7" ht="15" thickBot="1" x14ac:dyDescent="0.25">
      <c r="A417" s="1181" t="s">
        <v>25</v>
      </c>
      <c r="B417" s="1182"/>
      <c r="C417" s="1182"/>
      <c r="D417" s="1182"/>
      <c r="E417" s="1182"/>
      <c r="F417" s="1182"/>
      <c r="G417" s="1183"/>
    </row>
    <row r="418" spans="1:7" ht="15" thickBot="1" x14ac:dyDescent="0.25">
      <c r="A418" s="1184" t="s">
        <v>45</v>
      </c>
      <c r="B418" s="1185"/>
      <c r="C418" s="1185"/>
      <c r="D418" s="1185"/>
      <c r="E418" s="1185"/>
      <c r="F418" s="192"/>
      <c r="G418" s="277">
        <f xml:space="preserve"> ROUND(G416+G411+G405+G398,0)</f>
        <v>88513</v>
      </c>
    </row>
    <row r="419" spans="1:7" x14ac:dyDescent="0.2">
      <c r="A419" s="1186" t="s">
        <v>476</v>
      </c>
      <c r="B419" s="1187"/>
      <c r="C419" s="1187"/>
      <c r="D419" s="1187"/>
      <c r="E419" s="1187"/>
      <c r="F419" s="193" t="s">
        <v>51</v>
      </c>
      <c r="G419" s="257" t="s">
        <v>307</v>
      </c>
    </row>
    <row r="420" spans="1:7" x14ac:dyDescent="0.2">
      <c r="A420" s="1166" t="s">
        <v>17</v>
      </c>
      <c r="B420" s="1167"/>
      <c r="C420" s="1167"/>
      <c r="D420" s="1167"/>
      <c r="E420" s="1167"/>
      <c r="F420" s="240"/>
      <c r="G420" s="196"/>
    </row>
    <row r="421" spans="1:7" x14ac:dyDescent="0.2">
      <c r="A421" s="1166" t="s">
        <v>308</v>
      </c>
      <c r="B421" s="1167"/>
      <c r="C421" s="1167"/>
      <c r="D421" s="1167"/>
      <c r="E421" s="1167"/>
      <c r="F421" s="240"/>
      <c r="G421" s="196"/>
    </row>
    <row r="422" spans="1:7" x14ac:dyDescent="0.2">
      <c r="A422" s="1166" t="s">
        <v>19</v>
      </c>
      <c r="B422" s="1167"/>
      <c r="C422" s="1167"/>
      <c r="D422" s="1167"/>
      <c r="E422" s="1167"/>
      <c r="F422" s="240"/>
      <c r="G422" s="196"/>
    </row>
    <row r="423" spans="1:7" ht="15" thickBot="1" x14ac:dyDescent="0.25">
      <c r="A423" s="1168" t="s">
        <v>309</v>
      </c>
      <c r="B423" s="1169"/>
      <c r="C423" s="1169"/>
      <c r="D423" s="1169"/>
      <c r="E423" s="1169"/>
      <c r="F423" s="198"/>
      <c r="G423" s="258"/>
    </row>
    <row r="424" spans="1:7" ht="15" thickBot="1" x14ac:dyDescent="0.25">
      <c r="A424" s="1170" t="s">
        <v>310</v>
      </c>
      <c r="B424" s="1171"/>
      <c r="C424" s="1171"/>
      <c r="D424" s="1171"/>
      <c r="E424" s="1171"/>
      <c r="F424" s="1172"/>
      <c r="G424" s="1173"/>
    </row>
    <row r="425" spans="1:7" x14ac:dyDescent="0.2">
      <c r="A425" s="265"/>
      <c r="B425" s="266"/>
      <c r="C425" s="266"/>
      <c r="D425" s="266"/>
      <c r="E425" s="266"/>
      <c r="F425" s="193"/>
      <c r="G425" s="260"/>
    </row>
    <row r="426" spans="1:7" ht="15" thickBot="1" x14ac:dyDescent="0.25">
      <c r="A426" s="261" t="s">
        <v>681</v>
      </c>
      <c r="B426" s="262"/>
      <c r="C426" s="262" t="s">
        <v>682</v>
      </c>
      <c r="D426" s="262"/>
      <c r="E426" s="262"/>
      <c r="F426" s="262" t="s">
        <v>683</v>
      </c>
      <c r="G426" s="263"/>
    </row>
    <row r="427" spans="1:7" ht="15" thickBot="1" x14ac:dyDescent="0.25">
      <c r="A427" s="1174" t="str">
        <f>+LIST_ACTIVIDADES!D18</f>
        <v>Lleno con material filtrante</v>
      </c>
      <c r="B427" s="1175"/>
      <c r="C427" s="1175"/>
      <c r="D427" s="1175"/>
      <c r="E427" s="1175"/>
      <c r="F427" s="241" t="s">
        <v>24</v>
      </c>
      <c r="G427" s="264" t="str">
        <f>+LIST_ACTIVIDADES!E18</f>
        <v>m³</v>
      </c>
    </row>
    <row r="428" spans="1:7" ht="15" thickBot="1" x14ac:dyDescent="0.25">
      <c r="A428" s="1176" t="s">
        <v>1642</v>
      </c>
      <c r="B428" s="1177"/>
      <c r="C428" s="1177"/>
      <c r="D428" s="1177"/>
      <c r="E428" s="1177"/>
      <c r="F428" s="1177"/>
      <c r="G428" s="1178"/>
    </row>
    <row r="429" spans="1:7" x14ac:dyDescent="0.2">
      <c r="A429" s="242" t="s">
        <v>1643</v>
      </c>
      <c r="B429" s="191" t="s">
        <v>1644</v>
      </c>
      <c r="C429" s="190" t="s">
        <v>26</v>
      </c>
      <c r="D429" s="190" t="s">
        <v>27</v>
      </c>
      <c r="E429" s="190" t="s">
        <v>28</v>
      </c>
      <c r="F429" s="190" t="s">
        <v>29</v>
      </c>
      <c r="G429" s="243"/>
    </row>
    <row r="430" spans="1:7" ht="24" x14ac:dyDescent="0.2">
      <c r="A430" s="362" t="str">
        <f>VLOOKUP(B430,PRECIOS!$A$309:$E$485,2,FALSE)</f>
        <v>EQUIPO114</v>
      </c>
      <c r="B430" s="363" t="s">
        <v>611</v>
      </c>
      <c r="C430" s="99" t="str">
        <f>VLOOKUP(B430,PRECIOS!$A$309:$E$485,3,FALSE)</f>
        <v>Hidraulico</v>
      </c>
      <c r="D430" s="364">
        <f>VLOOKUP(B430,PRECIOS!$A$309:$E$485,5,FALSE)</f>
        <v>239956.266</v>
      </c>
      <c r="E430" s="365">
        <v>0.08</v>
      </c>
      <c r="F430" s="366">
        <f>+D430*E430</f>
        <v>19196.50128</v>
      </c>
      <c r="G430" s="245"/>
    </row>
    <row r="431" spans="1:7" x14ac:dyDescent="0.2">
      <c r="A431" s="1179" t="s">
        <v>1650</v>
      </c>
      <c r="B431" s="1180"/>
      <c r="C431" s="214">
        <v>0.05</v>
      </c>
      <c r="D431" s="213"/>
      <c r="E431" s="269"/>
      <c r="F431" s="212">
        <f>+G451*C431</f>
        <v>332.48250000000002</v>
      </c>
      <c r="G431" s="246"/>
    </row>
    <row r="432" spans="1:7" x14ac:dyDescent="0.2">
      <c r="A432" s="247" t="s">
        <v>25</v>
      </c>
      <c r="B432" s="267"/>
      <c r="C432" s="267"/>
      <c r="D432" s="267"/>
      <c r="E432" s="267"/>
      <c r="F432" s="267"/>
      <c r="G432" s="246" t="s">
        <v>31</v>
      </c>
    </row>
    <row r="433" spans="1:7" ht="15" thickBot="1" x14ac:dyDescent="0.25">
      <c r="A433" s="248"/>
      <c r="B433" s="271"/>
      <c r="C433" s="271"/>
      <c r="D433" s="271"/>
      <c r="E433" s="271"/>
      <c r="F433" s="271"/>
      <c r="G433" s="249">
        <f>SUM(F430:F431)</f>
        <v>19528.983779999999</v>
      </c>
    </row>
    <row r="434" spans="1:7" ht="15" thickBot="1" x14ac:dyDescent="0.25">
      <c r="A434" s="1176" t="s">
        <v>1645</v>
      </c>
      <c r="B434" s="1177"/>
      <c r="C434" s="1177"/>
      <c r="D434" s="1177"/>
      <c r="E434" s="1177"/>
      <c r="F434" s="1177"/>
      <c r="G434" s="1178"/>
    </row>
    <row r="435" spans="1:7" x14ac:dyDescent="0.2">
      <c r="A435" s="242" t="s">
        <v>1643</v>
      </c>
      <c r="B435" s="191" t="s">
        <v>1644</v>
      </c>
      <c r="C435" s="190" t="s">
        <v>32</v>
      </c>
      <c r="D435" s="190" t="s">
        <v>33</v>
      </c>
      <c r="E435" s="190" t="s">
        <v>34</v>
      </c>
      <c r="F435" s="190" t="s">
        <v>35</v>
      </c>
      <c r="G435" s="243"/>
    </row>
    <row r="436" spans="1:7" x14ac:dyDescent="0.2">
      <c r="A436" s="352" t="str">
        <f>VLOOKUP(B436,PRECIOS!$A$5:$D$303,2,FALSE)</f>
        <v>MATPLAYA02</v>
      </c>
      <c r="B436" s="105" t="s">
        <v>458</v>
      </c>
      <c r="C436" s="105" t="str">
        <f>VLOOKUP(B436,PRECIOS!$A$5:$D$303,3,FALSE)</f>
        <v>m3</v>
      </c>
      <c r="D436" s="353">
        <f>VLOOKUP(B436,PRECIOS!$A$5:$D$303,4,FALSE)</f>
        <v>65751.400000000009</v>
      </c>
      <c r="E436" s="354">
        <v>1</v>
      </c>
      <c r="F436" s="355">
        <f>+D436*E436</f>
        <v>65751.400000000009</v>
      </c>
      <c r="G436" s="370"/>
    </row>
    <row r="437" spans="1:7" x14ac:dyDescent="0.2">
      <c r="A437" s="352"/>
      <c r="B437" s="105"/>
      <c r="C437" s="105"/>
      <c r="D437" s="353"/>
      <c r="E437" s="360"/>
      <c r="F437" s="355"/>
      <c r="G437" s="246"/>
    </row>
    <row r="438" spans="1:7" x14ac:dyDescent="0.2">
      <c r="A438" s="1179" t="s">
        <v>1649</v>
      </c>
      <c r="B438" s="1180"/>
      <c r="C438" s="214">
        <v>0.03</v>
      </c>
      <c r="D438" s="268"/>
      <c r="E438" s="269"/>
      <c r="F438" s="276">
        <f>SUM(F436:F437)*C438</f>
        <v>1972.5420000000001</v>
      </c>
      <c r="G438" s="246"/>
    </row>
    <row r="439" spans="1:7" x14ac:dyDescent="0.2">
      <c r="A439" s="247"/>
      <c r="B439" s="267"/>
      <c r="C439" s="104"/>
      <c r="D439" s="104"/>
      <c r="E439" s="104"/>
      <c r="F439" s="104"/>
      <c r="G439" s="246" t="s">
        <v>31</v>
      </c>
    </row>
    <row r="440" spans="1:7" ht="15" thickBot="1" x14ac:dyDescent="0.25">
      <c r="A440" s="248"/>
      <c r="B440" s="271"/>
      <c r="C440" s="271"/>
      <c r="D440" s="271"/>
      <c r="E440" s="271"/>
      <c r="F440" s="271"/>
      <c r="G440" s="250">
        <f>SUM(F436:F438)</f>
        <v>67723.94200000001</v>
      </c>
    </row>
    <row r="441" spans="1:7" ht="15" thickBot="1" x14ac:dyDescent="0.25">
      <c r="A441" s="1176" t="s">
        <v>1646</v>
      </c>
      <c r="B441" s="1177"/>
      <c r="C441" s="1177"/>
      <c r="D441" s="1177"/>
      <c r="E441" s="1177"/>
      <c r="F441" s="1177"/>
      <c r="G441" s="1178"/>
    </row>
    <row r="442" spans="1:7" x14ac:dyDescent="0.2">
      <c r="A442" s="251" t="s">
        <v>305</v>
      </c>
      <c r="B442" s="190" t="s">
        <v>38</v>
      </c>
      <c r="C442" s="190" t="s">
        <v>39</v>
      </c>
      <c r="D442" s="190" t="s">
        <v>40</v>
      </c>
      <c r="E442" s="190" t="s">
        <v>34</v>
      </c>
      <c r="F442" s="190" t="s">
        <v>35</v>
      </c>
      <c r="G442" s="243"/>
    </row>
    <row r="443" spans="1:7" x14ac:dyDescent="0.2">
      <c r="A443" s="369" t="str">
        <f>+PRECIOS!$A$444</f>
        <v xml:space="preserve">Tarifa de transporte </v>
      </c>
      <c r="B443" s="89" t="str">
        <f>+PRECIOS!$D$444</f>
        <v>m3k</v>
      </c>
      <c r="C443" s="209" t="s">
        <v>1704</v>
      </c>
      <c r="D443" s="199">
        <f>+PRECIOS!$E$444</f>
        <v>1534.9949999999999</v>
      </c>
      <c r="E443" s="367">
        <v>15</v>
      </c>
      <c r="F443" s="234">
        <f>+D443*E443</f>
        <v>23024.924999999999</v>
      </c>
      <c r="G443" s="253"/>
    </row>
    <row r="444" spans="1:7" x14ac:dyDescent="0.2">
      <c r="A444" s="252"/>
      <c r="B444" s="235"/>
      <c r="C444" s="238"/>
      <c r="D444" s="236"/>
      <c r="E444" s="237"/>
      <c r="F444" s="239"/>
      <c r="G444" s="253"/>
    </row>
    <row r="445" spans="1:7" x14ac:dyDescent="0.2">
      <c r="A445" s="247" t="s">
        <v>25</v>
      </c>
      <c r="B445" s="104" t="s">
        <v>25</v>
      </c>
      <c r="C445" s="104" t="s">
        <v>25</v>
      </c>
      <c r="D445" s="188" t="s">
        <v>25</v>
      </c>
      <c r="E445" s="189" t="s">
        <v>25</v>
      </c>
      <c r="F445" s="187" t="s">
        <v>25</v>
      </c>
      <c r="G445" s="246" t="s">
        <v>31</v>
      </c>
    </row>
    <row r="446" spans="1:7" ht="15" thickBot="1" x14ac:dyDescent="0.25">
      <c r="A446" s="248"/>
      <c r="B446" s="271"/>
      <c r="C446" s="271"/>
      <c r="D446" s="271"/>
      <c r="E446" s="271"/>
      <c r="F446" s="271"/>
      <c r="G446" s="250">
        <f>SUM(F443:F444)</f>
        <v>23024.924999999999</v>
      </c>
    </row>
    <row r="447" spans="1:7" ht="15" thickBot="1" x14ac:dyDescent="0.25">
      <c r="A447" s="1176" t="s">
        <v>1647</v>
      </c>
      <c r="B447" s="1177"/>
      <c r="C447" s="1177"/>
      <c r="D447" s="1177"/>
      <c r="E447" s="1177"/>
      <c r="F447" s="1177"/>
      <c r="G447" s="1178"/>
    </row>
    <row r="448" spans="1:7" ht="24" x14ac:dyDescent="0.2">
      <c r="A448" s="254" t="s">
        <v>1681</v>
      </c>
      <c r="B448" s="190" t="s">
        <v>42</v>
      </c>
      <c r="C448" s="190" t="s">
        <v>43</v>
      </c>
      <c r="D448" s="190" t="s">
        <v>44</v>
      </c>
      <c r="E448" s="190" t="s">
        <v>306</v>
      </c>
      <c r="F448" s="190" t="s">
        <v>29</v>
      </c>
      <c r="G448" s="243"/>
    </row>
    <row r="449" spans="1:7" ht="36" x14ac:dyDescent="0.2">
      <c r="A449" s="255" t="s">
        <v>1672</v>
      </c>
      <c r="B449" s="202">
        <f>VLOOKUP(A449,JORNALES!$A$5:$B$28,2,FALSE)</f>
        <v>175000</v>
      </c>
      <c r="C449" s="233">
        <f>+PRESTACIONES!$C$20/100</f>
        <v>0.89990000000000014</v>
      </c>
      <c r="D449" s="234">
        <f>+(B449*C449)+B449</f>
        <v>332482.5</v>
      </c>
      <c r="E449" s="270">
        <v>50</v>
      </c>
      <c r="F449" s="199">
        <f>+D449/E449</f>
        <v>6649.65</v>
      </c>
      <c r="G449" s="246"/>
    </row>
    <row r="450" spans="1:7" x14ac:dyDescent="0.2">
      <c r="A450" s="247"/>
      <c r="B450" s="267"/>
      <c r="C450" s="267"/>
      <c r="D450" s="267"/>
      <c r="E450" s="267"/>
      <c r="F450" s="267"/>
      <c r="G450" s="246" t="s">
        <v>31</v>
      </c>
    </row>
    <row r="451" spans="1:7" x14ac:dyDescent="0.2">
      <c r="A451" s="247"/>
      <c r="B451" s="267"/>
      <c r="C451" s="267"/>
      <c r="D451" s="267"/>
      <c r="E451" s="267"/>
      <c r="F451" s="267"/>
      <c r="G451" s="256">
        <f>SUM(F449:F449)</f>
        <v>6649.65</v>
      </c>
    </row>
    <row r="452" spans="1:7" ht="15" thickBot="1" x14ac:dyDescent="0.25">
      <c r="A452" s="1181" t="s">
        <v>25</v>
      </c>
      <c r="B452" s="1182"/>
      <c r="C452" s="1182"/>
      <c r="D452" s="1182"/>
      <c r="E452" s="1182"/>
      <c r="F452" s="1182"/>
      <c r="G452" s="1183"/>
    </row>
    <row r="453" spans="1:7" ht="15" thickBot="1" x14ac:dyDescent="0.25">
      <c r="A453" s="1184" t="s">
        <v>45</v>
      </c>
      <c r="B453" s="1185"/>
      <c r="C453" s="1185"/>
      <c r="D453" s="1185"/>
      <c r="E453" s="1185"/>
      <c r="F453" s="192"/>
      <c r="G453" s="277">
        <f xml:space="preserve"> ROUND(G451+G446+G440+G433,0)</f>
        <v>116928</v>
      </c>
    </row>
    <row r="454" spans="1:7" x14ac:dyDescent="0.2">
      <c r="A454" s="1186" t="s">
        <v>476</v>
      </c>
      <c r="B454" s="1187"/>
      <c r="C454" s="1187"/>
      <c r="D454" s="1187"/>
      <c r="E454" s="1187"/>
      <c r="F454" s="193" t="s">
        <v>51</v>
      </c>
      <c r="G454" s="257" t="s">
        <v>307</v>
      </c>
    </row>
    <row r="455" spans="1:7" x14ac:dyDescent="0.2">
      <c r="A455" s="1166" t="s">
        <v>17</v>
      </c>
      <c r="B455" s="1167"/>
      <c r="C455" s="1167"/>
      <c r="D455" s="1167"/>
      <c r="E455" s="1167"/>
      <c r="F455" s="240"/>
      <c r="G455" s="196"/>
    </row>
    <row r="456" spans="1:7" x14ac:dyDescent="0.2">
      <c r="A456" s="1166" t="s">
        <v>308</v>
      </c>
      <c r="B456" s="1167"/>
      <c r="C456" s="1167"/>
      <c r="D456" s="1167"/>
      <c r="E456" s="1167"/>
      <c r="F456" s="240"/>
      <c r="G456" s="196"/>
    </row>
    <row r="457" spans="1:7" x14ac:dyDescent="0.2">
      <c r="A457" s="1166" t="s">
        <v>19</v>
      </c>
      <c r="B457" s="1167"/>
      <c r="C457" s="1167"/>
      <c r="D457" s="1167"/>
      <c r="E457" s="1167"/>
      <c r="F457" s="240"/>
      <c r="G457" s="196"/>
    </row>
    <row r="458" spans="1:7" ht="15" thickBot="1" x14ac:dyDescent="0.25">
      <c r="A458" s="1168" t="s">
        <v>309</v>
      </c>
      <c r="B458" s="1169"/>
      <c r="C458" s="1169"/>
      <c r="D458" s="1169"/>
      <c r="E458" s="1169"/>
      <c r="F458" s="198"/>
      <c r="G458" s="258"/>
    </row>
    <row r="459" spans="1:7" ht="15" thickBot="1" x14ac:dyDescent="0.25">
      <c r="A459" s="1170" t="s">
        <v>310</v>
      </c>
      <c r="B459" s="1171"/>
      <c r="C459" s="1171"/>
      <c r="D459" s="1171"/>
      <c r="E459" s="1171"/>
      <c r="F459" s="1172"/>
      <c r="G459" s="1173"/>
    </row>
    <row r="460" spans="1:7" x14ac:dyDescent="0.2">
      <c r="A460" s="265"/>
      <c r="B460" s="266"/>
      <c r="C460" s="266"/>
      <c r="D460" s="266"/>
      <c r="E460" s="266"/>
      <c r="F460" s="193"/>
      <c r="G460" s="260"/>
    </row>
    <row r="461" spans="1:7" ht="15" thickBot="1" x14ac:dyDescent="0.25">
      <c r="A461" s="261" t="s">
        <v>681</v>
      </c>
      <c r="B461" s="262"/>
      <c r="C461" s="262" t="s">
        <v>682</v>
      </c>
      <c r="D461" s="262"/>
      <c r="E461" s="262"/>
      <c r="F461" s="262" t="s">
        <v>683</v>
      </c>
      <c r="G461" s="263"/>
    </row>
    <row r="462" spans="1:7" ht="15" thickBot="1" x14ac:dyDescent="0.25">
      <c r="A462" s="1174" t="str">
        <f>+LIST_ACTIVIDADES!D19</f>
        <v xml:space="preserve">Geotextil No Tejido PP/1600S </v>
      </c>
      <c r="B462" s="1175"/>
      <c r="C462" s="1175"/>
      <c r="D462" s="1175"/>
      <c r="E462" s="1175"/>
      <c r="F462" s="241" t="s">
        <v>24</v>
      </c>
      <c r="G462" s="264" t="str">
        <f>+LIST_ACTIVIDADES!E19</f>
        <v>m²</v>
      </c>
    </row>
    <row r="463" spans="1:7" ht="15" thickBot="1" x14ac:dyDescent="0.25">
      <c r="A463" s="1176" t="s">
        <v>1642</v>
      </c>
      <c r="B463" s="1177"/>
      <c r="C463" s="1177"/>
      <c r="D463" s="1177"/>
      <c r="E463" s="1177"/>
      <c r="F463" s="1177"/>
      <c r="G463" s="1178"/>
    </row>
    <row r="464" spans="1:7" x14ac:dyDescent="0.2">
      <c r="A464" s="242" t="s">
        <v>1643</v>
      </c>
      <c r="B464" s="191" t="s">
        <v>1644</v>
      </c>
      <c r="C464" s="190" t="s">
        <v>26</v>
      </c>
      <c r="D464" s="190" t="s">
        <v>27</v>
      </c>
      <c r="E464" s="190" t="s">
        <v>28</v>
      </c>
      <c r="F464" s="190" t="s">
        <v>29</v>
      </c>
      <c r="G464" s="243"/>
    </row>
    <row r="465" spans="1:7" x14ac:dyDescent="0.2">
      <c r="A465" s="362"/>
      <c r="B465" s="363"/>
      <c r="C465" s="99"/>
      <c r="D465" s="364"/>
      <c r="E465" s="365"/>
      <c r="F465" s="366"/>
      <c r="G465" s="245"/>
    </row>
    <row r="466" spans="1:7" x14ac:dyDescent="0.2">
      <c r="A466" s="1179" t="s">
        <v>1650</v>
      </c>
      <c r="B466" s="1180"/>
      <c r="C466" s="214">
        <v>0.05</v>
      </c>
      <c r="D466" s="213"/>
      <c r="E466" s="269"/>
      <c r="F466" s="212">
        <f>+G486*C466</f>
        <v>221.65500000000003</v>
      </c>
      <c r="G466" s="246"/>
    </row>
    <row r="467" spans="1:7" x14ac:dyDescent="0.2">
      <c r="A467" s="247" t="s">
        <v>25</v>
      </c>
      <c r="B467" s="267"/>
      <c r="C467" s="267"/>
      <c r="D467" s="267"/>
      <c r="E467" s="267"/>
      <c r="F467" s="267"/>
      <c r="G467" s="246" t="s">
        <v>31</v>
      </c>
    </row>
    <row r="468" spans="1:7" ht="15" thickBot="1" x14ac:dyDescent="0.25">
      <c r="A468" s="248"/>
      <c r="B468" s="271"/>
      <c r="C468" s="271"/>
      <c r="D468" s="271"/>
      <c r="E468" s="271"/>
      <c r="F468" s="271"/>
      <c r="G468" s="249">
        <f>SUM(F465:F466)</f>
        <v>221.65500000000003</v>
      </c>
    </row>
    <row r="469" spans="1:7" ht="15" thickBot="1" x14ac:dyDescent="0.25">
      <c r="A469" s="1176" t="s">
        <v>1645</v>
      </c>
      <c r="B469" s="1177"/>
      <c r="C469" s="1177"/>
      <c r="D469" s="1177"/>
      <c r="E469" s="1177"/>
      <c r="F469" s="1177"/>
      <c r="G469" s="1178"/>
    </row>
    <row r="470" spans="1:7" x14ac:dyDescent="0.2">
      <c r="A470" s="242" t="s">
        <v>1643</v>
      </c>
      <c r="B470" s="191" t="s">
        <v>1644</v>
      </c>
      <c r="C470" s="190" t="s">
        <v>32</v>
      </c>
      <c r="D470" s="190" t="s">
        <v>33</v>
      </c>
      <c r="E470" s="190" t="s">
        <v>34</v>
      </c>
      <c r="F470" s="190" t="s">
        <v>35</v>
      </c>
      <c r="G470" s="243"/>
    </row>
    <row r="471" spans="1:7" ht="38.25" customHeight="1" x14ac:dyDescent="0.2">
      <c r="A471" s="352" t="str">
        <f>VLOOKUP(B471,PRECIOS!$A$5:$D$303,2,FALSE)</f>
        <v>VARIOS11</v>
      </c>
      <c r="B471" s="105" t="s">
        <v>401</v>
      </c>
      <c r="C471" s="99" t="str">
        <f>VLOOKUP(B471,PRECIOS!$A$5:$D$303,3,FALSE)</f>
        <v>m2</v>
      </c>
      <c r="D471" s="371">
        <f>VLOOKUP(B471,PRECIOS!$A$5:$D$303,4,FALSE)</f>
        <v>2400.23</v>
      </c>
      <c r="E471" s="372">
        <v>1</v>
      </c>
      <c r="F471" s="364">
        <f>+D471*E471</f>
        <v>2400.23</v>
      </c>
      <c r="G471" s="370"/>
    </row>
    <row r="472" spans="1:7" x14ac:dyDescent="0.2">
      <c r="A472" s="352"/>
      <c r="B472" s="105"/>
      <c r="C472" s="105"/>
      <c r="D472" s="353"/>
      <c r="E472" s="360"/>
      <c r="F472" s="355"/>
      <c r="G472" s="246"/>
    </row>
    <row r="473" spans="1:7" x14ac:dyDescent="0.2">
      <c r="A473" s="1179" t="s">
        <v>1649</v>
      </c>
      <c r="B473" s="1180"/>
      <c r="C473" s="214">
        <v>0.03</v>
      </c>
      <c r="D473" s="268"/>
      <c r="E473" s="269"/>
      <c r="F473" s="276">
        <f>SUM(F471:F472)*C473</f>
        <v>72.006900000000002</v>
      </c>
      <c r="G473" s="246"/>
    </row>
    <row r="474" spans="1:7" x14ac:dyDescent="0.2">
      <c r="A474" s="247"/>
      <c r="B474" s="267"/>
      <c r="C474" s="104"/>
      <c r="D474" s="104"/>
      <c r="E474" s="104"/>
      <c r="F474" s="104"/>
      <c r="G474" s="246" t="s">
        <v>31</v>
      </c>
    </row>
    <row r="475" spans="1:7" ht="15" thickBot="1" x14ac:dyDescent="0.25">
      <c r="A475" s="248"/>
      <c r="B475" s="271"/>
      <c r="C475" s="271"/>
      <c r="D475" s="271"/>
      <c r="E475" s="271"/>
      <c r="F475" s="271"/>
      <c r="G475" s="250">
        <f>SUM(F471:F473)</f>
        <v>2472.2368999999999</v>
      </c>
    </row>
    <row r="476" spans="1:7" ht="15" thickBot="1" x14ac:dyDescent="0.25">
      <c r="A476" s="1176" t="s">
        <v>1646</v>
      </c>
      <c r="B476" s="1177"/>
      <c r="C476" s="1177"/>
      <c r="D476" s="1177"/>
      <c r="E476" s="1177"/>
      <c r="F476" s="1177"/>
      <c r="G476" s="1178"/>
    </row>
    <row r="477" spans="1:7" x14ac:dyDescent="0.2">
      <c r="A477" s="251" t="s">
        <v>305</v>
      </c>
      <c r="B477" s="190" t="s">
        <v>38</v>
      </c>
      <c r="C477" s="190" t="s">
        <v>39</v>
      </c>
      <c r="D477" s="190" t="s">
        <v>40</v>
      </c>
      <c r="E477" s="190" t="s">
        <v>34</v>
      </c>
      <c r="F477" s="190" t="s">
        <v>35</v>
      </c>
      <c r="G477" s="243"/>
    </row>
    <row r="478" spans="1:7" x14ac:dyDescent="0.2">
      <c r="A478" s="369"/>
      <c r="B478" s="89"/>
      <c r="C478" s="209"/>
      <c r="D478" s="199"/>
      <c r="E478" s="367"/>
      <c r="F478" s="234"/>
      <c r="G478" s="253"/>
    </row>
    <row r="479" spans="1:7" x14ac:dyDescent="0.2">
      <c r="A479" s="252"/>
      <c r="B479" s="235"/>
      <c r="C479" s="238"/>
      <c r="D479" s="236"/>
      <c r="E479" s="237"/>
      <c r="F479" s="239"/>
      <c r="G479" s="253"/>
    </row>
    <row r="480" spans="1:7" x14ac:dyDescent="0.2">
      <c r="A480" s="247" t="s">
        <v>25</v>
      </c>
      <c r="B480" s="104" t="s">
        <v>25</v>
      </c>
      <c r="C480" s="104" t="s">
        <v>25</v>
      </c>
      <c r="D480" s="188" t="s">
        <v>25</v>
      </c>
      <c r="E480" s="189" t="s">
        <v>25</v>
      </c>
      <c r="F480" s="187" t="s">
        <v>25</v>
      </c>
      <c r="G480" s="246" t="s">
        <v>31</v>
      </c>
    </row>
    <row r="481" spans="1:7" ht="15" thickBot="1" x14ac:dyDescent="0.25">
      <c r="A481" s="248"/>
      <c r="B481" s="271"/>
      <c r="C481" s="271"/>
      <c r="D481" s="271"/>
      <c r="E481" s="271"/>
      <c r="F481" s="271"/>
      <c r="G481" s="250">
        <f>SUM(F478:F479)</f>
        <v>0</v>
      </c>
    </row>
    <row r="482" spans="1:7" ht="15" thickBot="1" x14ac:dyDescent="0.25">
      <c r="A482" s="1176" t="s">
        <v>1647</v>
      </c>
      <c r="B482" s="1177"/>
      <c r="C482" s="1177"/>
      <c r="D482" s="1177"/>
      <c r="E482" s="1177"/>
      <c r="F482" s="1177"/>
      <c r="G482" s="1178"/>
    </row>
    <row r="483" spans="1:7" ht="24" x14ac:dyDescent="0.2">
      <c r="A483" s="254" t="s">
        <v>1681</v>
      </c>
      <c r="B483" s="190" t="s">
        <v>42</v>
      </c>
      <c r="C483" s="190" t="s">
        <v>43</v>
      </c>
      <c r="D483" s="190" t="s">
        <v>44</v>
      </c>
      <c r="E483" s="190" t="s">
        <v>306</v>
      </c>
      <c r="F483" s="190" t="s">
        <v>29</v>
      </c>
      <c r="G483" s="243"/>
    </row>
    <row r="484" spans="1:7" ht="36" x14ac:dyDescent="0.2">
      <c r="A484" s="255" t="s">
        <v>1672</v>
      </c>
      <c r="B484" s="202">
        <f>VLOOKUP(A484,JORNALES!$A$5:$B$28,2,FALSE)</f>
        <v>175000</v>
      </c>
      <c r="C484" s="233">
        <f>+PRESTACIONES!$C$20/100</f>
        <v>0.89990000000000014</v>
      </c>
      <c r="D484" s="234">
        <f>+(B484*C484)+B484</f>
        <v>332482.5</v>
      </c>
      <c r="E484" s="270">
        <v>75</v>
      </c>
      <c r="F484" s="199">
        <f>+D484/E484</f>
        <v>4433.1000000000004</v>
      </c>
      <c r="G484" s="246"/>
    </row>
    <row r="485" spans="1:7" x14ac:dyDescent="0.2">
      <c r="A485" s="247"/>
      <c r="B485" s="267"/>
      <c r="C485" s="267"/>
      <c r="D485" s="267"/>
      <c r="E485" s="267"/>
      <c r="F485" s="267"/>
      <c r="G485" s="246" t="s">
        <v>31</v>
      </c>
    </row>
    <row r="486" spans="1:7" x14ac:dyDescent="0.2">
      <c r="A486" s="247"/>
      <c r="B486" s="267"/>
      <c r="C486" s="267"/>
      <c r="D486" s="267"/>
      <c r="E486" s="267"/>
      <c r="F486" s="267"/>
      <c r="G486" s="256">
        <f>SUM(F484:F484)</f>
        <v>4433.1000000000004</v>
      </c>
    </row>
    <row r="487" spans="1:7" ht="15" thickBot="1" x14ac:dyDescent="0.25">
      <c r="A487" s="1181" t="s">
        <v>25</v>
      </c>
      <c r="B487" s="1182"/>
      <c r="C487" s="1182"/>
      <c r="D487" s="1182"/>
      <c r="E487" s="1182"/>
      <c r="F487" s="1182"/>
      <c r="G487" s="1183"/>
    </row>
    <row r="488" spans="1:7" ht="15" thickBot="1" x14ac:dyDescent="0.25">
      <c r="A488" s="1184" t="s">
        <v>45</v>
      </c>
      <c r="B488" s="1185"/>
      <c r="C488" s="1185"/>
      <c r="D488" s="1185"/>
      <c r="E488" s="1185"/>
      <c r="F488" s="192"/>
      <c r="G488" s="277">
        <f xml:space="preserve"> ROUND(G486+G481+G475+G468,0)</f>
        <v>7127</v>
      </c>
    </row>
    <row r="489" spans="1:7" x14ac:dyDescent="0.2">
      <c r="A489" s="1186" t="s">
        <v>476</v>
      </c>
      <c r="B489" s="1187"/>
      <c r="C489" s="1187"/>
      <c r="D489" s="1187"/>
      <c r="E489" s="1187"/>
      <c r="F489" s="193" t="s">
        <v>51</v>
      </c>
      <c r="G489" s="257" t="s">
        <v>307</v>
      </c>
    </row>
    <row r="490" spans="1:7" x14ac:dyDescent="0.2">
      <c r="A490" s="1166" t="s">
        <v>17</v>
      </c>
      <c r="B490" s="1167"/>
      <c r="C490" s="1167"/>
      <c r="D490" s="1167"/>
      <c r="E490" s="1167"/>
      <c r="F490" s="240"/>
      <c r="G490" s="196"/>
    </row>
    <row r="491" spans="1:7" x14ac:dyDescent="0.2">
      <c r="A491" s="1166" t="s">
        <v>308</v>
      </c>
      <c r="B491" s="1167"/>
      <c r="C491" s="1167"/>
      <c r="D491" s="1167"/>
      <c r="E491" s="1167"/>
      <c r="F491" s="240"/>
      <c r="G491" s="196"/>
    </row>
    <row r="492" spans="1:7" x14ac:dyDescent="0.2">
      <c r="A492" s="1166" t="s">
        <v>19</v>
      </c>
      <c r="B492" s="1167"/>
      <c r="C492" s="1167"/>
      <c r="D492" s="1167"/>
      <c r="E492" s="1167"/>
      <c r="F492" s="240"/>
      <c r="G492" s="196"/>
    </row>
    <row r="493" spans="1:7" ht="15" thickBot="1" x14ac:dyDescent="0.25">
      <c r="A493" s="1168" t="s">
        <v>309</v>
      </c>
      <c r="B493" s="1169"/>
      <c r="C493" s="1169"/>
      <c r="D493" s="1169"/>
      <c r="E493" s="1169"/>
      <c r="F493" s="198"/>
      <c r="G493" s="258"/>
    </row>
    <row r="494" spans="1:7" ht="15" thickBot="1" x14ac:dyDescent="0.25">
      <c r="A494" s="1170" t="s">
        <v>310</v>
      </c>
      <c r="B494" s="1171"/>
      <c r="C494" s="1171"/>
      <c r="D494" s="1171"/>
      <c r="E494" s="1171"/>
      <c r="F494" s="1172"/>
      <c r="G494" s="1173"/>
    </row>
    <row r="495" spans="1:7" x14ac:dyDescent="0.2">
      <c r="A495" s="265"/>
      <c r="B495" s="266"/>
      <c r="C495" s="266"/>
      <c r="D495" s="266"/>
      <c r="E495" s="266"/>
      <c r="F495" s="193"/>
      <c r="G495" s="260"/>
    </row>
    <row r="496" spans="1:7" ht="15" thickBot="1" x14ac:dyDescent="0.25">
      <c r="A496" s="261" t="s">
        <v>681</v>
      </c>
      <c r="B496" s="262"/>
      <c r="C496" s="262" t="s">
        <v>682</v>
      </c>
      <c r="D496" s="262"/>
      <c r="E496" s="262"/>
      <c r="F496" s="262" t="s">
        <v>683</v>
      </c>
      <c r="G496" s="263"/>
    </row>
    <row r="497" spans="1:7" ht="15" thickBot="1" x14ac:dyDescent="0.25">
      <c r="A497" s="1174" t="str">
        <f>+LIST_ACTIVIDADES!D21</f>
        <v>Suministro e Instalación de concreto de 3000 psi para zapatas sin refuerzo</v>
      </c>
      <c r="B497" s="1175"/>
      <c r="C497" s="1175"/>
      <c r="D497" s="1175"/>
      <c r="E497" s="1175"/>
      <c r="F497" s="241" t="s">
        <v>24</v>
      </c>
      <c r="G497" s="264" t="str">
        <f>+LIST_ACTIVIDADES!E21</f>
        <v>m³</v>
      </c>
    </row>
    <row r="498" spans="1:7" ht="15" thickBot="1" x14ac:dyDescent="0.25">
      <c r="A498" s="1176" t="s">
        <v>1642</v>
      </c>
      <c r="B498" s="1177"/>
      <c r="C498" s="1177"/>
      <c r="D498" s="1177"/>
      <c r="E498" s="1177"/>
      <c r="F498" s="1177"/>
      <c r="G498" s="1178"/>
    </row>
    <row r="499" spans="1:7" x14ac:dyDescent="0.2">
      <c r="A499" s="242" t="s">
        <v>1643</v>
      </c>
      <c r="B499" s="191" t="s">
        <v>1644</v>
      </c>
      <c r="C499" s="190" t="s">
        <v>26</v>
      </c>
      <c r="D499" s="190" t="s">
        <v>27</v>
      </c>
      <c r="E499" s="190" t="s">
        <v>28</v>
      </c>
      <c r="F499" s="190" t="s">
        <v>29</v>
      </c>
      <c r="G499" s="243"/>
    </row>
    <row r="500" spans="1:7" ht="24" x14ac:dyDescent="0.2">
      <c r="A500" s="362" t="str">
        <f>VLOOKUP(B500,PRECIOS!$A$309:$E$485,2,FALSE)</f>
        <v>EQUIPO142</v>
      </c>
      <c r="B500" s="363" t="s">
        <v>621</v>
      </c>
      <c r="C500" s="99" t="str">
        <f>VLOOKUP(B500,PRECIOS!$A$309:$E$485,3,FALSE)</f>
        <v>Electrica</v>
      </c>
      <c r="D500" s="364">
        <f>VLOOKUP(B500,PRECIOS!$A$309:$E$485,5,FALSE)</f>
        <v>9306.9869999999992</v>
      </c>
      <c r="E500" s="365">
        <v>0.08</v>
      </c>
      <c r="F500" s="366">
        <f>+D500*E500</f>
        <v>744.55895999999996</v>
      </c>
      <c r="G500" s="245"/>
    </row>
    <row r="501" spans="1:7" x14ac:dyDescent="0.2">
      <c r="A501" s="1179" t="s">
        <v>1650</v>
      </c>
      <c r="B501" s="1180"/>
      <c r="C501" s="214">
        <v>0.05</v>
      </c>
      <c r="D501" s="213"/>
      <c r="E501" s="269"/>
      <c r="F501" s="212">
        <f>+G521*C501</f>
        <v>934.11749999999995</v>
      </c>
      <c r="G501" s="246"/>
    </row>
    <row r="502" spans="1:7" x14ac:dyDescent="0.2">
      <c r="A502" s="247" t="s">
        <v>25</v>
      </c>
      <c r="B502" s="267"/>
      <c r="C502" s="267"/>
      <c r="D502" s="267"/>
      <c r="E502" s="267"/>
      <c r="F502" s="267"/>
      <c r="G502" s="246" t="s">
        <v>31</v>
      </c>
    </row>
    <row r="503" spans="1:7" ht="15" thickBot="1" x14ac:dyDescent="0.25">
      <c r="A503" s="248"/>
      <c r="B503" s="271"/>
      <c r="C503" s="271"/>
      <c r="D503" s="271"/>
      <c r="E503" s="271"/>
      <c r="F503" s="271"/>
      <c r="G503" s="249">
        <f>SUM(F500:F501)</f>
        <v>1678.6764599999999</v>
      </c>
    </row>
    <row r="504" spans="1:7" ht="15" thickBot="1" x14ac:dyDescent="0.25">
      <c r="A504" s="1176" t="s">
        <v>1645</v>
      </c>
      <c r="B504" s="1177"/>
      <c r="C504" s="1177"/>
      <c r="D504" s="1177"/>
      <c r="E504" s="1177"/>
      <c r="F504" s="1177"/>
      <c r="G504" s="1178"/>
    </row>
    <row r="505" spans="1:7" x14ac:dyDescent="0.2">
      <c r="A505" s="242" t="s">
        <v>1643</v>
      </c>
      <c r="B505" s="191" t="s">
        <v>1644</v>
      </c>
      <c r="C505" s="190" t="s">
        <v>32</v>
      </c>
      <c r="D505" s="190" t="s">
        <v>33</v>
      </c>
      <c r="E505" s="190" t="s">
        <v>34</v>
      </c>
      <c r="F505" s="190" t="s">
        <v>35</v>
      </c>
      <c r="G505" s="243"/>
    </row>
    <row r="506" spans="1:7" x14ac:dyDescent="0.2">
      <c r="A506" s="247"/>
      <c r="B506" s="216" t="str">
        <f>+LIST_APUS_AUX!$A$92</f>
        <v>Concreto de 3000 PSI</v>
      </c>
      <c r="C506" s="373" t="str">
        <f>+LIST_APUS_AUX!G92</f>
        <v>m³</v>
      </c>
      <c r="D506" s="361">
        <f>+LIST_APUS_AUX!$G$120</f>
        <v>841990</v>
      </c>
      <c r="E506" s="104">
        <v>1</v>
      </c>
      <c r="F506" s="361">
        <f>+D506*E506</f>
        <v>841990</v>
      </c>
      <c r="G506" s="370"/>
    </row>
    <row r="507" spans="1:7" ht="23.25" customHeight="1" x14ac:dyDescent="0.2">
      <c r="A507" s="247"/>
      <c r="B507" s="216" t="str">
        <f>+LIST_APUS_AUX!$A$273</f>
        <v xml:space="preserve">Formaleta en madera fina, para concreto columnas y vigas </v>
      </c>
      <c r="C507" s="373" t="str">
        <f>+LIST_APUS_AUX!G273</f>
        <v>m²</v>
      </c>
      <c r="D507" s="361">
        <f>+LIST_APUS_AUX!$G$304</f>
        <v>43143</v>
      </c>
      <c r="E507" s="104">
        <v>0.3</v>
      </c>
      <c r="F507" s="361">
        <f>+D507*E507</f>
        <v>12942.9</v>
      </c>
      <c r="G507" s="246"/>
    </row>
    <row r="508" spans="1:7" x14ac:dyDescent="0.2">
      <c r="A508" s="1179" t="s">
        <v>1649</v>
      </c>
      <c r="B508" s="1180"/>
      <c r="C508" s="214">
        <v>0.03</v>
      </c>
      <c r="D508" s="268"/>
      <c r="E508" s="269"/>
      <c r="F508" s="276">
        <f>SUM(F506:F507)*C508</f>
        <v>25647.987000000001</v>
      </c>
      <c r="G508" s="246"/>
    </row>
    <row r="509" spans="1:7" x14ac:dyDescent="0.2">
      <c r="A509" s="247"/>
      <c r="B509" s="267"/>
      <c r="C509" s="104"/>
      <c r="D509" s="104"/>
      <c r="E509" s="104"/>
      <c r="F509" s="104"/>
      <c r="G509" s="246" t="s">
        <v>31</v>
      </c>
    </row>
    <row r="510" spans="1:7" ht="15" thickBot="1" x14ac:dyDescent="0.25">
      <c r="A510" s="248"/>
      <c r="B510" s="271"/>
      <c r="C510" s="271"/>
      <c r="D510" s="271"/>
      <c r="E510" s="271"/>
      <c r="F510" s="271"/>
      <c r="G510" s="250">
        <f>SUM(F506:F508)</f>
        <v>880580.88699999999</v>
      </c>
    </row>
    <row r="511" spans="1:7" ht="15" thickBot="1" x14ac:dyDescent="0.25">
      <c r="A511" s="1176" t="s">
        <v>1646</v>
      </c>
      <c r="B511" s="1177"/>
      <c r="C511" s="1177"/>
      <c r="D511" s="1177"/>
      <c r="E511" s="1177"/>
      <c r="F511" s="1177"/>
      <c r="G511" s="1178"/>
    </row>
    <row r="512" spans="1:7" x14ac:dyDescent="0.2">
      <c r="A512" s="251" t="s">
        <v>305</v>
      </c>
      <c r="B512" s="190" t="s">
        <v>38</v>
      </c>
      <c r="C512" s="190" t="s">
        <v>39</v>
      </c>
      <c r="D512" s="190" t="s">
        <v>40</v>
      </c>
      <c r="E512" s="190" t="s">
        <v>34</v>
      </c>
      <c r="F512" s="190" t="s">
        <v>35</v>
      </c>
      <c r="G512" s="243"/>
    </row>
    <row r="513" spans="1:7" x14ac:dyDescent="0.2">
      <c r="A513" s="369"/>
      <c r="B513" s="89"/>
      <c r="C513" s="209"/>
      <c r="D513" s="199"/>
      <c r="E513" s="367"/>
      <c r="F513" s="234"/>
      <c r="G513" s="253"/>
    </row>
    <row r="514" spans="1:7" x14ac:dyDescent="0.2">
      <c r="A514" s="252"/>
      <c r="B514" s="235"/>
      <c r="C514" s="238"/>
      <c r="D514" s="236"/>
      <c r="E514" s="237"/>
      <c r="F514" s="239"/>
      <c r="G514" s="253"/>
    </row>
    <row r="515" spans="1:7" x14ac:dyDescent="0.2">
      <c r="A515" s="247" t="s">
        <v>25</v>
      </c>
      <c r="B515" s="104" t="s">
        <v>25</v>
      </c>
      <c r="C515" s="104" t="s">
        <v>25</v>
      </c>
      <c r="D515" s="188" t="s">
        <v>25</v>
      </c>
      <c r="E515" s="189" t="s">
        <v>25</v>
      </c>
      <c r="F515" s="187" t="s">
        <v>25</v>
      </c>
      <c r="G515" s="246" t="s">
        <v>31</v>
      </c>
    </row>
    <row r="516" spans="1:7" ht="15" thickBot="1" x14ac:dyDescent="0.25">
      <c r="A516" s="248"/>
      <c r="B516" s="271"/>
      <c r="C516" s="271"/>
      <c r="D516" s="271"/>
      <c r="E516" s="271"/>
      <c r="F516" s="271"/>
      <c r="G516" s="250">
        <f>SUM(F513:F514)</f>
        <v>0</v>
      </c>
    </row>
    <row r="517" spans="1:7" ht="15" thickBot="1" x14ac:dyDescent="0.25">
      <c r="A517" s="1176" t="s">
        <v>1647</v>
      </c>
      <c r="B517" s="1177"/>
      <c r="C517" s="1177"/>
      <c r="D517" s="1177"/>
      <c r="E517" s="1177"/>
      <c r="F517" s="1177"/>
      <c r="G517" s="1178"/>
    </row>
    <row r="518" spans="1:7" ht="24" x14ac:dyDescent="0.2">
      <c r="A518" s="254" t="s">
        <v>1681</v>
      </c>
      <c r="B518" s="190" t="s">
        <v>42</v>
      </c>
      <c r="C518" s="190" t="s">
        <v>43</v>
      </c>
      <c r="D518" s="190" t="s">
        <v>44</v>
      </c>
      <c r="E518" s="190" t="s">
        <v>306</v>
      </c>
      <c r="F518" s="190" t="s">
        <v>29</v>
      </c>
      <c r="G518" s="243"/>
    </row>
    <row r="519" spans="1:7" ht="36" x14ac:dyDescent="0.2">
      <c r="A519" s="255" t="s">
        <v>1676</v>
      </c>
      <c r="B519" s="202">
        <f>VLOOKUP(A519,JORNALES!$A$5:$B$28,2,FALSE)</f>
        <v>295000</v>
      </c>
      <c r="C519" s="233">
        <f>+PRESTACIONES!$C$20/100</f>
        <v>0.89990000000000014</v>
      </c>
      <c r="D519" s="234">
        <f>+(B519*C519)+B519</f>
        <v>560470.5</v>
      </c>
      <c r="E519" s="270">
        <v>30</v>
      </c>
      <c r="F519" s="199">
        <f>+D519/E519</f>
        <v>18682.349999999999</v>
      </c>
      <c r="G519" s="246"/>
    </row>
    <row r="520" spans="1:7" x14ac:dyDescent="0.2">
      <c r="A520" s="247"/>
      <c r="B520" s="267"/>
      <c r="C520" s="267"/>
      <c r="D520" s="267"/>
      <c r="E520" s="267"/>
      <c r="F520" s="267"/>
      <c r="G520" s="246" t="s">
        <v>31</v>
      </c>
    </row>
    <row r="521" spans="1:7" x14ac:dyDescent="0.2">
      <c r="A521" s="247"/>
      <c r="B521" s="267"/>
      <c r="C521" s="267"/>
      <c r="D521" s="267"/>
      <c r="E521" s="267"/>
      <c r="F521" s="267"/>
      <c r="G521" s="256">
        <f>SUM(F519:F519)</f>
        <v>18682.349999999999</v>
      </c>
    </row>
    <row r="522" spans="1:7" ht="15" thickBot="1" x14ac:dyDescent="0.25">
      <c r="A522" s="1181" t="s">
        <v>25</v>
      </c>
      <c r="B522" s="1182"/>
      <c r="C522" s="1182"/>
      <c r="D522" s="1182"/>
      <c r="E522" s="1182"/>
      <c r="F522" s="1182"/>
      <c r="G522" s="1183"/>
    </row>
    <row r="523" spans="1:7" ht="15" thickBot="1" x14ac:dyDescent="0.25">
      <c r="A523" s="1184" t="s">
        <v>45</v>
      </c>
      <c r="B523" s="1185"/>
      <c r="C523" s="1185"/>
      <c r="D523" s="1185"/>
      <c r="E523" s="1185"/>
      <c r="F523" s="192"/>
      <c r="G523" s="277">
        <f xml:space="preserve"> ROUND(G521+G516+G510+G503,0)</f>
        <v>900942</v>
      </c>
    </row>
    <row r="524" spans="1:7" x14ac:dyDescent="0.2">
      <c r="A524" s="1186" t="s">
        <v>476</v>
      </c>
      <c r="B524" s="1187"/>
      <c r="C524" s="1187"/>
      <c r="D524" s="1187"/>
      <c r="E524" s="1187"/>
      <c r="F524" s="193" t="s">
        <v>51</v>
      </c>
      <c r="G524" s="257" t="s">
        <v>307</v>
      </c>
    </row>
    <row r="525" spans="1:7" x14ac:dyDescent="0.2">
      <c r="A525" s="1166" t="s">
        <v>17</v>
      </c>
      <c r="B525" s="1167"/>
      <c r="C525" s="1167"/>
      <c r="D525" s="1167"/>
      <c r="E525" s="1167"/>
      <c r="F525" s="240"/>
      <c r="G525" s="196"/>
    </row>
    <row r="526" spans="1:7" x14ac:dyDescent="0.2">
      <c r="A526" s="1166" t="s">
        <v>308</v>
      </c>
      <c r="B526" s="1167"/>
      <c r="C526" s="1167"/>
      <c r="D526" s="1167"/>
      <c r="E526" s="1167"/>
      <c r="F526" s="240"/>
      <c r="G526" s="196"/>
    </row>
    <row r="527" spans="1:7" x14ac:dyDescent="0.2">
      <c r="A527" s="1166" t="s">
        <v>19</v>
      </c>
      <c r="B527" s="1167"/>
      <c r="C527" s="1167"/>
      <c r="D527" s="1167"/>
      <c r="E527" s="1167"/>
      <c r="F527" s="240"/>
      <c r="G527" s="196"/>
    </row>
    <row r="528" spans="1:7" ht="15" thickBot="1" x14ac:dyDescent="0.25">
      <c r="A528" s="1168" t="s">
        <v>309</v>
      </c>
      <c r="B528" s="1169"/>
      <c r="C528" s="1169"/>
      <c r="D528" s="1169"/>
      <c r="E528" s="1169"/>
      <c r="F528" s="198"/>
      <c r="G528" s="258"/>
    </row>
    <row r="529" spans="1:7" ht="15" thickBot="1" x14ac:dyDescent="0.25">
      <c r="A529" s="1170" t="s">
        <v>310</v>
      </c>
      <c r="B529" s="1171"/>
      <c r="C529" s="1171"/>
      <c r="D529" s="1171"/>
      <c r="E529" s="1171"/>
      <c r="F529" s="1172"/>
      <c r="G529" s="1173"/>
    </row>
    <row r="530" spans="1:7" x14ac:dyDescent="0.2">
      <c r="A530" s="265"/>
      <c r="B530" s="266"/>
      <c r="C530" s="266"/>
      <c r="D530" s="266"/>
      <c r="E530" s="266"/>
      <c r="F530" s="193"/>
      <c r="G530" s="260"/>
    </row>
    <row r="531" spans="1:7" ht="15" thickBot="1" x14ac:dyDescent="0.25">
      <c r="A531" s="261" t="s">
        <v>681</v>
      </c>
      <c r="B531" s="262"/>
      <c r="C531" s="262" t="s">
        <v>682</v>
      </c>
      <c r="D531" s="262"/>
      <c r="E531" s="262"/>
      <c r="F531" s="262" t="s">
        <v>683</v>
      </c>
      <c r="G531" s="263"/>
    </row>
    <row r="532" spans="1:7" ht="15" thickBot="1" x14ac:dyDescent="0.25">
      <c r="A532" s="1174" t="str">
        <f>+LIST_ACTIVIDADES!D22</f>
        <v>Suministro e Instalación de concreto de 3000 psi para vigas de cimentacion sin refuerzo</v>
      </c>
      <c r="B532" s="1175"/>
      <c r="C532" s="1175"/>
      <c r="D532" s="1175"/>
      <c r="E532" s="1175"/>
      <c r="F532" s="241" t="s">
        <v>24</v>
      </c>
      <c r="G532" s="264" t="str">
        <f>+LIST_ACTIVIDADES!E22</f>
        <v>m³</v>
      </c>
    </row>
    <row r="533" spans="1:7" ht="15" thickBot="1" x14ac:dyDescent="0.25">
      <c r="A533" s="1176" t="s">
        <v>1642</v>
      </c>
      <c r="B533" s="1177"/>
      <c r="C533" s="1177"/>
      <c r="D533" s="1177"/>
      <c r="E533" s="1177"/>
      <c r="F533" s="1177"/>
      <c r="G533" s="1178"/>
    </row>
    <row r="534" spans="1:7" x14ac:dyDescent="0.2">
      <c r="A534" s="242" t="s">
        <v>1643</v>
      </c>
      <c r="B534" s="191" t="s">
        <v>1644</v>
      </c>
      <c r="C534" s="190" t="s">
        <v>26</v>
      </c>
      <c r="D534" s="190" t="s">
        <v>27</v>
      </c>
      <c r="E534" s="190" t="s">
        <v>28</v>
      </c>
      <c r="F534" s="190" t="s">
        <v>29</v>
      </c>
      <c r="G534" s="243"/>
    </row>
    <row r="535" spans="1:7" ht="24" x14ac:dyDescent="0.2">
      <c r="A535" s="362" t="str">
        <f>VLOOKUP(B535,PRECIOS!$A$309:$E$485,2,FALSE)</f>
        <v>EQUIPO142</v>
      </c>
      <c r="B535" s="363" t="s">
        <v>621</v>
      </c>
      <c r="C535" s="99" t="str">
        <f>VLOOKUP(B535,PRECIOS!$A$309:$E$485,3,FALSE)</f>
        <v>Electrica</v>
      </c>
      <c r="D535" s="364">
        <f>VLOOKUP(B535,PRECIOS!$A$309:$E$485,5,FALSE)</f>
        <v>9306.9869999999992</v>
      </c>
      <c r="E535" s="365">
        <v>0.08</v>
      </c>
      <c r="F535" s="366">
        <f>+D535*E535</f>
        <v>744.55895999999996</v>
      </c>
      <c r="G535" s="245"/>
    </row>
    <row r="536" spans="1:7" x14ac:dyDescent="0.2">
      <c r="A536" s="1179" t="s">
        <v>1650</v>
      </c>
      <c r="B536" s="1180"/>
      <c r="C536" s="214">
        <v>0.05</v>
      </c>
      <c r="D536" s="213"/>
      <c r="E536" s="269"/>
      <c r="F536" s="212">
        <f>+G556*C536</f>
        <v>1401.1762500000002</v>
      </c>
      <c r="G536" s="246"/>
    </row>
    <row r="537" spans="1:7" x14ac:dyDescent="0.2">
      <c r="A537" s="247" t="s">
        <v>25</v>
      </c>
      <c r="B537" s="267"/>
      <c r="C537" s="267"/>
      <c r="D537" s="267"/>
      <c r="E537" s="267"/>
      <c r="F537" s="267"/>
      <c r="G537" s="246" t="s">
        <v>31</v>
      </c>
    </row>
    <row r="538" spans="1:7" ht="15" thickBot="1" x14ac:dyDescent="0.25">
      <c r="A538" s="248"/>
      <c r="B538" s="271"/>
      <c r="C538" s="271"/>
      <c r="D538" s="271"/>
      <c r="E538" s="271"/>
      <c r="F538" s="271"/>
      <c r="G538" s="249">
        <f>SUM(F535:F536)</f>
        <v>2145.7352100000003</v>
      </c>
    </row>
    <row r="539" spans="1:7" ht="15" thickBot="1" x14ac:dyDescent="0.25">
      <c r="A539" s="1176" t="s">
        <v>1645</v>
      </c>
      <c r="B539" s="1177"/>
      <c r="C539" s="1177"/>
      <c r="D539" s="1177"/>
      <c r="E539" s="1177"/>
      <c r="F539" s="1177"/>
      <c r="G539" s="1178"/>
    </row>
    <row r="540" spans="1:7" x14ac:dyDescent="0.2">
      <c r="A540" s="242" t="s">
        <v>1643</v>
      </c>
      <c r="B540" s="191" t="s">
        <v>1644</v>
      </c>
      <c r="C540" s="190" t="s">
        <v>32</v>
      </c>
      <c r="D540" s="190" t="s">
        <v>33</v>
      </c>
      <c r="E540" s="190" t="s">
        <v>34</v>
      </c>
      <c r="F540" s="190" t="s">
        <v>35</v>
      </c>
      <c r="G540" s="243"/>
    </row>
    <row r="541" spans="1:7" x14ac:dyDescent="0.2">
      <c r="A541" s="247"/>
      <c r="B541" s="216" t="str">
        <f>+LIST_APUS_AUX!$A$92</f>
        <v>Concreto de 3000 PSI</v>
      </c>
      <c r="C541" s="373">
        <f>+LIST_APUS_AUX!G127</f>
        <v>0</v>
      </c>
      <c r="D541" s="361">
        <f>+LIST_APUS_AUX!$G$120</f>
        <v>841990</v>
      </c>
      <c r="E541" s="104">
        <v>1</v>
      </c>
      <c r="F541" s="361">
        <f>+D541*E541</f>
        <v>841990</v>
      </c>
      <c r="G541" s="370"/>
    </row>
    <row r="542" spans="1:7" ht="36" x14ac:dyDescent="0.2">
      <c r="A542" s="247"/>
      <c r="B542" s="216" t="str">
        <f>+LIST_APUS_AUX!$A$273</f>
        <v xml:space="preserve">Formaleta en madera fina, para concreto columnas y vigas </v>
      </c>
      <c r="C542" s="373">
        <f>+LIST_APUS_AUX!G308</f>
        <v>0</v>
      </c>
      <c r="D542" s="361">
        <f>+LIST_APUS_AUX!$G$304</f>
        <v>43143</v>
      </c>
      <c r="E542" s="104">
        <v>0.6</v>
      </c>
      <c r="F542" s="361">
        <f>+D542*E542</f>
        <v>25885.8</v>
      </c>
      <c r="G542" s="246"/>
    </row>
    <row r="543" spans="1:7" x14ac:dyDescent="0.2">
      <c r="A543" s="1179" t="s">
        <v>1649</v>
      </c>
      <c r="B543" s="1180"/>
      <c r="C543" s="214">
        <v>0.03</v>
      </c>
      <c r="D543" s="268"/>
      <c r="E543" s="269"/>
      <c r="F543" s="276">
        <f>SUM(F541:F542)*C543</f>
        <v>26036.274000000001</v>
      </c>
      <c r="G543" s="246"/>
    </row>
    <row r="544" spans="1:7" x14ac:dyDescent="0.2">
      <c r="A544" s="247"/>
      <c r="B544" s="267"/>
      <c r="C544" s="104"/>
      <c r="D544" s="104"/>
      <c r="E544" s="104"/>
      <c r="F544" s="104"/>
      <c r="G544" s="246" t="s">
        <v>31</v>
      </c>
    </row>
    <row r="545" spans="1:7" ht="15" thickBot="1" x14ac:dyDescent="0.25">
      <c r="A545" s="248"/>
      <c r="B545" s="271"/>
      <c r="C545" s="271"/>
      <c r="D545" s="271"/>
      <c r="E545" s="271"/>
      <c r="F545" s="271"/>
      <c r="G545" s="250">
        <f>SUM(F541:F543)</f>
        <v>893912.07400000002</v>
      </c>
    </row>
    <row r="546" spans="1:7" ht="15" thickBot="1" x14ac:dyDescent="0.25">
      <c r="A546" s="1176" t="s">
        <v>1646</v>
      </c>
      <c r="B546" s="1177"/>
      <c r="C546" s="1177"/>
      <c r="D546" s="1177"/>
      <c r="E546" s="1177"/>
      <c r="F546" s="1177"/>
      <c r="G546" s="1178"/>
    </row>
    <row r="547" spans="1:7" x14ac:dyDescent="0.2">
      <c r="A547" s="251" t="s">
        <v>305</v>
      </c>
      <c r="B547" s="190" t="s">
        <v>38</v>
      </c>
      <c r="C547" s="190" t="s">
        <v>39</v>
      </c>
      <c r="D547" s="190" t="s">
        <v>40</v>
      </c>
      <c r="E547" s="190" t="s">
        <v>34</v>
      </c>
      <c r="F547" s="190" t="s">
        <v>35</v>
      </c>
      <c r="G547" s="243"/>
    </row>
    <row r="548" spans="1:7" x14ac:dyDescent="0.2">
      <c r="A548" s="369"/>
      <c r="B548" s="89"/>
      <c r="C548" s="209"/>
      <c r="D548" s="199"/>
      <c r="E548" s="367"/>
      <c r="F548" s="234"/>
      <c r="G548" s="253"/>
    </row>
    <row r="549" spans="1:7" x14ac:dyDescent="0.2">
      <c r="A549" s="252"/>
      <c r="B549" s="235"/>
      <c r="C549" s="238"/>
      <c r="D549" s="236"/>
      <c r="E549" s="237"/>
      <c r="F549" s="239"/>
      <c r="G549" s="253"/>
    </row>
    <row r="550" spans="1:7" x14ac:dyDescent="0.2">
      <c r="A550" s="247" t="s">
        <v>25</v>
      </c>
      <c r="B550" s="104" t="s">
        <v>25</v>
      </c>
      <c r="C550" s="104" t="s">
        <v>25</v>
      </c>
      <c r="D550" s="188" t="s">
        <v>25</v>
      </c>
      <c r="E550" s="189" t="s">
        <v>25</v>
      </c>
      <c r="F550" s="187" t="s">
        <v>25</v>
      </c>
      <c r="G550" s="246" t="s">
        <v>31</v>
      </c>
    </row>
    <row r="551" spans="1:7" ht="15" thickBot="1" x14ac:dyDescent="0.25">
      <c r="A551" s="248"/>
      <c r="B551" s="271"/>
      <c r="C551" s="271"/>
      <c r="D551" s="271"/>
      <c r="E551" s="271"/>
      <c r="F551" s="271"/>
      <c r="G551" s="250">
        <f>SUM(F548:F549)</f>
        <v>0</v>
      </c>
    </row>
    <row r="552" spans="1:7" ht="15" thickBot="1" x14ac:dyDescent="0.25">
      <c r="A552" s="1176" t="s">
        <v>1647</v>
      </c>
      <c r="B552" s="1177"/>
      <c r="C552" s="1177"/>
      <c r="D552" s="1177"/>
      <c r="E552" s="1177"/>
      <c r="F552" s="1177"/>
      <c r="G552" s="1178"/>
    </row>
    <row r="553" spans="1:7" ht="24" x14ac:dyDescent="0.2">
      <c r="A553" s="254" t="s">
        <v>1681</v>
      </c>
      <c r="B553" s="190" t="s">
        <v>42</v>
      </c>
      <c r="C553" s="190" t="s">
        <v>43</v>
      </c>
      <c r="D553" s="190" t="s">
        <v>44</v>
      </c>
      <c r="E553" s="190" t="s">
        <v>306</v>
      </c>
      <c r="F553" s="190" t="s">
        <v>29</v>
      </c>
      <c r="G553" s="243"/>
    </row>
    <row r="554" spans="1:7" ht="36" x14ac:dyDescent="0.2">
      <c r="A554" s="255" t="s">
        <v>1676</v>
      </c>
      <c r="B554" s="202">
        <f>VLOOKUP(A554,JORNALES!$A$5:$B$28,2,FALSE)</f>
        <v>295000</v>
      </c>
      <c r="C554" s="233">
        <f>+PRESTACIONES!$C$20/100</f>
        <v>0.89990000000000014</v>
      </c>
      <c r="D554" s="234">
        <f>+(B554*C554)+B554</f>
        <v>560470.5</v>
      </c>
      <c r="E554" s="270">
        <v>20</v>
      </c>
      <c r="F554" s="199">
        <f>+D554/E554</f>
        <v>28023.525000000001</v>
      </c>
      <c r="G554" s="246"/>
    </row>
    <row r="555" spans="1:7" x14ac:dyDescent="0.2">
      <c r="A555" s="247"/>
      <c r="B555" s="267"/>
      <c r="C555" s="267"/>
      <c r="D555" s="267"/>
      <c r="E555" s="267"/>
      <c r="F555" s="267"/>
      <c r="G555" s="246" t="s">
        <v>31</v>
      </c>
    </row>
    <row r="556" spans="1:7" x14ac:dyDescent="0.2">
      <c r="A556" s="247"/>
      <c r="B556" s="267"/>
      <c r="C556" s="267"/>
      <c r="D556" s="267"/>
      <c r="E556" s="267"/>
      <c r="F556" s="267"/>
      <c r="G556" s="256">
        <f>SUM(F554:F554)</f>
        <v>28023.525000000001</v>
      </c>
    </row>
    <row r="557" spans="1:7" ht="15" thickBot="1" x14ac:dyDescent="0.25">
      <c r="A557" s="1181" t="s">
        <v>25</v>
      </c>
      <c r="B557" s="1182"/>
      <c r="C557" s="1182"/>
      <c r="D557" s="1182"/>
      <c r="E557" s="1182"/>
      <c r="F557" s="1182"/>
      <c r="G557" s="1183"/>
    </row>
    <row r="558" spans="1:7" ht="15" thickBot="1" x14ac:dyDescent="0.25">
      <c r="A558" s="1184" t="s">
        <v>45</v>
      </c>
      <c r="B558" s="1185"/>
      <c r="C558" s="1185"/>
      <c r="D558" s="1185"/>
      <c r="E558" s="1185"/>
      <c r="F558" s="192"/>
      <c r="G558" s="277">
        <f xml:space="preserve"> ROUND(G556+G551+G545+G538,0)</f>
        <v>924081</v>
      </c>
    </row>
    <row r="559" spans="1:7" x14ac:dyDescent="0.2">
      <c r="A559" s="1186" t="s">
        <v>476</v>
      </c>
      <c r="B559" s="1187"/>
      <c r="C559" s="1187"/>
      <c r="D559" s="1187"/>
      <c r="E559" s="1187"/>
      <c r="F559" s="193" t="s">
        <v>51</v>
      </c>
      <c r="G559" s="257" t="s">
        <v>307</v>
      </c>
    </row>
    <row r="560" spans="1:7" x14ac:dyDescent="0.2">
      <c r="A560" s="1166" t="s">
        <v>17</v>
      </c>
      <c r="B560" s="1167"/>
      <c r="C560" s="1167"/>
      <c r="D560" s="1167"/>
      <c r="E560" s="1167"/>
      <c r="F560" s="240"/>
      <c r="G560" s="196"/>
    </row>
    <row r="561" spans="1:7" x14ac:dyDescent="0.2">
      <c r="A561" s="1166" t="s">
        <v>308</v>
      </c>
      <c r="B561" s="1167"/>
      <c r="C561" s="1167"/>
      <c r="D561" s="1167"/>
      <c r="E561" s="1167"/>
      <c r="F561" s="240"/>
      <c r="G561" s="196"/>
    </row>
    <row r="562" spans="1:7" x14ac:dyDescent="0.2">
      <c r="A562" s="1166" t="s">
        <v>19</v>
      </c>
      <c r="B562" s="1167"/>
      <c r="C562" s="1167"/>
      <c r="D562" s="1167"/>
      <c r="E562" s="1167"/>
      <c r="F562" s="240"/>
      <c r="G562" s="196"/>
    </row>
    <row r="563" spans="1:7" ht="15" thickBot="1" x14ac:dyDescent="0.25">
      <c r="A563" s="1168" t="s">
        <v>309</v>
      </c>
      <c r="B563" s="1169"/>
      <c r="C563" s="1169"/>
      <c r="D563" s="1169"/>
      <c r="E563" s="1169"/>
      <c r="F563" s="198"/>
      <c r="G563" s="258"/>
    </row>
    <row r="564" spans="1:7" ht="15" thickBot="1" x14ac:dyDescent="0.25">
      <c r="A564" s="1170" t="s">
        <v>310</v>
      </c>
      <c r="B564" s="1171"/>
      <c r="C564" s="1171"/>
      <c r="D564" s="1171"/>
      <c r="E564" s="1171"/>
      <c r="F564" s="1172"/>
      <c r="G564" s="1173"/>
    </row>
    <row r="565" spans="1:7" x14ac:dyDescent="0.2">
      <c r="A565" s="265"/>
      <c r="B565" s="266"/>
      <c r="C565" s="266"/>
      <c r="D565" s="266"/>
      <c r="E565" s="266"/>
      <c r="F565" s="193"/>
      <c r="G565" s="260"/>
    </row>
    <row r="566" spans="1:7" ht="15" thickBot="1" x14ac:dyDescent="0.25">
      <c r="A566" s="261" t="s">
        <v>681</v>
      </c>
      <c r="B566" s="262"/>
      <c r="C566" s="262" t="s">
        <v>682</v>
      </c>
      <c r="D566" s="262"/>
      <c r="E566" s="262"/>
      <c r="F566" s="262" t="s">
        <v>683</v>
      </c>
      <c r="G566" s="263"/>
    </row>
    <row r="567" spans="1:7" ht="15" thickBot="1" x14ac:dyDescent="0.25">
      <c r="A567" s="1174" t="str">
        <f>+LIST_ACTIVIDADES!D23</f>
        <v>Suministro e Instalación de concreto de 4000 psi para columnas sin refuerzo</v>
      </c>
      <c r="B567" s="1175"/>
      <c r="C567" s="1175"/>
      <c r="D567" s="1175"/>
      <c r="E567" s="1175"/>
      <c r="F567" s="241" t="s">
        <v>24</v>
      </c>
      <c r="G567" s="264" t="str">
        <f>+LIST_ACTIVIDADES!E23</f>
        <v>m³</v>
      </c>
    </row>
    <row r="568" spans="1:7" ht="15" thickBot="1" x14ac:dyDescent="0.25">
      <c r="A568" s="1176" t="s">
        <v>1642</v>
      </c>
      <c r="B568" s="1177"/>
      <c r="C568" s="1177"/>
      <c r="D568" s="1177"/>
      <c r="E568" s="1177"/>
      <c r="F568" s="1177"/>
      <c r="G568" s="1178"/>
    </row>
    <row r="569" spans="1:7" x14ac:dyDescent="0.2">
      <c r="A569" s="242" t="s">
        <v>1643</v>
      </c>
      <c r="B569" s="191" t="s">
        <v>1644</v>
      </c>
      <c r="C569" s="190" t="s">
        <v>26</v>
      </c>
      <c r="D569" s="190" t="s">
        <v>27</v>
      </c>
      <c r="E569" s="190" t="s">
        <v>28</v>
      </c>
      <c r="F569" s="190" t="s">
        <v>29</v>
      </c>
      <c r="G569" s="243"/>
    </row>
    <row r="570" spans="1:7" ht="24" x14ac:dyDescent="0.2">
      <c r="A570" s="362" t="str">
        <f>VLOOKUP(B570,PRECIOS!$A$309:$E$485,2,FALSE)</f>
        <v>EQUIPO142</v>
      </c>
      <c r="B570" s="363" t="s">
        <v>621</v>
      </c>
      <c r="C570" s="99" t="str">
        <f>VLOOKUP(B570,PRECIOS!$A$309:$E$485,3,FALSE)</f>
        <v>Electrica</v>
      </c>
      <c r="D570" s="364">
        <f>VLOOKUP(B570,PRECIOS!$A$309:$E$485,5,FALSE)</f>
        <v>9306.9869999999992</v>
      </c>
      <c r="E570" s="365">
        <v>0.08</v>
      </c>
      <c r="F570" s="366">
        <f>+D570*E570</f>
        <v>744.55895999999996</v>
      </c>
      <c r="G570" s="245"/>
    </row>
    <row r="571" spans="1:7" x14ac:dyDescent="0.2">
      <c r="A571" s="1179" t="s">
        <v>1650</v>
      </c>
      <c r="B571" s="1180"/>
      <c r="C571" s="214">
        <v>0.05</v>
      </c>
      <c r="D571" s="213"/>
      <c r="E571" s="269"/>
      <c r="F571" s="212">
        <f>+G591*C571</f>
        <v>1868.2349999999999</v>
      </c>
      <c r="G571" s="246"/>
    </row>
    <row r="572" spans="1:7" x14ac:dyDescent="0.2">
      <c r="A572" s="247" t="s">
        <v>25</v>
      </c>
      <c r="B572" s="267"/>
      <c r="C572" s="267"/>
      <c r="D572" s="267"/>
      <c r="E572" s="267"/>
      <c r="F572" s="267"/>
      <c r="G572" s="246" t="s">
        <v>31</v>
      </c>
    </row>
    <row r="573" spans="1:7" ht="15" thickBot="1" x14ac:dyDescent="0.25">
      <c r="A573" s="248"/>
      <c r="B573" s="271"/>
      <c r="C573" s="271"/>
      <c r="D573" s="271"/>
      <c r="E573" s="271"/>
      <c r="F573" s="271"/>
      <c r="G573" s="249">
        <f>SUM(F570:F571)</f>
        <v>2612.79396</v>
      </c>
    </row>
    <row r="574" spans="1:7" ht="15" thickBot="1" x14ac:dyDescent="0.25">
      <c r="A574" s="1176" t="s">
        <v>1645</v>
      </c>
      <c r="B574" s="1177"/>
      <c r="C574" s="1177"/>
      <c r="D574" s="1177"/>
      <c r="E574" s="1177"/>
      <c r="F574" s="1177"/>
      <c r="G574" s="1178"/>
    </row>
    <row r="575" spans="1:7" x14ac:dyDescent="0.2">
      <c r="A575" s="242" t="s">
        <v>1643</v>
      </c>
      <c r="B575" s="191" t="s">
        <v>1644</v>
      </c>
      <c r="C575" s="190" t="s">
        <v>32</v>
      </c>
      <c r="D575" s="190" t="s">
        <v>33</v>
      </c>
      <c r="E575" s="190" t="s">
        <v>34</v>
      </c>
      <c r="F575" s="190" t="s">
        <v>35</v>
      </c>
      <c r="G575" s="243"/>
    </row>
    <row r="576" spans="1:7" x14ac:dyDescent="0.2">
      <c r="A576" s="247"/>
      <c r="B576" s="216" t="str">
        <f>+LIST_APUS_AUX!A54</f>
        <v>Concreto de 4000 PSI</v>
      </c>
      <c r="C576" s="373" t="str">
        <f>+LIST_APUS_AUX!G54</f>
        <v>m³</v>
      </c>
      <c r="D576" s="361">
        <f>+LIST_APUS_AUX!G82</f>
        <v>993516</v>
      </c>
      <c r="E576" s="104">
        <v>1</v>
      </c>
      <c r="F576" s="361">
        <f>+D576*E576</f>
        <v>993516</v>
      </c>
      <c r="G576" s="370"/>
    </row>
    <row r="577" spans="1:7" ht="27" customHeight="1" x14ac:dyDescent="0.2">
      <c r="A577" s="247"/>
      <c r="B577" s="216" t="str">
        <f>+LIST_APUS_AUX!$A$273</f>
        <v xml:space="preserve">Formaleta en madera fina, para concreto columnas y vigas </v>
      </c>
      <c r="C577" s="373">
        <f>+LIST_APUS_AUX!G343</f>
        <v>13615.95</v>
      </c>
      <c r="D577" s="361">
        <f>+LIST_APUS_AUX!$G$304</f>
        <v>43143</v>
      </c>
      <c r="E577" s="104">
        <v>0.4</v>
      </c>
      <c r="F577" s="361">
        <f>+D577*E577</f>
        <v>17257.2</v>
      </c>
      <c r="G577" s="246"/>
    </row>
    <row r="578" spans="1:7" x14ac:dyDescent="0.2">
      <c r="A578" s="1179" t="s">
        <v>1649</v>
      </c>
      <c r="B578" s="1180"/>
      <c r="C578" s="214">
        <v>0.03</v>
      </c>
      <c r="D578" s="268"/>
      <c r="E578" s="269"/>
      <c r="F578" s="276">
        <f>SUM(F576:F577)*C578</f>
        <v>30323.195999999996</v>
      </c>
      <c r="G578" s="246"/>
    </row>
    <row r="579" spans="1:7" x14ac:dyDescent="0.2">
      <c r="A579" s="247"/>
      <c r="B579" s="267"/>
      <c r="C579" s="104"/>
      <c r="D579" s="104"/>
      <c r="E579" s="104"/>
      <c r="F579" s="104"/>
      <c r="G579" s="246" t="s">
        <v>31</v>
      </c>
    </row>
    <row r="580" spans="1:7" ht="15" thickBot="1" x14ac:dyDescent="0.25">
      <c r="A580" s="248"/>
      <c r="B580" s="271"/>
      <c r="C580" s="271"/>
      <c r="D580" s="271"/>
      <c r="E580" s="271"/>
      <c r="F580" s="271"/>
      <c r="G580" s="250">
        <f>SUM(F576:F578)</f>
        <v>1041096.3959999999</v>
      </c>
    </row>
    <row r="581" spans="1:7" ht="15" thickBot="1" x14ac:dyDescent="0.25">
      <c r="A581" s="1176" t="s">
        <v>1646</v>
      </c>
      <c r="B581" s="1177"/>
      <c r="C581" s="1177"/>
      <c r="D581" s="1177"/>
      <c r="E581" s="1177"/>
      <c r="F581" s="1177"/>
      <c r="G581" s="1178"/>
    </row>
    <row r="582" spans="1:7" x14ac:dyDescent="0.2">
      <c r="A582" s="251" t="s">
        <v>305</v>
      </c>
      <c r="B582" s="190" t="s">
        <v>38</v>
      </c>
      <c r="C582" s="190" t="s">
        <v>39</v>
      </c>
      <c r="D582" s="190" t="s">
        <v>40</v>
      </c>
      <c r="E582" s="190" t="s">
        <v>34</v>
      </c>
      <c r="F582" s="190" t="s">
        <v>35</v>
      </c>
      <c r="G582" s="243"/>
    </row>
    <row r="583" spans="1:7" x14ac:dyDescent="0.2">
      <c r="A583" s="369"/>
      <c r="B583" s="89"/>
      <c r="C583" s="209"/>
      <c r="D583" s="199"/>
      <c r="E583" s="367"/>
      <c r="F583" s="234"/>
      <c r="G583" s="253"/>
    </row>
    <row r="584" spans="1:7" x14ac:dyDescent="0.2">
      <c r="A584" s="252"/>
      <c r="B584" s="235"/>
      <c r="C584" s="238"/>
      <c r="D584" s="236"/>
      <c r="E584" s="237"/>
      <c r="F584" s="239"/>
      <c r="G584" s="253"/>
    </row>
    <row r="585" spans="1:7" x14ac:dyDescent="0.2">
      <c r="A585" s="247" t="s">
        <v>25</v>
      </c>
      <c r="B585" s="104" t="s">
        <v>25</v>
      </c>
      <c r="C585" s="104" t="s">
        <v>25</v>
      </c>
      <c r="D585" s="188" t="s">
        <v>25</v>
      </c>
      <c r="E585" s="189" t="s">
        <v>25</v>
      </c>
      <c r="F585" s="187" t="s">
        <v>25</v>
      </c>
      <c r="G585" s="246" t="s">
        <v>31</v>
      </c>
    </row>
    <row r="586" spans="1:7" ht="15" thickBot="1" x14ac:dyDescent="0.25">
      <c r="A586" s="248"/>
      <c r="B586" s="271"/>
      <c r="C586" s="271"/>
      <c r="D586" s="271"/>
      <c r="E586" s="271"/>
      <c r="F586" s="271"/>
      <c r="G586" s="250">
        <f>SUM(F583:F584)</f>
        <v>0</v>
      </c>
    </row>
    <row r="587" spans="1:7" ht="15" thickBot="1" x14ac:dyDescent="0.25">
      <c r="A587" s="1176" t="s">
        <v>1647</v>
      </c>
      <c r="B587" s="1177"/>
      <c r="C587" s="1177"/>
      <c r="D587" s="1177"/>
      <c r="E587" s="1177"/>
      <c r="F587" s="1177"/>
      <c r="G587" s="1178"/>
    </row>
    <row r="588" spans="1:7" ht="24" x14ac:dyDescent="0.2">
      <c r="A588" s="254" t="s">
        <v>1681</v>
      </c>
      <c r="B588" s="190" t="s">
        <v>42</v>
      </c>
      <c r="C588" s="190" t="s">
        <v>43</v>
      </c>
      <c r="D588" s="190" t="s">
        <v>44</v>
      </c>
      <c r="E588" s="190" t="s">
        <v>306</v>
      </c>
      <c r="F588" s="190" t="s">
        <v>29</v>
      </c>
      <c r="G588" s="243"/>
    </row>
    <row r="589" spans="1:7" ht="36" x14ac:dyDescent="0.2">
      <c r="A589" s="255" t="s">
        <v>1676</v>
      </c>
      <c r="B589" s="202">
        <f>VLOOKUP(A589,JORNALES!$A$5:$B$28,2,FALSE)</f>
        <v>295000</v>
      </c>
      <c r="C589" s="233">
        <f>+PRESTACIONES!$C$20/100</f>
        <v>0.89990000000000014</v>
      </c>
      <c r="D589" s="234">
        <f>+(B589*C589)+B589</f>
        <v>560470.5</v>
      </c>
      <c r="E589" s="270">
        <v>15</v>
      </c>
      <c r="F589" s="199">
        <f>+D589/E589</f>
        <v>37364.699999999997</v>
      </c>
      <c r="G589" s="246"/>
    </row>
    <row r="590" spans="1:7" x14ac:dyDescent="0.2">
      <c r="A590" s="247"/>
      <c r="B590" s="267"/>
      <c r="C590" s="267"/>
      <c r="D590" s="267"/>
      <c r="E590" s="267"/>
      <c r="F590" s="267"/>
      <c r="G590" s="246" t="s">
        <v>31</v>
      </c>
    </row>
    <row r="591" spans="1:7" x14ac:dyDescent="0.2">
      <c r="A591" s="247"/>
      <c r="B591" s="267"/>
      <c r="C591" s="267"/>
      <c r="D591" s="267"/>
      <c r="E591" s="267"/>
      <c r="F591" s="267"/>
      <c r="G591" s="256">
        <f>SUM(F589:F589)</f>
        <v>37364.699999999997</v>
      </c>
    </row>
    <row r="592" spans="1:7" ht="15" thickBot="1" x14ac:dyDescent="0.25">
      <c r="A592" s="1181" t="s">
        <v>25</v>
      </c>
      <c r="B592" s="1182"/>
      <c r="C592" s="1182"/>
      <c r="D592" s="1182"/>
      <c r="E592" s="1182"/>
      <c r="F592" s="1182"/>
      <c r="G592" s="1183"/>
    </row>
    <row r="593" spans="1:7" ht="15" thickBot="1" x14ac:dyDescent="0.25">
      <c r="A593" s="1184" t="s">
        <v>45</v>
      </c>
      <c r="B593" s="1185"/>
      <c r="C593" s="1185"/>
      <c r="D593" s="1185"/>
      <c r="E593" s="1185"/>
      <c r="F593" s="192"/>
      <c r="G593" s="277">
        <f xml:space="preserve"> ROUND(G591+G586+G580+G573,0)</f>
        <v>1081074</v>
      </c>
    </row>
    <row r="594" spans="1:7" x14ac:dyDescent="0.2">
      <c r="A594" s="1186" t="s">
        <v>476</v>
      </c>
      <c r="B594" s="1187"/>
      <c r="C594" s="1187"/>
      <c r="D594" s="1187"/>
      <c r="E594" s="1187"/>
      <c r="F594" s="193" t="s">
        <v>51</v>
      </c>
      <c r="G594" s="257" t="s">
        <v>307</v>
      </c>
    </row>
    <row r="595" spans="1:7" x14ac:dyDescent="0.2">
      <c r="A595" s="1166" t="s">
        <v>17</v>
      </c>
      <c r="B595" s="1167"/>
      <c r="C595" s="1167"/>
      <c r="D595" s="1167"/>
      <c r="E595" s="1167"/>
      <c r="F595" s="240"/>
      <c r="G595" s="196"/>
    </row>
    <row r="596" spans="1:7" x14ac:dyDescent="0.2">
      <c r="A596" s="1166" t="s">
        <v>308</v>
      </c>
      <c r="B596" s="1167"/>
      <c r="C596" s="1167"/>
      <c r="D596" s="1167"/>
      <c r="E596" s="1167"/>
      <c r="F596" s="240"/>
      <c r="G596" s="196"/>
    </row>
    <row r="597" spans="1:7" x14ac:dyDescent="0.2">
      <c r="A597" s="1166" t="s">
        <v>19</v>
      </c>
      <c r="B597" s="1167"/>
      <c r="C597" s="1167"/>
      <c r="D597" s="1167"/>
      <c r="E597" s="1167"/>
      <c r="F597" s="240"/>
      <c r="G597" s="196"/>
    </row>
    <row r="598" spans="1:7" ht="15" thickBot="1" x14ac:dyDescent="0.25">
      <c r="A598" s="1168" t="s">
        <v>309</v>
      </c>
      <c r="B598" s="1169"/>
      <c r="C598" s="1169"/>
      <c r="D598" s="1169"/>
      <c r="E598" s="1169"/>
      <c r="F598" s="198"/>
      <c r="G598" s="258"/>
    </row>
    <row r="599" spans="1:7" ht="15" thickBot="1" x14ac:dyDescent="0.25">
      <c r="A599" s="1170" t="s">
        <v>310</v>
      </c>
      <c r="B599" s="1171"/>
      <c r="C599" s="1171"/>
      <c r="D599" s="1171"/>
      <c r="E599" s="1171"/>
      <c r="F599" s="1172"/>
      <c r="G599" s="1173"/>
    </row>
    <row r="600" spans="1:7" x14ac:dyDescent="0.2">
      <c r="A600" s="265"/>
      <c r="B600" s="266"/>
      <c r="C600" s="266"/>
      <c r="D600" s="266"/>
      <c r="E600" s="266"/>
      <c r="F600" s="193"/>
      <c r="G600" s="260"/>
    </row>
    <row r="601" spans="1:7" ht="15" thickBot="1" x14ac:dyDescent="0.25">
      <c r="A601" s="261" t="s">
        <v>681</v>
      </c>
      <c r="B601" s="262"/>
      <c r="C601" s="262" t="s">
        <v>682</v>
      </c>
      <c r="D601" s="262"/>
      <c r="E601" s="262"/>
      <c r="F601" s="262" t="s">
        <v>683</v>
      </c>
      <c r="G601" s="263"/>
    </row>
    <row r="602" spans="1:7" ht="15" thickBot="1" x14ac:dyDescent="0.25">
      <c r="A602" s="1174" t="str">
        <f>+LIST_ACTIVIDADES!D24</f>
        <v>Suministro e Instalación de concreto de 3000 psi para vigas aereas y de remate sin refuerzo</v>
      </c>
      <c r="B602" s="1175"/>
      <c r="C602" s="1175"/>
      <c r="D602" s="1175"/>
      <c r="E602" s="1175"/>
      <c r="F602" s="241" t="s">
        <v>24</v>
      </c>
      <c r="G602" s="264" t="str">
        <f>+LIST_ACTIVIDADES!E24</f>
        <v>m³</v>
      </c>
    </row>
    <row r="603" spans="1:7" ht="15" thickBot="1" x14ac:dyDescent="0.25">
      <c r="A603" s="1176" t="s">
        <v>1642</v>
      </c>
      <c r="B603" s="1177"/>
      <c r="C603" s="1177"/>
      <c r="D603" s="1177"/>
      <c r="E603" s="1177"/>
      <c r="F603" s="1177"/>
      <c r="G603" s="1178"/>
    </row>
    <row r="604" spans="1:7" x14ac:dyDescent="0.2">
      <c r="A604" s="242" t="s">
        <v>1643</v>
      </c>
      <c r="B604" s="191" t="s">
        <v>1644</v>
      </c>
      <c r="C604" s="190" t="s">
        <v>26</v>
      </c>
      <c r="D604" s="190" t="s">
        <v>27</v>
      </c>
      <c r="E604" s="190" t="s">
        <v>28</v>
      </c>
      <c r="F604" s="190" t="s">
        <v>29</v>
      </c>
      <c r="G604" s="243"/>
    </row>
    <row r="605" spans="1:7" ht="24" x14ac:dyDescent="0.2">
      <c r="A605" s="362" t="str">
        <f>VLOOKUP(B605,PRECIOS!$A$309:$E$485,2,FALSE)</f>
        <v>EQUIPO142</v>
      </c>
      <c r="B605" s="363" t="s">
        <v>621</v>
      </c>
      <c r="C605" s="99" t="str">
        <f>VLOOKUP(B605,PRECIOS!$A$309:$E$485,3,FALSE)</f>
        <v>Electrica</v>
      </c>
      <c r="D605" s="364">
        <f>VLOOKUP(B605,PRECIOS!$A$309:$E$485,5,FALSE)</f>
        <v>9306.9869999999992</v>
      </c>
      <c r="E605" s="365">
        <v>0.08</v>
      </c>
      <c r="F605" s="366">
        <f>+D605*E605</f>
        <v>744.55895999999996</v>
      </c>
      <c r="G605" s="245"/>
    </row>
    <row r="606" spans="1:7" x14ac:dyDescent="0.2">
      <c r="A606" s="1179" t="s">
        <v>1650</v>
      </c>
      <c r="B606" s="1180"/>
      <c r="C606" s="214">
        <v>0.05</v>
      </c>
      <c r="D606" s="213"/>
      <c r="E606" s="269"/>
      <c r="F606" s="212">
        <f>+G626*C606</f>
        <v>1868.2349999999999</v>
      </c>
      <c r="G606" s="246"/>
    </row>
    <row r="607" spans="1:7" x14ac:dyDescent="0.2">
      <c r="A607" s="247" t="s">
        <v>25</v>
      </c>
      <c r="B607" s="267"/>
      <c r="C607" s="267"/>
      <c r="D607" s="267"/>
      <c r="E607" s="267"/>
      <c r="F607" s="267"/>
      <c r="G607" s="246" t="s">
        <v>31</v>
      </c>
    </row>
    <row r="608" spans="1:7" ht="15" thickBot="1" x14ac:dyDescent="0.25">
      <c r="A608" s="248"/>
      <c r="B608" s="271"/>
      <c r="C608" s="271"/>
      <c r="D608" s="271"/>
      <c r="E608" s="271"/>
      <c r="F608" s="271"/>
      <c r="G608" s="249">
        <f>SUM(F605:F606)</f>
        <v>2612.79396</v>
      </c>
    </row>
    <row r="609" spans="1:7" ht="15" thickBot="1" x14ac:dyDescent="0.25">
      <c r="A609" s="1176" t="s">
        <v>1645</v>
      </c>
      <c r="B609" s="1177"/>
      <c r="C609" s="1177"/>
      <c r="D609" s="1177"/>
      <c r="E609" s="1177"/>
      <c r="F609" s="1177"/>
      <c r="G609" s="1178"/>
    </row>
    <row r="610" spans="1:7" x14ac:dyDescent="0.2">
      <c r="A610" s="242" t="s">
        <v>1643</v>
      </c>
      <c r="B610" s="191" t="s">
        <v>1644</v>
      </c>
      <c r="C610" s="190" t="s">
        <v>32</v>
      </c>
      <c r="D610" s="190" t="s">
        <v>33</v>
      </c>
      <c r="E610" s="190" t="s">
        <v>34</v>
      </c>
      <c r="F610" s="190" t="s">
        <v>35</v>
      </c>
      <c r="G610" s="243"/>
    </row>
    <row r="611" spans="1:7" x14ac:dyDescent="0.2">
      <c r="A611" s="247"/>
      <c r="B611" s="216" t="str">
        <f>+LIST_APUS_AUX!$A$92</f>
        <v>Concreto de 3000 PSI</v>
      </c>
      <c r="C611" s="373" t="str">
        <f>+LIST_APUS_AUX!G92</f>
        <v>m³</v>
      </c>
      <c r="D611" s="361">
        <f>+LIST_APUS_AUX!$G$120</f>
        <v>841990</v>
      </c>
      <c r="E611" s="104">
        <v>1</v>
      </c>
      <c r="F611" s="361">
        <f>+D611*E611</f>
        <v>841990</v>
      </c>
      <c r="G611" s="370"/>
    </row>
    <row r="612" spans="1:7" ht="27" customHeight="1" x14ac:dyDescent="0.2">
      <c r="A612" s="247"/>
      <c r="B612" s="216" t="str">
        <f>+LIST_APUS_AUX!$A$273</f>
        <v xml:space="preserve">Formaleta en madera fina, para concreto columnas y vigas </v>
      </c>
      <c r="C612" s="373" t="str">
        <f>+LIST_APUS_AUX!G273</f>
        <v>m²</v>
      </c>
      <c r="D612" s="361">
        <f>+LIST_APUS_AUX!$G$304</f>
        <v>43143</v>
      </c>
      <c r="E612" s="104">
        <v>0.6</v>
      </c>
      <c r="F612" s="361">
        <f>+D612*E612</f>
        <v>25885.8</v>
      </c>
      <c r="G612" s="246"/>
    </row>
    <row r="613" spans="1:7" x14ac:dyDescent="0.2">
      <c r="A613" s="1179" t="s">
        <v>1649</v>
      </c>
      <c r="B613" s="1180"/>
      <c r="C613" s="214">
        <v>0.03</v>
      </c>
      <c r="D613" s="268"/>
      <c r="E613" s="269"/>
      <c r="F613" s="276">
        <f>SUM(F611:F612)*C613</f>
        <v>26036.274000000001</v>
      </c>
      <c r="G613" s="246"/>
    </row>
    <row r="614" spans="1:7" x14ac:dyDescent="0.2">
      <c r="A614" s="247"/>
      <c r="B614" s="267"/>
      <c r="C614" s="104"/>
      <c r="D614" s="104"/>
      <c r="E614" s="104"/>
      <c r="F614" s="104"/>
      <c r="G614" s="246" t="s">
        <v>31</v>
      </c>
    </row>
    <row r="615" spans="1:7" ht="15" thickBot="1" x14ac:dyDescent="0.25">
      <c r="A615" s="248"/>
      <c r="B615" s="271"/>
      <c r="C615" s="271"/>
      <c r="D615" s="271"/>
      <c r="E615" s="271"/>
      <c r="F615" s="271"/>
      <c r="G615" s="250">
        <f>SUM(F611:F613)</f>
        <v>893912.07400000002</v>
      </c>
    </row>
    <row r="616" spans="1:7" ht="15" thickBot="1" x14ac:dyDescent="0.25">
      <c r="A616" s="1176" t="s">
        <v>1646</v>
      </c>
      <c r="B616" s="1177"/>
      <c r="C616" s="1177"/>
      <c r="D616" s="1177"/>
      <c r="E616" s="1177"/>
      <c r="F616" s="1177"/>
      <c r="G616" s="1178"/>
    </row>
    <row r="617" spans="1:7" x14ac:dyDescent="0.2">
      <c r="A617" s="251" t="s">
        <v>305</v>
      </c>
      <c r="B617" s="190" t="s">
        <v>38</v>
      </c>
      <c r="C617" s="190" t="s">
        <v>39</v>
      </c>
      <c r="D617" s="190" t="s">
        <v>40</v>
      </c>
      <c r="E617" s="190" t="s">
        <v>34</v>
      </c>
      <c r="F617" s="190" t="s">
        <v>35</v>
      </c>
      <c r="G617" s="243"/>
    </row>
    <row r="618" spans="1:7" x14ac:dyDescent="0.2">
      <c r="A618" s="369"/>
      <c r="B618" s="89"/>
      <c r="C618" s="209"/>
      <c r="D618" s="199"/>
      <c r="E618" s="367"/>
      <c r="F618" s="234"/>
      <c r="G618" s="253"/>
    </row>
    <row r="619" spans="1:7" x14ac:dyDescent="0.2">
      <c r="A619" s="252"/>
      <c r="B619" s="235"/>
      <c r="C619" s="238"/>
      <c r="D619" s="236"/>
      <c r="E619" s="237"/>
      <c r="F619" s="239"/>
      <c r="G619" s="253"/>
    </row>
    <row r="620" spans="1:7" x14ac:dyDescent="0.2">
      <c r="A620" s="247" t="s">
        <v>25</v>
      </c>
      <c r="B620" s="104" t="s">
        <v>25</v>
      </c>
      <c r="C620" s="104" t="s">
        <v>25</v>
      </c>
      <c r="D620" s="188" t="s">
        <v>25</v>
      </c>
      <c r="E620" s="189" t="s">
        <v>25</v>
      </c>
      <c r="F620" s="187" t="s">
        <v>25</v>
      </c>
      <c r="G620" s="246" t="s">
        <v>31</v>
      </c>
    </row>
    <row r="621" spans="1:7" ht="15" thickBot="1" x14ac:dyDescent="0.25">
      <c r="A621" s="248"/>
      <c r="B621" s="271"/>
      <c r="C621" s="271"/>
      <c r="D621" s="271"/>
      <c r="E621" s="271"/>
      <c r="F621" s="271"/>
      <c r="G621" s="250">
        <f>SUM(F618:F619)</f>
        <v>0</v>
      </c>
    </row>
    <row r="622" spans="1:7" ht="15" thickBot="1" x14ac:dyDescent="0.25">
      <c r="A622" s="1176" t="s">
        <v>1647</v>
      </c>
      <c r="B622" s="1177"/>
      <c r="C622" s="1177"/>
      <c r="D622" s="1177"/>
      <c r="E622" s="1177"/>
      <c r="F622" s="1177"/>
      <c r="G622" s="1178"/>
    </row>
    <row r="623" spans="1:7" ht="24" x14ac:dyDescent="0.2">
      <c r="A623" s="254" t="s">
        <v>1681</v>
      </c>
      <c r="B623" s="190" t="s">
        <v>42</v>
      </c>
      <c r="C623" s="190" t="s">
        <v>43</v>
      </c>
      <c r="D623" s="190" t="s">
        <v>44</v>
      </c>
      <c r="E623" s="190" t="s">
        <v>306</v>
      </c>
      <c r="F623" s="190" t="s">
        <v>29</v>
      </c>
      <c r="G623" s="243"/>
    </row>
    <row r="624" spans="1:7" ht="36" x14ac:dyDescent="0.2">
      <c r="A624" s="255" t="s">
        <v>1676</v>
      </c>
      <c r="B624" s="202">
        <f>VLOOKUP(A624,JORNALES!$A$5:$B$28,2,FALSE)</f>
        <v>295000</v>
      </c>
      <c r="C624" s="233">
        <f>+PRESTACIONES!$C$20/100</f>
        <v>0.89990000000000014</v>
      </c>
      <c r="D624" s="234">
        <f>+(B624*C624)+B624</f>
        <v>560470.5</v>
      </c>
      <c r="E624" s="270">
        <v>15</v>
      </c>
      <c r="F624" s="199">
        <f>+D624/E624</f>
        <v>37364.699999999997</v>
      </c>
      <c r="G624" s="246"/>
    </row>
    <row r="625" spans="1:7" x14ac:dyDescent="0.2">
      <c r="A625" s="247"/>
      <c r="B625" s="267"/>
      <c r="C625" s="267"/>
      <c r="D625" s="267"/>
      <c r="E625" s="267"/>
      <c r="F625" s="267"/>
      <c r="G625" s="246" t="s">
        <v>31</v>
      </c>
    </row>
    <row r="626" spans="1:7" x14ac:dyDescent="0.2">
      <c r="A626" s="247"/>
      <c r="B626" s="267"/>
      <c r="C626" s="267"/>
      <c r="D626" s="267"/>
      <c r="E626" s="267"/>
      <c r="F626" s="267"/>
      <c r="G626" s="256">
        <f>SUM(F624:F624)</f>
        <v>37364.699999999997</v>
      </c>
    </row>
    <row r="627" spans="1:7" ht="15" thickBot="1" x14ac:dyDescent="0.25">
      <c r="A627" s="1181" t="s">
        <v>25</v>
      </c>
      <c r="B627" s="1182"/>
      <c r="C627" s="1182"/>
      <c r="D627" s="1182"/>
      <c r="E627" s="1182"/>
      <c r="F627" s="1182"/>
      <c r="G627" s="1183"/>
    </row>
    <row r="628" spans="1:7" ht="15" thickBot="1" x14ac:dyDescent="0.25">
      <c r="A628" s="1184" t="s">
        <v>45</v>
      </c>
      <c r="B628" s="1185"/>
      <c r="C628" s="1185"/>
      <c r="D628" s="1185"/>
      <c r="E628" s="1185"/>
      <c r="F628" s="192"/>
      <c r="G628" s="277">
        <f xml:space="preserve"> ROUND(G626+G621+G615+G608,0)</f>
        <v>933890</v>
      </c>
    </row>
    <row r="629" spans="1:7" x14ac:dyDescent="0.2">
      <c r="A629" s="1186" t="s">
        <v>476</v>
      </c>
      <c r="B629" s="1187"/>
      <c r="C629" s="1187"/>
      <c r="D629" s="1187"/>
      <c r="E629" s="1187"/>
      <c r="F629" s="193" t="s">
        <v>51</v>
      </c>
      <c r="G629" s="257" t="s">
        <v>307</v>
      </c>
    </row>
    <row r="630" spans="1:7" x14ac:dyDescent="0.2">
      <c r="A630" s="1166" t="s">
        <v>17</v>
      </c>
      <c r="B630" s="1167"/>
      <c r="C630" s="1167"/>
      <c r="D630" s="1167"/>
      <c r="E630" s="1167"/>
      <c r="F630" s="240"/>
      <c r="G630" s="196"/>
    </row>
    <row r="631" spans="1:7" x14ac:dyDescent="0.2">
      <c r="A631" s="1166" t="s">
        <v>308</v>
      </c>
      <c r="B631" s="1167"/>
      <c r="C631" s="1167"/>
      <c r="D631" s="1167"/>
      <c r="E631" s="1167"/>
      <c r="F631" s="240"/>
      <c r="G631" s="196"/>
    </row>
    <row r="632" spans="1:7" x14ac:dyDescent="0.2">
      <c r="A632" s="1166" t="s">
        <v>19</v>
      </c>
      <c r="B632" s="1167"/>
      <c r="C632" s="1167"/>
      <c r="D632" s="1167"/>
      <c r="E632" s="1167"/>
      <c r="F632" s="240"/>
      <c r="G632" s="196"/>
    </row>
    <row r="633" spans="1:7" ht="15" thickBot="1" x14ac:dyDescent="0.25">
      <c r="A633" s="1168" t="s">
        <v>309</v>
      </c>
      <c r="B633" s="1169"/>
      <c r="C633" s="1169"/>
      <c r="D633" s="1169"/>
      <c r="E633" s="1169"/>
      <c r="F633" s="198"/>
      <c r="G633" s="258"/>
    </row>
    <row r="634" spans="1:7" ht="15" thickBot="1" x14ac:dyDescent="0.25">
      <c r="A634" s="1170" t="s">
        <v>310</v>
      </c>
      <c r="B634" s="1171"/>
      <c r="C634" s="1171"/>
      <c r="D634" s="1171"/>
      <c r="E634" s="1171"/>
      <c r="F634" s="1172"/>
      <c r="G634" s="1173"/>
    </row>
    <row r="635" spans="1:7" x14ac:dyDescent="0.2">
      <c r="A635" s="265"/>
      <c r="B635" s="266"/>
      <c r="C635" s="266"/>
      <c r="D635" s="266"/>
      <c r="E635" s="266"/>
      <c r="F635" s="193"/>
      <c r="G635" s="260"/>
    </row>
    <row r="636" spans="1:7" ht="15" thickBot="1" x14ac:dyDescent="0.25">
      <c r="A636" s="261" t="s">
        <v>681</v>
      </c>
      <c r="B636" s="262"/>
      <c r="C636" s="262" t="s">
        <v>682</v>
      </c>
      <c r="D636" s="262"/>
      <c r="E636" s="262"/>
      <c r="F636" s="262" t="s">
        <v>683</v>
      </c>
      <c r="G636" s="263"/>
    </row>
    <row r="637" spans="1:7" ht="15" thickBot="1" x14ac:dyDescent="0.25">
      <c r="A637" s="1174" t="str">
        <f>+LIST_ACTIVIDADES!D25</f>
        <v>Placa Steeldeck y/o Metaldeck en concreto de 3000psi, sin refuerzo, según diseño</v>
      </c>
      <c r="B637" s="1175"/>
      <c r="C637" s="1175"/>
      <c r="D637" s="1175"/>
      <c r="E637" s="1175"/>
      <c r="F637" s="241" t="s">
        <v>24</v>
      </c>
      <c r="G637" s="264" t="str">
        <f>+LIST_ACTIVIDADES!E25</f>
        <v>m²</v>
      </c>
    </row>
    <row r="638" spans="1:7" ht="15" thickBot="1" x14ac:dyDescent="0.25">
      <c r="A638" s="1176" t="s">
        <v>1642</v>
      </c>
      <c r="B638" s="1177"/>
      <c r="C638" s="1177"/>
      <c r="D638" s="1177"/>
      <c r="E638" s="1177"/>
      <c r="F638" s="1177"/>
      <c r="G638" s="1178"/>
    </row>
    <row r="639" spans="1:7" x14ac:dyDescent="0.2">
      <c r="A639" s="242" t="s">
        <v>1643</v>
      </c>
      <c r="B639" s="191" t="s">
        <v>1644</v>
      </c>
      <c r="C639" s="190" t="s">
        <v>26</v>
      </c>
      <c r="D639" s="190" t="s">
        <v>27</v>
      </c>
      <c r="E639" s="190" t="s">
        <v>28</v>
      </c>
      <c r="F639" s="190" t="s">
        <v>29</v>
      </c>
      <c r="G639" s="243"/>
    </row>
    <row r="640" spans="1:7" ht="24" x14ac:dyDescent="0.2">
      <c r="A640" s="362" t="str">
        <f>VLOOKUP(B640,PRECIOS!$A$309:$E$485,2,FALSE)</f>
        <v>EQUIPO142</v>
      </c>
      <c r="B640" s="363" t="s">
        <v>621</v>
      </c>
      <c r="C640" s="99" t="str">
        <f>VLOOKUP(B640,PRECIOS!$A$309:$E$485,3,FALSE)</f>
        <v>Electrica</v>
      </c>
      <c r="D640" s="364">
        <f>VLOOKUP(B640,PRECIOS!$A$309:$E$485,5,FALSE)</f>
        <v>9306.9869999999992</v>
      </c>
      <c r="E640" s="365">
        <v>0.08</v>
      </c>
      <c r="F640" s="366">
        <f>+D640*E640</f>
        <v>744.55895999999996</v>
      </c>
      <c r="G640" s="245"/>
    </row>
    <row r="641" spans="1:11" ht="20.25" customHeight="1" x14ac:dyDescent="0.2">
      <c r="A641" s="362" t="str">
        <f>VLOOKUP(B641,PRECIOS!$A$309:$E$485,2,FALSE)</f>
        <v>EQUIPO175</v>
      </c>
      <c r="B641" s="363" t="s">
        <v>454</v>
      </c>
      <c r="C641" s="99" t="str">
        <f>VLOOKUP(B641,PRECIOS!$A$309:$E$485,3,FALSE)</f>
        <v>Estructura</v>
      </c>
      <c r="D641" s="364">
        <f>VLOOKUP(B641,PRECIOS!$A$309:$E$485,5,FALSE)</f>
        <v>75</v>
      </c>
      <c r="E641" s="365">
        <v>0.08</v>
      </c>
      <c r="F641" s="366">
        <f>+D641*E641</f>
        <v>6</v>
      </c>
      <c r="G641" s="245"/>
    </row>
    <row r="642" spans="1:11" x14ac:dyDescent="0.2">
      <c r="A642" s="1179" t="s">
        <v>1650</v>
      </c>
      <c r="B642" s="1180"/>
      <c r="C642" s="214">
        <v>0.05</v>
      </c>
      <c r="D642" s="213"/>
      <c r="E642" s="269"/>
      <c r="F642" s="212">
        <f>+G663*C642</f>
        <v>2802.3525000000004</v>
      </c>
      <c r="G642" s="246"/>
    </row>
    <row r="643" spans="1:11" x14ac:dyDescent="0.2">
      <c r="A643" s="247" t="s">
        <v>25</v>
      </c>
      <c r="B643" s="267"/>
      <c r="C643" s="267"/>
      <c r="D643" s="267"/>
      <c r="E643" s="267"/>
      <c r="F643" s="267"/>
      <c r="G643" s="246" t="s">
        <v>31</v>
      </c>
    </row>
    <row r="644" spans="1:11" ht="15" thickBot="1" x14ac:dyDescent="0.25">
      <c r="A644" s="248"/>
      <c r="B644" s="271"/>
      <c r="C644" s="271"/>
      <c r="D644" s="271"/>
      <c r="E644" s="271"/>
      <c r="F644" s="271"/>
      <c r="G644" s="249">
        <f>SUM(F640:F642)</f>
        <v>3552.9114600000003</v>
      </c>
    </row>
    <row r="645" spans="1:11" ht="15" thickBot="1" x14ac:dyDescent="0.25">
      <c r="A645" s="1176" t="s">
        <v>1645</v>
      </c>
      <c r="B645" s="1177"/>
      <c r="C645" s="1177"/>
      <c r="D645" s="1177"/>
      <c r="E645" s="1177"/>
      <c r="F645" s="1177"/>
      <c r="G645" s="1178"/>
    </row>
    <row r="646" spans="1:11" x14ac:dyDescent="0.2">
      <c r="A646" s="242" t="s">
        <v>1643</v>
      </c>
      <c r="B646" s="191" t="s">
        <v>1644</v>
      </c>
      <c r="C646" s="190" t="s">
        <v>32</v>
      </c>
      <c r="D646" s="190" t="s">
        <v>33</v>
      </c>
      <c r="E646" s="190" t="s">
        <v>34</v>
      </c>
      <c r="F646" s="190" t="s">
        <v>35</v>
      </c>
      <c r="G646" s="243"/>
    </row>
    <row r="647" spans="1:11" x14ac:dyDescent="0.2">
      <c r="A647" s="247"/>
      <c r="B647" s="216" t="str">
        <f>+LIST_APUS_AUX!$A$92</f>
        <v>Concreto de 3000 PSI</v>
      </c>
      <c r="C647" s="373" t="str">
        <f>+LIST_APUS_AUX!G92</f>
        <v>m³</v>
      </c>
      <c r="D647" s="361">
        <f>+LIST_APUS_AUX!$G$120</f>
        <v>841990</v>
      </c>
      <c r="E647" s="104">
        <v>0.1</v>
      </c>
      <c r="F647" s="400">
        <f>+D647*E647</f>
        <v>84199</v>
      </c>
      <c r="G647" s="370"/>
    </row>
    <row r="648" spans="1:11" ht="27" customHeight="1" x14ac:dyDescent="0.2">
      <c r="A648" s="352" t="str">
        <f>VLOOKUP(B648,PRECIOS!$A$5:$D$303,2,FALSE)</f>
        <v>CUBIERT15</v>
      </c>
      <c r="B648" s="105" t="s">
        <v>397</v>
      </c>
      <c r="C648" s="99" t="str">
        <f>VLOOKUP(B648,PRECIOS!$A$5:$D$303,3,FALSE)</f>
        <v>Und.</v>
      </c>
      <c r="D648" s="371">
        <f>VLOOKUP(B648,PRECIOS!$A$5:$D$303,4,FALSE)</f>
        <v>264601.26</v>
      </c>
      <c r="E648" s="399">
        <v>0.18</v>
      </c>
      <c r="F648" s="401">
        <f>+D648*E648</f>
        <v>47628.226799999997</v>
      </c>
      <c r="G648" s="370"/>
      <c r="J648" s="358"/>
    </row>
    <row r="649" spans="1:11" ht="17.25" customHeight="1" x14ac:dyDescent="0.2">
      <c r="A649" s="247"/>
      <c r="B649" s="216" t="str">
        <f>+LIST_APUS_AUX!A203</f>
        <v>Acero de refuerzo de 60000 PSI</v>
      </c>
      <c r="C649" s="373" t="str">
        <f>+LIST_APUS_AUX!G203</f>
        <v>Kg</v>
      </c>
      <c r="D649" s="361">
        <f>+LIST_APUS_AUX!G229</f>
        <v>7479</v>
      </c>
      <c r="E649" s="399">
        <v>0.2</v>
      </c>
      <c r="F649" s="401">
        <f>+D649*E649</f>
        <v>1495.8000000000002</v>
      </c>
      <c r="G649" s="370"/>
    </row>
    <row r="650" spans="1:11" x14ac:dyDescent="0.2">
      <c r="A650" s="1179" t="s">
        <v>1649</v>
      </c>
      <c r="B650" s="1180"/>
      <c r="C650" s="214">
        <v>0.03</v>
      </c>
      <c r="D650" s="268"/>
      <c r="E650" s="269"/>
      <c r="F650" s="276">
        <f>SUM(F647:F649)*C650</f>
        <v>3999.6908039999998</v>
      </c>
      <c r="G650" s="246"/>
      <c r="K650" s="359"/>
    </row>
    <row r="651" spans="1:11" x14ac:dyDescent="0.2">
      <c r="A651" s="247"/>
      <c r="B651" s="267"/>
      <c r="C651" s="104"/>
      <c r="D651" s="104"/>
      <c r="E651" s="104"/>
      <c r="F651" s="104"/>
      <c r="G651" s="246" t="s">
        <v>31</v>
      </c>
    </row>
    <row r="652" spans="1:11" ht="15" thickBot="1" x14ac:dyDescent="0.25">
      <c r="A652" s="248"/>
      <c r="B652" s="271"/>
      <c r="C652" s="271"/>
      <c r="D652" s="271"/>
      <c r="E652" s="271"/>
      <c r="F652" s="271"/>
      <c r="G652" s="250">
        <f>SUM(F647:F650)</f>
        <v>137322.717604</v>
      </c>
    </row>
    <row r="653" spans="1:11" ht="15" thickBot="1" x14ac:dyDescent="0.25">
      <c r="A653" s="1176" t="s">
        <v>1646</v>
      </c>
      <c r="B653" s="1177"/>
      <c r="C653" s="1177"/>
      <c r="D653" s="1177"/>
      <c r="E653" s="1177"/>
      <c r="F653" s="1177"/>
      <c r="G653" s="1178"/>
    </row>
    <row r="654" spans="1:11" x14ac:dyDescent="0.2">
      <c r="A654" s="251" t="s">
        <v>305</v>
      </c>
      <c r="B654" s="190" t="s">
        <v>38</v>
      </c>
      <c r="C654" s="190" t="s">
        <v>39</v>
      </c>
      <c r="D654" s="190" t="s">
        <v>40</v>
      </c>
      <c r="E654" s="190" t="s">
        <v>34</v>
      </c>
      <c r="F654" s="190" t="s">
        <v>35</v>
      </c>
      <c r="G654" s="243"/>
    </row>
    <row r="655" spans="1:11" x14ac:dyDescent="0.2">
      <c r="A655" s="369"/>
      <c r="B655" s="89"/>
      <c r="C655" s="209"/>
      <c r="D655" s="199"/>
      <c r="E655" s="367"/>
      <c r="F655" s="234"/>
      <c r="G655" s="253"/>
    </row>
    <row r="656" spans="1:11" x14ac:dyDescent="0.2">
      <c r="A656" s="252"/>
      <c r="B656" s="235"/>
      <c r="C656" s="238"/>
      <c r="D656" s="236"/>
      <c r="E656" s="237"/>
      <c r="F656" s="239"/>
      <c r="G656" s="253"/>
    </row>
    <row r="657" spans="1:7" x14ac:dyDescent="0.2">
      <c r="A657" s="247" t="s">
        <v>25</v>
      </c>
      <c r="B657" s="104" t="s">
        <v>25</v>
      </c>
      <c r="C657" s="104" t="s">
        <v>25</v>
      </c>
      <c r="D657" s="188" t="s">
        <v>25</v>
      </c>
      <c r="E657" s="189" t="s">
        <v>25</v>
      </c>
      <c r="F657" s="187" t="s">
        <v>25</v>
      </c>
      <c r="G657" s="246" t="s">
        <v>31</v>
      </c>
    </row>
    <row r="658" spans="1:7" ht="15" thickBot="1" x14ac:dyDescent="0.25">
      <c r="A658" s="248"/>
      <c r="B658" s="271"/>
      <c r="C658" s="271"/>
      <c r="D658" s="271"/>
      <c r="E658" s="271"/>
      <c r="F658" s="271"/>
      <c r="G658" s="250">
        <f>SUM(F655:F656)</f>
        <v>0</v>
      </c>
    </row>
    <row r="659" spans="1:7" ht="15" thickBot="1" x14ac:dyDescent="0.25">
      <c r="A659" s="1176" t="s">
        <v>1647</v>
      </c>
      <c r="B659" s="1177"/>
      <c r="C659" s="1177"/>
      <c r="D659" s="1177"/>
      <c r="E659" s="1177"/>
      <c r="F659" s="1177"/>
      <c r="G659" s="1178"/>
    </row>
    <row r="660" spans="1:7" ht="24" x14ac:dyDescent="0.2">
      <c r="A660" s="254" t="s">
        <v>1681</v>
      </c>
      <c r="B660" s="190" t="s">
        <v>42</v>
      </c>
      <c r="C660" s="190" t="s">
        <v>43</v>
      </c>
      <c r="D660" s="190" t="s">
        <v>44</v>
      </c>
      <c r="E660" s="190" t="s">
        <v>306</v>
      </c>
      <c r="F660" s="190" t="s">
        <v>29</v>
      </c>
      <c r="G660" s="243"/>
    </row>
    <row r="661" spans="1:7" ht="36" x14ac:dyDescent="0.2">
      <c r="A661" s="255" t="s">
        <v>1676</v>
      </c>
      <c r="B661" s="202">
        <f>VLOOKUP(A661,JORNALES!$A$5:$B$28,2,FALSE)</f>
        <v>295000</v>
      </c>
      <c r="C661" s="233">
        <f>+PRESTACIONES!$C$20/100</f>
        <v>0.89990000000000014</v>
      </c>
      <c r="D661" s="234">
        <f>+(B661*C661)+B661</f>
        <v>560470.5</v>
      </c>
      <c r="E661" s="270">
        <v>10</v>
      </c>
      <c r="F661" s="199">
        <f>+D661/E661</f>
        <v>56047.05</v>
      </c>
      <c r="G661" s="246"/>
    </row>
    <row r="662" spans="1:7" x14ac:dyDescent="0.2">
      <c r="A662" s="247"/>
      <c r="B662" s="267"/>
      <c r="C662" s="267"/>
      <c r="D662" s="267"/>
      <c r="E662" s="267"/>
      <c r="F662" s="267"/>
      <c r="G662" s="246" t="s">
        <v>31</v>
      </c>
    </row>
    <row r="663" spans="1:7" x14ac:dyDescent="0.2">
      <c r="A663" s="247"/>
      <c r="B663" s="267"/>
      <c r="C663" s="267"/>
      <c r="D663" s="267"/>
      <c r="E663" s="267"/>
      <c r="F663" s="267"/>
      <c r="G663" s="256">
        <f>SUM(F661:F661)</f>
        <v>56047.05</v>
      </c>
    </row>
    <row r="664" spans="1:7" ht="15" thickBot="1" x14ac:dyDescent="0.25">
      <c r="A664" s="1181" t="s">
        <v>25</v>
      </c>
      <c r="B664" s="1182"/>
      <c r="C664" s="1182"/>
      <c r="D664" s="1182"/>
      <c r="E664" s="1182"/>
      <c r="F664" s="1182"/>
      <c r="G664" s="1183"/>
    </row>
    <row r="665" spans="1:7" ht="15" thickBot="1" x14ac:dyDescent="0.25">
      <c r="A665" s="1184" t="s">
        <v>45</v>
      </c>
      <c r="B665" s="1185"/>
      <c r="C665" s="1185"/>
      <c r="D665" s="1185"/>
      <c r="E665" s="1185"/>
      <c r="F665" s="192"/>
      <c r="G665" s="277">
        <f xml:space="preserve"> ROUND(G663+G658+G652+G644,0)</f>
        <v>196923</v>
      </c>
    </row>
    <row r="666" spans="1:7" x14ac:dyDescent="0.2">
      <c r="A666" s="1186" t="s">
        <v>476</v>
      </c>
      <c r="B666" s="1187"/>
      <c r="C666" s="1187"/>
      <c r="D666" s="1187"/>
      <c r="E666" s="1187"/>
      <c r="F666" s="193" t="s">
        <v>51</v>
      </c>
      <c r="G666" s="257" t="s">
        <v>307</v>
      </c>
    </row>
    <row r="667" spans="1:7" x14ac:dyDescent="0.2">
      <c r="A667" s="1166" t="s">
        <v>17</v>
      </c>
      <c r="B667" s="1167"/>
      <c r="C667" s="1167"/>
      <c r="D667" s="1167"/>
      <c r="E667" s="1167"/>
      <c r="F667" s="240"/>
      <c r="G667" s="196"/>
    </row>
    <row r="668" spans="1:7" x14ac:dyDescent="0.2">
      <c r="A668" s="1166" t="s">
        <v>308</v>
      </c>
      <c r="B668" s="1167"/>
      <c r="C668" s="1167"/>
      <c r="D668" s="1167"/>
      <c r="E668" s="1167"/>
      <c r="F668" s="240"/>
      <c r="G668" s="196"/>
    </row>
    <row r="669" spans="1:7" x14ac:dyDescent="0.2">
      <c r="A669" s="1166" t="s">
        <v>19</v>
      </c>
      <c r="B669" s="1167"/>
      <c r="C669" s="1167"/>
      <c r="D669" s="1167"/>
      <c r="E669" s="1167"/>
      <c r="F669" s="240"/>
      <c r="G669" s="196"/>
    </row>
    <row r="670" spans="1:7" ht="15" thickBot="1" x14ac:dyDescent="0.25">
      <c r="A670" s="1168" t="s">
        <v>309</v>
      </c>
      <c r="B670" s="1169"/>
      <c r="C670" s="1169"/>
      <c r="D670" s="1169"/>
      <c r="E670" s="1169"/>
      <c r="F670" s="198"/>
      <c r="G670" s="258"/>
    </row>
    <row r="671" spans="1:7" ht="15" thickBot="1" x14ac:dyDescent="0.25">
      <c r="A671" s="1170" t="s">
        <v>310</v>
      </c>
      <c r="B671" s="1171"/>
      <c r="C671" s="1171"/>
      <c r="D671" s="1171"/>
      <c r="E671" s="1171"/>
      <c r="F671" s="1172"/>
      <c r="G671" s="1173"/>
    </row>
    <row r="672" spans="1:7" x14ac:dyDescent="0.2">
      <c r="A672" s="265"/>
      <c r="B672" s="266"/>
      <c r="C672" s="266"/>
      <c r="D672" s="266"/>
      <c r="E672" s="266"/>
      <c r="F672" s="193"/>
      <c r="G672" s="260"/>
    </row>
    <row r="673" spans="1:7" ht="15" thickBot="1" x14ac:dyDescent="0.25">
      <c r="A673" s="261" t="s">
        <v>681</v>
      </c>
      <c r="B673" s="262"/>
      <c r="C673" s="262" t="s">
        <v>682</v>
      </c>
      <c r="D673" s="262"/>
      <c r="E673" s="262"/>
      <c r="F673" s="262" t="s">
        <v>683</v>
      </c>
      <c r="G673" s="263"/>
    </row>
    <row r="674" spans="1:7" ht="15" thickBot="1" x14ac:dyDescent="0.25">
      <c r="A674" s="1174" t="str">
        <f>+LIST_ACTIVIDADES!D26</f>
        <v>Dintel en concreto de 3000psi de 0,12 x 0,20 m, incluye refuerzo</v>
      </c>
      <c r="B674" s="1175"/>
      <c r="C674" s="1175"/>
      <c r="D674" s="1175"/>
      <c r="E674" s="1175"/>
      <c r="F674" s="241" t="s">
        <v>24</v>
      </c>
      <c r="G674" s="264" t="str">
        <f>+LIST_ACTIVIDADES!E26</f>
        <v>m</v>
      </c>
    </row>
    <row r="675" spans="1:7" ht="15" thickBot="1" x14ac:dyDescent="0.25">
      <c r="A675" s="1176" t="s">
        <v>1642</v>
      </c>
      <c r="B675" s="1177"/>
      <c r="C675" s="1177"/>
      <c r="D675" s="1177"/>
      <c r="E675" s="1177"/>
      <c r="F675" s="1177"/>
      <c r="G675" s="1178"/>
    </row>
    <row r="676" spans="1:7" x14ac:dyDescent="0.2">
      <c r="A676" s="242" t="s">
        <v>1643</v>
      </c>
      <c r="B676" s="191" t="s">
        <v>1644</v>
      </c>
      <c r="C676" s="190" t="s">
        <v>26</v>
      </c>
      <c r="D676" s="190" t="s">
        <v>27</v>
      </c>
      <c r="E676" s="190" t="s">
        <v>28</v>
      </c>
      <c r="F676" s="190" t="s">
        <v>29</v>
      </c>
      <c r="G676" s="243"/>
    </row>
    <row r="677" spans="1:7" ht="24" x14ac:dyDescent="0.2">
      <c r="A677" s="362" t="str">
        <f>VLOOKUP(B677,PRECIOS!$A$309:$E$485,2,FALSE)</f>
        <v>EQUIPO142</v>
      </c>
      <c r="B677" s="363" t="s">
        <v>621</v>
      </c>
      <c r="C677" s="99" t="str">
        <f>VLOOKUP(B677,PRECIOS!$A$309:$E$485,3,FALSE)</f>
        <v>Electrica</v>
      </c>
      <c r="D677" s="364">
        <f>VLOOKUP(B677,PRECIOS!$A$309:$E$485,5,FALSE)</f>
        <v>9306.9869999999992</v>
      </c>
      <c r="E677" s="365">
        <v>0.08</v>
      </c>
      <c r="F677" s="366">
        <f>+D677*E677</f>
        <v>744.55895999999996</v>
      </c>
      <c r="G677" s="245"/>
    </row>
    <row r="678" spans="1:7" ht="24" x14ac:dyDescent="0.2">
      <c r="A678" s="362" t="str">
        <f>VLOOKUP(B678,PRECIOS!$A$309:$E$485,2,FALSE)</f>
        <v>EQUIPO175</v>
      </c>
      <c r="B678" s="363" t="s">
        <v>454</v>
      </c>
      <c r="C678" s="99" t="str">
        <f>VLOOKUP(B678,PRECIOS!$A$309:$E$485,3,FALSE)</f>
        <v>Estructura</v>
      </c>
      <c r="D678" s="364">
        <f>VLOOKUP(B678,PRECIOS!$A$309:$E$485,5,FALSE)</f>
        <v>75</v>
      </c>
      <c r="E678" s="365">
        <v>0.08</v>
      </c>
      <c r="F678" s="366">
        <f>+D678*E678</f>
        <v>6</v>
      </c>
      <c r="G678" s="245"/>
    </row>
    <row r="679" spans="1:7" x14ac:dyDescent="0.2">
      <c r="A679" s="1179" t="s">
        <v>1650</v>
      </c>
      <c r="B679" s="1180"/>
      <c r="C679" s="214">
        <v>0.05</v>
      </c>
      <c r="D679" s="213"/>
      <c r="E679" s="283"/>
      <c r="F679" s="212">
        <f>+G699*C679</f>
        <v>875.73515625000005</v>
      </c>
      <c r="G679" s="246"/>
    </row>
    <row r="680" spans="1:7" x14ac:dyDescent="0.2">
      <c r="A680" s="247" t="s">
        <v>25</v>
      </c>
      <c r="B680" s="281"/>
      <c r="C680" s="281"/>
      <c r="D680" s="281"/>
      <c r="E680" s="281"/>
      <c r="F680" s="281"/>
      <c r="G680" s="246" t="s">
        <v>31</v>
      </c>
    </row>
    <row r="681" spans="1:7" ht="15" thickBot="1" x14ac:dyDescent="0.25">
      <c r="A681" s="248"/>
      <c r="B681" s="284"/>
      <c r="C681" s="284"/>
      <c r="D681" s="284"/>
      <c r="E681" s="284"/>
      <c r="F681" s="284"/>
      <c r="G681" s="249">
        <f>SUM(F677:F679)</f>
        <v>1626.2941162500001</v>
      </c>
    </row>
    <row r="682" spans="1:7" ht="15" thickBot="1" x14ac:dyDescent="0.25">
      <c r="A682" s="1176" t="s">
        <v>1645</v>
      </c>
      <c r="B682" s="1177"/>
      <c r="C682" s="1177"/>
      <c r="D682" s="1177"/>
      <c r="E682" s="1177"/>
      <c r="F682" s="1177"/>
      <c r="G682" s="1178"/>
    </row>
    <row r="683" spans="1:7" x14ac:dyDescent="0.2">
      <c r="A683" s="242" t="s">
        <v>1643</v>
      </c>
      <c r="B683" s="191" t="s">
        <v>1644</v>
      </c>
      <c r="C683" s="190" t="s">
        <v>32</v>
      </c>
      <c r="D683" s="190" t="s">
        <v>33</v>
      </c>
      <c r="E683" s="190" t="s">
        <v>34</v>
      </c>
      <c r="F683" s="190" t="s">
        <v>35</v>
      </c>
      <c r="G683" s="243"/>
    </row>
    <row r="684" spans="1:7" x14ac:dyDescent="0.2">
      <c r="A684" s="247"/>
      <c r="B684" s="216" t="str">
        <f>+LIST_APUS_AUX!$A$92</f>
        <v>Concreto de 3000 PSI</v>
      </c>
      <c r="C684" s="373" t="str">
        <f>+LIST_APUS_AUX!G129</f>
        <v>m³</v>
      </c>
      <c r="D684" s="361">
        <f>+LIST_APUS_AUX!$G$120</f>
        <v>841990</v>
      </c>
      <c r="E684" s="104">
        <f>0.12*0.2*1*1.1</f>
        <v>2.6400000000000003E-2</v>
      </c>
      <c r="F684" s="400">
        <f>+D684*E684</f>
        <v>22228.536000000004</v>
      </c>
      <c r="G684" s="370"/>
    </row>
    <row r="685" spans="1:7" ht="25.5" customHeight="1" x14ac:dyDescent="0.2">
      <c r="A685" s="247"/>
      <c r="B685" s="216" t="str">
        <f>+LIST_APUS_AUX!$A$273</f>
        <v xml:space="preserve">Formaleta en madera fina, para concreto columnas y vigas </v>
      </c>
      <c r="C685" s="373" t="str">
        <f>+LIST_APUS_AUX!$G$273</f>
        <v>m²</v>
      </c>
      <c r="D685" s="361">
        <f>+LIST_APUS_AUX!$G$304</f>
        <v>43143</v>
      </c>
      <c r="E685" s="104">
        <v>0.4</v>
      </c>
      <c r="F685" s="361">
        <f>+D685*E685</f>
        <v>17257.2</v>
      </c>
      <c r="G685" s="370"/>
    </row>
    <row r="686" spans="1:7" x14ac:dyDescent="0.2">
      <c r="A686" s="1179" t="s">
        <v>1649</v>
      </c>
      <c r="B686" s="1180"/>
      <c r="C686" s="214">
        <v>0.03</v>
      </c>
      <c r="D686" s="282"/>
      <c r="E686" s="283"/>
      <c r="F686" s="276">
        <f>SUM(F684:F685)*C686</f>
        <v>1184.5720800000001</v>
      </c>
      <c r="G686" s="246"/>
    </row>
    <row r="687" spans="1:7" x14ac:dyDescent="0.2">
      <c r="A687" s="247"/>
      <c r="B687" s="281"/>
      <c r="C687" s="104"/>
      <c r="D687" s="104"/>
      <c r="E687" s="104"/>
      <c r="F687" s="104"/>
      <c r="G687" s="246" t="s">
        <v>31</v>
      </c>
    </row>
    <row r="688" spans="1:7" ht="15" thickBot="1" x14ac:dyDescent="0.25">
      <c r="A688" s="248"/>
      <c r="B688" s="284"/>
      <c r="C688" s="284"/>
      <c r="D688" s="284"/>
      <c r="E688" s="284"/>
      <c r="F688" s="284"/>
      <c r="G688" s="250">
        <f>SUM(F684:F686)</f>
        <v>40670.308080000003</v>
      </c>
    </row>
    <row r="689" spans="1:7" ht="15" thickBot="1" x14ac:dyDescent="0.25">
      <c r="A689" s="1176" t="s">
        <v>1646</v>
      </c>
      <c r="B689" s="1177"/>
      <c r="C689" s="1177"/>
      <c r="D689" s="1177"/>
      <c r="E689" s="1177"/>
      <c r="F689" s="1177"/>
      <c r="G689" s="1178"/>
    </row>
    <row r="690" spans="1:7" x14ac:dyDescent="0.2">
      <c r="A690" s="251" t="s">
        <v>305</v>
      </c>
      <c r="B690" s="190" t="s">
        <v>38</v>
      </c>
      <c r="C690" s="190" t="s">
        <v>39</v>
      </c>
      <c r="D690" s="190" t="s">
        <v>40</v>
      </c>
      <c r="E690" s="190" t="s">
        <v>34</v>
      </c>
      <c r="F690" s="190" t="s">
        <v>35</v>
      </c>
      <c r="G690" s="243"/>
    </row>
    <row r="691" spans="1:7" x14ac:dyDescent="0.2">
      <c r="A691" s="369"/>
      <c r="B691" s="89"/>
      <c r="C691" s="209"/>
      <c r="D691" s="199"/>
      <c r="E691" s="367"/>
      <c r="F691" s="234"/>
      <c r="G691" s="253"/>
    </row>
    <row r="692" spans="1:7" x14ac:dyDescent="0.2">
      <c r="A692" s="252"/>
      <c r="B692" s="235"/>
      <c r="C692" s="238"/>
      <c r="D692" s="236"/>
      <c r="E692" s="237"/>
      <c r="F692" s="239"/>
      <c r="G692" s="253"/>
    </row>
    <row r="693" spans="1:7" x14ac:dyDescent="0.2">
      <c r="A693" s="247" t="s">
        <v>25</v>
      </c>
      <c r="B693" s="104" t="s">
        <v>25</v>
      </c>
      <c r="C693" s="104" t="s">
        <v>25</v>
      </c>
      <c r="D693" s="188" t="s">
        <v>25</v>
      </c>
      <c r="E693" s="189" t="s">
        <v>25</v>
      </c>
      <c r="F693" s="187" t="s">
        <v>25</v>
      </c>
      <c r="G693" s="246" t="s">
        <v>31</v>
      </c>
    </row>
    <row r="694" spans="1:7" ht="15" thickBot="1" x14ac:dyDescent="0.25">
      <c r="A694" s="248"/>
      <c r="B694" s="284"/>
      <c r="C694" s="284"/>
      <c r="D694" s="284"/>
      <c r="E694" s="284"/>
      <c r="F694" s="284"/>
      <c r="G694" s="250">
        <f>SUM(F691:F692)</f>
        <v>0</v>
      </c>
    </row>
    <row r="695" spans="1:7" ht="15" thickBot="1" x14ac:dyDescent="0.25">
      <c r="A695" s="1176" t="s">
        <v>1647</v>
      </c>
      <c r="B695" s="1177"/>
      <c r="C695" s="1177"/>
      <c r="D695" s="1177"/>
      <c r="E695" s="1177"/>
      <c r="F695" s="1177"/>
      <c r="G695" s="1178"/>
    </row>
    <row r="696" spans="1:7" ht="24" x14ac:dyDescent="0.2">
      <c r="A696" s="254" t="s">
        <v>1681</v>
      </c>
      <c r="B696" s="190" t="s">
        <v>42</v>
      </c>
      <c r="C696" s="190" t="s">
        <v>43</v>
      </c>
      <c r="D696" s="190" t="s">
        <v>44</v>
      </c>
      <c r="E696" s="190" t="s">
        <v>306</v>
      </c>
      <c r="F696" s="190" t="s">
        <v>29</v>
      </c>
      <c r="G696" s="243"/>
    </row>
    <row r="697" spans="1:7" ht="36" x14ac:dyDescent="0.2">
      <c r="A697" s="255" t="s">
        <v>1676</v>
      </c>
      <c r="B697" s="202">
        <f>VLOOKUP(A697,JORNALES!$A$5:$B$28,2,FALSE)</f>
        <v>295000</v>
      </c>
      <c r="C697" s="233">
        <f>+PRESTACIONES!$C$20/100</f>
        <v>0.89990000000000014</v>
      </c>
      <c r="D697" s="234">
        <f>+(B697*C697)+B697</f>
        <v>560470.5</v>
      </c>
      <c r="E697" s="285">
        <v>32</v>
      </c>
      <c r="F697" s="199">
        <f>+D697/E697</f>
        <v>17514.703125</v>
      </c>
      <c r="G697" s="246"/>
    </row>
    <row r="698" spans="1:7" x14ac:dyDescent="0.2">
      <c r="A698" s="247"/>
      <c r="B698" s="281"/>
      <c r="C698" s="281"/>
      <c r="D698" s="281"/>
      <c r="E698" s="281"/>
      <c r="F698" s="281"/>
      <c r="G698" s="246" t="s">
        <v>31</v>
      </c>
    </row>
    <row r="699" spans="1:7" x14ac:dyDescent="0.2">
      <c r="A699" s="247"/>
      <c r="B699" s="281"/>
      <c r="C699" s="281"/>
      <c r="D699" s="281"/>
      <c r="E699" s="281"/>
      <c r="F699" s="281"/>
      <c r="G699" s="256">
        <f>SUM(F697:F697)</f>
        <v>17514.703125</v>
      </c>
    </row>
    <row r="700" spans="1:7" ht="15" thickBot="1" x14ac:dyDescent="0.25">
      <c r="A700" s="1181" t="s">
        <v>25</v>
      </c>
      <c r="B700" s="1182"/>
      <c r="C700" s="1182"/>
      <c r="D700" s="1182"/>
      <c r="E700" s="1182"/>
      <c r="F700" s="1182"/>
      <c r="G700" s="1183"/>
    </row>
    <row r="701" spans="1:7" ht="15" thickBot="1" x14ac:dyDescent="0.25">
      <c r="A701" s="1184" t="s">
        <v>45</v>
      </c>
      <c r="B701" s="1185"/>
      <c r="C701" s="1185"/>
      <c r="D701" s="1185"/>
      <c r="E701" s="1185"/>
      <c r="F701" s="192"/>
      <c r="G701" s="277">
        <f xml:space="preserve"> ROUND(G699+G694+G688+G681,0)</f>
        <v>59811</v>
      </c>
    </row>
    <row r="702" spans="1:7" x14ac:dyDescent="0.2">
      <c r="A702" s="1186" t="s">
        <v>476</v>
      </c>
      <c r="B702" s="1187"/>
      <c r="C702" s="1187"/>
      <c r="D702" s="1187"/>
      <c r="E702" s="1187"/>
      <c r="F702" s="193" t="s">
        <v>51</v>
      </c>
      <c r="G702" s="257" t="s">
        <v>307</v>
      </c>
    </row>
    <row r="703" spans="1:7" x14ac:dyDescent="0.2">
      <c r="A703" s="1166" t="s">
        <v>17</v>
      </c>
      <c r="B703" s="1167"/>
      <c r="C703" s="1167"/>
      <c r="D703" s="1167"/>
      <c r="E703" s="1167"/>
      <c r="F703" s="240"/>
      <c r="G703" s="196"/>
    </row>
    <row r="704" spans="1:7" x14ac:dyDescent="0.2">
      <c r="A704" s="1166" t="s">
        <v>308</v>
      </c>
      <c r="B704" s="1167"/>
      <c r="C704" s="1167"/>
      <c r="D704" s="1167"/>
      <c r="E704" s="1167"/>
      <c r="F704" s="240"/>
      <c r="G704" s="196"/>
    </row>
    <row r="705" spans="1:7" x14ac:dyDescent="0.2">
      <c r="A705" s="1166" t="s">
        <v>19</v>
      </c>
      <c r="B705" s="1167"/>
      <c r="C705" s="1167"/>
      <c r="D705" s="1167"/>
      <c r="E705" s="1167"/>
      <c r="F705" s="240"/>
      <c r="G705" s="196"/>
    </row>
    <row r="706" spans="1:7" ht="15" thickBot="1" x14ac:dyDescent="0.25">
      <c r="A706" s="1168" t="s">
        <v>309</v>
      </c>
      <c r="B706" s="1169"/>
      <c r="C706" s="1169"/>
      <c r="D706" s="1169"/>
      <c r="E706" s="1169"/>
      <c r="F706" s="198"/>
      <c r="G706" s="258"/>
    </row>
    <row r="707" spans="1:7" ht="15" thickBot="1" x14ac:dyDescent="0.25">
      <c r="A707" s="1170" t="s">
        <v>310</v>
      </c>
      <c r="B707" s="1171"/>
      <c r="C707" s="1171"/>
      <c r="D707" s="1171"/>
      <c r="E707" s="1171"/>
      <c r="F707" s="1172"/>
      <c r="G707" s="1173"/>
    </row>
    <row r="708" spans="1:7" x14ac:dyDescent="0.2">
      <c r="A708" s="279"/>
      <c r="B708" s="280"/>
      <c r="C708" s="280"/>
      <c r="D708" s="280"/>
      <c r="E708" s="280"/>
      <c r="F708" s="193"/>
      <c r="G708" s="260"/>
    </row>
    <row r="709" spans="1:7" ht="15" thickBot="1" x14ac:dyDescent="0.25">
      <c r="A709" s="261" t="s">
        <v>681</v>
      </c>
      <c r="B709" s="262"/>
      <c r="C709" s="262" t="s">
        <v>682</v>
      </c>
      <c r="D709" s="262"/>
      <c r="E709" s="262"/>
      <c r="F709" s="262" t="s">
        <v>683</v>
      </c>
      <c r="G709" s="263"/>
    </row>
    <row r="710" spans="1:7" ht="15" thickBot="1" x14ac:dyDescent="0.25">
      <c r="A710" s="1174" t="str">
        <f>+LIST_ACTIVIDADES!D27</f>
        <v>Columnetas en concreto de 3000psi de 0,12 x 0,20 m, incluye refuerzo</v>
      </c>
      <c r="B710" s="1175"/>
      <c r="C710" s="1175"/>
      <c r="D710" s="1175"/>
      <c r="E710" s="1175"/>
      <c r="F710" s="241" t="s">
        <v>24</v>
      </c>
      <c r="G710" s="264" t="str">
        <f>+LIST_ACTIVIDADES!E27</f>
        <v>m</v>
      </c>
    </row>
    <row r="711" spans="1:7" ht="15" thickBot="1" x14ac:dyDescent="0.25">
      <c r="A711" s="1176" t="s">
        <v>1642</v>
      </c>
      <c r="B711" s="1177"/>
      <c r="C711" s="1177"/>
      <c r="D711" s="1177"/>
      <c r="E711" s="1177"/>
      <c r="F711" s="1177"/>
      <c r="G711" s="1178"/>
    </row>
    <row r="712" spans="1:7" x14ac:dyDescent="0.2">
      <c r="A712" s="242" t="s">
        <v>1643</v>
      </c>
      <c r="B712" s="191" t="s">
        <v>1644</v>
      </c>
      <c r="C712" s="190" t="s">
        <v>26</v>
      </c>
      <c r="D712" s="190" t="s">
        <v>27</v>
      </c>
      <c r="E712" s="190" t="s">
        <v>28</v>
      </c>
      <c r="F712" s="190" t="s">
        <v>29</v>
      </c>
      <c r="G712" s="243"/>
    </row>
    <row r="713" spans="1:7" ht="24" x14ac:dyDescent="0.2">
      <c r="A713" s="362" t="str">
        <f>VLOOKUP(B713,PRECIOS!$A$309:$E$485,2,FALSE)</f>
        <v>EQUIPO142</v>
      </c>
      <c r="B713" s="363" t="s">
        <v>621</v>
      </c>
      <c r="C713" s="99" t="str">
        <f>VLOOKUP(B713,PRECIOS!$A$309:$E$485,3,FALSE)</f>
        <v>Electrica</v>
      </c>
      <c r="D713" s="364">
        <f>VLOOKUP(B713,PRECIOS!$A$309:$E$485,5,FALSE)</f>
        <v>9306.9869999999992</v>
      </c>
      <c r="E713" s="365">
        <v>0.08</v>
      </c>
      <c r="F713" s="366">
        <f>+D713*E713</f>
        <v>744.55895999999996</v>
      </c>
      <c r="G713" s="245"/>
    </row>
    <row r="714" spans="1:7" ht="24" x14ac:dyDescent="0.2">
      <c r="A714" s="362" t="str">
        <f>VLOOKUP(B714,PRECIOS!$A$309:$E$485,2,FALSE)</f>
        <v>EQUIPO175</v>
      </c>
      <c r="B714" s="363" t="s">
        <v>454</v>
      </c>
      <c r="C714" s="99" t="str">
        <f>VLOOKUP(B714,PRECIOS!$A$309:$E$485,3,FALSE)</f>
        <v>Estructura</v>
      </c>
      <c r="D714" s="364">
        <f>VLOOKUP(B714,PRECIOS!$A$309:$E$485,5,FALSE)</f>
        <v>75</v>
      </c>
      <c r="E714" s="365">
        <v>0.08</v>
      </c>
      <c r="F714" s="366">
        <f>+D714*E714</f>
        <v>6</v>
      </c>
      <c r="G714" s="245"/>
    </row>
    <row r="715" spans="1:7" x14ac:dyDescent="0.2">
      <c r="A715" s="1179" t="s">
        <v>1650</v>
      </c>
      <c r="B715" s="1180"/>
      <c r="C715" s="214">
        <v>0.05</v>
      </c>
      <c r="D715" s="213"/>
      <c r="E715" s="283"/>
      <c r="F715" s="212">
        <f>+G735*C715</f>
        <v>1868.2349999999999</v>
      </c>
      <c r="G715" s="246"/>
    </row>
    <row r="716" spans="1:7" x14ac:dyDescent="0.2">
      <c r="A716" s="247" t="s">
        <v>25</v>
      </c>
      <c r="B716" s="281"/>
      <c r="C716" s="281"/>
      <c r="D716" s="281"/>
      <c r="E716" s="281"/>
      <c r="F716" s="281"/>
      <c r="G716" s="246" t="s">
        <v>31</v>
      </c>
    </row>
    <row r="717" spans="1:7" ht="15" thickBot="1" x14ac:dyDescent="0.25">
      <c r="A717" s="248"/>
      <c r="B717" s="284"/>
      <c r="C717" s="284"/>
      <c r="D717" s="284"/>
      <c r="E717" s="284"/>
      <c r="F717" s="284"/>
      <c r="G717" s="249">
        <f>SUM(F713:F715)</f>
        <v>2618.79396</v>
      </c>
    </row>
    <row r="718" spans="1:7" ht="15" thickBot="1" x14ac:dyDescent="0.25">
      <c r="A718" s="1176" t="s">
        <v>1645</v>
      </c>
      <c r="B718" s="1177"/>
      <c r="C718" s="1177"/>
      <c r="D718" s="1177"/>
      <c r="E718" s="1177"/>
      <c r="F718" s="1177"/>
      <c r="G718" s="1178"/>
    </row>
    <row r="719" spans="1:7" x14ac:dyDescent="0.2">
      <c r="A719" s="242" t="s">
        <v>1643</v>
      </c>
      <c r="B719" s="191" t="s">
        <v>1644</v>
      </c>
      <c r="C719" s="190" t="s">
        <v>32</v>
      </c>
      <c r="D719" s="190" t="s">
        <v>33</v>
      </c>
      <c r="E719" s="190" t="s">
        <v>34</v>
      </c>
      <c r="F719" s="190" t="s">
        <v>35</v>
      </c>
      <c r="G719" s="243"/>
    </row>
    <row r="720" spans="1:7" x14ac:dyDescent="0.2">
      <c r="A720" s="247"/>
      <c r="B720" s="216" t="str">
        <f>+LIST_APUS_AUX!$A$92</f>
        <v>Concreto de 3000 PSI</v>
      </c>
      <c r="C720" s="373">
        <f>+LIST_APUS_AUX!G165</f>
        <v>0</v>
      </c>
      <c r="D720" s="361">
        <f>+LIST_APUS_AUX!$G$120</f>
        <v>841990</v>
      </c>
      <c r="E720" s="104">
        <f>0.12*0.2*1*1.1</f>
        <v>2.6400000000000003E-2</v>
      </c>
      <c r="F720" s="400">
        <f>+D720*E720</f>
        <v>22228.536000000004</v>
      </c>
      <c r="G720" s="370"/>
    </row>
    <row r="721" spans="1:7" ht="36" x14ac:dyDescent="0.2">
      <c r="A721" s="247"/>
      <c r="B721" s="216" t="str">
        <f>+LIST_APUS_AUX!$A$273</f>
        <v xml:space="preserve">Formaleta en madera fina, para concreto columnas y vigas </v>
      </c>
      <c r="C721" s="373" t="str">
        <f>+LIST_APUS_AUX!$G$273</f>
        <v>m²</v>
      </c>
      <c r="D721" s="361">
        <f>+LIST_APUS_AUX!$G$304</f>
        <v>43143</v>
      </c>
      <c r="E721" s="104">
        <v>0.4</v>
      </c>
      <c r="F721" s="361">
        <f>+D721*E721</f>
        <v>17257.2</v>
      </c>
      <c r="G721" s="370"/>
    </row>
    <row r="722" spans="1:7" x14ac:dyDescent="0.2">
      <c r="A722" s="1179" t="s">
        <v>1649</v>
      </c>
      <c r="B722" s="1180"/>
      <c r="C722" s="214">
        <v>0.03</v>
      </c>
      <c r="D722" s="282"/>
      <c r="E722" s="283"/>
      <c r="F722" s="276">
        <f>SUM(F720:F721)*C722</f>
        <v>1184.5720800000001</v>
      </c>
      <c r="G722" s="246"/>
    </row>
    <row r="723" spans="1:7" x14ac:dyDescent="0.2">
      <c r="A723" s="247"/>
      <c r="B723" s="281"/>
      <c r="C723" s="104"/>
      <c r="D723" s="104"/>
      <c r="E723" s="104"/>
      <c r="F723" s="104"/>
      <c r="G723" s="246" t="s">
        <v>31</v>
      </c>
    </row>
    <row r="724" spans="1:7" ht="15" thickBot="1" x14ac:dyDescent="0.25">
      <c r="A724" s="248"/>
      <c r="B724" s="284"/>
      <c r="C724" s="284"/>
      <c r="D724" s="284"/>
      <c r="E724" s="284"/>
      <c r="F724" s="284"/>
      <c r="G724" s="250">
        <f>SUM(F720:F722)</f>
        <v>40670.308080000003</v>
      </c>
    </row>
    <row r="725" spans="1:7" ht="15" thickBot="1" x14ac:dyDescent="0.25">
      <c r="A725" s="1176" t="s">
        <v>1646</v>
      </c>
      <c r="B725" s="1177"/>
      <c r="C725" s="1177"/>
      <c r="D725" s="1177"/>
      <c r="E725" s="1177"/>
      <c r="F725" s="1177"/>
      <c r="G725" s="1178"/>
    </row>
    <row r="726" spans="1:7" x14ac:dyDescent="0.2">
      <c r="A726" s="251" t="s">
        <v>305</v>
      </c>
      <c r="B726" s="190" t="s">
        <v>38</v>
      </c>
      <c r="C726" s="190" t="s">
        <v>39</v>
      </c>
      <c r="D726" s="190" t="s">
        <v>40</v>
      </c>
      <c r="E726" s="190" t="s">
        <v>34</v>
      </c>
      <c r="F726" s="190" t="s">
        <v>35</v>
      </c>
      <c r="G726" s="243"/>
    </row>
    <row r="727" spans="1:7" x14ac:dyDescent="0.2">
      <c r="A727" s="369"/>
      <c r="B727" s="89"/>
      <c r="C727" s="209"/>
      <c r="D727" s="199"/>
      <c r="E727" s="367"/>
      <c r="F727" s="234"/>
      <c r="G727" s="253"/>
    </row>
    <row r="728" spans="1:7" x14ac:dyDescent="0.2">
      <c r="A728" s="252"/>
      <c r="B728" s="235"/>
      <c r="C728" s="238"/>
      <c r="D728" s="236"/>
      <c r="E728" s="237"/>
      <c r="F728" s="239"/>
      <c r="G728" s="253"/>
    </row>
    <row r="729" spans="1:7" x14ac:dyDescent="0.2">
      <c r="A729" s="247" t="s">
        <v>25</v>
      </c>
      <c r="B729" s="104" t="s">
        <v>25</v>
      </c>
      <c r="C729" s="104" t="s">
        <v>25</v>
      </c>
      <c r="D729" s="188" t="s">
        <v>25</v>
      </c>
      <c r="E729" s="189" t="s">
        <v>25</v>
      </c>
      <c r="F729" s="187" t="s">
        <v>25</v>
      </c>
      <c r="G729" s="246" t="s">
        <v>31</v>
      </c>
    </row>
    <row r="730" spans="1:7" ht="15" thickBot="1" x14ac:dyDescent="0.25">
      <c r="A730" s="248"/>
      <c r="B730" s="284"/>
      <c r="C730" s="284"/>
      <c r="D730" s="284"/>
      <c r="E730" s="284"/>
      <c r="F730" s="284"/>
      <c r="G730" s="250">
        <f>SUM(F727:F728)</f>
        <v>0</v>
      </c>
    </row>
    <row r="731" spans="1:7" ht="15" thickBot="1" x14ac:dyDescent="0.25">
      <c r="A731" s="1176" t="s">
        <v>1647</v>
      </c>
      <c r="B731" s="1177"/>
      <c r="C731" s="1177"/>
      <c r="D731" s="1177"/>
      <c r="E731" s="1177"/>
      <c r="F731" s="1177"/>
      <c r="G731" s="1178"/>
    </row>
    <row r="732" spans="1:7" ht="24" x14ac:dyDescent="0.2">
      <c r="A732" s="254" t="s">
        <v>1681</v>
      </c>
      <c r="B732" s="190" t="s">
        <v>42</v>
      </c>
      <c r="C732" s="190" t="s">
        <v>43</v>
      </c>
      <c r="D732" s="190" t="s">
        <v>44</v>
      </c>
      <c r="E732" s="190" t="s">
        <v>306</v>
      </c>
      <c r="F732" s="190" t="s">
        <v>29</v>
      </c>
      <c r="G732" s="243"/>
    </row>
    <row r="733" spans="1:7" ht="36" x14ac:dyDescent="0.2">
      <c r="A733" s="255" t="s">
        <v>1676</v>
      </c>
      <c r="B733" s="202">
        <f>VLOOKUP(A733,JORNALES!$A$5:$B$28,2,FALSE)</f>
        <v>295000</v>
      </c>
      <c r="C733" s="233">
        <f>+PRESTACIONES!$C$20/100</f>
        <v>0.89990000000000014</v>
      </c>
      <c r="D733" s="234">
        <f>+(B733*C733)+B733</f>
        <v>560470.5</v>
      </c>
      <c r="E733" s="285">
        <v>15</v>
      </c>
      <c r="F733" s="199">
        <f>+D733/E733</f>
        <v>37364.699999999997</v>
      </c>
      <c r="G733" s="246"/>
    </row>
    <row r="734" spans="1:7" x14ac:dyDescent="0.2">
      <c r="A734" s="247"/>
      <c r="B734" s="281"/>
      <c r="C734" s="281"/>
      <c r="D734" s="281"/>
      <c r="E734" s="281"/>
      <c r="F734" s="281"/>
      <c r="G734" s="246" t="s">
        <v>31</v>
      </c>
    </row>
    <row r="735" spans="1:7" x14ac:dyDescent="0.2">
      <c r="A735" s="247"/>
      <c r="B735" s="281"/>
      <c r="C735" s="281"/>
      <c r="D735" s="281"/>
      <c r="E735" s="281"/>
      <c r="F735" s="281"/>
      <c r="G735" s="256">
        <f>SUM(F733:F733)</f>
        <v>37364.699999999997</v>
      </c>
    </row>
    <row r="736" spans="1:7" ht="15" thickBot="1" x14ac:dyDescent="0.25">
      <c r="A736" s="1181" t="s">
        <v>25</v>
      </c>
      <c r="B736" s="1182"/>
      <c r="C736" s="1182"/>
      <c r="D736" s="1182"/>
      <c r="E736" s="1182"/>
      <c r="F736" s="1182"/>
      <c r="G736" s="1183"/>
    </row>
    <row r="737" spans="1:7" ht="15" thickBot="1" x14ac:dyDescent="0.25">
      <c r="A737" s="1184" t="s">
        <v>45</v>
      </c>
      <c r="B737" s="1185"/>
      <c r="C737" s="1185"/>
      <c r="D737" s="1185"/>
      <c r="E737" s="1185"/>
      <c r="F737" s="192"/>
      <c r="G737" s="277">
        <f xml:space="preserve"> ROUND(G735+G730+G724+G717,0)</f>
        <v>80654</v>
      </c>
    </row>
    <row r="738" spans="1:7" x14ac:dyDescent="0.2">
      <c r="A738" s="1186" t="s">
        <v>476</v>
      </c>
      <c r="B738" s="1187"/>
      <c r="C738" s="1187"/>
      <c r="D738" s="1187"/>
      <c r="E738" s="1187"/>
      <c r="F738" s="193" t="s">
        <v>51</v>
      </c>
      <c r="G738" s="257" t="s">
        <v>307</v>
      </c>
    </row>
    <row r="739" spans="1:7" x14ac:dyDescent="0.2">
      <c r="A739" s="1166" t="s">
        <v>17</v>
      </c>
      <c r="B739" s="1167"/>
      <c r="C739" s="1167"/>
      <c r="D739" s="1167"/>
      <c r="E739" s="1167"/>
      <c r="F739" s="240"/>
      <c r="G739" s="196"/>
    </row>
    <row r="740" spans="1:7" x14ac:dyDescent="0.2">
      <c r="A740" s="1166" t="s">
        <v>308</v>
      </c>
      <c r="B740" s="1167"/>
      <c r="C740" s="1167"/>
      <c r="D740" s="1167"/>
      <c r="E740" s="1167"/>
      <c r="F740" s="240"/>
      <c r="G740" s="196"/>
    </row>
    <row r="741" spans="1:7" x14ac:dyDescent="0.2">
      <c r="A741" s="1166" t="s">
        <v>19</v>
      </c>
      <c r="B741" s="1167"/>
      <c r="C741" s="1167"/>
      <c r="D741" s="1167"/>
      <c r="E741" s="1167"/>
      <c r="F741" s="240"/>
      <c r="G741" s="196"/>
    </row>
    <row r="742" spans="1:7" ht="15" thickBot="1" x14ac:dyDescent="0.25">
      <c r="A742" s="1168" t="s">
        <v>309</v>
      </c>
      <c r="B742" s="1169"/>
      <c r="C742" s="1169"/>
      <c r="D742" s="1169"/>
      <c r="E742" s="1169"/>
      <c r="F742" s="198"/>
      <c r="G742" s="258"/>
    </row>
    <row r="743" spans="1:7" ht="15" thickBot="1" x14ac:dyDescent="0.25">
      <c r="A743" s="1170" t="s">
        <v>310</v>
      </c>
      <c r="B743" s="1171"/>
      <c r="C743" s="1171"/>
      <c r="D743" s="1171"/>
      <c r="E743" s="1171"/>
      <c r="F743" s="1172"/>
      <c r="G743" s="1173"/>
    </row>
    <row r="744" spans="1:7" x14ac:dyDescent="0.2">
      <c r="A744" s="279"/>
      <c r="B744" s="280"/>
      <c r="C744" s="280"/>
      <c r="D744" s="280"/>
      <c r="E744" s="280"/>
      <c r="F744" s="193"/>
      <c r="G744" s="260"/>
    </row>
    <row r="745" spans="1:7" ht="15" thickBot="1" x14ac:dyDescent="0.25">
      <c r="A745" s="261" t="s">
        <v>681</v>
      </c>
      <c r="B745" s="262"/>
      <c r="C745" s="262" t="s">
        <v>682</v>
      </c>
      <c r="D745" s="262"/>
      <c r="E745" s="262"/>
      <c r="F745" s="262" t="s">
        <v>683</v>
      </c>
      <c r="G745" s="263"/>
    </row>
    <row r="746" spans="1:7" ht="24.75" customHeight="1" thickBot="1" x14ac:dyDescent="0.25">
      <c r="A746" s="1174" t="str">
        <f>+LIST_ACTIVIDADES!D28</f>
        <v>Alfajía en concreto de 3000ps para remate de muro y ventana, incluye
refuerzo</v>
      </c>
      <c r="B746" s="1175"/>
      <c r="C746" s="1175"/>
      <c r="D746" s="1175"/>
      <c r="E746" s="1175"/>
      <c r="F746" s="241" t="s">
        <v>24</v>
      </c>
      <c r="G746" s="264" t="str">
        <f>+LIST_ACTIVIDADES!E28</f>
        <v>m</v>
      </c>
    </row>
    <row r="747" spans="1:7" ht="15" thickBot="1" x14ac:dyDescent="0.25">
      <c r="A747" s="1176" t="s">
        <v>1642</v>
      </c>
      <c r="B747" s="1177"/>
      <c r="C747" s="1177"/>
      <c r="D747" s="1177"/>
      <c r="E747" s="1177"/>
      <c r="F747" s="1177"/>
      <c r="G747" s="1178"/>
    </row>
    <row r="748" spans="1:7" x14ac:dyDescent="0.2">
      <c r="A748" s="242" t="s">
        <v>1643</v>
      </c>
      <c r="B748" s="191" t="s">
        <v>1644</v>
      </c>
      <c r="C748" s="190" t="s">
        <v>26</v>
      </c>
      <c r="D748" s="190" t="s">
        <v>27</v>
      </c>
      <c r="E748" s="190" t="s">
        <v>28</v>
      </c>
      <c r="F748" s="190" t="s">
        <v>29</v>
      </c>
      <c r="G748" s="243"/>
    </row>
    <row r="749" spans="1:7" ht="24" x14ac:dyDescent="0.2">
      <c r="A749" s="362" t="str">
        <f>VLOOKUP(B749,PRECIOS!$A$309:$E$485,2,FALSE)</f>
        <v>EQUIPO142</v>
      </c>
      <c r="B749" s="363" t="s">
        <v>621</v>
      </c>
      <c r="C749" s="99" t="str">
        <f>VLOOKUP(B749,PRECIOS!$A$309:$E$485,3,FALSE)</f>
        <v>Electrica</v>
      </c>
      <c r="D749" s="364">
        <f>VLOOKUP(B749,PRECIOS!$A$309:$E$485,5,FALSE)</f>
        <v>9306.9869999999992</v>
      </c>
      <c r="E749" s="365">
        <v>0.08</v>
      </c>
      <c r="F749" s="366">
        <f>+D749*E749</f>
        <v>744.55895999999996</v>
      </c>
      <c r="G749" s="245"/>
    </row>
    <row r="750" spans="1:7" x14ac:dyDescent="0.2">
      <c r="A750" s="1179" t="s">
        <v>1650</v>
      </c>
      <c r="B750" s="1180"/>
      <c r="C750" s="214">
        <v>0.05</v>
      </c>
      <c r="D750" s="213"/>
      <c r="E750" s="283"/>
      <c r="F750" s="212">
        <f>+G770*C750</f>
        <v>2155.6557692307692</v>
      </c>
      <c r="G750" s="246"/>
    </row>
    <row r="751" spans="1:7" x14ac:dyDescent="0.2">
      <c r="A751" s="247" t="s">
        <v>25</v>
      </c>
      <c r="B751" s="281"/>
      <c r="C751" s="281"/>
      <c r="D751" s="281"/>
      <c r="E751" s="281"/>
      <c r="F751" s="281"/>
      <c r="G751" s="246" t="s">
        <v>31</v>
      </c>
    </row>
    <row r="752" spans="1:7" ht="15" thickBot="1" x14ac:dyDescent="0.25">
      <c r="A752" s="248"/>
      <c r="B752" s="284"/>
      <c r="C752" s="284"/>
      <c r="D752" s="284"/>
      <c r="E752" s="284"/>
      <c r="F752" s="284"/>
      <c r="G752" s="249">
        <f>SUM(F749:F750)</f>
        <v>2900.2147292307691</v>
      </c>
    </row>
    <row r="753" spans="1:7" ht="15" thickBot="1" x14ac:dyDescent="0.25">
      <c r="A753" s="1176" t="s">
        <v>1645</v>
      </c>
      <c r="B753" s="1177"/>
      <c r="C753" s="1177"/>
      <c r="D753" s="1177"/>
      <c r="E753" s="1177"/>
      <c r="F753" s="1177"/>
      <c r="G753" s="1178"/>
    </row>
    <row r="754" spans="1:7" x14ac:dyDescent="0.2">
      <c r="A754" s="242" t="s">
        <v>1643</v>
      </c>
      <c r="B754" s="191" t="s">
        <v>1644</v>
      </c>
      <c r="C754" s="190" t="s">
        <v>32</v>
      </c>
      <c r="D754" s="190" t="s">
        <v>33</v>
      </c>
      <c r="E754" s="190" t="s">
        <v>34</v>
      </c>
      <c r="F754" s="190" t="s">
        <v>35</v>
      </c>
      <c r="G754" s="243"/>
    </row>
    <row r="755" spans="1:7" x14ac:dyDescent="0.2">
      <c r="A755" s="247"/>
      <c r="B755" s="216" t="str">
        <f>+LIST_APUS_AUX!$A$92</f>
        <v>Concreto de 3000 PSI</v>
      </c>
      <c r="C755" s="373">
        <f>+LIST_APUS_AUX!G201</f>
        <v>0</v>
      </c>
      <c r="D755" s="361">
        <f>+LIST_APUS_AUX!$G$120</f>
        <v>841990</v>
      </c>
      <c r="E755" s="104">
        <f>0.12*0.05*1*1.1</f>
        <v>6.6000000000000008E-3</v>
      </c>
      <c r="F755" s="400">
        <f>+D755*E755</f>
        <v>5557.1340000000009</v>
      </c>
      <c r="G755" s="370"/>
    </row>
    <row r="756" spans="1:7" ht="36" x14ac:dyDescent="0.2">
      <c r="A756" s="247"/>
      <c r="B756" s="216" t="str">
        <f>+LIST_APUS_AUX!$A$273</f>
        <v xml:space="preserve">Formaleta en madera fina, para concreto columnas y vigas </v>
      </c>
      <c r="C756" s="373" t="str">
        <f>+LIST_APUS_AUX!$G$273</f>
        <v>m²</v>
      </c>
      <c r="D756" s="361">
        <f>+LIST_APUS_AUX!$G$304</f>
        <v>43143</v>
      </c>
      <c r="E756" s="104">
        <v>0.2</v>
      </c>
      <c r="F756" s="361">
        <f>+D756*E756</f>
        <v>8628.6</v>
      </c>
      <c r="G756" s="370"/>
    </row>
    <row r="757" spans="1:7" x14ac:dyDescent="0.2">
      <c r="A757" s="1179" t="s">
        <v>1649</v>
      </c>
      <c r="B757" s="1180"/>
      <c r="C757" s="214">
        <v>0.03</v>
      </c>
      <c r="D757" s="282"/>
      <c r="E757" s="283"/>
      <c r="F757" s="276">
        <f>SUM(F755:F756)*C757</f>
        <v>425.57202000000001</v>
      </c>
      <c r="G757" s="246"/>
    </row>
    <row r="758" spans="1:7" x14ac:dyDescent="0.2">
      <c r="A758" s="247"/>
      <c r="B758" s="281"/>
      <c r="C758" s="104"/>
      <c r="D758" s="104"/>
      <c r="E758" s="104"/>
      <c r="F758" s="104"/>
      <c r="G758" s="246" t="s">
        <v>31</v>
      </c>
    </row>
    <row r="759" spans="1:7" ht="15" thickBot="1" x14ac:dyDescent="0.25">
      <c r="A759" s="248"/>
      <c r="B759" s="284"/>
      <c r="C759" s="284"/>
      <c r="D759" s="284"/>
      <c r="E759" s="284"/>
      <c r="F759" s="284"/>
      <c r="G759" s="250">
        <f>SUM(F755:F757)</f>
        <v>14611.30602</v>
      </c>
    </row>
    <row r="760" spans="1:7" ht="15" thickBot="1" x14ac:dyDescent="0.25">
      <c r="A760" s="1176" t="s">
        <v>1646</v>
      </c>
      <c r="B760" s="1177"/>
      <c r="C760" s="1177"/>
      <c r="D760" s="1177"/>
      <c r="E760" s="1177"/>
      <c r="F760" s="1177"/>
      <c r="G760" s="1178"/>
    </row>
    <row r="761" spans="1:7" x14ac:dyDescent="0.2">
      <c r="A761" s="251" t="s">
        <v>305</v>
      </c>
      <c r="B761" s="190" t="s">
        <v>38</v>
      </c>
      <c r="C761" s="190" t="s">
        <v>39</v>
      </c>
      <c r="D761" s="190" t="s">
        <v>40</v>
      </c>
      <c r="E761" s="190" t="s">
        <v>34</v>
      </c>
      <c r="F761" s="190" t="s">
        <v>35</v>
      </c>
      <c r="G761" s="243"/>
    </row>
    <row r="762" spans="1:7" x14ac:dyDescent="0.2">
      <c r="A762" s="369"/>
      <c r="B762" s="89"/>
      <c r="C762" s="209"/>
      <c r="D762" s="199"/>
      <c r="E762" s="367"/>
      <c r="F762" s="234"/>
      <c r="G762" s="253"/>
    </row>
    <row r="763" spans="1:7" x14ac:dyDescent="0.2">
      <c r="A763" s="252"/>
      <c r="B763" s="235"/>
      <c r="C763" s="238"/>
      <c r="D763" s="236"/>
      <c r="E763" s="237"/>
      <c r="F763" s="239"/>
      <c r="G763" s="253"/>
    </row>
    <row r="764" spans="1:7" x14ac:dyDescent="0.2">
      <c r="A764" s="247" t="s">
        <v>25</v>
      </c>
      <c r="B764" s="104" t="s">
        <v>25</v>
      </c>
      <c r="C764" s="104" t="s">
        <v>25</v>
      </c>
      <c r="D764" s="188" t="s">
        <v>25</v>
      </c>
      <c r="E764" s="189" t="s">
        <v>25</v>
      </c>
      <c r="F764" s="187" t="s">
        <v>25</v>
      </c>
      <c r="G764" s="246" t="s">
        <v>31</v>
      </c>
    </row>
    <row r="765" spans="1:7" ht="15" thickBot="1" x14ac:dyDescent="0.25">
      <c r="A765" s="248"/>
      <c r="B765" s="284"/>
      <c r="C765" s="284"/>
      <c r="D765" s="284"/>
      <c r="E765" s="284"/>
      <c r="F765" s="284"/>
      <c r="G765" s="250">
        <f>SUM(F762:F763)</f>
        <v>0</v>
      </c>
    </row>
    <row r="766" spans="1:7" ht="15" thickBot="1" x14ac:dyDescent="0.25">
      <c r="A766" s="1176" t="s">
        <v>1647</v>
      </c>
      <c r="B766" s="1177"/>
      <c r="C766" s="1177"/>
      <c r="D766" s="1177"/>
      <c r="E766" s="1177"/>
      <c r="F766" s="1177"/>
      <c r="G766" s="1178"/>
    </row>
    <row r="767" spans="1:7" ht="24" x14ac:dyDescent="0.2">
      <c r="A767" s="254" t="s">
        <v>1681</v>
      </c>
      <c r="B767" s="190" t="s">
        <v>42</v>
      </c>
      <c r="C767" s="190" t="s">
        <v>43</v>
      </c>
      <c r="D767" s="190" t="s">
        <v>44</v>
      </c>
      <c r="E767" s="190" t="s">
        <v>306</v>
      </c>
      <c r="F767" s="190" t="s">
        <v>29</v>
      </c>
      <c r="G767" s="243"/>
    </row>
    <row r="768" spans="1:7" ht="36" x14ac:dyDescent="0.2">
      <c r="A768" s="255" t="s">
        <v>1676</v>
      </c>
      <c r="B768" s="202">
        <f>VLOOKUP(A768,JORNALES!$A$5:$B$28,2,FALSE)</f>
        <v>295000</v>
      </c>
      <c r="C768" s="233">
        <f>+PRESTACIONES!$C$20/100</f>
        <v>0.89990000000000014</v>
      </c>
      <c r="D768" s="234">
        <f>+(B768*C768)+B768</f>
        <v>560470.5</v>
      </c>
      <c r="E768" s="285">
        <v>13</v>
      </c>
      <c r="F768" s="199">
        <f>+D768/E768</f>
        <v>43113.115384615383</v>
      </c>
      <c r="G768" s="246"/>
    </row>
    <row r="769" spans="1:7" x14ac:dyDescent="0.2">
      <c r="A769" s="247"/>
      <c r="B769" s="281"/>
      <c r="C769" s="281"/>
      <c r="D769" s="281"/>
      <c r="E769" s="281"/>
      <c r="F769" s="281"/>
      <c r="G769" s="246" t="s">
        <v>31</v>
      </c>
    </row>
    <row r="770" spans="1:7" x14ac:dyDescent="0.2">
      <c r="A770" s="247"/>
      <c r="B770" s="281"/>
      <c r="C770" s="281"/>
      <c r="D770" s="281"/>
      <c r="E770" s="281"/>
      <c r="F770" s="281"/>
      <c r="G770" s="256">
        <f>SUM(F768:F768)</f>
        <v>43113.115384615383</v>
      </c>
    </row>
    <row r="771" spans="1:7" ht="15" thickBot="1" x14ac:dyDescent="0.25">
      <c r="A771" s="1181" t="s">
        <v>25</v>
      </c>
      <c r="B771" s="1182"/>
      <c r="C771" s="1182"/>
      <c r="D771" s="1182"/>
      <c r="E771" s="1182"/>
      <c r="F771" s="1182"/>
      <c r="G771" s="1183"/>
    </row>
    <row r="772" spans="1:7" ht="15" thickBot="1" x14ac:dyDescent="0.25">
      <c r="A772" s="1184" t="s">
        <v>45</v>
      </c>
      <c r="B772" s="1185"/>
      <c r="C772" s="1185"/>
      <c r="D772" s="1185"/>
      <c r="E772" s="1185"/>
      <c r="F772" s="192"/>
      <c r="G772" s="277">
        <f xml:space="preserve"> ROUND(G770+G765+G759+G752,0)</f>
        <v>60625</v>
      </c>
    </row>
    <row r="773" spans="1:7" x14ac:dyDescent="0.2">
      <c r="A773" s="1186" t="s">
        <v>476</v>
      </c>
      <c r="B773" s="1187"/>
      <c r="C773" s="1187"/>
      <c r="D773" s="1187"/>
      <c r="E773" s="1187"/>
      <c r="F773" s="193" t="s">
        <v>51</v>
      </c>
      <c r="G773" s="257" t="s">
        <v>307</v>
      </c>
    </row>
    <row r="774" spans="1:7" x14ac:dyDescent="0.2">
      <c r="A774" s="1166" t="s">
        <v>17</v>
      </c>
      <c r="B774" s="1167"/>
      <c r="C774" s="1167"/>
      <c r="D774" s="1167"/>
      <c r="E774" s="1167"/>
      <c r="F774" s="240"/>
      <c r="G774" s="196"/>
    </row>
    <row r="775" spans="1:7" x14ac:dyDescent="0.2">
      <c r="A775" s="1166" t="s">
        <v>308</v>
      </c>
      <c r="B775" s="1167"/>
      <c r="C775" s="1167"/>
      <c r="D775" s="1167"/>
      <c r="E775" s="1167"/>
      <c r="F775" s="240"/>
      <c r="G775" s="196"/>
    </row>
    <row r="776" spans="1:7" x14ac:dyDescent="0.2">
      <c r="A776" s="1166" t="s">
        <v>19</v>
      </c>
      <c r="B776" s="1167"/>
      <c r="C776" s="1167"/>
      <c r="D776" s="1167"/>
      <c r="E776" s="1167"/>
      <c r="F776" s="240"/>
      <c r="G776" s="196"/>
    </row>
    <row r="777" spans="1:7" ht="15" thickBot="1" x14ac:dyDescent="0.25">
      <c r="A777" s="1168" t="s">
        <v>309</v>
      </c>
      <c r="B777" s="1169"/>
      <c r="C777" s="1169"/>
      <c r="D777" s="1169"/>
      <c r="E777" s="1169"/>
      <c r="F777" s="198"/>
      <c r="G777" s="258"/>
    </row>
    <row r="778" spans="1:7" ht="15" thickBot="1" x14ac:dyDescent="0.25">
      <c r="A778" s="1170" t="s">
        <v>310</v>
      </c>
      <c r="B778" s="1171"/>
      <c r="C778" s="1171"/>
      <c r="D778" s="1171"/>
      <c r="E778" s="1171"/>
      <c r="F778" s="1172"/>
      <c r="G778" s="1173"/>
    </row>
    <row r="779" spans="1:7" x14ac:dyDescent="0.2">
      <c r="A779" s="279"/>
      <c r="B779" s="280"/>
      <c r="C779" s="280"/>
      <c r="D779" s="280"/>
      <c r="E779" s="280"/>
      <c r="F779" s="193"/>
      <c r="G779" s="260"/>
    </row>
    <row r="780" spans="1:7" ht="15" thickBot="1" x14ac:dyDescent="0.25">
      <c r="A780" s="261" t="s">
        <v>681</v>
      </c>
      <c r="B780" s="262"/>
      <c r="C780" s="262" t="s">
        <v>682</v>
      </c>
      <c r="D780" s="262"/>
      <c r="E780" s="262"/>
      <c r="F780" s="262" t="s">
        <v>683</v>
      </c>
      <c r="G780" s="263"/>
    </row>
    <row r="781" spans="1:7" ht="15" thickBot="1" x14ac:dyDescent="0.25">
      <c r="A781" s="1174" t="str">
        <f>+LIST_ACTIVIDADES!D29</f>
        <v>Anden en concreto de 20,7 Mpa (3.000 psi) e = 0,10 m</v>
      </c>
      <c r="B781" s="1175"/>
      <c r="C781" s="1175"/>
      <c r="D781" s="1175"/>
      <c r="E781" s="1175"/>
      <c r="F781" s="241" t="s">
        <v>24</v>
      </c>
      <c r="G781" s="264" t="str">
        <f>+LIST_ACTIVIDADES!E29</f>
        <v>m²</v>
      </c>
    </row>
    <row r="782" spans="1:7" ht="15" thickBot="1" x14ac:dyDescent="0.25">
      <c r="A782" s="1176" t="s">
        <v>1642</v>
      </c>
      <c r="B782" s="1177"/>
      <c r="C782" s="1177"/>
      <c r="D782" s="1177"/>
      <c r="E782" s="1177"/>
      <c r="F782" s="1177"/>
      <c r="G782" s="1178"/>
    </row>
    <row r="783" spans="1:7" x14ac:dyDescent="0.2">
      <c r="A783" s="242" t="s">
        <v>1643</v>
      </c>
      <c r="B783" s="191" t="s">
        <v>1644</v>
      </c>
      <c r="C783" s="190" t="s">
        <v>26</v>
      </c>
      <c r="D783" s="190" t="s">
        <v>27</v>
      </c>
      <c r="E783" s="190" t="s">
        <v>28</v>
      </c>
      <c r="F783" s="190" t="s">
        <v>29</v>
      </c>
      <c r="G783" s="243"/>
    </row>
    <row r="784" spans="1:7" ht="24" x14ac:dyDescent="0.2">
      <c r="A784" s="362" t="str">
        <f>VLOOKUP(B784,PRECIOS!$A$309:$E$485,2,FALSE)</f>
        <v>EQUIPO142</v>
      </c>
      <c r="B784" s="363" t="s">
        <v>621</v>
      </c>
      <c r="C784" s="99" t="str">
        <f>VLOOKUP(B784,PRECIOS!$A$309:$E$485,3,FALSE)</f>
        <v>Electrica</v>
      </c>
      <c r="D784" s="364">
        <f>VLOOKUP(B784,PRECIOS!$A$309:$E$485,5,FALSE)</f>
        <v>9306.9869999999992</v>
      </c>
      <c r="E784" s="365">
        <v>0.08</v>
      </c>
      <c r="F784" s="366">
        <f>+D784*E784</f>
        <v>744.55895999999996</v>
      </c>
      <c r="G784" s="245"/>
    </row>
    <row r="785" spans="1:7" x14ac:dyDescent="0.2">
      <c r="A785" s="1179" t="s">
        <v>1650</v>
      </c>
      <c r="B785" s="1180"/>
      <c r="C785" s="214">
        <v>0.05</v>
      </c>
      <c r="D785" s="213"/>
      <c r="E785" s="283"/>
      <c r="F785" s="212">
        <f>+G805*C785</f>
        <v>207.80156250000002</v>
      </c>
      <c r="G785" s="246"/>
    </row>
    <row r="786" spans="1:7" x14ac:dyDescent="0.2">
      <c r="A786" s="247" t="s">
        <v>25</v>
      </c>
      <c r="B786" s="281"/>
      <c r="C786" s="281"/>
      <c r="D786" s="281"/>
      <c r="E786" s="281"/>
      <c r="F786" s="281"/>
      <c r="G786" s="246" t="s">
        <v>31</v>
      </c>
    </row>
    <row r="787" spans="1:7" ht="15" thickBot="1" x14ac:dyDescent="0.25">
      <c r="A787" s="248"/>
      <c r="B787" s="284"/>
      <c r="C787" s="284"/>
      <c r="D787" s="284"/>
      <c r="E787" s="284"/>
      <c r="F787" s="284"/>
      <c r="G787" s="249">
        <f>SUM(F784:F785)</f>
        <v>952.3605225</v>
      </c>
    </row>
    <row r="788" spans="1:7" ht="15" thickBot="1" x14ac:dyDescent="0.25">
      <c r="A788" s="1176" t="s">
        <v>1645</v>
      </c>
      <c r="B788" s="1177"/>
      <c r="C788" s="1177"/>
      <c r="D788" s="1177"/>
      <c r="E788" s="1177"/>
      <c r="F788" s="1177"/>
      <c r="G788" s="1178"/>
    </row>
    <row r="789" spans="1:7" x14ac:dyDescent="0.2">
      <c r="A789" s="242" t="s">
        <v>1643</v>
      </c>
      <c r="B789" s="191" t="s">
        <v>1644</v>
      </c>
      <c r="C789" s="190" t="s">
        <v>32</v>
      </c>
      <c r="D789" s="190" t="s">
        <v>33</v>
      </c>
      <c r="E789" s="190" t="s">
        <v>34</v>
      </c>
      <c r="F789" s="190" t="s">
        <v>35</v>
      </c>
      <c r="G789" s="243"/>
    </row>
    <row r="790" spans="1:7" x14ac:dyDescent="0.2">
      <c r="A790" s="247"/>
      <c r="B790" s="216" t="str">
        <f>+LIST_APUS_AUX!$A$92</f>
        <v>Concreto de 3000 PSI</v>
      </c>
      <c r="C790" s="373">
        <f>+LIST_APUS_AUX!G236</f>
        <v>0</v>
      </c>
      <c r="D790" s="361">
        <f>+LIST_APUS_AUX!$G$120</f>
        <v>841990</v>
      </c>
      <c r="E790" s="104">
        <v>7.0000000000000007E-2</v>
      </c>
      <c r="F790" s="400">
        <f>+D790*E790</f>
        <v>58939.3</v>
      </c>
      <c r="G790" s="370"/>
    </row>
    <row r="791" spans="1:7" ht="27" customHeight="1" x14ac:dyDescent="0.2">
      <c r="A791" s="247"/>
      <c r="B791" s="216" t="str">
        <f>+LIST_APUS_AUX!$A$273</f>
        <v xml:space="preserve">Formaleta en madera fina, para concreto columnas y vigas </v>
      </c>
      <c r="C791" s="373" t="str">
        <f>+LIST_APUS_AUX!$G$273</f>
        <v>m²</v>
      </c>
      <c r="D791" s="361">
        <f>+LIST_APUS_AUX!$G$304</f>
        <v>43143</v>
      </c>
      <c r="E791" s="104">
        <v>0.09</v>
      </c>
      <c r="F791" s="361">
        <f>+D791*E791</f>
        <v>3882.87</v>
      </c>
      <c r="G791" s="370"/>
    </row>
    <row r="792" spans="1:7" x14ac:dyDescent="0.2">
      <c r="A792" s="1179" t="s">
        <v>1649</v>
      </c>
      <c r="B792" s="1180"/>
      <c r="C792" s="214">
        <v>0.03</v>
      </c>
      <c r="D792" s="282"/>
      <c r="E792" s="283"/>
      <c r="F792" s="276">
        <f>SUM(F790:F791)*C792</f>
        <v>1884.6651000000002</v>
      </c>
      <c r="G792" s="246"/>
    </row>
    <row r="793" spans="1:7" x14ac:dyDescent="0.2">
      <c r="A793" s="247"/>
      <c r="B793" s="281"/>
      <c r="C793" s="104"/>
      <c r="D793" s="104"/>
      <c r="E793" s="104"/>
      <c r="F793" s="104"/>
      <c r="G793" s="246" t="s">
        <v>31</v>
      </c>
    </row>
    <row r="794" spans="1:7" ht="15" thickBot="1" x14ac:dyDescent="0.25">
      <c r="A794" s="248"/>
      <c r="B794" s="284"/>
      <c r="C794" s="284"/>
      <c r="D794" s="284"/>
      <c r="E794" s="284"/>
      <c r="F794" s="284"/>
      <c r="G794" s="250">
        <f>SUM(F790:F792)</f>
        <v>64706.835100000004</v>
      </c>
    </row>
    <row r="795" spans="1:7" ht="15" thickBot="1" x14ac:dyDescent="0.25">
      <c r="A795" s="1176" t="s">
        <v>1646</v>
      </c>
      <c r="B795" s="1177"/>
      <c r="C795" s="1177"/>
      <c r="D795" s="1177"/>
      <c r="E795" s="1177"/>
      <c r="F795" s="1177"/>
      <c r="G795" s="1178"/>
    </row>
    <row r="796" spans="1:7" x14ac:dyDescent="0.2">
      <c r="A796" s="251" t="s">
        <v>305</v>
      </c>
      <c r="B796" s="190" t="s">
        <v>38</v>
      </c>
      <c r="C796" s="190" t="s">
        <v>39</v>
      </c>
      <c r="D796" s="190" t="s">
        <v>40</v>
      </c>
      <c r="E796" s="190" t="s">
        <v>34</v>
      </c>
      <c r="F796" s="190" t="s">
        <v>35</v>
      </c>
      <c r="G796" s="243"/>
    </row>
    <row r="797" spans="1:7" x14ac:dyDescent="0.2">
      <c r="A797" s="369"/>
      <c r="B797" s="89"/>
      <c r="C797" s="209"/>
      <c r="D797" s="199"/>
      <c r="E797" s="367"/>
      <c r="F797" s="234"/>
      <c r="G797" s="253"/>
    </row>
    <row r="798" spans="1:7" x14ac:dyDescent="0.2">
      <c r="A798" s="252"/>
      <c r="B798" s="235"/>
      <c r="C798" s="238"/>
      <c r="D798" s="236"/>
      <c r="E798" s="237"/>
      <c r="F798" s="239"/>
      <c r="G798" s="253"/>
    </row>
    <row r="799" spans="1:7" x14ac:dyDescent="0.2">
      <c r="A799" s="247" t="s">
        <v>25</v>
      </c>
      <c r="B799" s="104" t="s">
        <v>25</v>
      </c>
      <c r="C799" s="104" t="s">
        <v>25</v>
      </c>
      <c r="D799" s="188" t="s">
        <v>25</v>
      </c>
      <c r="E799" s="189" t="s">
        <v>25</v>
      </c>
      <c r="F799" s="187" t="s">
        <v>25</v>
      </c>
      <c r="G799" s="246" t="s">
        <v>31</v>
      </c>
    </row>
    <row r="800" spans="1:7" ht="15" thickBot="1" x14ac:dyDescent="0.25">
      <c r="A800" s="248"/>
      <c r="B800" s="284"/>
      <c r="C800" s="284"/>
      <c r="D800" s="284"/>
      <c r="E800" s="284"/>
      <c r="F800" s="284"/>
      <c r="G800" s="250">
        <f>SUM(F797:F798)</f>
        <v>0</v>
      </c>
    </row>
    <row r="801" spans="1:7" ht="15" thickBot="1" x14ac:dyDescent="0.25">
      <c r="A801" s="1176" t="s">
        <v>1647</v>
      </c>
      <c r="B801" s="1177"/>
      <c r="C801" s="1177"/>
      <c r="D801" s="1177"/>
      <c r="E801" s="1177"/>
      <c r="F801" s="1177"/>
      <c r="G801" s="1178"/>
    </row>
    <row r="802" spans="1:7" ht="24" x14ac:dyDescent="0.2">
      <c r="A802" s="254" t="s">
        <v>1681</v>
      </c>
      <c r="B802" s="190" t="s">
        <v>42</v>
      </c>
      <c r="C802" s="190" t="s">
        <v>43</v>
      </c>
      <c r="D802" s="190" t="s">
        <v>44</v>
      </c>
      <c r="E802" s="190" t="s">
        <v>306</v>
      </c>
      <c r="F802" s="190" t="s">
        <v>29</v>
      </c>
      <c r="G802" s="243"/>
    </row>
    <row r="803" spans="1:7" ht="36" x14ac:dyDescent="0.2">
      <c r="A803" s="255" t="s">
        <v>1672</v>
      </c>
      <c r="B803" s="202">
        <f>VLOOKUP(A803,JORNALES!$A$5:$B$28,2,FALSE)</f>
        <v>175000</v>
      </c>
      <c r="C803" s="233">
        <f>+PRESTACIONES!$C$20/100</f>
        <v>0.89990000000000014</v>
      </c>
      <c r="D803" s="234">
        <f>+(B803*C803)+B803</f>
        <v>332482.5</v>
      </c>
      <c r="E803" s="285">
        <v>80</v>
      </c>
      <c r="F803" s="199">
        <f>+D803/E803</f>
        <v>4156.03125</v>
      </c>
      <c r="G803" s="246"/>
    </row>
    <row r="804" spans="1:7" x14ac:dyDescent="0.2">
      <c r="A804" s="247"/>
      <c r="B804" s="281"/>
      <c r="C804" s="281"/>
      <c r="D804" s="281"/>
      <c r="E804" s="281"/>
      <c r="F804" s="281"/>
      <c r="G804" s="246" t="s">
        <v>31</v>
      </c>
    </row>
    <row r="805" spans="1:7" x14ac:dyDescent="0.2">
      <c r="A805" s="247"/>
      <c r="B805" s="281"/>
      <c r="C805" s="281"/>
      <c r="D805" s="281"/>
      <c r="E805" s="281"/>
      <c r="F805" s="281"/>
      <c r="G805" s="256">
        <f>SUM(F803:F803)</f>
        <v>4156.03125</v>
      </c>
    </row>
    <row r="806" spans="1:7" ht="15" thickBot="1" x14ac:dyDescent="0.25">
      <c r="A806" s="1181" t="s">
        <v>25</v>
      </c>
      <c r="B806" s="1182"/>
      <c r="C806" s="1182"/>
      <c r="D806" s="1182"/>
      <c r="E806" s="1182"/>
      <c r="F806" s="1182"/>
      <c r="G806" s="1183"/>
    </row>
    <row r="807" spans="1:7" ht="15" thickBot="1" x14ac:dyDescent="0.25">
      <c r="A807" s="1184" t="s">
        <v>45</v>
      </c>
      <c r="B807" s="1185"/>
      <c r="C807" s="1185"/>
      <c r="D807" s="1185"/>
      <c r="E807" s="1185"/>
      <c r="F807" s="192"/>
      <c r="G807" s="277">
        <f xml:space="preserve"> ROUND(G805+G800+G794+G787,0)</f>
        <v>69815</v>
      </c>
    </row>
    <row r="808" spans="1:7" x14ac:dyDescent="0.2">
      <c r="A808" s="1186" t="s">
        <v>476</v>
      </c>
      <c r="B808" s="1187"/>
      <c r="C808" s="1187"/>
      <c r="D808" s="1187"/>
      <c r="E808" s="1187"/>
      <c r="F808" s="193" t="s">
        <v>51</v>
      </c>
      <c r="G808" s="257" t="s">
        <v>307</v>
      </c>
    </row>
    <row r="809" spans="1:7" x14ac:dyDescent="0.2">
      <c r="A809" s="1166" t="s">
        <v>17</v>
      </c>
      <c r="B809" s="1167"/>
      <c r="C809" s="1167"/>
      <c r="D809" s="1167"/>
      <c r="E809" s="1167"/>
      <c r="F809" s="240"/>
      <c r="G809" s="196"/>
    </row>
    <row r="810" spans="1:7" x14ac:dyDescent="0.2">
      <c r="A810" s="1166" t="s">
        <v>308</v>
      </c>
      <c r="B810" s="1167"/>
      <c r="C810" s="1167"/>
      <c r="D810" s="1167"/>
      <c r="E810" s="1167"/>
      <c r="F810" s="240"/>
      <c r="G810" s="196"/>
    </row>
    <row r="811" spans="1:7" x14ac:dyDescent="0.2">
      <c r="A811" s="1166" t="s">
        <v>19</v>
      </c>
      <c r="B811" s="1167"/>
      <c r="C811" s="1167"/>
      <c r="D811" s="1167"/>
      <c r="E811" s="1167"/>
      <c r="F811" s="240"/>
      <c r="G811" s="196"/>
    </row>
    <row r="812" spans="1:7" ht="15" thickBot="1" x14ac:dyDescent="0.25">
      <c r="A812" s="1168" t="s">
        <v>309</v>
      </c>
      <c r="B812" s="1169"/>
      <c r="C812" s="1169"/>
      <c r="D812" s="1169"/>
      <c r="E812" s="1169"/>
      <c r="F812" s="198"/>
      <c r="G812" s="258"/>
    </row>
    <row r="813" spans="1:7" ht="15" thickBot="1" x14ac:dyDescent="0.25">
      <c r="A813" s="1170" t="s">
        <v>310</v>
      </c>
      <c r="B813" s="1171"/>
      <c r="C813" s="1171"/>
      <c r="D813" s="1171"/>
      <c r="E813" s="1171"/>
      <c r="F813" s="1172"/>
      <c r="G813" s="1173"/>
    </row>
    <row r="814" spans="1:7" x14ac:dyDescent="0.2">
      <c r="A814" s="279"/>
      <c r="B814" s="280"/>
      <c r="C814" s="280"/>
      <c r="D814" s="280"/>
      <c r="E814" s="280"/>
      <c r="F814" s="193"/>
      <c r="G814" s="260"/>
    </row>
    <row r="815" spans="1:7" ht="15" thickBot="1" x14ac:dyDescent="0.25">
      <c r="A815" s="261" t="s">
        <v>681</v>
      </c>
      <c r="B815" s="262"/>
      <c r="C815" s="262" t="s">
        <v>682</v>
      </c>
      <c r="D815" s="262"/>
      <c r="E815" s="262"/>
      <c r="F815" s="262" t="s">
        <v>683</v>
      </c>
      <c r="G815" s="263"/>
    </row>
    <row r="816" spans="1:7" ht="15" thickBot="1" x14ac:dyDescent="0.25">
      <c r="A816" s="1174" t="str">
        <f>+LIST_ACTIVIDADES!D30</f>
        <v>Rampa en concreto de 20,7 Mpa (3.000 psi) e = 0,10 m</v>
      </c>
      <c r="B816" s="1175"/>
      <c r="C816" s="1175"/>
      <c r="D816" s="1175"/>
      <c r="E816" s="1175"/>
      <c r="F816" s="241" t="s">
        <v>24</v>
      </c>
      <c r="G816" s="264" t="str">
        <f>+LIST_ACTIVIDADES!E30</f>
        <v>m²</v>
      </c>
    </row>
    <row r="817" spans="1:7" ht="15" thickBot="1" x14ac:dyDescent="0.25">
      <c r="A817" s="1176" t="s">
        <v>1642</v>
      </c>
      <c r="B817" s="1177"/>
      <c r="C817" s="1177"/>
      <c r="D817" s="1177"/>
      <c r="E817" s="1177"/>
      <c r="F817" s="1177"/>
      <c r="G817" s="1178"/>
    </row>
    <row r="818" spans="1:7" x14ac:dyDescent="0.2">
      <c r="A818" s="242" t="s">
        <v>1643</v>
      </c>
      <c r="B818" s="191" t="s">
        <v>1644</v>
      </c>
      <c r="C818" s="190" t="s">
        <v>26</v>
      </c>
      <c r="D818" s="190" t="s">
        <v>27</v>
      </c>
      <c r="E818" s="190" t="s">
        <v>28</v>
      </c>
      <c r="F818" s="190" t="s">
        <v>29</v>
      </c>
      <c r="G818" s="243"/>
    </row>
    <row r="819" spans="1:7" ht="24" x14ac:dyDescent="0.2">
      <c r="A819" s="362" t="str">
        <f>VLOOKUP(B819,PRECIOS!$A$309:$E$485,2,FALSE)</f>
        <v>EQUIPO142</v>
      </c>
      <c r="B819" s="363" t="s">
        <v>621</v>
      </c>
      <c r="C819" s="99" t="str">
        <f>VLOOKUP(B819,PRECIOS!$A$309:$E$485,3,FALSE)</f>
        <v>Electrica</v>
      </c>
      <c r="D819" s="364">
        <f>VLOOKUP(B819,PRECIOS!$A$309:$E$485,5,FALSE)</f>
        <v>9306.9869999999992</v>
      </c>
      <c r="E819" s="365">
        <v>0.08</v>
      </c>
      <c r="F819" s="366">
        <f>+D819*E819</f>
        <v>744.55895999999996</v>
      </c>
      <c r="G819" s="245"/>
    </row>
    <row r="820" spans="1:7" x14ac:dyDescent="0.2">
      <c r="A820" s="1179" t="s">
        <v>1650</v>
      </c>
      <c r="B820" s="1180"/>
      <c r="C820" s="214">
        <v>0.05</v>
      </c>
      <c r="D820" s="213"/>
      <c r="E820" s="283"/>
      <c r="F820" s="212">
        <f>+G840*C820</f>
        <v>207.80156250000002</v>
      </c>
      <c r="G820" s="246"/>
    </row>
    <row r="821" spans="1:7" x14ac:dyDescent="0.2">
      <c r="A821" s="247" t="s">
        <v>25</v>
      </c>
      <c r="B821" s="281"/>
      <c r="C821" s="281"/>
      <c r="D821" s="281"/>
      <c r="E821" s="281"/>
      <c r="F821" s="281"/>
      <c r="G821" s="246" t="s">
        <v>31</v>
      </c>
    </row>
    <row r="822" spans="1:7" ht="15" thickBot="1" x14ac:dyDescent="0.25">
      <c r="A822" s="248"/>
      <c r="B822" s="284"/>
      <c r="C822" s="284"/>
      <c r="D822" s="284"/>
      <c r="E822" s="284"/>
      <c r="F822" s="284"/>
      <c r="G822" s="249">
        <f>SUM(F819:F820)</f>
        <v>952.3605225</v>
      </c>
    </row>
    <row r="823" spans="1:7" ht="15" thickBot="1" x14ac:dyDescent="0.25">
      <c r="A823" s="1176" t="s">
        <v>1645</v>
      </c>
      <c r="B823" s="1177"/>
      <c r="C823" s="1177"/>
      <c r="D823" s="1177"/>
      <c r="E823" s="1177"/>
      <c r="F823" s="1177"/>
      <c r="G823" s="1178"/>
    </row>
    <row r="824" spans="1:7" x14ac:dyDescent="0.2">
      <c r="A824" s="242" t="s">
        <v>1643</v>
      </c>
      <c r="B824" s="191" t="s">
        <v>1644</v>
      </c>
      <c r="C824" s="190" t="s">
        <v>32</v>
      </c>
      <c r="D824" s="190" t="s">
        <v>33</v>
      </c>
      <c r="E824" s="190" t="s">
        <v>34</v>
      </c>
      <c r="F824" s="190" t="s">
        <v>35</v>
      </c>
      <c r="G824" s="243"/>
    </row>
    <row r="825" spans="1:7" x14ac:dyDescent="0.2">
      <c r="A825" s="247"/>
      <c r="B825" s="216" t="str">
        <f>+LIST_APUS_AUX!$A$92</f>
        <v>Concreto de 3000 PSI</v>
      </c>
      <c r="C825" s="373">
        <f>+LIST_APUS_AUX!G306</f>
        <v>0</v>
      </c>
      <c r="D825" s="361">
        <f>+LIST_APUS_AUX!$G$120</f>
        <v>841990</v>
      </c>
      <c r="E825" s="104">
        <v>0.08</v>
      </c>
      <c r="F825" s="400">
        <f>+D825*E825</f>
        <v>67359.199999999997</v>
      </c>
      <c r="G825" s="370"/>
    </row>
    <row r="826" spans="1:7" ht="36" x14ac:dyDescent="0.2">
      <c r="A826" s="247"/>
      <c r="B826" s="216" t="str">
        <f>+LIST_APUS_AUX!$A$273</f>
        <v xml:space="preserve">Formaleta en madera fina, para concreto columnas y vigas </v>
      </c>
      <c r="C826" s="373" t="str">
        <f>+LIST_APUS_AUX!$G$273</f>
        <v>m²</v>
      </c>
      <c r="D826" s="361">
        <f>+LIST_APUS_AUX!$G$304</f>
        <v>43143</v>
      </c>
      <c r="E826" s="104">
        <v>0.09</v>
      </c>
      <c r="F826" s="361">
        <f>+D826*E826</f>
        <v>3882.87</v>
      </c>
      <c r="G826" s="370"/>
    </row>
    <row r="827" spans="1:7" x14ac:dyDescent="0.2">
      <c r="A827" s="1179" t="s">
        <v>1649</v>
      </c>
      <c r="B827" s="1180"/>
      <c r="C827" s="214">
        <v>0.03</v>
      </c>
      <c r="D827" s="282"/>
      <c r="E827" s="283"/>
      <c r="F827" s="276">
        <f>SUM(F825:F826)*C827</f>
        <v>2137.2620999999999</v>
      </c>
      <c r="G827" s="246"/>
    </row>
    <row r="828" spans="1:7" x14ac:dyDescent="0.2">
      <c r="A828" s="247"/>
      <c r="B828" s="281"/>
      <c r="C828" s="104"/>
      <c r="D828" s="104"/>
      <c r="E828" s="104"/>
      <c r="F828" s="104"/>
      <c r="G828" s="246" t="s">
        <v>31</v>
      </c>
    </row>
    <row r="829" spans="1:7" ht="15" thickBot="1" x14ac:dyDescent="0.25">
      <c r="A829" s="248"/>
      <c r="B829" s="284"/>
      <c r="C829" s="284"/>
      <c r="D829" s="284"/>
      <c r="E829" s="284"/>
      <c r="F829" s="284"/>
      <c r="G829" s="250">
        <f>SUM(F825:F827)</f>
        <v>73379.3321</v>
      </c>
    </row>
    <row r="830" spans="1:7" ht="15" thickBot="1" x14ac:dyDescent="0.25">
      <c r="A830" s="1176" t="s">
        <v>1646</v>
      </c>
      <c r="B830" s="1177"/>
      <c r="C830" s="1177"/>
      <c r="D830" s="1177"/>
      <c r="E830" s="1177"/>
      <c r="F830" s="1177"/>
      <c r="G830" s="1178"/>
    </row>
    <row r="831" spans="1:7" x14ac:dyDescent="0.2">
      <c r="A831" s="251" t="s">
        <v>305</v>
      </c>
      <c r="B831" s="190" t="s">
        <v>38</v>
      </c>
      <c r="C831" s="190" t="s">
        <v>39</v>
      </c>
      <c r="D831" s="190" t="s">
        <v>40</v>
      </c>
      <c r="E831" s="190" t="s">
        <v>34</v>
      </c>
      <c r="F831" s="190" t="s">
        <v>35</v>
      </c>
      <c r="G831" s="243"/>
    </row>
    <row r="832" spans="1:7" x14ac:dyDescent="0.2">
      <c r="A832" s="369"/>
      <c r="B832" s="89"/>
      <c r="C832" s="209"/>
      <c r="D832" s="199"/>
      <c r="E832" s="367"/>
      <c r="F832" s="234"/>
      <c r="G832" s="253"/>
    </row>
    <row r="833" spans="1:7" x14ac:dyDescent="0.2">
      <c r="A833" s="252"/>
      <c r="B833" s="235"/>
      <c r="C833" s="238"/>
      <c r="D833" s="236"/>
      <c r="E833" s="237"/>
      <c r="F833" s="239"/>
      <c r="G833" s="253"/>
    </row>
    <row r="834" spans="1:7" x14ac:dyDescent="0.2">
      <c r="A834" s="247" t="s">
        <v>25</v>
      </c>
      <c r="B834" s="104" t="s">
        <v>25</v>
      </c>
      <c r="C834" s="104" t="s">
        <v>25</v>
      </c>
      <c r="D834" s="188" t="s">
        <v>25</v>
      </c>
      <c r="E834" s="189" t="s">
        <v>25</v>
      </c>
      <c r="F834" s="187" t="s">
        <v>25</v>
      </c>
      <c r="G834" s="246" t="s">
        <v>31</v>
      </c>
    </row>
    <row r="835" spans="1:7" ht="15" thickBot="1" x14ac:dyDescent="0.25">
      <c r="A835" s="248"/>
      <c r="B835" s="284"/>
      <c r="C835" s="284"/>
      <c r="D835" s="284"/>
      <c r="E835" s="284"/>
      <c r="F835" s="284"/>
      <c r="G835" s="250">
        <f>SUM(F832:F833)</f>
        <v>0</v>
      </c>
    </row>
    <row r="836" spans="1:7" ht="15" thickBot="1" x14ac:dyDescent="0.25">
      <c r="A836" s="1176" t="s">
        <v>1647</v>
      </c>
      <c r="B836" s="1177"/>
      <c r="C836" s="1177"/>
      <c r="D836" s="1177"/>
      <c r="E836" s="1177"/>
      <c r="F836" s="1177"/>
      <c r="G836" s="1178"/>
    </row>
    <row r="837" spans="1:7" ht="24" x14ac:dyDescent="0.2">
      <c r="A837" s="254" t="s">
        <v>1681</v>
      </c>
      <c r="B837" s="190" t="s">
        <v>42</v>
      </c>
      <c r="C837" s="190" t="s">
        <v>43</v>
      </c>
      <c r="D837" s="190" t="s">
        <v>44</v>
      </c>
      <c r="E837" s="190" t="s">
        <v>306</v>
      </c>
      <c r="F837" s="190" t="s">
        <v>29</v>
      </c>
      <c r="G837" s="243"/>
    </row>
    <row r="838" spans="1:7" ht="36" x14ac:dyDescent="0.2">
      <c r="A838" s="255" t="s">
        <v>1672</v>
      </c>
      <c r="B838" s="202">
        <f>VLOOKUP(A838,JORNALES!$A$5:$B$28,2,FALSE)</f>
        <v>175000</v>
      </c>
      <c r="C838" s="233">
        <f>+PRESTACIONES!$C$20/100</f>
        <v>0.89990000000000014</v>
      </c>
      <c r="D838" s="234">
        <f>+(B838*C838)+B838</f>
        <v>332482.5</v>
      </c>
      <c r="E838" s="285">
        <v>80</v>
      </c>
      <c r="F838" s="199">
        <f>+D838/E838</f>
        <v>4156.03125</v>
      </c>
      <c r="G838" s="246"/>
    </row>
    <row r="839" spans="1:7" x14ac:dyDescent="0.2">
      <c r="A839" s="247"/>
      <c r="B839" s="281"/>
      <c r="C839" s="281"/>
      <c r="D839" s="281"/>
      <c r="E839" s="281"/>
      <c r="F839" s="281"/>
      <c r="G839" s="246" t="s">
        <v>31</v>
      </c>
    </row>
    <row r="840" spans="1:7" x14ac:dyDescent="0.2">
      <c r="A840" s="247"/>
      <c r="B840" s="281"/>
      <c r="C840" s="281"/>
      <c r="D840" s="281"/>
      <c r="E840" s="281"/>
      <c r="F840" s="281"/>
      <c r="G840" s="256">
        <f>SUM(F838:F838)</f>
        <v>4156.03125</v>
      </c>
    </row>
    <row r="841" spans="1:7" ht="15" thickBot="1" x14ac:dyDescent="0.25">
      <c r="A841" s="1181" t="s">
        <v>25</v>
      </c>
      <c r="B841" s="1182"/>
      <c r="C841" s="1182"/>
      <c r="D841" s="1182"/>
      <c r="E841" s="1182"/>
      <c r="F841" s="1182"/>
      <c r="G841" s="1183"/>
    </row>
    <row r="842" spans="1:7" ht="15" thickBot="1" x14ac:dyDescent="0.25">
      <c r="A842" s="1184" t="s">
        <v>45</v>
      </c>
      <c r="B842" s="1185"/>
      <c r="C842" s="1185"/>
      <c r="D842" s="1185"/>
      <c r="E842" s="1185"/>
      <c r="F842" s="192"/>
      <c r="G842" s="277">
        <f xml:space="preserve"> ROUND(G840+G835+G829+G822,0)</f>
        <v>78488</v>
      </c>
    </row>
    <row r="843" spans="1:7" x14ac:dyDescent="0.2">
      <c r="A843" s="1186" t="s">
        <v>476</v>
      </c>
      <c r="B843" s="1187"/>
      <c r="C843" s="1187"/>
      <c r="D843" s="1187"/>
      <c r="E843" s="1187"/>
      <c r="F843" s="193" t="s">
        <v>51</v>
      </c>
      <c r="G843" s="257" t="s">
        <v>307</v>
      </c>
    </row>
    <row r="844" spans="1:7" x14ac:dyDescent="0.2">
      <c r="A844" s="1166" t="s">
        <v>17</v>
      </c>
      <c r="B844" s="1167"/>
      <c r="C844" s="1167"/>
      <c r="D844" s="1167"/>
      <c r="E844" s="1167"/>
      <c r="F844" s="240"/>
      <c r="G844" s="196"/>
    </row>
    <row r="845" spans="1:7" x14ac:dyDescent="0.2">
      <c r="A845" s="1166" t="s">
        <v>308</v>
      </c>
      <c r="B845" s="1167"/>
      <c r="C845" s="1167"/>
      <c r="D845" s="1167"/>
      <c r="E845" s="1167"/>
      <c r="F845" s="240"/>
      <c r="G845" s="196"/>
    </row>
    <row r="846" spans="1:7" x14ac:dyDescent="0.2">
      <c r="A846" s="1166" t="s">
        <v>19</v>
      </c>
      <c r="B846" s="1167"/>
      <c r="C846" s="1167"/>
      <c r="D846" s="1167"/>
      <c r="E846" s="1167"/>
      <c r="F846" s="240"/>
      <c r="G846" s="196"/>
    </row>
    <row r="847" spans="1:7" ht="15" thickBot="1" x14ac:dyDescent="0.25">
      <c r="A847" s="1168" t="s">
        <v>309</v>
      </c>
      <c r="B847" s="1169"/>
      <c r="C847" s="1169"/>
      <c r="D847" s="1169"/>
      <c r="E847" s="1169"/>
      <c r="F847" s="198"/>
      <c r="G847" s="258"/>
    </row>
    <row r="848" spans="1:7" ht="15" thickBot="1" x14ac:dyDescent="0.25">
      <c r="A848" s="1170" t="s">
        <v>310</v>
      </c>
      <c r="B848" s="1171"/>
      <c r="C848" s="1171"/>
      <c r="D848" s="1171"/>
      <c r="E848" s="1171"/>
      <c r="F848" s="1172"/>
      <c r="G848" s="1173"/>
    </row>
    <row r="849" spans="1:7" x14ac:dyDescent="0.2">
      <c r="A849" s="279"/>
      <c r="B849" s="280"/>
      <c r="C849" s="280"/>
      <c r="D849" s="280"/>
      <c r="E849" s="280"/>
      <c r="F849" s="193"/>
      <c r="G849" s="260"/>
    </row>
    <row r="850" spans="1:7" ht="15" thickBot="1" x14ac:dyDescent="0.25">
      <c r="A850" s="261" t="s">
        <v>681</v>
      </c>
      <c r="B850" s="262"/>
      <c r="C850" s="262" t="s">
        <v>682</v>
      </c>
      <c r="D850" s="262"/>
      <c r="E850" s="262"/>
      <c r="F850" s="262" t="s">
        <v>683</v>
      </c>
      <c r="G850" s="263"/>
    </row>
    <row r="851" spans="1:7" ht="41.25" customHeight="1" thickBot="1" x14ac:dyDescent="0.25">
      <c r="A851" s="1174" t="str">
        <f>+LIST_ACTIVIDADES!D31</f>
        <v>Losa de Pavimento segun diseño con e= 0,20mts Mr 4mpa, pasadores de transferencia  ø=1" f 37000psi de 0,35m cada 30 cm, atraque ø=1/2" 60000psi de 1m cada 1,20m,incluye formaleta, acelerante de concreto al  0,5%, y sello asfaltico y curado.</v>
      </c>
      <c r="B851" s="1175"/>
      <c r="C851" s="1175"/>
      <c r="D851" s="1175"/>
      <c r="E851" s="1175"/>
      <c r="F851" s="241" t="s">
        <v>24</v>
      </c>
      <c r="G851" s="264" t="str">
        <f>+LIST_ACTIVIDADES!E31</f>
        <v>m²</v>
      </c>
    </row>
    <row r="852" spans="1:7" ht="15" thickBot="1" x14ac:dyDescent="0.25">
      <c r="A852" s="1176" t="s">
        <v>1642</v>
      </c>
      <c r="B852" s="1177"/>
      <c r="C852" s="1177"/>
      <c r="D852" s="1177"/>
      <c r="E852" s="1177"/>
      <c r="F852" s="1177"/>
      <c r="G852" s="1178"/>
    </row>
    <row r="853" spans="1:7" x14ac:dyDescent="0.2">
      <c r="A853" s="242" t="s">
        <v>1643</v>
      </c>
      <c r="B853" s="191" t="s">
        <v>1644</v>
      </c>
      <c r="C853" s="190" t="s">
        <v>26</v>
      </c>
      <c r="D853" s="190" t="s">
        <v>27</v>
      </c>
      <c r="E853" s="190" t="s">
        <v>28</v>
      </c>
      <c r="F853" s="190" t="s">
        <v>29</v>
      </c>
      <c r="G853" s="243"/>
    </row>
    <row r="854" spans="1:7" ht="24" x14ac:dyDescent="0.2">
      <c r="A854" s="362" t="str">
        <f>VLOOKUP(B854,PRECIOS!$A$309:$E$485,2,FALSE)</f>
        <v>EQUIPO142</v>
      </c>
      <c r="B854" s="363" t="s">
        <v>621</v>
      </c>
      <c r="C854" s="99" t="str">
        <f>VLOOKUP(B854,PRECIOS!$A$309:$E$485,3,FALSE)</f>
        <v>Electrica</v>
      </c>
      <c r="D854" s="364">
        <f>VLOOKUP(B854,PRECIOS!$A$309:$E$485,5,FALSE)</f>
        <v>9306.9869999999992</v>
      </c>
      <c r="E854" s="365">
        <v>0.35</v>
      </c>
      <c r="F854" s="366">
        <f>+D854*E854</f>
        <v>3257.4454499999997</v>
      </c>
      <c r="G854" s="245"/>
    </row>
    <row r="855" spans="1:7" x14ac:dyDescent="0.2">
      <c r="A855" s="362" t="str">
        <f>VLOOKUP(B855,PRECIOS!$A$309:$E$485,2,FALSE)</f>
        <v>EQUIPO37</v>
      </c>
      <c r="B855" s="363" t="s">
        <v>508</v>
      </c>
      <c r="C855" s="99" t="str">
        <f>VLOOKUP(B855,PRECIOS!$A$309:$E$485,3,FALSE)</f>
        <v>Combustible</v>
      </c>
      <c r="D855" s="364">
        <f>VLOOKUP(B855,PRECIOS!$A$309:$E$485,5,FALSE)</f>
        <v>11955.683999999999</v>
      </c>
      <c r="E855" s="365">
        <v>0.2</v>
      </c>
      <c r="F855" s="366">
        <f>+D855*E855</f>
        <v>2391.1367999999998</v>
      </c>
      <c r="G855" s="245"/>
    </row>
    <row r="856" spans="1:7" ht="39" customHeight="1" x14ac:dyDescent="0.2">
      <c r="A856" s="362" t="str">
        <f>VLOOKUP(B856,PRECIOS!$A$309:$E$485,2,FALSE)</f>
        <v>EQUIPO107</v>
      </c>
      <c r="B856" s="363" t="s">
        <v>565</v>
      </c>
      <c r="C856" s="99" t="str">
        <f>VLOOKUP(B856,PRECIOS!$A$309:$E$485,3,FALSE)</f>
        <v>Electrica</v>
      </c>
      <c r="D856" s="364">
        <f>VLOOKUP(B856,PRECIOS!$A$309:$E$485,5,FALSE)</f>
        <v>9138.2039999999997</v>
      </c>
      <c r="E856" s="365">
        <v>0.08</v>
      </c>
      <c r="F856" s="366">
        <f t="shared" ref="F856:F859" si="8">+D856*E856</f>
        <v>731.05632000000003</v>
      </c>
      <c r="G856" s="245"/>
    </row>
    <row r="857" spans="1:7" ht="24" x14ac:dyDescent="0.2">
      <c r="A857" s="362" t="str">
        <f>VLOOKUP(B857,PRECIOS!$A$309:$E$485,2,FALSE)</f>
        <v>EQUIPO65</v>
      </c>
      <c r="B857" s="363" t="s">
        <v>601</v>
      </c>
      <c r="C857" s="99" t="str">
        <f>VLOOKUP(B857,PRECIOS!$A$309:$E$485,3,FALSE)</f>
        <v>Estructura</v>
      </c>
      <c r="D857" s="364">
        <f>VLOOKUP(B857,PRECIOS!$A$309:$E$485,5,FALSE)</f>
        <v>4985.0789999999997</v>
      </c>
      <c r="E857" s="365">
        <v>0.8</v>
      </c>
      <c r="F857" s="366">
        <f t="shared" si="8"/>
        <v>3988.0632000000001</v>
      </c>
      <c r="G857" s="245"/>
    </row>
    <row r="858" spans="1:7" x14ac:dyDescent="0.2">
      <c r="A858" s="362" t="str">
        <f>VLOOKUP(B858,PRECIOS!$A$309:$E$485,2,FALSE)</f>
        <v>EQUIPO33</v>
      </c>
      <c r="B858" s="363" t="s">
        <v>593</v>
      </c>
      <c r="C858" s="99" t="str">
        <f>VLOOKUP(B858,PRECIOS!$A$309:$E$485,3,FALSE)</f>
        <v>Hidraulico</v>
      </c>
      <c r="D858" s="364">
        <f>VLOOKUP(B858,PRECIOS!$A$309:$E$485,5,FALSE)</f>
        <v>96526.599000000002</v>
      </c>
      <c r="E858" s="365">
        <v>0.02</v>
      </c>
      <c r="F858" s="366">
        <f t="shared" si="8"/>
        <v>1930.53198</v>
      </c>
      <c r="G858" s="245"/>
    </row>
    <row r="859" spans="1:7" x14ac:dyDescent="0.2">
      <c r="A859" s="362" t="str">
        <f>VLOOKUP(B859,PRECIOS!$A$309:$E$485,2,FALSE)</f>
        <v>EQUIPO02</v>
      </c>
      <c r="B859" s="363" t="s">
        <v>591</v>
      </c>
      <c r="C859" s="99" t="str">
        <f>VLOOKUP(B859,PRECIOS!$A$309:$E$485,3,FALSE)</f>
        <v>Manual</v>
      </c>
      <c r="D859" s="364">
        <f>VLOOKUP(B859,PRECIOS!$A$309:$E$485,5,FALSE)</f>
        <v>3717.2129999999997</v>
      </c>
      <c r="E859" s="365">
        <v>0.1</v>
      </c>
      <c r="F859" s="366">
        <f t="shared" si="8"/>
        <v>371.72129999999999</v>
      </c>
      <c r="G859" s="245"/>
    </row>
    <row r="860" spans="1:7" x14ac:dyDescent="0.2">
      <c r="A860" s="1179" t="s">
        <v>1650</v>
      </c>
      <c r="B860" s="1180"/>
      <c r="C860" s="214">
        <v>0.05</v>
      </c>
      <c r="D860" s="213"/>
      <c r="E860" s="283"/>
      <c r="F860" s="212">
        <f>+G882*C860</f>
        <v>700.5881250000001</v>
      </c>
      <c r="G860" s="246"/>
    </row>
    <row r="861" spans="1:7" x14ac:dyDescent="0.2">
      <c r="A861" s="247" t="s">
        <v>25</v>
      </c>
      <c r="B861" s="281"/>
      <c r="C861" s="281"/>
      <c r="D861" s="281"/>
      <c r="E861" s="281"/>
      <c r="F861" s="281"/>
      <c r="G861" s="246" t="s">
        <v>31</v>
      </c>
    </row>
    <row r="862" spans="1:7" ht="15" thickBot="1" x14ac:dyDescent="0.25">
      <c r="A862" s="248"/>
      <c r="B862" s="284"/>
      <c r="C862" s="284"/>
      <c r="D862" s="284"/>
      <c r="E862" s="284"/>
      <c r="F862" s="284"/>
      <c r="G862" s="249">
        <f>SUM(F854:F860)</f>
        <v>13370.543174999999</v>
      </c>
    </row>
    <row r="863" spans="1:7" ht="15" thickBot="1" x14ac:dyDescent="0.25">
      <c r="A863" s="1176" t="s">
        <v>1645</v>
      </c>
      <c r="B863" s="1177"/>
      <c r="C863" s="1177"/>
      <c r="D863" s="1177"/>
      <c r="E863" s="1177"/>
      <c r="F863" s="1177"/>
      <c r="G863" s="1178"/>
    </row>
    <row r="864" spans="1:7" x14ac:dyDescent="0.2">
      <c r="A864" s="242" t="s">
        <v>1643</v>
      </c>
      <c r="B864" s="191" t="s">
        <v>1644</v>
      </c>
      <c r="C864" s="190" t="s">
        <v>32</v>
      </c>
      <c r="D864" s="190" t="s">
        <v>33</v>
      </c>
      <c r="E864" s="190" t="s">
        <v>34</v>
      </c>
      <c r="F864" s="190" t="s">
        <v>35</v>
      </c>
      <c r="G864" s="243"/>
    </row>
    <row r="865" spans="1:7" x14ac:dyDescent="0.2">
      <c r="A865" s="247"/>
      <c r="B865" s="216" t="str">
        <f>+LIST_APUS_AUX!$A$54</f>
        <v>Concreto de 4000 PSI</v>
      </c>
      <c r="C865" s="373" t="str">
        <f>+LIST_APUS_AUX!$G$54</f>
        <v>m³</v>
      </c>
      <c r="D865" s="361">
        <f>+LIST_APUS_AUX!$G$82</f>
        <v>993516</v>
      </c>
      <c r="E865" s="104">
        <v>0.2</v>
      </c>
      <c r="F865" s="400">
        <f>+D865*E865</f>
        <v>198703.2</v>
      </c>
      <c r="G865" s="370"/>
    </row>
    <row r="866" spans="1:7" ht="15.75" customHeight="1" x14ac:dyDescent="0.2">
      <c r="A866" s="247"/>
      <c r="B866" s="216" t="str">
        <f>+LIST_APUS_AUX!$A$203</f>
        <v>Acero de refuerzo de 60000 PSI</v>
      </c>
      <c r="C866" s="373" t="str">
        <f>+LIST_APUS_AUX!$G$203</f>
        <v>Kg</v>
      </c>
      <c r="D866" s="361">
        <f>+LIST_APUS_AUX!$G$229</f>
        <v>7479</v>
      </c>
      <c r="E866" s="104">
        <v>0.4</v>
      </c>
      <c r="F866" s="400">
        <f>+D866*E866</f>
        <v>2991.6000000000004</v>
      </c>
      <c r="G866" s="370"/>
    </row>
    <row r="867" spans="1:7" x14ac:dyDescent="0.2">
      <c r="A867" s="352" t="str">
        <f>VLOOKUP(B867,PRECIOS!$A$5:$D$303,2,FALSE)</f>
        <v>VARIOS14</v>
      </c>
      <c r="B867" s="105" t="s">
        <v>376</v>
      </c>
      <c r="C867" s="99" t="str">
        <f>VLOOKUP(B867,PRECIOS!$A$5:$D$303,3,FALSE)</f>
        <v>Kg.</v>
      </c>
      <c r="D867" s="371">
        <f>VLOOKUP(B867,PRECIOS!$A$5:$D$303,4,FALSE)</f>
        <v>10800</v>
      </c>
      <c r="E867" s="399">
        <v>0.18</v>
      </c>
      <c r="F867" s="401">
        <f>+D867*E867</f>
        <v>1944</v>
      </c>
      <c r="G867" s="370"/>
    </row>
    <row r="868" spans="1:7" x14ac:dyDescent="0.2">
      <c r="A868" s="352" t="str">
        <f>VLOOKUP(B868,PRECIOS!$A$5:$D$303,2,FALSE)</f>
        <v>VARIOS15</v>
      </c>
      <c r="B868" s="105" t="s">
        <v>375</v>
      </c>
      <c r="C868" s="99" t="str">
        <f>VLOOKUP(B868,PRECIOS!$A$5:$D$303,3,FALSE)</f>
        <v>Kg.</v>
      </c>
      <c r="D868" s="371">
        <f>VLOOKUP(B868,PRECIOS!$A$5:$D$303,4,FALSE)</f>
        <v>4500</v>
      </c>
      <c r="E868" s="399">
        <v>0.18</v>
      </c>
      <c r="F868" s="401">
        <f>+D868*E868</f>
        <v>810</v>
      </c>
      <c r="G868" s="370"/>
    </row>
    <row r="869" spans="1:7" x14ac:dyDescent="0.2">
      <c r="A869" s="1179" t="s">
        <v>1649</v>
      </c>
      <c r="B869" s="1180"/>
      <c r="C869" s="214">
        <v>0.03</v>
      </c>
      <c r="D869" s="282"/>
      <c r="E869" s="283"/>
      <c r="F869" s="276">
        <f>SUM(F865:F868)*C869</f>
        <v>6133.4639999999999</v>
      </c>
      <c r="G869" s="246"/>
    </row>
    <row r="870" spans="1:7" x14ac:dyDescent="0.2">
      <c r="A870" s="247"/>
      <c r="B870" s="281"/>
      <c r="C870" s="104"/>
      <c r="D870" s="104"/>
      <c r="E870" s="104"/>
      <c r="F870" s="104"/>
      <c r="G870" s="246" t="s">
        <v>31</v>
      </c>
    </row>
    <row r="871" spans="1:7" ht="15" thickBot="1" x14ac:dyDescent="0.25">
      <c r="A871" s="248"/>
      <c r="B871" s="284"/>
      <c r="C871" s="284"/>
      <c r="D871" s="284"/>
      <c r="E871" s="284"/>
      <c r="F871" s="284"/>
      <c r="G871" s="250">
        <f>SUM(F865:F869)</f>
        <v>210582.26400000002</v>
      </c>
    </row>
    <row r="872" spans="1:7" ht="15" thickBot="1" x14ac:dyDescent="0.25">
      <c r="A872" s="1176" t="s">
        <v>1646</v>
      </c>
      <c r="B872" s="1177"/>
      <c r="C872" s="1177"/>
      <c r="D872" s="1177"/>
      <c r="E872" s="1177"/>
      <c r="F872" s="1177"/>
      <c r="G872" s="1178"/>
    </row>
    <row r="873" spans="1:7" x14ac:dyDescent="0.2">
      <c r="A873" s="251" t="s">
        <v>305</v>
      </c>
      <c r="B873" s="190" t="s">
        <v>38</v>
      </c>
      <c r="C873" s="190" t="s">
        <v>39</v>
      </c>
      <c r="D873" s="190" t="s">
        <v>40</v>
      </c>
      <c r="E873" s="190" t="s">
        <v>34</v>
      </c>
      <c r="F873" s="190" t="s">
        <v>35</v>
      </c>
      <c r="G873" s="243"/>
    </row>
    <row r="874" spans="1:7" x14ac:dyDescent="0.2">
      <c r="A874" s="369"/>
      <c r="B874" s="89"/>
      <c r="C874" s="209"/>
      <c r="D874" s="199"/>
      <c r="E874" s="367"/>
      <c r="F874" s="234"/>
      <c r="G874" s="253"/>
    </row>
    <row r="875" spans="1:7" x14ac:dyDescent="0.2">
      <c r="A875" s="252"/>
      <c r="B875" s="235"/>
      <c r="C875" s="238"/>
      <c r="D875" s="236"/>
      <c r="E875" s="237"/>
      <c r="F875" s="239"/>
      <c r="G875" s="253"/>
    </row>
    <row r="876" spans="1:7" x14ac:dyDescent="0.2">
      <c r="A876" s="247" t="s">
        <v>25</v>
      </c>
      <c r="B876" s="104" t="s">
        <v>25</v>
      </c>
      <c r="C876" s="104" t="s">
        <v>25</v>
      </c>
      <c r="D876" s="188" t="s">
        <v>25</v>
      </c>
      <c r="E876" s="189" t="s">
        <v>25</v>
      </c>
      <c r="F876" s="187" t="s">
        <v>25</v>
      </c>
      <c r="G876" s="246" t="s">
        <v>31</v>
      </c>
    </row>
    <row r="877" spans="1:7" ht="15" thickBot="1" x14ac:dyDescent="0.25">
      <c r="A877" s="248"/>
      <c r="B877" s="284"/>
      <c r="C877" s="284"/>
      <c r="D877" s="284"/>
      <c r="E877" s="284"/>
      <c r="F877" s="284"/>
      <c r="G877" s="250">
        <f>SUM(F874:F875)</f>
        <v>0</v>
      </c>
    </row>
    <row r="878" spans="1:7" ht="15" thickBot="1" x14ac:dyDescent="0.25">
      <c r="A878" s="1176" t="s">
        <v>1647</v>
      </c>
      <c r="B878" s="1177"/>
      <c r="C878" s="1177"/>
      <c r="D878" s="1177"/>
      <c r="E878" s="1177"/>
      <c r="F878" s="1177"/>
      <c r="G878" s="1178"/>
    </row>
    <row r="879" spans="1:7" ht="24" x14ac:dyDescent="0.2">
      <c r="A879" s="254" t="s">
        <v>1681</v>
      </c>
      <c r="B879" s="190" t="s">
        <v>42</v>
      </c>
      <c r="C879" s="190" t="s">
        <v>43</v>
      </c>
      <c r="D879" s="190" t="s">
        <v>44</v>
      </c>
      <c r="E879" s="190" t="s">
        <v>306</v>
      </c>
      <c r="F879" s="190" t="s">
        <v>29</v>
      </c>
      <c r="G879" s="243"/>
    </row>
    <row r="880" spans="1:7" ht="36" x14ac:dyDescent="0.2">
      <c r="A880" s="255" t="s">
        <v>1676</v>
      </c>
      <c r="B880" s="202">
        <f>VLOOKUP(A880,JORNALES!$A$5:$B$28,2,FALSE)</f>
        <v>295000</v>
      </c>
      <c r="C880" s="233">
        <f>+PRESTACIONES!$C$20/100</f>
        <v>0.89990000000000014</v>
      </c>
      <c r="D880" s="234">
        <f>+(B880*C880)+B880</f>
        <v>560470.5</v>
      </c>
      <c r="E880" s="285">
        <v>40</v>
      </c>
      <c r="F880" s="199">
        <f>+D880/E880</f>
        <v>14011.762500000001</v>
      </c>
      <c r="G880" s="246"/>
    </row>
    <row r="881" spans="1:7" x14ac:dyDescent="0.2">
      <c r="A881" s="247"/>
      <c r="B881" s="281"/>
      <c r="C881" s="281"/>
      <c r="D881" s="281"/>
      <c r="E881" s="281"/>
      <c r="F881" s="281"/>
      <c r="G881" s="246" t="s">
        <v>31</v>
      </c>
    </row>
    <row r="882" spans="1:7" x14ac:dyDescent="0.2">
      <c r="A882" s="247"/>
      <c r="B882" s="281"/>
      <c r="C882" s="281"/>
      <c r="D882" s="281"/>
      <c r="E882" s="281"/>
      <c r="F882" s="281"/>
      <c r="G882" s="256">
        <f>SUM(F880:F880)</f>
        <v>14011.762500000001</v>
      </c>
    </row>
    <row r="883" spans="1:7" ht="15" thickBot="1" x14ac:dyDescent="0.25">
      <c r="A883" s="1181" t="s">
        <v>25</v>
      </c>
      <c r="B883" s="1182"/>
      <c r="C883" s="1182"/>
      <c r="D883" s="1182"/>
      <c r="E883" s="1182"/>
      <c r="F883" s="1182"/>
      <c r="G883" s="1183"/>
    </row>
    <row r="884" spans="1:7" ht="15" thickBot="1" x14ac:dyDescent="0.25">
      <c r="A884" s="1184" t="s">
        <v>45</v>
      </c>
      <c r="B884" s="1185"/>
      <c r="C884" s="1185"/>
      <c r="D884" s="1185"/>
      <c r="E884" s="1185"/>
      <c r="F884" s="192"/>
      <c r="G884" s="277">
        <f xml:space="preserve"> ROUND(G882+G877+G871+G862,0)</f>
        <v>237965</v>
      </c>
    </row>
    <row r="885" spans="1:7" x14ac:dyDescent="0.2">
      <c r="A885" s="1186" t="s">
        <v>476</v>
      </c>
      <c r="B885" s="1187"/>
      <c r="C885" s="1187"/>
      <c r="D885" s="1187"/>
      <c r="E885" s="1187"/>
      <c r="F885" s="193" t="s">
        <v>51</v>
      </c>
      <c r="G885" s="257" t="s">
        <v>307</v>
      </c>
    </row>
    <row r="886" spans="1:7" x14ac:dyDescent="0.2">
      <c r="A886" s="1166" t="s">
        <v>17</v>
      </c>
      <c r="B886" s="1167"/>
      <c r="C886" s="1167"/>
      <c r="D886" s="1167"/>
      <c r="E886" s="1167"/>
      <c r="F886" s="240"/>
      <c r="G886" s="196"/>
    </row>
    <row r="887" spans="1:7" x14ac:dyDescent="0.2">
      <c r="A887" s="1166" t="s">
        <v>308</v>
      </c>
      <c r="B887" s="1167"/>
      <c r="C887" s="1167"/>
      <c r="D887" s="1167"/>
      <c r="E887" s="1167"/>
      <c r="F887" s="240"/>
      <c r="G887" s="196"/>
    </row>
    <row r="888" spans="1:7" x14ac:dyDescent="0.2">
      <c r="A888" s="1166" t="s">
        <v>19</v>
      </c>
      <c r="B888" s="1167"/>
      <c r="C888" s="1167"/>
      <c r="D888" s="1167"/>
      <c r="E888" s="1167"/>
      <c r="F888" s="240"/>
      <c r="G888" s="196"/>
    </row>
    <row r="889" spans="1:7" ht="15" thickBot="1" x14ac:dyDescent="0.25">
      <c r="A889" s="1168" t="s">
        <v>309</v>
      </c>
      <c r="B889" s="1169"/>
      <c r="C889" s="1169"/>
      <c r="D889" s="1169"/>
      <c r="E889" s="1169"/>
      <c r="F889" s="198"/>
      <c r="G889" s="258"/>
    </row>
    <row r="890" spans="1:7" ht="15" thickBot="1" x14ac:dyDescent="0.25">
      <c r="A890" s="1170" t="s">
        <v>310</v>
      </c>
      <c r="B890" s="1171"/>
      <c r="C890" s="1171"/>
      <c r="D890" s="1171"/>
      <c r="E890" s="1171"/>
      <c r="F890" s="1172"/>
      <c r="G890" s="1173"/>
    </row>
    <row r="891" spans="1:7" x14ac:dyDescent="0.2">
      <c r="A891" s="279"/>
      <c r="B891" s="280"/>
      <c r="C891" s="280"/>
      <c r="D891" s="280"/>
      <c r="E891" s="280"/>
      <c r="F891" s="193"/>
      <c r="G891" s="260"/>
    </row>
    <row r="892" spans="1:7" ht="15" thickBot="1" x14ac:dyDescent="0.25">
      <c r="A892" s="261" t="s">
        <v>681</v>
      </c>
      <c r="B892" s="262"/>
      <c r="C892" s="262" t="s">
        <v>682</v>
      </c>
      <c r="D892" s="262"/>
      <c r="E892" s="262"/>
      <c r="F892" s="262" t="s">
        <v>683</v>
      </c>
      <c r="G892" s="263"/>
    </row>
    <row r="893" spans="1:7" ht="36" customHeight="1" thickBot="1" x14ac:dyDescent="0.25">
      <c r="A893" s="1174" t="str">
        <f>+LIST_ACTIVIDADES!D32</f>
        <v>Losa de Pavimento segun diseño con e= 0,15mts Mr 4mpa, pasadores de transferencia  ø=1" f 37000psi de 0,35m cada 30 cm, atraque ø=1/2" 60000psi de 1m cada 1,20m,incluye formaleta, acelerante de concreto al  0,5%, y sello asfaltico y curado.</v>
      </c>
      <c r="B893" s="1175"/>
      <c r="C893" s="1175"/>
      <c r="D893" s="1175"/>
      <c r="E893" s="1175"/>
      <c r="F893" s="241" t="s">
        <v>24</v>
      </c>
      <c r="G893" s="264" t="str">
        <f>+LIST_ACTIVIDADES!E32</f>
        <v>m²</v>
      </c>
    </row>
    <row r="894" spans="1:7" ht="15" thickBot="1" x14ac:dyDescent="0.25">
      <c r="A894" s="1176" t="s">
        <v>1642</v>
      </c>
      <c r="B894" s="1177"/>
      <c r="C894" s="1177"/>
      <c r="D894" s="1177"/>
      <c r="E894" s="1177"/>
      <c r="F894" s="1177"/>
      <c r="G894" s="1178"/>
    </row>
    <row r="895" spans="1:7" x14ac:dyDescent="0.2">
      <c r="A895" s="242" t="s">
        <v>1643</v>
      </c>
      <c r="B895" s="191" t="s">
        <v>1644</v>
      </c>
      <c r="C895" s="190" t="s">
        <v>26</v>
      </c>
      <c r="D895" s="190" t="s">
        <v>27</v>
      </c>
      <c r="E895" s="190" t="s">
        <v>28</v>
      </c>
      <c r="F895" s="190" t="s">
        <v>29</v>
      </c>
      <c r="G895" s="243"/>
    </row>
    <row r="896" spans="1:7" ht="24" x14ac:dyDescent="0.2">
      <c r="A896" s="362" t="str">
        <f>VLOOKUP(B896,PRECIOS!$A$309:$E$485,2,FALSE)</f>
        <v>EQUIPO142</v>
      </c>
      <c r="B896" s="363" t="s">
        <v>621</v>
      </c>
      <c r="C896" s="99" t="str">
        <f>VLOOKUP(B896,PRECIOS!$A$309:$E$485,3,FALSE)</f>
        <v>Electrica</v>
      </c>
      <c r="D896" s="364">
        <f>VLOOKUP(B896,PRECIOS!$A$309:$E$485,5,FALSE)</f>
        <v>9306.9869999999992</v>
      </c>
      <c r="E896" s="365">
        <v>0.35</v>
      </c>
      <c r="F896" s="366">
        <f>+D896*E896</f>
        <v>3257.4454499999997</v>
      </c>
      <c r="G896" s="245"/>
    </row>
    <row r="897" spans="1:7" x14ac:dyDescent="0.2">
      <c r="A897" s="362" t="str">
        <f>VLOOKUP(B897,PRECIOS!$A$309:$E$485,2,FALSE)</f>
        <v>EQUIPO37</v>
      </c>
      <c r="B897" s="363" t="s">
        <v>508</v>
      </c>
      <c r="C897" s="99" t="str">
        <f>VLOOKUP(B897,PRECIOS!$A$309:$E$485,3,FALSE)</f>
        <v>Combustible</v>
      </c>
      <c r="D897" s="364">
        <f>VLOOKUP(B897,PRECIOS!$A$309:$E$485,5,FALSE)</f>
        <v>11955.683999999999</v>
      </c>
      <c r="E897" s="365">
        <v>0.2</v>
      </c>
      <c r="F897" s="366">
        <f>+D897*E897</f>
        <v>2391.1367999999998</v>
      </c>
      <c r="G897" s="245"/>
    </row>
    <row r="898" spans="1:7" ht="36" x14ac:dyDescent="0.2">
      <c r="A898" s="362" t="str">
        <f>VLOOKUP(B898,PRECIOS!$A$309:$E$485,2,FALSE)</f>
        <v>EQUIPO107</v>
      </c>
      <c r="B898" s="363" t="s">
        <v>565</v>
      </c>
      <c r="C898" s="99" t="str">
        <f>VLOOKUP(B898,PRECIOS!$A$309:$E$485,3,FALSE)</f>
        <v>Electrica</v>
      </c>
      <c r="D898" s="364">
        <f>VLOOKUP(B898,PRECIOS!$A$309:$E$485,5,FALSE)</f>
        <v>9138.2039999999997</v>
      </c>
      <c r="E898" s="365">
        <v>0.08</v>
      </c>
      <c r="F898" s="366">
        <f t="shared" ref="F898:F901" si="9">+D898*E898</f>
        <v>731.05632000000003</v>
      </c>
      <c r="G898" s="245"/>
    </row>
    <row r="899" spans="1:7" ht="24" x14ac:dyDescent="0.2">
      <c r="A899" s="362" t="str">
        <f>VLOOKUP(B899,PRECIOS!$A$309:$E$485,2,FALSE)</f>
        <v>EQUIPO65</v>
      </c>
      <c r="B899" s="363" t="s">
        <v>601</v>
      </c>
      <c r="C899" s="99" t="str">
        <f>VLOOKUP(B899,PRECIOS!$A$309:$E$485,3,FALSE)</f>
        <v>Estructura</v>
      </c>
      <c r="D899" s="364">
        <f>VLOOKUP(B899,PRECIOS!$A$309:$E$485,5,FALSE)</f>
        <v>4985.0789999999997</v>
      </c>
      <c r="E899" s="365">
        <v>0.8</v>
      </c>
      <c r="F899" s="366">
        <f t="shared" si="9"/>
        <v>3988.0632000000001</v>
      </c>
      <c r="G899" s="245"/>
    </row>
    <row r="900" spans="1:7" x14ac:dyDescent="0.2">
      <c r="A900" s="362" t="str">
        <f>VLOOKUP(B900,PRECIOS!$A$309:$E$485,2,FALSE)</f>
        <v>EQUIPO33</v>
      </c>
      <c r="B900" s="363" t="s">
        <v>593</v>
      </c>
      <c r="C900" s="99" t="str">
        <f>VLOOKUP(B900,PRECIOS!$A$309:$E$485,3,FALSE)</f>
        <v>Hidraulico</v>
      </c>
      <c r="D900" s="364">
        <f>VLOOKUP(B900,PRECIOS!$A$309:$E$485,5,FALSE)</f>
        <v>96526.599000000002</v>
      </c>
      <c r="E900" s="365">
        <v>0.02</v>
      </c>
      <c r="F900" s="366">
        <f t="shared" si="9"/>
        <v>1930.53198</v>
      </c>
      <c r="G900" s="245"/>
    </row>
    <row r="901" spans="1:7" x14ac:dyDescent="0.2">
      <c r="A901" s="362" t="str">
        <f>VLOOKUP(B901,PRECIOS!$A$309:$E$485,2,FALSE)</f>
        <v>EQUIPO02</v>
      </c>
      <c r="B901" s="363" t="s">
        <v>591</v>
      </c>
      <c r="C901" s="99" t="str">
        <f>VLOOKUP(B901,PRECIOS!$A$309:$E$485,3,FALSE)</f>
        <v>Manual</v>
      </c>
      <c r="D901" s="364">
        <f>VLOOKUP(B901,PRECIOS!$A$309:$E$485,5,FALSE)</f>
        <v>3717.2129999999997</v>
      </c>
      <c r="E901" s="365">
        <v>0.1</v>
      </c>
      <c r="F901" s="366">
        <f t="shared" si="9"/>
        <v>371.72129999999999</v>
      </c>
      <c r="G901" s="245"/>
    </row>
    <row r="902" spans="1:7" x14ac:dyDescent="0.2">
      <c r="A902" s="1179" t="s">
        <v>1650</v>
      </c>
      <c r="B902" s="1180"/>
      <c r="C902" s="214">
        <v>0.05</v>
      </c>
      <c r="D902" s="213"/>
      <c r="E902" s="407"/>
      <c r="F902" s="212">
        <f>+G924*C902</f>
        <v>700.5881250000001</v>
      </c>
      <c r="G902" s="246"/>
    </row>
    <row r="903" spans="1:7" x14ac:dyDescent="0.2">
      <c r="A903" s="247" t="s">
        <v>25</v>
      </c>
      <c r="B903" s="405"/>
      <c r="C903" s="405"/>
      <c r="D903" s="405"/>
      <c r="E903" s="405"/>
      <c r="F903" s="405"/>
      <c r="G903" s="246" t="s">
        <v>31</v>
      </c>
    </row>
    <row r="904" spans="1:7" ht="15" thickBot="1" x14ac:dyDescent="0.25">
      <c r="A904" s="248"/>
      <c r="B904" s="409"/>
      <c r="C904" s="409"/>
      <c r="D904" s="409"/>
      <c r="E904" s="409"/>
      <c r="F904" s="409"/>
      <c r="G904" s="249">
        <f>SUM(F896:F902)</f>
        <v>13370.543174999999</v>
      </c>
    </row>
    <row r="905" spans="1:7" ht="15" thickBot="1" x14ac:dyDescent="0.25">
      <c r="A905" s="1176" t="s">
        <v>1645</v>
      </c>
      <c r="B905" s="1177"/>
      <c r="C905" s="1177"/>
      <c r="D905" s="1177"/>
      <c r="E905" s="1177"/>
      <c r="F905" s="1177"/>
      <c r="G905" s="1178"/>
    </row>
    <row r="906" spans="1:7" x14ac:dyDescent="0.2">
      <c r="A906" s="242" t="s">
        <v>1643</v>
      </c>
      <c r="B906" s="191" t="s">
        <v>1644</v>
      </c>
      <c r="C906" s="190" t="s">
        <v>32</v>
      </c>
      <c r="D906" s="190" t="s">
        <v>33</v>
      </c>
      <c r="E906" s="190" t="s">
        <v>34</v>
      </c>
      <c r="F906" s="190" t="s">
        <v>35</v>
      </c>
      <c r="G906" s="243"/>
    </row>
    <row r="907" spans="1:7" x14ac:dyDescent="0.2">
      <c r="A907" s="247"/>
      <c r="B907" s="216" t="str">
        <f>+LIST_APUS_AUX!$A$54</f>
        <v>Concreto de 4000 PSI</v>
      </c>
      <c r="C907" s="373" t="str">
        <f>+LIST_APUS_AUX!$G$54</f>
        <v>m³</v>
      </c>
      <c r="D907" s="361">
        <f>+LIST_APUS_AUX!$G$82</f>
        <v>993516</v>
      </c>
      <c r="E907" s="104">
        <v>0.15</v>
      </c>
      <c r="F907" s="400">
        <f>+D907*E907</f>
        <v>149027.4</v>
      </c>
      <c r="G907" s="370"/>
    </row>
    <row r="908" spans="1:7" ht="24" x14ac:dyDescent="0.2">
      <c r="A908" s="247"/>
      <c r="B908" s="216" t="str">
        <f>+LIST_APUS_AUX!$A$203</f>
        <v>Acero de refuerzo de 60000 PSI</v>
      </c>
      <c r="C908" s="373" t="str">
        <f>+LIST_APUS_AUX!$G$203</f>
        <v>Kg</v>
      </c>
      <c r="D908" s="361">
        <f>+LIST_APUS_AUX!$G$229</f>
        <v>7479</v>
      </c>
      <c r="E908" s="104">
        <v>0.4</v>
      </c>
      <c r="F908" s="400">
        <f>+D908*E908</f>
        <v>2991.6000000000004</v>
      </c>
      <c r="G908" s="370"/>
    </row>
    <row r="909" spans="1:7" x14ac:dyDescent="0.2">
      <c r="A909" s="352" t="str">
        <f>VLOOKUP(B909,PRECIOS!$A$5:$D$303,2,FALSE)</f>
        <v>VARIOS14</v>
      </c>
      <c r="B909" s="105" t="s">
        <v>376</v>
      </c>
      <c r="C909" s="99" t="str">
        <f>VLOOKUP(B909,PRECIOS!$A$5:$D$303,3,FALSE)</f>
        <v>Kg.</v>
      </c>
      <c r="D909" s="371">
        <f>VLOOKUP(B909,PRECIOS!$A$5:$D$303,4,FALSE)</f>
        <v>10800</v>
      </c>
      <c r="E909" s="399">
        <v>0.18</v>
      </c>
      <c r="F909" s="401">
        <f>+D909*E909</f>
        <v>1944</v>
      </c>
      <c r="G909" s="370"/>
    </row>
    <row r="910" spans="1:7" x14ac:dyDescent="0.2">
      <c r="A910" s="352" t="str">
        <f>VLOOKUP(B910,PRECIOS!$A$5:$D$303,2,FALSE)</f>
        <v>VARIOS15</v>
      </c>
      <c r="B910" s="105" t="s">
        <v>375</v>
      </c>
      <c r="C910" s="99" t="str">
        <f>VLOOKUP(B910,PRECIOS!$A$5:$D$303,3,FALSE)</f>
        <v>Kg.</v>
      </c>
      <c r="D910" s="371">
        <f>VLOOKUP(B910,PRECIOS!$A$5:$D$303,4,FALSE)</f>
        <v>4500</v>
      </c>
      <c r="E910" s="399">
        <v>0.18</v>
      </c>
      <c r="F910" s="401">
        <f>+D910*E910</f>
        <v>810</v>
      </c>
      <c r="G910" s="370"/>
    </row>
    <row r="911" spans="1:7" x14ac:dyDescent="0.2">
      <c r="A911" s="1179" t="s">
        <v>1649</v>
      </c>
      <c r="B911" s="1180"/>
      <c r="C911" s="214">
        <v>0.03</v>
      </c>
      <c r="D911" s="406"/>
      <c r="E911" s="407"/>
      <c r="F911" s="276">
        <f>SUM(F907:F910)*C911</f>
        <v>4643.1899999999996</v>
      </c>
      <c r="G911" s="246"/>
    </row>
    <row r="912" spans="1:7" x14ac:dyDescent="0.2">
      <c r="A912" s="247"/>
      <c r="B912" s="405"/>
      <c r="C912" s="104"/>
      <c r="D912" s="104"/>
      <c r="E912" s="104"/>
      <c r="F912" s="104"/>
      <c r="G912" s="246" t="s">
        <v>31</v>
      </c>
    </row>
    <row r="913" spans="1:11" ht="15" thickBot="1" x14ac:dyDescent="0.25">
      <c r="A913" s="248"/>
      <c r="B913" s="409"/>
      <c r="C913" s="409"/>
      <c r="D913" s="409"/>
      <c r="E913" s="409"/>
      <c r="F913" s="409"/>
      <c r="G913" s="250">
        <f>SUM(F907:F911)</f>
        <v>159416.19</v>
      </c>
    </row>
    <row r="914" spans="1:11" ht="15" thickBot="1" x14ac:dyDescent="0.25">
      <c r="A914" s="1176" t="s">
        <v>1646</v>
      </c>
      <c r="B914" s="1177"/>
      <c r="C914" s="1177"/>
      <c r="D914" s="1177"/>
      <c r="E914" s="1177"/>
      <c r="F914" s="1177"/>
      <c r="G914" s="1178"/>
    </row>
    <row r="915" spans="1:11" x14ac:dyDescent="0.2">
      <c r="A915" s="251" t="s">
        <v>305</v>
      </c>
      <c r="B915" s="190" t="s">
        <v>38</v>
      </c>
      <c r="C915" s="190" t="s">
        <v>39</v>
      </c>
      <c r="D915" s="190" t="s">
        <v>40</v>
      </c>
      <c r="E915" s="190" t="s">
        <v>34</v>
      </c>
      <c r="F915" s="190" t="s">
        <v>35</v>
      </c>
      <c r="G915" s="243"/>
      <c r="K915" s="424"/>
    </row>
    <row r="916" spans="1:11" x14ac:dyDescent="0.2">
      <c r="A916" s="369"/>
      <c r="B916" s="89"/>
      <c r="C916" s="209"/>
      <c r="D916" s="199"/>
      <c r="E916" s="367"/>
      <c r="F916" s="234"/>
      <c r="G916" s="253"/>
    </row>
    <row r="917" spans="1:11" x14ac:dyDescent="0.2">
      <c r="A917" s="252"/>
      <c r="B917" s="235"/>
      <c r="C917" s="238"/>
      <c r="D917" s="236"/>
      <c r="E917" s="237"/>
      <c r="F917" s="239"/>
      <c r="G917" s="253"/>
    </row>
    <row r="918" spans="1:11" x14ac:dyDescent="0.2">
      <c r="A918" s="247" t="s">
        <v>25</v>
      </c>
      <c r="B918" s="104" t="s">
        <v>25</v>
      </c>
      <c r="C918" s="104" t="s">
        <v>25</v>
      </c>
      <c r="D918" s="188" t="s">
        <v>25</v>
      </c>
      <c r="E918" s="189" t="s">
        <v>25</v>
      </c>
      <c r="F918" s="187" t="s">
        <v>25</v>
      </c>
      <c r="G918" s="246" t="s">
        <v>31</v>
      </c>
    </row>
    <row r="919" spans="1:11" ht="15" thickBot="1" x14ac:dyDescent="0.25">
      <c r="A919" s="248"/>
      <c r="B919" s="409"/>
      <c r="C919" s="409"/>
      <c r="D919" s="409"/>
      <c r="E919" s="409"/>
      <c r="F919" s="409"/>
      <c r="G919" s="250">
        <f>SUM(F916:F917)</f>
        <v>0</v>
      </c>
      <c r="K919" s="359"/>
    </row>
    <row r="920" spans="1:11" ht="15" thickBot="1" x14ac:dyDescent="0.25">
      <c r="A920" s="1176" t="s">
        <v>1647</v>
      </c>
      <c r="B920" s="1177"/>
      <c r="C920" s="1177"/>
      <c r="D920" s="1177"/>
      <c r="E920" s="1177"/>
      <c r="F920" s="1177"/>
      <c r="G920" s="1178"/>
    </row>
    <row r="921" spans="1:11" ht="24" x14ac:dyDescent="0.2">
      <c r="A921" s="254" t="s">
        <v>1681</v>
      </c>
      <c r="B921" s="190" t="s">
        <v>42</v>
      </c>
      <c r="C921" s="190" t="s">
        <v>43</v>
      </c>
      <c r="D921" s="190" t="s">
        <v>44</v>
      </c>
      <c r="E921" s="190" t="s">
        <v>306</v>
      </c>
      <c r="F921" s="190" t="s">
        <v>29</v>
      </c>
      <c r="G921" s="243"/>
    </row>
    <row r="922" spans="1:11" ht="36" x14ac:dyDescent="0.2">
      <c r="A922" s="255" t="s">
        <v>1676</v>
      </c>
      <c r="B922" s="202">
        <f>VLOOKUP(A922,JORNALES!$A$5:$B$28,2,FALSE)</f>
        <v>295000</v>
      </c>
      <c r="C922" s="233">
        <f>+PRESTACIONES!$C$20/100</f>
        <v>0.89990000000000014</v>
      </c>
      <c r="D922" s="234">
        <f>+(B922*C922)+B922</f>
        <v>560470.5</v>
      </c>
      <c r="E922" s="408">
        <v>40</v>
      </c>
      <c r="F922" s="199">
        <f>+D922/E922</f>
        <v>14011.762500000001</v>
      </c>
      <c r="G922" s="246"/>
    </row>
    <row r="923" spans="1:11" x14ac:dyDescent="0.2">
      <c r="A923" s="247"/>
      <c r="B923" s="405"/>
      <c r="C923" s="405"/>
      <c r="D923" s="405"/>
      <c r="E923" s="405"/>
      <c r="F923" s="405"/>
      <c r="G923" s="246" t="s">
        <v>31</v>
      </c>
    </row>
    <row r="924" spans="1:11" x14ac:dyDescent="0.2">
      <c r="A924" s="247"/>
      <c r="B924" s="405"/>
      <c r="C924" s="405"/>
      <c r="D924" s="405"/>
      <c r="E924" s="405"/>
      <c r="F924" s="405"/>
      <c r="G924" s="256">
        <f>SUM(F922:F922)</f>
        <v>14011.762500000001</v>
      </c>
    </row>
    <row r="925" spans="1:11" ht="15" thickBot="1" x14ac:dyDescent="0.25">
      <c r="A925" s="1181" t="s">
        <v>25</v>
      </c>
      <c r="B925" s="1182"/>
      <c r="C925" s="1182"/>
      <c r="D925" s="1182"/>
      <c r="E925" s="1182"/>
      <c r="F925" s="1182"/>
      <c r="G925" s="1183"/>
    </row>
    <row r="926" spans="1:11" ht="15" thickBot="1" x14ac:dyDescent="0.25">
      <c r="A926" s="1184" t="s">
        <v>45</v>
      </c>
      <c r="B926" s="1185"/>
      <c r="C926" s="1185"/>
      <c r="D926" s="1185"/>
      <c r="E926" s="1185"/>
      <c r="F926" s="192"/>
      <c r="G926" s="277">
        <f xml:space="preserve"> ROUND(G924+G919+G913+G904,0)</f>
        <v>186798</v>
      </c>
    </row>
    <row r="927" spans="1:11" x14ac:dyDescent="0.2">
      <c r="A927" s="1186" t="s">
        <v>476</v>
      </c>
      <c r="B927" s="1187"/>
      <c r="C927" s="1187"/>
      <c r="D927" s="1187"/>
      <c r="E927" s="1187"/>
      <c r="F927" s="193" t="s">
        <v>51</v>
      </c>
      <c r="G927" s="257" t="s">
        <v>307</v>
      </c>
    </row>
    <row r="928" spans="1:11" x14ac:dyDescent="0.2">
      <c r="A928" s="1166" t="s">
        <v>17</v>
      </c>
      <c r="B928" s="1167"/>
      <c r="C928" s="1167"/>
      <c r="D928" s="1167"/>
      <c r="E928" s="1167"/>
      <c r="F928" s="240"/>
      <c r="G928" s="196"/>
    </row>
    <row r="929" spans="1:7" x14ac:dyDescent="0.2">
      <c r="A929" s="1166" t="s">
        <v>308</v>
      </c>
      <c r="B929" s="1167"/>
      <c r="C929" s="1167"/>
      <c r="D929" s="1167"/>
      <c r="E929" s="1167"/>
      <c r="F929" s="240"/>
      <c r="G929" s="196"/>
    </row>
    <row r="930" spans="1:7" x14ac:dyDescent="0.2">
      <c r="A930" s="1166" t="s">
        <v>19</v>
      </c>
      <c r="B930" s="1167"/>
      <c r="C930" s="1167"/>
      <c r="D930" s="1167"/>
      <c r="E930" s="1167"/>
      <c r="F930" s="240"/>
      <c r="G930" s="196"/>
    </row>
    <row r="931" spans="1:7" ht="15" thickBot="1" x14ac:dyDescent="0.25">
      <c r="A931" s="1168" t="s">
        <v>309</v>
      </c>
      <c r="B931" s="1169"/>
      <c r="C931" s="1169"/>
      <c r="D931" s="1169"/>
      <c r="E931" s="1169"/>
      <c r="F931" s="198"/>
      <c r="G931" s="258"/>
    </row>
    <row r="932" spans="1:7" ht="15" thickBot="1" x14ac:dyDescent="0.25">
      <c r="A932" s="1170" t="s">
        <v>310</v>
      </c>
      <c r="B932" s="1171"/>
      <c r="C932" s="1171"/>
      <c r="D932" s="1171"/>
      <c r="E932" s="1171"/>
      <c r="F932" s="1172"/>
      <c r="G932" s="1173"/>
    </row>
    <row r="933" spans="1:7" x14ac:dyDescent="0.2">
      <c r="A933" s="402"/>
      <c r="B933" s="403"/>
      <c r="C933" s="403"/>
      <c r="D933" s="403"/>
      <c r="E933" s="403"/>
      <c r="F933" s="193"/>
      <c r="G933" s="260"/>
    </row>
    <row r="934" spans="1:7" ht="15" thickBot="1" x14ac:dyDescent="0.25">
      <c r="A934" s="261" t="s">
        <v>681</v>
      </c>
      <c r="B934" s="262"/>
      <c r="C934" s="262" t="s">
        <v>682</v>
      </c>
      <c r="D934" s="262"/>
      <c r="E934" s="262"/>
      <c r="F934" s="262" t="s">
        <v>683</v>
      </c>
      <c r="G934" s="263"/>
    </row>
    <row r="935" spans="1:7" ht="15" thickBot="1" x14ac:dyDescent="0.25">
      <c r="A935" s="1174" t="str">
        <f>+LIST_ACTIVIDADES!D34</f>
        <v>Muro de contención en concreto 20,7 Mpa (3000 psi), no incluye refuerzo</v>
      </c>
      <c r="B935" s="1175"/>
      <c r="C935" s="1175"/>
      <c r="D935" s="1175"/>
      <c r="E935" s="1175"/>
      <c r="F935" s="241" t="s">
        <v>24</v>
      </c>
      <c r="G935" s="264" t="str">
        <f>+LIST_ACTIVIDADES!E34</f>
        <v>m³</v>
      </c>
    </row>
    <row r="936" spans="1:7" ht="15" thickBot="1" x14ac:dyDescent="0.25">
      <c r="A936" s="1176" t="s">
        <v>1642</v>
      </c>
      <c r="B936" s="1177"/>
      <c r="C936" s="1177"/>
      <c r="D936" s="1177"/>
      <c r="E936" s="1177"/>
      <c r="F936" s="1177"/>
      <c r="G936" s="1178"/>
    </row>
    <row r="937" spans="1:7" x14ac:dyDescent="0.2">
      <c r="A937" s="242" t="s">
        <v>1643</v>
      </c>
      <c r="B937" s="191" t="s">
        <v>1644</v>
      </c>
      <c r="C937" s="190" t="s">
        <v>26</v>
      </c>
      <c r="D937" s="190" t="s">
        <v>27</v>
      </c>
      <c r="E937" s="190" t="s">
        <v>28</v>
      </c>
      <c r="F937" s="190" t="s">
        <v>29</v>
      </c>
      <c r="G937" s="243"/>
    </row>
    <row r="938" spans="1:7" ht="24" x14ac:dyDescent="0.2">
      <c r="A938" s="362" t="str">
        <f>VLOOKUP(B938,PRECIOS!$A$309:$E$485,2,FALSE)</f>
        <v>EQUIPO142</v>
      </c>
      <c r="B938" s="363" t="s">
        <v>621</v>
      </c>
      <c r="C938" s="99" t="str">
        <f>VLOOKUP(B938,PRECIOS!$A$309:$E$485,3,FALSE)</f>
        <v>Electrica</v>
      </c>
      <c r="D938" s="364">
        <f>VLOOKUP(B938,PRECIOS!$A$309:$E$485,5,FALSE)</f>
        <v>9306.9869999999992</v>
      </c>
      <c r="E938" s="365">
        <v>0.45</v>
      </c>
      <c r="F938" s="366">
        <f>+D938*E938</f>
        <v>4188.1441500000001</v>
      </c>
      <c r="G938" s="245"/>
    </row>
    <row r="939" spans="1:7" ht="16.5" customHeight="1" x14ac:dyDescent="0.2">
      <c r="A939" s="362" t="str">
        <f>VLOOKUP(B939,PRECIOS!$A$309:$E$485,2,FALSE)</f>
        <v>EQUIPO175</v>
      </c>
      <c r="B939" s="363" t="s">
        <v>454</v>
      </c>
      <c r="C939" s="99" t="str">
        <f>VLOOKUP(B939,PRECIOS!$A$309:$E$485,3,FALSE)</f>
        <v>Estructura</v>
      </c>
      <c r="D939" s="364">
        <f>VLOOKUP(B939,PRECIOS!$A$309:$E$485,5,FALSE)</f>
        <v>75</v>
      </c>
      <c r="E939" s="365">
        <v>1</v>
      </c>
      <c r="F939" s="366">
        <f>+D939*E939</f>
        <v>75</v>
      </c>
      <c r="G939" s="245"/>
    </row>
    <row r="940" spans="1:7" ht="18.75" customHeight="1" x14ac:dyDescent="0.2">
      <c r="A940" s="362" t="str">
        <f>VLOOKUP(B940,PRECIOS!$A$309:$E$485,2,FALSE)</f>
        <v>EQUIPO64</v>
      </c>
      <c r="B940" s="363" t="s">
        <v>530</v>
      </c>
      <c r="C940" s="99" t="str">
        <f>VLOOKUP(B940,PRECIOS!$A$309:$E$485,3,FALSE)</f>
        <v>Estructura</v>
      </c>
      <c r="D940" s="364">
        <f>VLOOKUP(B940,PRECIOS!$A$309:$E$485,5,FALSE)</f>
        <v>5633.6309999999994</v>
      </c>
      <c r="E940" s="365">
        <v>0.6</v>
      </c>
      <c r="F940" s="366">
        <f>+D940*E940</f>
        <v>3380.1785999999997</v>
      </c>
      <c r="G940" s="245"/>
    </row>
    <row r="941" spans="1:7" x14ac:dyDescent="0.2">
      <c r="A941" s="1179" t="s">
        <v>1650</v>
      </c>
      <c r="B941" s="1180"/>
      <c r="C941" s="214">
        <v>0.05</v>
      </c>
      <c r="D941" s="213"/>
      <c r="E941" s="283"/>
      <c r="F941" s="212">
        <f>+G962*C941</f>
        <v>3502.9406250000002</v>
      </c>
      <c r="G941" s="246"/>
    </row>
    <row r="942" spans="1:7" x14ac:dyDescent="0.2">
      <c r="A942" s="247" t="s">
        <v>25</v>
      </c>
      <c r="B942" s="281"/>
      <c r="C942" s="281"/>
      <c r="D942" s="281"/>
      <c r="E942" s="281"/>
      <c r="F942" s="281"/>
      <c r="G942" s="246" t="s">
        <v>31</v>
      </c>
    </row>
    <row r="943" spans="1:7" ht="15" thickBot="1" x14ac:dyDescent="0.25">
      <c r="A943" s="248"/>
      <c r="B943" s="284"/>
      <c r="C943" s="284"/>
      <c r="D943" s="284"/>
      <c r="E943" s="284"/>
      <c r="F943" s="284"/>
      <c r="G943" s="249">
        <f>SUM(F938:F941)</f>
        <v>11146.263374999999</v>
      </c>
    </row>
    <row r="944" spans="1:7" ht="15" thickBot="1" x14ac:dyDescent="0.25">
      <c r="A944" s="1176" t="s">
        <v>1645</v>
      </c>
      <c r="B944" s="1177"/>
      <c r="C944" s="1177"/>
      <c r="D944" s="1177"/>
      <c r="E944" s="1177"/>
      <c r="F944" s="1177"/>
      <c r="G944" s="1178"/>
    </row>
    <row r="945" spans="1:7" x14ac:dyDescent="0.2">
      <c r="A945" s="242" t="s">
        <v>1643</v>
      </c>
      <c r="B945" s="191" t="s">
        <v>1644</v>
      </c>
      <c r="C945" s="190" t="s">
        <v>32</v>
      </c>
      <c r="D945" s="190" t="s">
        <v>33</v>
      </c>
      <c r="E945" s="190" t="s">
        <v>34</v>
      </c>
      <c r="F945" s="190" t="s">
        <v>35</v>
      </c>
      <c r="G945" s="243"/>
    </row>
    <row r="946" spans="1:7" x14ac:dyDescent="0.2">
      <c r="A946" s="247"/>
      <c r="B946" s="216" t="str">
        <f>+LIST_APUS_AUX!$A$92</f>
        <v>Concreto de 3000 PSI</v>
      </c>
      <c r="C946" s="373" t="str">
        <f>+LIST_APUS_AUX!$G$92</f>
        <v>m³</v>
      </c>
      <c r="D946" s="361">
        <f>+LIST_APUS_AUX!$G$120</f>
        <v>841990</v>
      </c>
      <c r="E946" s="104">
        <v>1</v>
      </c>
      <c r="F946" s="400">
        <f>+D946*E946</f>
        <v>841990</v>
      </c>
      <c r="G946" s="370"/>
    </row>
    <row r="947" spans="1:7" ht="36.75" customHeight="1" x14ac:dyDescent="0.2">
      <c r="A947" s="247"/>
      <c r="B947" s="216" t="str">
        <f>+LIST_APUS_AUX!$A$313</f>
        <v>Formaleta en madera para muros de contencion, pozo septico y tanque subterraneo</v>
      </c>
      <c r="C947" s="373" t="str">
        <f>+LIST_APUS_AUX!$G$313</f>
        <v>m²</v>
      </c>
      <c r="D947" s="361">
        <f>+LIST_APUS_AUX!$G$345</f>
        <v>66091</v>
      </c>
      <c r="E947" s="104">
        <v>1</v>
      </c>
      <c r="F947" s="361">
        <f>+D947*E947</f>
        <v>66091</v>
      </c>
      <c r="G947" s="370"/>
    </row>
    <row r="948" spans="1:7" ht="18.75" customHeight="1" x14ac:dyDescent="0.2">
      <c r="A948" s="352" t="str">
        <f>VLOOKUP(B948,PRECIOS!$A$5:$D$303,2,FALSE)</f>
        <v>MADECOMUN</v>
      </c>
      <c r="B948" s="105" t="s">
        <v>67</v>
      </c>
      <c r="C948" s="99" t="str">
        <f>VLOOKUP(B948,PRECIOS!$A$5:$D$303,3,FALSE)</f>
        <v>Docena</v>
      </c>
      <c r="D948" s="371">
        <f>VLOOKUP(B948,PRECIOS!$A$5:$D$303,4,FALSE)</f>
        <v>30145.915800000006</v>
      </c>
      <c r="E948" s="399">
        <v>0.18</v>
      </c>
      <c r="F948" s="401">
        <f>+D948*E948</f>
        <v>5426.2648440000012</v>
      </c>
      <c r="G948" s="370"/>
    </row>
    <row r="949" spans="1:7" x14ac:dyDescent="0.2">
      <c r="A949" s="1179" t="s">
        <v>1649</v>
      </c>
      <c r="B949" s="1180"/>
      <c r="C949" s="214">
        <v>0.03</v>
      </c>
      <c r="D949" s="282"/>
      <c r="E949" s="283"/>
      <c r="F949" s="276">
        <f>SUM(F946:F948)*C949</f>
        <v>27405.217945319997</v>
      </c>
      <c r="G949" s="246"/>
    </row>
    <row r="950" spans="1:7" x14ac:dyDescent="0.2">
      <c r="A950" s="247"/>
      <c r="B950" s="281"/>
      <c r="C950" s="104"/>
      <c r="D950" s="104"/>
      <c r="E950" s="104"/>
      <c r="F950" s="104"/>
      <c r="G950" s="246" t="s">
        <v>31</v>
      </c>
    </row>
    <row r="951" spans="1:7" ht="15" thickBot="1" x14ac:dyDescent="0.25">
      <c r="A951" s="248"/>
      <c r="B951" s="284"/>
      <c r="C951" s="284"/>
      <c r="D951" s="284"/>
      <c r="E951" s="284"/>
      <c r="F951" s="284"/>
      <c r="G951" s="250">
        <f>SUM(F946:F949)</f>
        <v>940912.48278931994</v>
      </c>
    </row>
    <row r="952" spans="1:7" ht="15" thickBot="1" x14ac:dyDescent="0.25">
      <c r="A952" s="1176" t="s">
        <v>1646</v>
      </c>
      <c r="B952" s="1177"/>
      <c r="C952" s="1177"/>
      <c r="D952" s="1177"/>
      <c r="E952" s="1177"/>
      <c r="F952" s="1177"/>
      <c r="G952" s="1178"/>
    </row>
    <row r="953" spans="1:7" x14ac:dyDescent="0.2">
      <c r="A953" s="251" t="s">
        <v>305</v>
      </c>
      <c r="B953" s="190" t="s">
        <v>38</v>
      </c>
      <c r="C953" s="190" t="s">
        <v>39</v>
      </c>
      <c r="D953" s="190" t="s">
        <v>40</v>
      </c>
      <c r="E953" s="190" t="s">
        <v>34</v>
      </c>
      <c r="F953" s="190" t="s">
        <v>35</v>
      </c>
      <c r="G953" s="243"/>
    </row>
    <row r="954" spans="1:7" x14ac:dyDescent="0.2">
      <c r="A954" s="369"/>
      <c r="B954" s="89"/>
      <c r="C954" s="209"/>
      <c r="D954" s="199"/>
      <c r="E954" s="367"/>
      <c r="F954" s="234"/>
      <c r="G954" s="253"/>
    </row>
    <row r="955" spans="1:7" x14ac:dyDescent="0.2">
      <c r="A955" s="252"/>
      <c r="B955" s="235"/>
      <c r="C955" s="238"/>
      <c r="D955" s="236"/>
      <c r="E955" s="237"/>
      <c r="F955" s="239"/>
      <c r="G955" s="253"/>
    </row>
    <row r="956" spans="1:7" x14ac:dyDescent="0.2">
      <c r="A956" s="247" t="s">
        <v>25</v>
      </c>
      <c r="B956" s="104" t="s">
        <v>25</v>
      </c>
      <c r="C956" s="104" t="s">
        <v>25</v>
      </c>
      <c r="D956" s="188" t="s">
        <v>25</v>
      </c>
      <c r="E956" s="189" t="s">
        <v>25</v>
      </c>
      <c r="F956" s="187" t="s">
        <v>25</v>
      </c>
      <c r="G956" s="246" t="s">
        <v>31</v>
      </c>
    </row>
    <row r="957" spans="1:7" ht="15" thickBot="1" x14ac:dyDescent="0.25">
      <c r="A957" s="248"/>
      <c r="B957" s="284"/>
      <c r="C957" s="284"/>
      <c r="D957" s="284"/>
      <c r="E957" s="284"/>
      <c r="F957" s="284"/>
      <c r="G957" s="250">
        <f>SUM(F954:F955)</f>
        <v>0</v>
      </c>
    </row>
    <row r="958" spans="1:7" ht="15" thickBot="1" x14ac:dyDescent="0.25">
      <c r="A958" s="1176" t="s">
        <v>1647</v>
      </c>
      <c r="B958" s="1177"/>
      <c r="C958" s="1177"/>
      <c r="D958" s="1177"/>
      <c r="E958" s="1177"/>
      <c r="F958" s="1177"/>
      <c r="G958" s="1178"/>
    </row>
    <row r="959" spans="1:7" ht="24" x14ac:dyDescent="0.2">
      <c r="A959" s="254" t="s">
        <v>1681</v>
      </c>
      <c r="B959" s="190" t="s">
        <v>42</v>
      </c>
      <c r="C959" s="190" t="s">
        <v>43</v>
      </c>
      <c r="D959" s="190" t="s">
        <v>44</v>
      </c>
      <c r="E959" s="190" t="s">
        <v>306</v>
      </c>
      <c r="F959" s="190" t="s">
        <v>29</v>
      </c>
      <c r="G959" s="243"/>
    </row>
    <row r="960" spans="1:7" ht="36" x14ac:dyDescent="0.2">
      <c r="A960" s="255" t="s">
        <v>1676</v>
      </c>
      <c r="B960" s="202">
        <f>VLOOKUP(A960,JORNALES!$A$5:$B$28,2,FALSE)</f>
        <v>295000</v>
      </c>
      <c r="C960" s="233">
        <f>+PRESTACIONES!$C$20/100</f>
        <v>0.89990000000000014</v>
      </c>
      <c r="D960" s="234">
        <f>+(B960*C960)+B960</f>
        <v>560470.5</v>
      </c>
      <c r="E960" s="285">
        <v>8</v>
      </c>
      <c r="F960" s="199">
        <f>+D960/E960</f>
        <v>70058.8125</v>
      </c>
      <c r="G960" s="246"/>
    </row>
    <row r="961" spans="1:7" x14ac:dyDescent="0.2">
      <c r="A961" s="247"/>
      <c r="B961" s="281"/>
      <c r="C961" s="281"/>
      <c r="D961" s="281"/>
      <c r="E961" s="281"/>
      <c r="F961" s="281"/>
      <c r="G961" s="246" t="s">
        <v>31</v>
      </c>
    </row>
    <row r="962" spans="1:7" x14ac:dyDescent="0.2">
      <c r="A962" s="247"/>
      <c r="B962" s="281"/>
      <c r="C962" s="281"/>
      <c r="D962" s="281"/>
      <c r="E962" s="281"/>
      <c r="F962" s="281"/>
      <c r="G962" s="256">
        <f>SUM(F960:F960)</f>
        <v>70058.8125</v>
      </c>
    </row>
    <row r="963" spans="1:7" ht="15" thickBot="1" x14ac:dyDescent="0.25">
      <c r="A963" s="1181" t="s">
        <v>25</v>
      </c>
      <c r="B963" s="1182"/>
      <c r="C963" s="1182"/>
      <c r="D963" s="1182"/>
      <c r="E963" s="1182"/>
      <c r="F963" s="1182"/>
      <c r="G963" s="1183"/>
    </row>
    <row r="964" spans="1:7" ht="15" thickBot="1" x14ac:dyDescent="0.25">
      <c r="A964" s="1184" t="s">
        <v>45</v>
      </c>
      <c r="B964" s="1185"/>
      <c r="C964" s="1185"/>
      <c r="D964" s="1185"/>
      <c r="E964" s="1185"/>
      <c r="F964" s="192"/>
      <c r="G964" s="277">
        <f xml:space="preserve"> ROUND(G962+G957+G951+G943,0)</f>
        <v>1022118</v>
      </c>
    </row>
    <row r="965" spans="1:7" x14ac:dyDescent="0.2">
      <c r="A965" s="1186" t="s">
        <v>476</v>
      </c>
      <c r="B965" s="1187"/>
      <c r="C965" s="1187"/>
      <c r="D965" s="1187"/>
      <c r="E965" s="1187"/>
      <c r="F965" s="193" t="s">
        <v>51</v>
      </c>
      <c r="G965" s="257" t="s">
        <v>307</v>
      </c>
    </row>
    <row r="966" spans="1:7" x14ac:dyDescent="0.2">
      <c r="A966" s="1166" t="s">
        <v>17</v>
      </c>
      <c r="B966" s="1167"/>
      <c r="C966" s="1167"/>
      <c r="D966" s="1167"/>
      <c r="E966" s="1167"/>
      <c r="F966" s="240"/>
      <c r="G966" s="196"/>
    </row>
    <row r="967" spans="1:7" x14ac:dyDescent="0.2">
      <c r="A967" s="1166" t="s">
        <v>308</v>
      </c>
      <c r="B967" s="1167"/>
      <c r="C967" s="1167"/>
      <c r="D967" s="1167"/>
      <c r="E967" s="1167"/>
      <c r="F967" s="240"/>
      <c r="G967" s="196"/>
    </row>
    <row r="968" spans="1:7" x14ac:dyDescent="0.2">
      <c r="A968" s="1166" t="s">
        <v>19</v>
      </c>
      <c r="B968" s="1167"/>
      <c r="C968" s="1167"/>
      <c r="D968" s="1167"/>
      <c r="E968" s="1167"/>
      <c r="F968" s="240"/>
      <c r="G968" s="196"/>
    </row>
    <row r="969" spans="1:7" ht="15" thickBot="1" x14ac:dyDescent="0.25">
      <c r="A969" s="1168" t="s">
        <v>309</v>
      </c>
      <c r="B969" s="1169"/>
      <c r="C969" s="1169"/>
      <c r="D969" s="1169"/>
      <c r="E969" s="1169"/>
      <c r="F969" s="198"/>
      <c r="G969" s="258"/>
    </row>
    <row r="970" spans="1:7" ht="15" thickBot="1" x14ac:dyDescent="0.25">
      <c r="A970" s="1170" t="s">
        <v>310</v>
      </c>
      <c r="B970" s="1171"/>
      <c r="C970" s="1171"/>
      <c r="D970" s="1171"/>
      <c r="E970" s="1171"/>
      <c r="F970" s="1172"/>
      <c r="G970" s="1173"/>
    </row>
    <row r="971" spans="1:7" x14ac:dyDescent="0.2">
      <c r="A971" s="279"/>
      <c r="B971" s="280"/>
      <c r="C971" s="280"/>
      <c r="D971" s="280"/>
      <c r="E971" s="280"/>
      <c r="F971" s="193"/>
      <c r="G971" s="260"/>
    </row>
    <row r="972" spans="1:7" ht="15" thickBot="1" x14ac:dyDescent="0.25">
      <c r="A972" s="261" t="s">
        <v>681</v>
      </c>
      <c r="B972" s="262"/>
      <c r="C972" s="262" t="s">
        <v>682</v>
      </c>
      <c r="D972" s="262"/>
      <c r="E972" s="262"/>
      <c r="F972" s="262" t="s">
        <v>683</v>
      </c>
      <c r="G972" s="263"/>
    </row>
    <row r="973" spans="1:7" ht="27.75" customHeight="1" thickBot="1" x14ac:dyDescent="0.25">
      <c r="A973" s="1174" t="str">
        <f>+LIST_ACTIVIDADES!D35</f>
        <v xml:space="preserve">Pantalla en concreto 3000psi, e=20cm, incluye formaleta y anclajes estructurales en tanque subterraneo </v>
      </c>
      <c r="B973" s="1175"/>
      <c r="C973" s="1175"/>
      <c r="D973" s="1175"/>
      <c r="E973" s="1175"/>
      <c r="F973" s="241" t="s">
        <v>24</v>
      </c>
      <c r="G973" s="264" t="str">
        <f>+LIST_ACTIVIDADES!E35</f>
        <v>m³</v>
      </c>
    </row>
    <row r="974" spans="1:7" ht="15" thickBot="1" x14ac:dyDescent="0.25">
      <c r="A974" s="1176" t="s">
        <v>1642</v>
      </c>
      <c r="B974" s="1177"/>
      <c r="C974" s="1177"/>
      <c r="D974" s="1177"/>
      <c r="E974" s="1177"/>
      <c r="F974" s="1177"/>
      <c r="G974" s="1178"/>
    </row>
    <row r="975" spans="1:7" x14ac:dyDescent="0.2">
      <c r="A975" s="242" t="s">
        <v>1643</v>
      </c>
      <c r="B975" s="191" t="s">
        <v>1644</v>
      </c>
      <c r="C975" s="190" t="s">
        <v>26</v>
      </c>
      <c r="D975" s="190" t="s">
        <v>27</v>
      </c>
      <c r="E975" s="190" t="s">
        <v>28</v>
      </c>
      <c r="F975" s="190" t="s">
        <v>29</v>
      </c>
      <c r="G975" s="243"/>
    </row>
    <row r="976" spans="1:7" ht="24" x14ac:dyDescent="0.2">
      <c r="A976" s="362" t="str">
        <f>VLOOKUP(B976,PRECIOS!$A$309:$E$485,2,FALSE)</f>
        <v>EQUIPO142</v>
      </c>
      <c r="B976" s="363" t="s">
        <v>621</v>
      </c>
      <c r="C976" s="99" t="str">
        <f>VLOOKUP(B976,PRECIOS!$A$309:$E$485,3,FALSE)</f>
        <v>Electrica</v>
      </c>
      <c r="D976" s="364">
        <f>VLOOKUP(B976,PRECIOS!$A$309:$E$485,5,FALSE)</f>
        <v>9306.9869999999992</v>
      </c>
      <c r="E976" s="365">
        <v>0.5</v>
      </c>
      <c r="F976" s="366">
        <f>+D976*E976</f>
        <v>4653.4934999999996</v>
      </c>
      <c r="G976" s="245"/>
    </row>
    <row r="977" spans="1:7" ht="24" x14ac:dyDescent="0.2">
      <c r="A977" s="362" t="str">
        <f>VLOOKUP(B977,PRECIOS!$A$309:$E$485,2,FALSE)</f>
        <v>EQUIPO175</v>
      </c>
      <c r="B977" s="363" t="s">
        <v>454</v>
      </c>
      <c r="C977" s="99" t="str">
        <f>VLOOKUP(B977,PRECIOS!$A$309:$E$485,3,FALSE)</f>
        <v>Estructura</v>
      </c>
      <c r="D977" s="364">
        <f>VLOOKUP(B977,PRECIOS!$A$309:$E$485,5,FALSE)</f>
        <v>75</v>
      </c>
      <c r="E977" s="365">
        <v>1</v>
      </c>
      <c r="F977" s="366">
        <f>+D977*E977</f>
        <v>75</v>
      </c>
      <c r="G977" s="245"/>
    </row>
    <row r="978" spans="1:7" x14ac:dyDescent="0.2">
      <c r="A978" s="362" t="str">
        <f>VLOOKUP(B978,PRECIOS!$A$309:$E$485,2,FALSE)</f>
        <v>EQUIPO64</v>
      </c>
      <c r="B978" s="363" t="s">
        <v>530</v>
      </c>
      <c r="C978" s="99" t="str">
        <f>VLOOKUP(B978,PRECIOS!$A$309:$E$485,3,FALSE)</f>
        <v>Estructura</v>
      </c>
      <c r="D978" s="364">
        <f>VLOOKUP(B978,PRECIOS!$A$309:$E$485,5,FALSE)</f>
        <v>5633.6309999999994</v>
      </c>
      <c r="E978" s="365">
        <v>0.7</v>
      </c>
      <c r="F978" s="366">
        <f>+D978*E978</f>
        <v>3943.5416999999993</v>
      </c>
      <c r="G978" s="245"/>
    </row>
    <row r="979" spans="1:7" x14ac:dyDescent="0.2">
      <c r="A979" s="1179" t="s">
        <v>1650</v>
      </c>
      <c r="B979" s="1180"/>
      <c r="C979" s="214">
        <v>0.05</v>
      </c>
      <c r="D979" s="213"/>
      <c r="E979" s="283"/>
      <c r="F979" s="212">
        <f>+G1000*C979</f>
        <v>3296.8852941176469</v>
      </c>
      <c r="G979" s="246"/>
    </row>
    <row r="980" spans="1:7" x14ac:dyDescent="0.2">
      <c r="A980" s="247" t="s">
        <v>25</v>
      </c>
      <c r="B980" s="281"/>
      <c r="C980" s="281"/>
      <c r="D980" s="281"/>
      <c r="E980" s="281"/>
      <c r="F980" s="281"/>
      <c r="G980" s="246" t="s">
        <v>31</v>
      </c>
    </row>
    <row r="981" spans="1:7" ht="15" thickBot="1" x14ac:dyDescent="0.25">
      <c r="A981" s="248"/>
      <c r="B981" s="284"/>
      <c r="C981" s="284"/>
      <c r="D981" s="284"/>
      <c r="E981" s="284"/>
      <c r="F981" s="284"/>
      <c r="G981" s="249">
        <f>SUM(F976:F979)</f>
        <v>11968.920494117645</v>
      </c>
    </row>
    <row r="982" spans="1:7" ht="15" thickBot="1" x14ac:dyDescent="0.25">
      <c r="A982" s="1176" t="s">
        <v>1645</v>
      </c>
      <c r="B982" s="1177"/>
      <c r="C982" s="1177"/>
      <c r="D982" s="1177"/>
      <c r="E982" s="1177"/>
      <c r="F982" s="1177"/>
      <c r="G982" s="1178"/>
    </row>
    <row r="983" spans="1:7" x14ac:dyDescent="0.2">
      <c r="A983" s="242" t="s">
        <v>1643</v>
      </c>
      <c r="B983" s="191" t="s">
        <v>1644</v>
      </c>
      <c r="C983" s="190" t="s">
        <v>32</v>
      </c>
      <c r="D983" s="190" t="s">
        <v>33</v>
      </c>
      <c r="E983" s="190" t="s">
        <v>34</v>
      </c>
      <c r="F983" s="190" t="s">
        <v>35</v>
      </c>
      <c r="G983" s="243"/>
    </row>
    <row r="984" spans="1:7" x14ac:dyDescent="0.2">
      <c r="A984" s="247"/>
      <c r="B984" s="216" t="str">
        <f>+LIST_APUS_AUX!$A$92</f>
        <v>Concreto de 3000 PSI</v>
      </c>
      <c r="C984" s="373" t="str">
        <f>+LIST_APUS_AUX!$G$92</f>
        <v>m³</v>
      </c>
      <c r="D984" s="361">
        <f>+LIST_APUS_AUX!$G$120</f>
        <v>841990</v>
      </c>
      <c r="E984" s="104">
        <v>1</v>
      </c>
      <c r="F984" s="400">
        <f>+D984*E984</f>
        <v>841990</v>
      </c>
      <c r="G984" s="370"/>
    </row>
    <row r="985" spans="1:7" ht="36" x14ac:dyDescent="0.2">
      <c r="A985" s="247"/>
      <c r="B985" s="216" t="str">
        <f>+LIST_APUS_AUX!$A$313</f>
        <v>Formaleta en madera para muros de contencion, pozo septico y tanque subterraneo</v>
      </c>
      <c r="C985" s="373" t="str">
        <f>+LIST_APUS_AUX!$G$313</f>
        <v>m²</v>
      </c>
      <c r="D985" s="361">
        <f>+LIST_APUS_AUX!$G$345</f>
        <v>66091</v>
      </c>
      <c r="E985" s="104">
        <v>1</v>
      </c>
      <c r="F985" s="361">
        <f>+D985*E985</f>
        <v>66091</v>
      </c>
      <c r="G985" s="370"/>
    </row>
    <row r="986" spans="1:7" x14ac:dyDescent="0.2">
      <c r="A986" s="352" t="str">
        <f>VLOOKUP(B986,PRECIOS!$A$5:$D$303,2,FALSE)</f>
        <v>MADECOMUN</v>
      </c>
      <c r="B986" s="105" t="s">
        <v>67</v>
      </c>
      <c r="C986" s="99" t="str">
        <f>VLOOKUP(B986,PRECIOS!$A$5:$D$303,3,FALSE)</f>
        <v>Docena</v>
      </c>
      <c r="D986" s="371">
        <f>VLOOKUP(B986,PRECIOS!$A$5:$D$303,4,FALSE)</f>
        <v>30145.915800000006</v>
      </c>
      <c r="E986" s="399">
        <v>0.17</v>
      </c>
      <c r="F986" s="401">
        <f>+D986*E986</f>
        <v>5124.8056860000015</v>
      </c>
      <c r="G986" s="370"/>
    </row>
    <row r="987" spans="1:7" x14ac:dyDescent="0.2">
      <c r="A987" s="1179" t="s">
        <v>1649</v>
      </c>
      <c r="B987" s="1180"/>
      <c r="C987" s="214">
        <v>0.03</v>
      </c>
      <c r="D987" s="282"/>
      <c r="E987" s="283"/>
      <c r="F987" s="276">
        <f>SUM(F984:F986)*C987</f>
        <v>27396.174170580001</v>
      </c>
      <c r="G987" s="246"/>
    </row>
    <row r="988" spans="1:7" x14ac:dyDescent="0.2">
      <c r="A988" s="247"/>
      <c r="B988" s="281"/>
      <c r="C988" s="104"/>
      <c r="D988" s="104"/>
      <c r="E988" s="104"/>
      <c r="F988" s="104"/>
      <c r="G988" s="246" t="s">
        <v>31</v>
      </c>
    </row>
    <row r="989" spans="1:7" ht="15" thickBot="1" x14ac:dyDescent="0.25">
      <c r="A989" s="248"/>
      <c r="B989" s="284"/>
      <c r="C989" s="284"/>
      <c r="D989" s="284"/>
      <c r="E989" s="284"/>
      <c r="F989" s="284"/>
      <c r="G989" s="250">
        <f>SUM(F984:F987)</f>
        <v>940601.97985658003</v>
      </c>
    </row>
    <row r="990" spans="1:7" ht="15" thickBot="1" x14ac:dyDescent="0.25">
      <c r="A990" s="1176" t="s">
        <v>1646</v>
      </c>
      <c r="B990" s="1177"/>
      <c r="C990" s="1177"/>
      <c r="D990" s="1177"/>
      <c r="E990" s="1177"/>
      <c r="F990" s="1177"/>
      <c r="G990" s="1178"/>
    </row>
    <row r="991" spans="1:7" x14ac:dyDescent="0.2">
      <c r="A991" s="251" t="s">
        <v>305</v>
      </c>
      <c r="B991" s="190" t="s">
        <v>38</v>
      </c>
      <c r="C991" s="190" t="s">
        <v>39</v>
      </c>
      <c r="D991" s="190" t="s">
        <v>40</v>
      </c>
      <c r="E991" s="190" t="s">
        <v>34</v>
      </c>
      <c r="F991" s="190" t="s">
        <v>35</v>
      </c>
      <c r="G991" s="243"/>
    </row>
    <row r="992" spans="1:7" x14ac:dyDescent="0.2">
      <c r="A992" s="369"/>
      <c r="B992" s="89"/>
      <c r="C992" s="209"/>
      <c r="D992" s="199"/>
      <c r="E992" s="367"/>
      <c r="F992" s="234"/>
      <c r="G992" s="253"/>
    </row>
    <row r="993" spans="1:7" x14ac:dyDescent="0.2">
      <c r="A993" s="252"/>
      <c r="B993" s="235"/>
      <c r="C993" s="238"/>
      <c r="D993" s="236"/>
      <c r="E993" s="237"/>
      <c r="F993" s="239"/>
      <c r="G993" s="253"/>
    </row>
    <row r="994" spans="1:7" x14ac:dyDescent="0.2">
      <c r="A994" s="247" t="s">
        <v>25</v>
      </c>
      <c r="B994" s="104" t="s">
        <v>25</v>
      </c>
      <c r="C994" s="104" t="s">
        <v>25</v>
      </c>
      <c r="D994" s="188" t="s">
        <v>25</v>
      </c>
      <c r="E994" s="189" t="s">
        <v>25</v>
      </c>
      <c r="F994" s="187" t="s">
        <v>25</v>
      </c>
      <c r="G994" s="246" t="s">
        <v>31</v>
      </c>
    </row>
    <row r="995" spans="1:7" ht="15" thickBot="1" x14ac:dyDescent="0.25">
      <c r="A995" s="248"/>
      <c r="B995" s="284"/>
      <c r="C995" s="284"/>
      <c r="D995" s="284"/>
      <c r="E995" s="284"/>
      <c r="F995" s="284"/>
      <c r="G995" s="250">
        <f>SUM(F992:F993)</f>
        <v>0</v>
      </c>
    </row>
    <row r="996" spans="1:7" ht="15" thickBot="1" x14ac:dyDescent="0.25">
      <c r="A996" s="1176" t="s">
        <v>1647</v>
      </c>
      <c r="B996" s="1177"/>
      <c r="C996" s="1177"/>
      <c r="D996" s="1177"/>
      <c r="E996" s="1177"/>
      <c r="F996" s="1177"/>
      <c r="G996" s="1178"/>
    </row>
    <row r="997" spans="1:7" ht="24" x14ac:dyDescent="0.2">
      <c r="A997" s="254" t="s">
        <v>1681</v>
      </c>
      <c r="B997" s="190" t="s">
        <v>42</v>
      </c>
      <c r="C997" s="190" t="s">
        <v>43</v>
      </c>
      <c r="D997" s="190" t="s">
        <v>44</v>
      </c>
      <c r="E997" s="190" t="s">
        <v>306</v>
      </c>
      <c r="F997" s="190" t="s">
        <v>29</v>
      </c>
      <c r="G997" s="243"/>
    </row>
    <row r="998" spans="1:7" ht="36" x14ac:dyDescent="0.2">
      <c r="A998" s="255" t="s">
        <v>1676</v>
      </c>
      <c r="B998" s="202">
        <f>VLOOKUP(A998,JORNALES!$A$5:$B$28,2,FALSE)</f>
        <v>295000</v>
      </c>
      <c r="C998" s="233">
        <f>+PRESTACIONES!$C$20/100</f>
        <v>0.89990000000000014</v>
      </c>
      <c r="D998" s="234">
        <f>+(B998*C998)+B998</f>
        <v>560470.5</v>
      </c>
      <c r="E998" s="285">
        <v>8.5</v>
      </c>
      <c r="F998" s="199">
        <f>+D998/E998</f>
        <v>65937.705882352937</v>
      </c>
      <c r="G998" s="246"/>
    </row>
    <row r="999" spans="1:7" x14ac:dyDescent="0.2">
      <c r="A999" s="247"/>
      <c r="B999" s="281"/>
      <c r="C999" s="281"/>
      <c r="D999" s="281"/>
      <c r="E999" s="281"/>
      <c r="F999" s="281"/>
      <c r="G999" s="246" t="s">
        <v>31</v>
      </c>
    </row>
    <row r="1000" spans="1:7" x14ac:dyDescent="0.2">
      <c r="A1000" s="247"/>
      <c r="B1000" s="281"/>
      <c r="C1000" s="281"/>
      <c r="D1000" s="281"/>
      <c r="E1000" s="281"/>
      <c r="F1000" s="281"/>
      <c r="G1000" s="256">
        <f>SUM(F998:F998)</f>
        <v>65937.705882352937</v>
      </c>
    </row>
    <row r="1001" spans="1:7" ht="15" thickBot="1" x14ac:dyDescent="0.25">
      <c r="A1001" s="1181" t="s">
        <v>25</v>
      </c>
      <c r="B1001" s="1182"/>
      <c r="C1001" s="1182"/>
      <c r="D1001" s="1182"/>
      <c r="E1001" s="1182"/>
      <c r="F1001" s="1182"/>
      <c r="G1001" s="1183"/>
    </row>
    <row r="1002" spans="1:7" ht="15" thickBot="1" x14ac:dyDescent="0.25">
      <c r="A1002" s="1184" t="s">
        <v>45</v>
      </c>
      <c r="B1002" s="1185"/>
      <c r="C1002" s="1185"/>
      <c r="D1002" s="1185"/>
      <c r="E1002" s="1185"/>
      <c r="F1002" s="192"/>
      <c r="G1002" s="277">
        <f xml:space="preserve"> ROUND(G1000+G995+G989+G981,0)</f>
        <v>1018509</v>
      </c>
    </row>
    <row r="1003" spans="1:7" x14ac:dyDescent="0.2">
      <c r="A1003" s="1186" t="s">
        <v>476</v>
      </c>
      <c r="B1003" s="1187"/>
      <c r="C1003" s="1187"/>
      <c r="D1003" s="1187"/>
      <c r="E1003" s="1187"/>
      <c r="F1003" s="193" t="s">
        <v>51</v>
      </c>
      <c r="G1003" s="257" t="s">
        <v>307</v>
      </c>
    </row>
    <row r="1004" spans="1:7" x14ac:dyDescent="0.2">
      <c r="A1004" s="1166" t="s">
        <v>17</v>
      </c>
      <c r="B1004" s="1167"/>
      <c r="C1004" s="1167"/>
      <c r="D1004" s="1167"/>
      <c r="E1004" s="1167"/>
      <c r="F1004" s="240"/>
      <c r="G1004" s="196"/>
    </row>
    <row r="1005" spans="1:7" x14ac:dyDescent="0.2">
      <c r="A1005" s="1166" t="s">
        <v>308</v>
      </c>
      <c r="B1005" s="1167"/>
      <c r="C1005" s="1167"/>
      <c r="D1005" s="1167"/>
      <c r="E1005" s="1167"/>
      <c r="F1005" s="240"/>
      <c r="G1005" s="196"/>
    </row>
    <row r="1006" spans="1:7" x14ac:dyDescent="0.2">
      <c r="A1006" s="1166" t="s">
        <v>19</v>
      </c>
      <c r="B1006" s="1167"/>
      <c r="C1006" s="1167"/>
      <c r="D1006" s="1167"/>
      <c r="E1006" s="1167"/>
      <c r="F1006" s="240"/>
      <c r="G1006" s="196"/>
    </row>
    <row r="1007" spans="1:7" ht="15" thickBot="1" x14ac:dyDescent="0.25">
      <c r="A1007" s="1168" t="s">
        <v>309</v>
      </c>
      <c r="B1007" s="1169"/>
      <c r="C1007" s="1169"/>
      <c r="D1007" s="1169"/>
      <c r="E1007" s="1169"/>
      <c r="F1007" s="198"/>
      <c r="G1007" s="258"/>
    </row>
    <row r="1008" spans="1:7" ht="15" thickBot="1" x14ac:dyDescent="0.25">
      <c r="A1008" s="1170" t="s">
        <v>310</v>
      </c>
      <c r="B1008" s="1171"/>
      <c r="C1008" s="1171"/>
      <c r="D1008" s="1171"/>
      <c r="E1008" s="1171"/>
      <c r="F1008" s="1172"/>
      <c r="G1008" s="1173"/>
    </row>
    <row r="1009" spans="1:7" x14ac:dyDescent="0.2">
      <c r="A1009" s="279"/>
      <c r="B1009" s="280"/>
      <c r="C1009" s="280"/>
      <c r="D1009" s="280"/>
      <c r="E1009" s="280"/>
      <c r="F1009" s="193"/>
      <c r="G1009" s="260"/>
    </row>
    <row r="1010" spans="1:7" ht="15" thickBot="1" x14ac:dyDescent="0.25">
      <c r="A1010" s="261" t="s">
        <v>681</v>
      </c>
      <c r="B1010" s="262"/>
      <c r="C1010" s="262" t="s">
        <v>682</v>
      </c>
      <c r="D1010" s="262"/>
      <c r="E1010" s="262"/>
      <c r="F1010" s="262" t="s">
        <v>683</v>
      </c>
      <c r="G1010" s="263"/>
    </row>
    <row r="1011" spans="1:7" ht="15" thickBot="1" x14ac:dyDescent="0.25">
      <c r="A1011" s="1174" t="str">
        <f>+LIST_ACTIVIDADES!D36</f>
        <v xml:space="preserve">Box coulvert en concreto </v>
      </c>
      <c r="B1011" s="1175"/>
      <c r="C1011" s="1175"/>
      <c r="D1011" s="1175"/>
      <c r="E1011" s="1175"/>
      <c r="F1011" s="241" t="s">
        <v>24</v>
      </c>
      <c r="G1011" s="264" t="str">
        <f>+LIST_ACTIVIDADES!E36</f>
        <v>m³</v>
      </c>
    </row>
    <row r="1012" spans="1:7" ht="15" thickBot="1" x14ac:dyDescent="0.25">
      <c r="A1012" s="1176" t="s">
        <v>1642</v>
      </c>
      <c r="B1012" s="1177"/>
      <c r="C1012" s="1177"/>
      <c r="D1012" s="1177"/>
      <c r="E1012" s="1177"/>
      <c r="F1012" s="1177"/>
      <c r="G1012" s="1178"/>
    </row>
    <row r="1013" spans="1:7" x14ac:dyDescent="0.2">
      <c r="A1013" s="242" t="s">
        <v>1643</v>
      </c>
      <c r="B1013" s="191" t="s">
        <v>1644</v>
      </c>
      <c r="C1013" s="190" t="s">
        <v>26</v>
      </c>
      <c r="D1013" s="190" t="s">
        <v>27</v>
      </c>
      <c r="E1013" s="190" t="s">
        <v>28</v>
      </c>
      <c r="F1013" s="190" t="s">
        <v>29</v>
      </c>
      <c r="G1013" s="243"/>
    </row>
    <row r="1014" spans="1:7" ht="24" x14ac:dyDescent="0.2">
      <c r="A1014" s="362" t="str">
        <f>VLOOKUP(B1014,PRECIOS!$A$309:$E$485,2,FALSE)</f>
        <v>EQUIPO142</v>
      </c>
      <c r="B1014" s="363" t="s">
        <v>621</v>
      </c>
      <c r="C1014" s="99" t="str">
        <f>VLOOKUP(B1014,PRECIOS!$A$309:$E$485,3,FALSE)</f>
        <v>Electrica</v>
      </c>
      <c r="D1014" s="364">
        <f>VLOOKUP(B1014,PRECIOS!$A$309:$E$485,5,FALSE)</f>
        <v>9306.9869999999992</v>
      </c>
      <c r="E1014" s="365">
        <v>0.5</v>
      </c>
      <c r="F1014" s="366">
        <f>+D1014*E1014</f>
        <v>4653.4934999999996</v>
      </c>
      <c r="G1014" s="245"/>
    </row>
    <row r="1015" spans="1:7" ht="24" x14ac:dyDescent="0.2">
      <c r="A1015" s="362" t="str">
        <f>VLOOKUP(B1015,PRECIOS!$A$309:$E$485,2,FALSE)</f>
        <v>EQUIPO175</v>
      </c>
      <c r="B1015" s="363" t="s">
        <v>454</v>
      </c>
      <c r="C1015" s="99" t="str">
        <f>VLOOKUP(B1015,PRECIOS!$A$309:$E$485,3,FALSE)</f>
        <v>Estructura</v>
      </c>
      <c r="D1015" s="364">
        <f>VLOOKUP(B1015,PRECIOS!$A$309:$E$485,5,FALSE)</f>
        <v>75</v>
      </c>
      <c r="E1015" s="365">
        <v>1</v>
      </c>
      <c r="F1015" s="366">
        <f>+D1015*E1015</f>
        <v>75</v>
      </c>
      <c r="G1015" s="245"/>
    </row>
    <row r="1016" spans="1:7" x14ac:dyDescent="0.2">
      <c r="A1016" s="362" t="str">
        <f>VLOOKUP(B1016,PRECIOS!$A$309:$E$485,2,FALSE)</f>
        <v>EQUIPO64</v>
      </c>
      <c r="B1016" s="363" t="s">
        <v>530</v>
      </c>
      <c r="C1016" s="99" t="str">
        <f>VLOOKUP(B1016,PRECIOS!$A$309:$E$485,3,FALSE)</f>
        <v>Estructura</v>
      </c>
      <c r="D1016" s="364">
        <f>VLOOKUP(B1016,PRECIOS!$A$309:$E$485,5,FALSE)</f>
        <v>5633.6309999999994</v>
      </c>
      <c r="E1016" s="365">
        <v>0.7</v>
      </c>
      <c r="F1016" s="366">
        <f>+D1016*E1016</f>
        <v>3943.5416999999993</v>
      </c>
      <c r="G1016" s="245"/>
    </row>
    <row r="1017" spans="1:7" x14ac:dyDescent="0.2">
      <c r="A1017" s="1179" t="s">
        <v>1650</v>
      </c>
      <c r="B1017" s="1180"/>
      <c r="C1017" s="214">
        <v>0.05</v>
      </c>
      <c r="D1017" s="213"/>
      <c r="E1017" s="283"/>
      <c r="F1017" s="212">
        <f>+G1038*C1017</f>
        <v>3502.9406250000002</v>
      </c>
      <c r="G1017" s="246"/>
    </row>
    <row r="1018" spans="1:7" x14ac:dyDescent="0.2">
      <c r="A1018" s="247" t="s">
        <v>25</v>
      </c>
      <c r="B1018" s="281"/>
      <c r="C1018" s="281"/>
      <c r="D1018" s="281"/>
      <c r="E1018" s="281"/>
      <c r="F1018" s="281"/>
      <c r="G1018" s="246" t="s">
        <v>31</v>
      </c>
    </row>
    <row r="1019" spans="1:7" ht="15" thickBot="1" x14ac:dyDescent="0.25">
      <c r="A1019" s="248"/>
      <c r="B1019" s="284"/>
      <c r="C1019" s="284"/>
      <c r="D1019" s="284"/>
      <c r="E1019" s="284"/>
      <c r="F1019" s="284"/>
      <c r="G1019" s="249">
        <f>SUM(F1014:F1017)</f>
        <v>12174.975824999998</v>
      </c>
    </row>
    <row r="1020" spans="1:7" ht="15" thickBot="1" x14ac:dyDescent="0.25">
      <c r="A1020" s="1176" t="s">
        <v>1645</v>
      </c>
      <c r="B1020" s="1177"/>
      <c r="C1020" s="1177"/>
      <c r="D1020" s="1177"/>
      <c r="E1020" s="1177"/>
      <c r="F1020" s="1177"/>
      <c r="G1020" s="1178"/>
    </row>
    <row r="1021" spans="1:7" x14ac:dyDescent="0.2">
      <c r="A1021" s="242" t="s">
        <v>1643</v>
      </c>
      <c r="B1021" s="191" t="s">
        <v>1644</v>
      </c>
      <c r="C1021" s="190" t="s">
        <v>32</v>
      </c>
      <c r="D1021" s="190" t="s">
        <v>33</v>
      </c>
      <c r="E1021" s="190" t="s">
        <v>34</v>
      </c>
      <c r="F1021" s="190" t="s">
        <v>35</v>
      </c>
      <c r="G1021" s="243"/>
    </row>
    <row r="1022" spans="1:7" x14ac:dyDescent="0.2">
      <c r="A1022" s="247"/>
      <c r="B1022" s="216" t="str">
        <f>+LIST_APUS_AUX!$A$92</f>
        <v>Concreto de 3000 PSI</v>
      </c>
      <c r="C1022" s="373" t="str">
        <f>+LIST_APUS_AUX!$G$92</f>
        <v>m³</v>
      </c>
      <c r="D1022" s="361">
        <f>+LIST_APUS_AUX!$G$120</f>
        <v>841990</v>
      </c>
      <c r="E1022" s="104">
        <v>1</v>
      </c>
      <c r="F1022" s="400">
        <f>+D1022*E1022</f>
        <v>841990</v>
      </c>
      <c r="G1022" s="370"/>
    </row>
    <row r="1023" spans="1:7" ht="36" x14ac:dyDescent="0.2">
      <c r="A1023" s="247"/>
      <c r="B1023" s="216" t="str">
        <f>+LIST_APUS_AUX!$A$313</f>
        <v>Formaleta en madera para muros de contencion, pozo septico y tanque subterraneo</v>
      </c>
      <c r="C1023" s="373" t="str">
        <f>+LIST_APUS_AUX!$G$313</f>
        <v>m²</v>
      </c>
      <c r="D1023" s="361">
        <f>+LIST_APUS_AUX!$G$345</f>
        <v>66091</v>
      </c>
      <c r="E1023" s="104">
        <v>1</v>
      </c>
      <c r="F1023" s="361">
        <f>+D1023*E1023</f>
        <v>66091</v>
      </c>
      <c r="G1023" s="370"/>
    </row>
    <row r="1024" spans="1:7" x14ac:dyDescent="0.2">
      <c r="A1024" s="352" t="str">
        <f>VLOOKUP(B1024,PRECIOS!$A$5:$D$303,2,FALSE)</f>
        <v>MADECOMUN</v>
      </c>
      <c r="B1024" s="105" t="s">
        <v>67</v>
      </c>
      <c r="C1024" s="99" t="str">
        <f>VLOOKUP(B1024,PRECIOS!$A$5:$D$303,3,FALSE)</f>
        <v>Docena</v>
      </c>
      <c r="D1024" s="371">
        <f>VLOOKUP(B1024,PRECIOS!$A$5:$D$303,4,FALSE)</f>
        <v>30145.915800000006</v>
      </c>
      <c r="E1024" s="399">
        <v>0.18</v>
      </c>
      <c r="F1024" s="401">
        <f>+D1024*E1024</f>
        <v>5426.2648440000012</v>
      </c>
      <c r="G1024" s="370"/>
    </row>
    <row r="1025" spans="1:7" x14ac:dyDescent="0.2">
      <c r="A1025" s="1179" t="s">
        <v>1649</v>
      </c>
      <c r="B1025" s="1180"/>
      <c r="C1025" s="214">
        <v>0.03</v>
      </c>
      <c r="D1025" s="282"/>
      <c r="E1025" s="283"/>
      <c r="F1025" s="276">
        <f>SUM(F1022:F1024)*C1025</f>
        <v>27405.217945319997</v>
      </c>
      <c r="G1025" s="246"/>
    </row>
    <row r="1026" spans="1:7" x14ac:dyDescent="0.2">
      <c r="A1026" s="247"/>
      <c r="B1026" s="281"/>
      <c r="C1026" s="104"/>
      <c r="D1026" s="104"/>
      <c r="E1026" s="104"/>
      <c r="F1026" s="104"/>
      <c r="G1026" s="246" t="s">
        <v>31</v>
      </c>
    </row>
    <row r="1027" spans="1:7" ht="15" thickBot="1" x14ac:dyDescent="0.25">
      <c r="A1027" s="248"/>
      <c r="B1027" s="284"/>
      <c r="C1027" s="284"/>
      <c r="D1027" s="284"/>
      <c r="E1027" s="284"/>
      <c r="F1027" s="284"/>
      <c r="G1027" s="250">
        <f>SUM(F1022:F1025)</f>
        <v>940912.48278931994</v>
      </c>
    </row>
    <row r="1028" spans="1:7" ht="15" thickBot="1" x14ac:dyDescent="0.25">
      <c r="A1028" s="1176" t="s">
        <v>1646</v>
      </c>
      <c r="B1028" s="1177"/>
      <c r="C1028" s="1177"/>
      <c r="D1028" s="1177"/>
      <c r="E1028" s="1177"/>
      <c r="F1028" s="1177"/>
      <c r="G1028" s="1178"/>
    </row>
    <row r="1029" spans="1:7" x14ac:dyDescent="0.2">
      <c r="A1029" s="251" t="s">
        <v>305</v>
      </c>
      <c r="B1029" s="190" t="s">
        <v>38</v>
      </c>
      <c r="C1029" s="190" t="s">
        <v>39</v>
      </c>
      <c r="D1029" s="190" t="s">
        <v>40</v>
      </c>
      <c r="E1029" s="190" t="s">
        <v>34</v>
      </c>
      <c r="F1029" s="190" t="s">
        <v>35</v>
      </c>
      <c r="G1029" s="243"/>
    </row>
    <row r="1030" spans="1:7" x14ac:dyDescent="0.2">
      <c r="A1030" s="369"/>
      <c r="B1030" s="89"/>
      <c r="C1030" s="209"/>
      <c r="D1030" s="199"/>
      <c r="E1030" s="367"/>
      <c r="F1030" s="234"/>
      <c r="G1030" s="253"/>
    </row>
    <row r="1031" spans="1:7" x14ac:dyDescent="0.2">
      <c r="A1031" s="252"/>
      <c r="B1031" s="235"/>
      <c r="C1031" s="238"/>
      <c r="D1031" s="236"/>
      <c r="E1031" s="237"/>
      <c r="F1031" s="239"/>
      <c r="G1031" s="253"/>
    </row>
    <row r="1032" spans="1:7" x14ac:dyDescent="0.2">
      <c r="A1032" s="247" t="s">
        <v>25</v>
      </c>
      <c r="B1032" s="104" t="s">
        <v>25</v>
      </c>
      <c r="C1032" s="104" t="s">
        <v>25</v>
      </c>
      <c r="D1032" s="188" t="s">
        <v>25</v>
      </c>
      <c r="E1032" s="189" t="s">
        <v>25</v>
      </c>
      <c r="F1032" s="187" t="s">
        <v>25</v>
      </c>
      <c r="G1032" s="246" t="s">
        <v>31</v>
      </c>
    </row>
    <row r="1033" spans="1:7" ht="15" thickBot="1" x14ac:dyDescent="0.25">
      <c r="A1033" s="248"/>
      <c r="B1033" s="284"/>
      <c r="C1033" s="284"/>
      <c r="D1033" s="284"/>
      <c r="E1033" s="284"/>
      <c r="F1033" s="284"/>
      <c r="G1033" s="250">
        <f>SUM(F1030:F1031)</f>
        <v>0</v>
      </c>
    </row>
    <row r="1034" spans="1:7" ht="15" thickBot="1" x14ac:dyDescent="0.25">
      <c r="A1034" s="1176" t="s">
        <v>1647</v>
      </c>
      <c r="B1034" s="1177"/>
      <c r="C1034" s="1177"/>
      <c r="D1034" s="1177"/>
      <c r="E1034" s="1177"/>
      <c r="F1034" s="1177"/>
      <c r="G1034" s="1178"/>
    </row>
    <row r="1035" spans="1:7" ht="24" x14ac:dyDescent="0.2">
      <c r="A1035" s="254" t="s">
        <v>1681</v>
      </c>
      <c r="B1035" s="190" t="s">
        <v>42</v>
      </c>
      <c r="C1035" s="190" t="s">
        <v>43</v>
      </c>
      <c r="D1035" s="190" t="s">
        <v>44</v>
      </c>
      <c r="E1035" s="190" t="s">
        <v>306</v>
      </c>
      <c r="F1035" s="190" t="s">
        <v>29</v>
      </c>
      <c r="G1035" s="243"/>
    </row>
    <row r="1036" spans="1:7" ht="36" x14ac:dyDescent="0.2">
      <c r="A1036" s="255" t="s">
        <v>1676</v>
      </c>
      <c r="B1036" s="202">
        <f>VLOOKUP(A1036,JORNALES!$A$5:$B$28,2,FALSE)</f>
        <v>295000</v>
      </c>
      <c r="C1036" s="233">
        <f>+PRESTACIONES!$C$20/100</f>
        <v>0.89990000000000014</v>
      </c>
      <c r="D1036" s="234">
        <f>+(B1036*C1036)+B1036</f>
        <v>560470.5</v>
      </c>
      <c r="E1036" s="285">
        <v>8</v>
      </c>
      <c r="F1036" s="199">
        <f>+D1036/E1036</f>
        <v>70058.8125</v>
      </c>
      <c r="G1036" s="246"/>
    </row>
    <row r="1037" spans="1:7" x14ac:dyDescent="0.2">
      <c r="A1037" s="247"/>
      <c r="B1037" s="281"/>
      <c r="C1037" s="281"/>
      <c r="D1037" s="281"/>
      <c r="E1037" s="281"/>
      <c r="F1037" s="281"/>
      <c r="G1037" s="246" t="s">
        <v>31</v>
      </c>
    </row>
    <row r="1038" spans="1:7" x14ac:dyDescent="0.2">
      <c r="A1038" s="247"/>
      <c r="B1038" s="281"/>
      <c r="C1038" s="281"/>
      <c r="D1038" s="281"/>
      <c r="E1038" s="281"/>
      <c r="F1038" s="281"/>
      <c r="G1038" s="256">
        <f>SUM(F1036:F1036)</f>
        <v>70058.8125</v>
      </c>
    </row>
    <row r="1039" spans="1:7" ht="15" thickBot="1" x14ac:dyDescent="0.25">
      <c r="A1039" s="1181" t="s">
        <v>25</v>
      </c>
      <c r="B1039" s="1182"/>
      <c r="C1039" s="1182"/>
      <c r="D1039" s="1182"/>
      <c r="E1039" s="1182"/>
      <c r="F1039" s="1182"/>
      <c r="G1039" s="1183"/>
    </row>
    <row r="1040" spans="1:7" ht="15" thickBot="1" x14ac:dyDescent="0.25">
      <c r="A1040" s="1184" t="s">
        <v>45</v>
      </c>
      <c r="B1040" s="1185"/>
      <c r="C1040" s="1185"/>
      <c r="D1040" s="1185"/>
      <c r="E1040" s="1185"/>
      <c r="F1040" s="192"/>
      <c r="G1040" s="277">
        <f xml:space="preserve"> ROUND(G1038+G1033+G1027+G1019,0)</f>
        <v>1023146</v>
      </c>
    </row>
    <row r="1041" spans="1:7" x14ac:dyDescent="0.2">
      <c r="A1041" s="1186" t="s">
        <v>476</v>
      </c>
      <c r="B1041" s="1187"/>
      <c r="C1041" s="1187"/>
      <c r="D1041" s="1187"/>
      <c r="E1041" s="1187"/>
      <c r="F1041" s="193" t="s">
        <v>51</v>
      </c>
      <c r="G1041" s="257" t="s">
        <v>307</v>
      </c>
    </row>
    <row r="1042" spans="1:7" x14ac:dyDescent="0.2">
      <c r="A1042" s="1166" t="s">
        <v>17</v>
      </c>
      <c r="B1042" s="1167"/>
      <c r="C1042" s="1167"/>
      <c r="D1042" s="1167"/>
      <c r="E1042" s="1167"/>
      <c r="F1042" s="240"/>
      <c r="G1042" s="196"/>
    </row>
    <row r="1043" spans="1:7" x14ac:dyDescent="0.2">
      <c r="A1043" s="1166" t="s">
        <v>308</v>
      </c>
      <c r="B1043" s="1167"/>
      <c r="C1043" s="1167"/>
      <c r="D1043" s="1167"/>
      <c r="E1043" s="1167"/>
      <c r="F1043" s="240"/>
      <c r="G1043" s="196"/>
    </row>
    <row r="1044" spans="1:7" x14ac:dyDescent="0.2">
      <c r="A1044" s="1166" t="s">
        <v>19</v>
      </c>
      <c r="B1044" s="1167"/>
      <c r="C1044" s="1167"/>
      <c r="D1044" s="1167"/>
      <c r="E1044" s="1167"/>
      <c r="F1044" s="240"/>
      <c r="G1044" s="196"/>
    </row>
    <row r="1045" spans="1:7" ht="15" thickBot="1" x14ac:dyDescent="0.25">
      <c r="A1045" s="1168" t="s">
        <v>309</v>
      </c>
      <c r="B1045" s="1169"/>
      <c r="C1045" s="1169"/>
      <c r="D1045" s="1169"/>
      <c r="E1045" s="1169"/>
      <c r="F1045" s="198"/>
      <c r="G1045" s="258"/>
    </row>
    <row r="1046" spans="1:7" ht="15" thickBot="1" x14ac:dyDescent="0.25">
      <c r="A1046" s="1170" t="s">
        <v>310</v>
      </c>
      <c r="B1046" s="1171"/>
      <c r="C1046" s="1171"/>
      <c r="D1046" s="1171"/>
      <c r="E1046" s="1171"/>
      <c r="F1046" s="1172"/>
      <c r="G1046" s="1173"/>
    </row>
    <row r="1047" spans="1:7" x14ac:dyDescent="0.2">
      <c r="A1047" s="279"/>
      <c r="B1047" s="280"/>
      <c r="C1047" s="280"/>
      <c r="D1047" s="280"/>
      <c r="E1047" s="280"/>
      <c r="F1047" s="193"/>
      <c r="G1047" s="260"/>
    </row>
    <row r="1048" spans="1:7" ht="15" thickBot="1" x14ac:dyDescent="0.25">
      <c r="A1048" s="261" t="s">
        <v>681</v>
      </c>
      <c r="B1048" s="262"/>
      <c r="C1048" s="262" t="s">
        <v>682</v>
      </c>
      <c r="D1048" s="262"/>
      <c r="E1048" s="262"/>
      <c r="F1048" s="262" t="s">
        <v>683</v>
      </c>
      <c r="G1048" s="263"/>
    </row>
    <row r="1049" spans="1:7" ht="15" thickBot="1" x14ac:dyDescent="0.25">
      <c r="A1049" s="1174" t="str">
        <f>+LIST_ACTIVIDADES!D37</f>
        <v>Sardinel en concreto de 3000psi, incluye refuerzo</v>
      </c>
      <c r="B1049" s="1175"/>
      <c r="C1049" s="1175"/>
      <c r="D1049" s="1175"/>
      <c r="E1049" s="1175"/>
      <c r="F1049" s="241" t="s">
        <v>24</v>
      </c>
      <c r="G1049" s="264" t="str">
        <f>+LIST_ACTIVIDADES!E37</f>
        <v>m</v>
      </c>
    </row>
    <row r="1050" spans="1:7" ht="15" thickBot="1" x14ac:dyDescent="0.25">
      <c r="A1050" s="1176" t="s">
        <v>1642</v>
      </c>
      <c r="B1050" s="1177"/>
      <c r="C1050" s="1177"/>
      <c r="D1050" s="1177"/>
      <c r="E1050" s="1177"/>
      <c r="F1050" s="1177"/>
      <c r="G1050" s="1178"/>
    </row>
    <row r="1051" spans="1:7" x14ac:dyDescent="0.2">
      <c r="A1051" s="242" t="s">
        <v>1643</v>
      </c>
      <c r="B1051" s="191" t="s">
        <v>1644</v>
      </c>
      <c r="C1051" s="190" t="s">
        <v>26</v>
      </c>
      <c r="D1051" s="190" t="s">
        <v>27</v>
      </c>
      <c r="E1051" s="190" t="s">
        <v>28</v>
      </c>
      <c r="F1051" s="190" t="s">
        <v>29</v>
      </c>
      <c r="G1051" s="243"/>
    </row>
    <row r="1052" spans="1:7" ht="24" x14ac:dyDescent="0.2">
      <c r="A1052" s="362" t="str">
        <f>VLOOKUP(B1052,PRECIOS!$A$309:$E$485,2,FALSE)</f>
        <v>EQUIPO142</v>
      </c>
      <c r="B1052" s="363" t="s">
        <v>621</v>
      </c>
      <c r="C1052" s="99" t="str">
        <f>VLOOKUP(B1052,PRECIOS!$A$309:$E$485,3,FALSE)</f>
        <v>Electrica</v>
      </c>
      <c r="D1052" s="364">
        <f>VLOOKUP(B1052,PRECIOS!$A$309:$E$485,5,FALSE)</f>
        <v>9306.9869999999992</v>
      </c>
      <c r="E1052" s="365">
        <v>0.08</v>
      </c>
      <c r="F1052" s="366">
        <f>+D1052*E1052</f>
        <v>744.55895999999996</v>
      </c>
      <c r="G1052" s="245"/>
    </row>
    <row r="1053" spans="1:7" x14ac:dyDescent="0.2">
      <c r="A1053" s="1179" t="s">
        <v>1650</v>
      </c>
      <c r="B1053" s="1180"/>
      <c r="C1053" s="214">
        <v>0.05</v>
      </c>
      <c r="D1053" s="213"/>
      <c r="E1053" s="407"/>
      <c r="F1053" s="212">
        <f>+G1073*C1053</f>
        <v>934.11749999999995</v>
      </c>
      <c r="G1053" s="246"/>
    </row>
    <row r="1054" spans="1:7" x14ac:dyDescent="0.2">
      <c r="A1054" s="247" t="s">
        <v>25</v>
      </c>
      <c r="B1054" s="405"/>
      <c r="C1054" s="405"/>
      <c r="D1054" s="405"/>
      <c r="E1054" s="405"/>
      <c r="F1054" s="405"/>
      <c r="G1054" s="246" t="s">
        <v>31</v>
      </c>
    </row>
    <row r="1055" spans="1:7" ht="15" thickBot="1" x14ac:dyDescent="0.25">
      <c r="A1055" s="248"/>
      <c r="B1055" s="409"/>
      <c r="C1055" s="409"/>
      <c r="D1055" s="409"/>
      <c r="E1055" s="409"/>
      <c r="F1055" s="409"/>
      <c r="G1055" s="249">
        <f>SUM(F1052:F1053)</f>
        <v>1678.6764599999999</v>
      </c>
    </row>
    <row r="1056" spans="1:7" ht="15" thickBot="1" x14ac:dyDescent="0.25">
      <c r="A1056" s="1176" t="s">
        <v>1645</v>
      </c>
      <c r="B1056" s="1177"/>
      <c r="C1056" s="1177"/>
      <c r="D1056" s="1177"/>
      <c r="E1056" s="1177"/>
      <c r="F1056" s="1177"/>
      <c r="G1056" s="1178"/>
    </row>
    <row r="1057" spans="1:7" x14ac:dyDescent="0.2">
      <c r="A1057" s="242" t="s">
        <v>1643</v>
      </c>
      <c r="B1057" s="191" t="s">
        <v>1644</v>
      </c>
      <c r="C1057" s="190" t="s">
        <v>32</v>
      </c>
      <c r="D1057" s="190" t="s">
        <v>33</v>
      </c>
      <c r="E1057" s="190" t="s">
        <v>34</v>
      </c>
      <c r="F1057" s="190" t="s">
        <v>35</v>
      </c>
      <c r="G1057" s="243"/>
    </row>
    <row r="1058" spans="1:7" x14ac:dyDescent="0.2">
      <c r="A1058" s="247"/>
      <c r="B1058" s="216" t="str">
        <f>+LIST_APUS_AUX!$A$92</f>
        <v>Concreto de 3000 PSI</v>
      </c>
      <c r="C1058" s="373">
        <f>+LIST_APUS_AUX!G539</f>
        <v>0</v>
      </c>
      <c r="D1058" s="361">
        <f>+LIST_APUS_AUX!$G$120</f>
        <v>841990</v>
      </c>
      <c r="E1058" s="104">
        <f>0.12*0.2*1*1.1</f>
        <v>2.6400000000000003E-2</v>
      </c>
      <c r="F1058" s="400">
        <f>+D1058*E1058</f>
        <v>22228.536000000004</v>
      </c>
      <c r="G1058" s="370"/>
    </row>
    <row r="1059" spans="1:7" ht="27.75" customHeight="1" x14ac:dyDescent="0.2">
      <c r="A1059" s="247"/>
      <c r="B1059" s="216" t="str">
        <f>+LIST_APUS_AUX!$A$273</f>
        <v xml:space="preserve">Formaleta en madera fina, para concreto columnas y vigas </v>
      </c>
      <c r="C1059" s="373" t="str">
        <f>+LIST_APUS_AUX!$G$273</f>
        <v>m²</v>
      </c>
      <c r="D1059" s="361">
        <f>+LIST_APUS_AUX!$G$304</f>
        <v>43143</v>
      </c>
      <c r="E1059" s="104">
        <v>0.4</v>
      </c>
      <c r="F1059" s="361">
        <f>+D1059*E1059</f>
        <v>17257.2</v>
      </c>
      <c r="G1059" s="370"/>
    </row>
    <row r="1060" spans="1:7" x14ac:dyDescent="0.2">
      <c r="A1060" s="1179" t="s">
        <v>1649</v>
      </c>
      <c r="B1060" s="1180"/>
      <c r="C1060" s="214">
        <v>0.03</v>
      </c>
      <c r="D1060" s="406"/>
      <c r="E1060" s="407"/>
      <c r="F1060" s="276">
        <f>SUM(F1058:F1059)*C1060</f>
        <v>1184.5720800000001</v>
      </c>
      <c r="G1060" s="246"/>
    </row>
    <row r="1061" spans="1:7" x14ac:dyDescent="0.2">
      <c r="A1061" s="247"/>
      <c r="B1061" s="405"/>
      <c r="C1061" s="104"/>
      <c r="D1061" s="104"/>
      <c r="E1061" s="104"/>
      <c r="F1061" s="104"/>
      <c r="G1061" s="246" t="s">
        <v>31</v>
      </c>
    </row>
    <row r="1062" spans="1:7" ht="15" thickBot="1" x14ac:dyDescent="0.25">
      <c r="A1062" s="248"/>
      <c r="B1062" s="409"/>
      <c r="C1062" s="409"/>
      <c r="D1062" s="409"/>
      <c r="E1062" s="409"/>
      <c r="F1062" s="409"/>
      <c r="G1062" s="250">
        <f>SUM(F1058:F1060)</f>
        <v>40670.308080000003</v>
      </c>
    </row>
    <row r="1063" spans="1:7" ht="15" thickBot="1" x14ac:dyDescent="0.25">
      <c r="A1063" s="1176" t="s">
        <v>1646</v>
      </c>
      <c r="B1063" s="1177"/>
      <c r="C1063" s="1177"/>
      <c r="D1063" s="1177"/>
      <c r="E1063" s="1177"/>
      <c r="F1063" s="1177"/>
      <c r="G1063" s="1178"/>
    </row>
    <row r="1064" spans="1:7" x14ac:dyDescent="0.2">
      <c r="A1064" s="251" t="s">
        <v>305</v>
      </c>
      <c r="B1064" s="190" t="s">
        <v>38</v>
      </c>
      <c r="C1064" s="190" t="s">
        <v>39</v>
      </c>
      <c r="D1064" s="190" t="s">
        <v>40</v>
      </c>
      <c r="E1064" s="190" t="s">
        <v>34</v>
      </c>
      <c r="F1064" s="190" t="s">
        <v>35</v>
      </c>
      <c r="G1064" s="243"/>
    </row>
    <row r="1065" spans="1:7" x14ac:dyDescent="0.2">
      <c r="A1065" s="369"/>
      <c r="B1065" s="89"/>
      <c r="C1065" s="209"/>
      <c r="D1065" s="199"/>
      <c r="E1065" s="367"/>
      <c r="F1065" s="234"/>
      <c r="G1065" s="253"/>
    </row>
    <row r="1066" spans="1:7" x14ac:dyDescent="0.2">
      <c r="A1066" s="252"/>
      <c r="B1066" s="235"/>
      <c r="C1066" s="238"/>
      <c r="D1066" s="236"/>
      <c r="E1066" s="237"/>
      <c r="F1066" s="239"/>
      <c r="G1066" s="253"/>
    </row>
    <row r="1067" spans="1:7" x14ac:dyDescent="0.2">
      <c r="A1067" s="247" t="s">
        <v>25</v>
      </c>
      <c r="B1067" s="104" t="s">
        <v>25</v>
      </c>
      <c r="C1067" s="104" t="s">
        <v>25</v>
      </c>
      <c r="D1067" s="188" t="s">
        <v>25</v>
      </c>
      <c r="E1067" s="189" t="s">
        <v>25</v>
      </c>
      <c r="F1067" s="187" t="s">
        <v>25</v>
      </c>
      <c r="G1067" s="246" t="s">
        <v>31</v>
      </c>
    </row>
    <row r="1068" spans="1:7" ht="15" thickBot="1" x14ac:dyDescent="0.25">
      <c r="A1068" s="248"/>
      <c r="B1068" s="409"/>
      <c r="C1068" s="409"/>
      <c r="D1068" s="409"/>
      <c r="E1068" s="409"/>
      <c r="F1068" s="409"/>
      <c r="G1068" s="250">
        <f>SUM(F1065:F1066)</f>
        <v>0</v>
      </c>
    </row>
    <row r="1069" spans="1:7" ht="15" thickBot="1" x14ac:dyDescent="0.25">
      <c r="A1069" s="1176" t="s">
        <v>1647</v>
      </c>
      <c r="B1069" s="1177"/>
      <c r="C1069" s="1177"/>
      <c r="D1069" s="1177"/>
      <c r="E1069" s="1177"/>
      <c r="F1069" s="1177"/>
      <c r="G1069" s="1178"/>
    </row>
    <row r="1070" spans="1:7" ht="24" x14ac:dyDescent="0.2">
      <c r="A1070" s="254" t="s">
        <v>1681</v>
      </c>
      <c r="B1070" s="190" t="s">
        <v>42</v>
      </c>
      <c r="C1070" s="190" t="s">
        <v>43</v>
      </c>
      <c r="D1070" s="190" t="s">
        <v>44</v>
      </c>
      <c r="E1070" s="190" t="s">
        <v>306</v>
      </c>
      <c r="F1070" s="190" t="s">
        <v>29</v>
      </c>
      <c r="G1070" s="243"/>
    </row>
    <row r="1071" spans="1:7" ht="36" x14ac:dyDescent="0.2">
      <c r="A1071" s="255" t="s">
        <v>1676</v>
      </c>
      <c r="B1071" s="202">
        <f>VLOOKUP(A1071,JORNALES!$A$5:$B$28,2,FALSE)</f>
        <v>295000</v>
      </c>
      <c r="C1071" s="233">
        <f>+PRESTACIONES!$C$20/100</f>
        <v>0.89990000000000014</v>
      </c>
      <c r="D1071" s="234">
        <f>+(B1071*C1071)+B1071</f>
        <v>560470.5</v>
      </c>
      <c r="E1071" s="408">
        <v>30</v>
      </c>
      <c r="F1071" s="199">
        <f>+D1071/E1071</f>
        <v>18682.349999999999</v>
      </c>
      <c r="G1071" s="246"/>
    </row>
    <row r="1072" spans="1:7" x14ac:dyDescent="0.2">
      <c r="A1072" s="247"/>
      <c r="B1072" s="405"/>
      <c r="C1072" s="405"/>
      <c r="D1072" s="405"/>
      <c r="E1072" s="405"/>
      <c r="F1072" s="405"/>
      <c r="G1072" s="246" t="s">
        <v>31</v>
      </c>
    </row>
    <row r="1073" spans="1:7" x14ac:dyDescent="0.2">
      <c r="A1073" s="247"/>
      <c r="B1073" s="405"/>
      <c r="C1073" s="405"/>
      <c r="D1073" s="405"/>
      <c r="E1073" s="405"/>
      <c r="F1073" s="405"/>
      <c r="G1073" s="256">
        <f>SUM(F1071:F1071)</f>
        <v>18682.349999999999</v>
      </c>
    </row>
    <row r="1074" spans="1:7" ht="15" thickBot="1" x14ac:dyDescent="0.25">
      <c r="A1074" s="1181" t="s">
        <v>25</v>
      </c>
      <c r="B1074" s="1182"/>
      <c r="C1074" s="1182"/>
      <c r="D1074" s="1182"/>
      <c r="E1074" s="1182"/>
      <c r="F1074" s="1182"/>
      <c r="G1074" s="1183"/>
    </row>
    <row r="1075" spans="1:7" ht="15" thickBot="1" x14ac:dyDescent="0.25">
      <c r="A1075" s="1184" t="s">
        <v>45</v>
      </c>
      <c r="B1075" s="1185"/>
      <c r="C1075" s="1185"/>
      <c r="D1075" s="1185"/>
      <c r="E1075" s="1185"/>
      <c r="F1075" s="192"/>
      <c r="G1075" s="277">
        <f xml:space="preserve"> ROUND(G1073+G1068+G1062+G1055,0)</f>
        <v>61031</v>
      </c>
    </row>
    <row r="1076" spans="1:7" x14ac:dyDescent="0.2">
      <c r="A1076" s="1186" t="s">
        <v>476</v>
      </c>
      <c r="B1076" s="1187"/>
      <c r="C1076" s="1187"/>
      <c r="D1076" s="1187"/>
      <c r="E1076" s="1187"/>
      <c r="F1076" s="193" t="s">
        <v>51</v>
      </c>
      <c r="G1076" s="257" t="s">
        <v>307</v>
      </c>
    </row>
    <row r="1077" spans="1:7" x14ac:dyDescent="0.2">
      <c r="A1077" s="1166" t="s">
        <v>17</v>
      </c>
      <c r="B1077" s="1167"/>
      <c r="C1077" s="1167"/>
      <c r="D1077" s="1167"/>
      <c r="E1077" s="1167"/>
      <c r="F1077" s="240"/>
      <c r="G1077" s="196"/>
    </row>
    <row r="1078" spans="1:7" x14ac:dyDescent="0.2">
      <c r="A1078" s="1166" t="s">
        <v>308</v>
      </c>
      <c r="B1078" s="1167"/>
      <c r="C1078" s="1167"/>
      <c r="D1078" s="1167"/>
      <c r="E1078" s="1167"/>
      <c r="F1078" s="240"/>
      <c r="G1078" s="196"/>
    </row>
    <row r="1079" spans="1:7" x14ac:dyDescent="0.2">
      <c r="A1079" s="1166" t="s">
        <v>19</v>
      </c>
      <c r="B1079" s="1167"/>
      <c r="C1079" s="1167"/>
      <c r="D1079" s="1167"/>
      <c r="E1079" s="1167"/>
      <c r="F1079" s="240"/>
      <c r="G1079" s="196"/>
    </row>
    <row r="1080" spans="1:7" ht="15" thickBot="1" x14ac:dyDescent="0.25">
      <c r="A1080" s="1168" t="s">
        <v>309</v>
      </c>
      <c r="B1080" s="1169"/>
      <c r="C1080" s="1169"/>
      <c r="D1080" s="1169"/>
      <c r="E1080" s="1169"/>
      <c r="F1080" s="198"/>
      <c r="G1080" s="258"/>
    </row>
    <row r="1081" spans="1:7" ht="15" thickBot="1" x14ac:dyDescent="0.25">
      <c r="A1081" s="1170" t="s">
        <v>310</v>
      </c>
      <c r="B1081" s="1171"/>
      <c r="C1081" s="1171"/>
      <c r="D1081" s="1171"/>
      <c r="E1081" s="1171"/>
      <c r="F1081" s="1172"/>
      <c r="G1081" s="1173"/>
    </row>
    <row r="1082" spans="1:7" x14ac:dyDescent="0.2">
      <c r="A1082" s="402"/>
      <c r="B1082" s="403"/>
      <c r="C1082" s="403"/>
      <c r="D1082" s="403"/>
      <c r="E1082" s="403"/>
      <c r="F1082" s="193"/>
      <c r="G1082" s="260"/>
    </row>
    <row r="1083" spans="1:7" ht="15" thickBot="1" x14ac:dyDescent="0.25">
      <c r="A1083" s="261" t="s">
        <v>681</v>
      </c>
      <c r="B1083" s="262"/>
      <c r="C1083" s="262" t="s">
        <v>682</v>
      </c>
      <c r="D1083" s="262"/>
      <c r="E1083" s="262"/>
      <c r="F1083" s="262" t="s">
        <v>683</v>
      </c>
      <c r="G1083" s="263"/>
    </row>
    <row r="1084" spans="1:7" ht="15" thickBot="1" x14ac:dyDescent="0.25">
      <c r="A1084" s="1174" t="str">
        <f>+LIST_ACTIVIDADES!D41</f>
        <v>Muro en bloque de cemento (paredes) 0.12m</v>
      </c>
      <c r="B1084" s="1175"/>
      <c r="C1084" s="1175"/>
      <c r="D1084" s="1175"/>
      <c r="E1084" s="1175"/>
      <c r="F1084" s="241" t="s">
        <v>24</v>
      </c>
      <c r="G1084" s="264" t="str">
        <f>+LIST_ACTIVIDADES!E41</f>
        <v>m²</v>
      </c>
    </row>
    <row r="1085" spans="1:7" ht="15" thickBot="1" x14ac:dyDescent="0.25">
      <c r="A1085" s="1176" t="s">
        <v>1642</v>
      </c>
      <c r="B1085" s="1177"/>
      <c r="C1085" s="1177"/>
      <c r="D1085" s="1177"/>
      <c r="E1085" s="1177"/>
      <c r="F1085" s="1177"/>
      <c r="G1085" s="1178"/>
    </row>
    <row r="1086" spans="1:7" x14ac:dyDescent="0.2">
      <c r="A1086" s="242" t="s">
        <v>1643</v>
      </c>
      <c r="B1086" s="191" t="s">
        <v>1644</v>
      </c>
      <c r="C1086" s="190" t="s">
        <v>26</v>
      </c>
      <c r="D1086" s="190" t="s">
        <v>27</v>
      </c>
      <c r="E1086" s="190" t="s">
        <v>28</v>
      </c>
      <c r="F1086" s="190" t="s">
        <v>29</v>
      </c>
      <c r="G1086" s="243"/>
    </row>
    <row r="1087" spans="1:7" ht="24" x14ac:dyDescent="0.2">
      <c r="A1087" s="362" t="str">
        <f>VLOOKUP(B1087,PRECIOS!$A$309:$E$485,2,FALSE)</f>
        <v>EQUIPO166</v>
      </c>
      <c r="B1087" s="363" t="s">
        <v>447</v>
      </c>
      <c r="C1087" s="99" t="str">
        <f>VLOOKUP(B1087,PRECIOS!$A$309:$E$485,3,FALSE)</f>
        <v>Estructura</v>
      </c>
      <c r="D1087" s="364">
        <f>VLOOKUP(B1087,PRECIOS!$A$309:$E$485,5,FALSE)</f>
        <v>125</v>
      </c>
      <c r="E1087" s="365">
        <v>0.5</v>
      </c>
      <c r="F1087" s="366">
        <f>+D1087*E1087</f>
        <v>62.5</v>
      </c>
      <c r="G1087" s="245"/>
    </row>
    <row r="1088" spans="1:7" x14ac:dyDescent="0.2">
      <c r="A1088" s="362" t="str">
        <f>VLOOKUP(B1088,PRECIOS!$A$309:$E$485,2,FALSE)</f>
        <v>EQUIPO169</v>
      </c>
      <c r="B1088" s="363" t="s">
        <v>449</v>
      </c>
      <c r="C1088" s="99" t="str">
        <f>VLOOKUP(B1088,PRECIOS!$A$309:$E$485,3,FALSE)</f>
        <v>Estructura</v>
      </c>
      <c r="D1088" s="364">
        <f>VLOOKUP(B1088,PRECIOS!$A$309:$E$485,5,FALSE)</f>
        <v>1500</v>
      </c>
      <c r="E1088" s="365">
        <v>1</v>
      </c>
      <c r="F1088" s="366">
        <f>+D1088*E1088</f>
        <v>1500</v>
      </c>
      <c r="G1088" s="245"/>
    </row>
    <row r="1089" spans="1:7" x14ac:dyDescent="0.2">
      <c r="A1089" s="362" t="str">
        <f>VLOOKUP(B1089,PRECIOS!$A$309:$E$485,2,FALSE)</f>
        <v>EQUIPO64</v>
      </c>
      <c r="B1089" s="363" t="s">
        <v>530</v>
      </c>
      <c r="C1089" s="99" t="str">
        <f>VLOOKUP(B1089,PRECIOS!$A$309:$E$485,3,FALSE)</f>
        <v>Estructura</v>
      </c>
      <c r="D1089" s="364">
        <f>VLOOKUP(B1089,PRECIOS!$A$309:$E$485,5,FALSE)</f>
        <v>5633.6309999999994</v>
      </c>
      <c r="E1089" s="365">
        <v>0.7</v>
      </c>
      <c r="F1089" s="366">
        <f>+D1089*E1089</f>
        <v>3943.5416999999993</v>
      </c>
      <c r="G1089" s="245"/>
    </row>
    <row r="1090" spans="1:7" x14ac:dyDescent="0.2">
      <c r="A1090" s="1179" t="s">
        <v>1650</v>
      </c>
      <c r="B1090" s="1180"/>
      <c r="C1090" s="214">
        <v>0.05</v>
      </c>
      <c r="D1090" s="213"/>
      <c r="E1090" s="283"/>
      <c r="F1090" s="212">
        <f>+G1111*C1090</f>
        <v>850.99687500000005</v>
      </c>
      <c r="G1090" s="246"/>
    </row>
    <row r="1091" spans="1:7" x14ac:dyDescent="0.2">
      <c r="A1091" s="247" t="s">
        <v>25</v>
      </c>
      <c r="B1091" s="281"/>
      <c r="C1091" s="281"/>
      <c r="D1091" s="281"/>
      <c r="E1091" s="281"/>
      <c r="F1091" s="281"/>
      <c r="G1091" s="246" t="s">
        <v>31</v>
      </c>
    </row>
    <row r="1092" spans="1:7" ht="15" thickBot="1" x14ac:dyDescent="0.25">
      <c r="A1092" s="248"/>
      <c r="B1092" s="284"/>
      <c r="C1092" s="284"/>
      <c r="D1092" s="284"/>
      <c r="E1092" s="284"/>
      <c r="F1092" s="284"/>
      <c r="G1092" s="249">
        <f>SUM(F1087:F1090)</f>
        <v>6357.0385749999996</v>
      </c>
    </row>
    <row r="1093" spans="1:7" ht="15" thickBot="1" x14ac:dyDescent="0.25">
      <c r="A1093" s="1176" t="s">
        <v>1645</v>
      </c>
      <c r="B1093" s="1177"/>
      <c r="C1093" s="1177"/>
      <c r="D1093" s="1177"/>
      <c r="E1093" s="1177"/>
      <c r="F1093" s="1177"/>
      <c r="G1093" s="1178"/>
    </row>
    <row r="1094" spans="1:7" x14ac:dyDescent="0.2">
      <c r="A1094" s="242" t="s">
        <v>1643</v>
      </c>
      <c r="B1094" s="191" t="s">
        <v>1644</v>
      </c>
      <c r="C1094" s="190" t="s">
        <v>32</v>
      </c>
      <c r="D1094" s="190" t="s">
        <v>33</v>
      </c>
      <c r="E1094" s="190" t="s">
        <v>34</v>
      </c>
      <c r="F1094" s="190" t="s">
        <v>35</v>
      </c>
      <c r="G1094" s="243"/>
    </row>
    <row r="1095" spans="1:7" x14ac:dyDescent="0.2">
      <c r="A1095" s="352" t="str">
        <f>VLOOKUP(B1095,PRECIOS!$A$5:$D$303,2,FALSE)</f>
        <v>VARIOS06</v>
      </c>
      <c r="B1095" s="105" t="s">
        <v>105</v>
      </c>
      <c r="C1095" s="99" t="str">
        <f>VLOOKUP(B1095,PRECIOS!$A$5:$D$303,3,FALSE)</f>
        <v>Und.</v>
      </c>
      <c r="D1095" s="371">
        <f>VLOOKUP(B1095,PRECIOS!$A$5:$D$303,4,FALSE)</f>
        <v>2210</v>
      </c>
      <c r="E1095" s="399">
        <v>12</v>
      </c>
      <c r="F1095" s="401">
        <f>+D1095*E1095</f>
        <v>26520</v>
      </c>
      <c r="G1095" s="370"/>
    </row>
    <row r="1096" spans="1:7" ht="14.25" customHeight="1" x14ac:dyDescent="0.2">
      <c r="A1096" s="247"/>
      <c r="B1096" s="216" t="str">
        <f>+LIST_APUS_AUX!$A$166</f>
        <v>Mortero de 1:4</v>
      </c>
      <c r="C1096" s="373" t="str">
        <f>+LIST_APUS_AUX!$G$166</f>
        <v>m³</v>
      </c>
      <c r="D1096" s="361">
        <f>+LIST_APUS_AUX!$G$193</f>
        <v>718563</v>
      </c>
      <c r="E1096" s="104">
        <v>0.02</v>
      </c>
      <c r="F1096" s="361">
        <f>+D1096*E1096</f>
        <v>14371.26</v>
      </c>
      <c r="G1096" s="370"/>
    </row>
    <row r="1097" spans="1:7" x14ac:dyDescent="0.2">
      <c r="A1097" s="352" t="str">
        <f>VLOOKUP(B1097,PRECIOS!$A$5:$D$303,2,FALSE)</f>
        <v>MADERFINA01</v>
      </c>
      <c r="B1097" s="105" t="s">
        <v>210</v>
      </c>
      <c r="C1097" s="99" t="str">
        <f>VLOOKUP(B1097,PRECIOS!$A$5:$D$303,3,FALSE)</f>
        <v>Docena</v>
      </c>
      <c r="D1097" s="371">
        <f>VLOOKUP(B1097,PRECIOS!$A$5:$D$303,4,FALSE)</f>
        <v>148445.79750000002</v>
      </c>
      <c r="E1097" s="399">
        <v>0.03</v>
      </c>
      <c r="F1097" s="401">
        <f>+D1097*E1097</f>
        <v>4453.3739249999999</v>
      </c>
      <c r="G1097" s="370"/>
    </row>
    <row r="1098" spans="1:7" x14ac:dyDescent="0.2">
      <c r="A1098" s="1179" t="s">
        <v>1649</v>
      </c>
      <c r="B1098" s="1180"/>
      <c r="C1098" s="214">
        <v>0.03</v>
      </c>
      <c r="D1098" s="282"/>
      <c r="E1098" s="283"/>
      <c r="F1098" s="276">
        <f>SUM(F1095:F1097)*C1098</f>
        <v>1360.33901775</v>
      </c>
      <c r="G1098" s="246"/>
    </row>
    <row r="1099" spans="1:7" x14ac:dyDescent="0.2">
      <c r="A1099" s="247"/>
      <c r="B1099" s="281"/>
      <c r="C1099" s="104"/>
      <c r="D1099" s="104"/>
      <c r="E1099" s="104"/>
      <c r="F1099" s="104"/>
      <c r="G1099" s="246" t="s">
        <v>31</v>
      </c>
    </row>
    <row r="1100" spans="1:7" ht="15" thickBot="1" x14ac:dyDescent="0.25">
      <c r="A1100" s="248"/>
      <c r="B1100" s="284"/>
      <c r="C1100" s="284"/>
      <c r="D1100" s="284"/>
      <c r="E1100" s="284"/>
      <c r="F1100" s="284"/>
      <c r="G1100" s="250">
        <f>SUM(F1095:F1098)</f>
        <v>46704.972942749999</v>
      </c>
    </row>
    <row r="1101" spans="1:7" ht="15" thickBot="1" x14ac:dyDescent="0.25">
      <c r="A1101" s="1176" t="s">
        <v>1646</v>
      </c>
      <c r="B1101" s="1177"/>
      <c r="C1101" s="1177"/>
      <c r="D1101" s="1177"/>
      <c r="E1101" s="1177"/>
      <c r="F1101" s="1177"/>
      <c r="G1101" s="1178"/>
    </row>
    <row r="1102" spans="1:7" x14ac:dyDescent="0.2">
      <c r="A1102" s="251" t="s">
        <v>305</v>
      </c>
      <c r="B1102" s="190" t="s">
        <v>38</v>
      </c>
      <c r="C1102" s="190" t="s">
        <v>39</v>
      </c>
      <c r="D1102" s="190" t="s">
        <v>40</v>
      </c>
      <c r="E1102" s="190" t="s">
        <v>34</v>
      </c>
      <c r="F1102" s="190" t="s">
        <v>35</v>
      </c>
      <c r="G1102" s="243"/>
    </row>
    <row r="1103" spans="1:7" x14ac:dyDescent="0.2">
      <c r="A1103" s="369"/>
      <c r="B1103" s="89"/>
      <c r="C1103" s="209"/>
      <c r="D1103" s="199"/>
      <c r="E1103" s="367"/>
      <c r="F1103" s="234"/>
      <c r="G1103" s="253"/>
    </row>
    <row r="1104" spans="1:7" x14ac:dyDescent="0.2">
      <c r="A1104" s="252"/>
      <c r="B1104" s="235"/>
      <c r="C1104" s="238"/>
      <c r="D1104" s="236"/>
      <c r="E1104" s="237"/>
      <c r="F1104" s="239"/>
      <c r="G1104" s="253"/>
    </row>
    <row r="1105" spans="1:7" x14ac:dyDescent="0.2">
      <c r="A1105" s="247" t="s">
        <v>25</v>
      </c>
      <c r="B1105" s="104" t="s">
        <v>25</v>
      </c>
      <c r="C1105" s="104" t="s">
        <v>25</v>
      </c>
      <c r="D1105" s="188" t="s">
        <v>25</v>
      </c>
      <c r="E1105" s="189" t="s">
        <v>25</v>
      </c>
      <c r="F1105" s="187" t="s">
        <v>25</v>
      </c>
      <c r="G1105" s="246" t="s">
        <v>31</v>
      </c>
    </row>
    <row r="1106" spans="1:7" ht="15" thickBot="1" x14ac:dyDescent="0.25">
      <c r="A1106" s="248"/>
      <c r="B1106" s="284"/>
      <c r="C1106" s="284"/>
      <c r="D1106" s="284"/>
      <c r="E1106" s="284"/>
      <c r="F1106" s="284"/>
      <c r="G1106" s="250">
        <f>SUM(F1103:F1104)</f>
        <v>0</v>
      </c>
    </row>
    <row r="1107" spans="1:7" ht="15" thickBot="1" x14ac:dyDescent="0.25">
      <c r="A1107" s="1176" t="s">
        <v>1647</v>
      </c>
      <c r="B1107" s="1177"/>
      <c r="C1107" s="1177"/>
      <c r="D1107" s="1177"/>
      <c r="E1107" s="1177"/>
      <c r="F1107" s="1177"/>
      <c r="G1107" s="1178"/>
    </row>
    <row r="1108" spans="1:7" ht="24" x14ac:dyDescent="0.2">
      <c r="A1108" s="254" t="s">
        <v>1681</v>
      </c>
      <c r="B1108" s="190" t="s">
        <v>42</v>
      </c>
      <c r="C1108" s="190" t="s">
        <v>43</v>
      </c>
      <c r="D1108" s="190" t="s">
        <v>44</v>
      </c>
      <c r="E1108" s="190" t="s">
        <v>306</v>
      </c>
      <c r="F1108" s="190" t="s">
        <v>29</v>
      </c>
      <c r="G1108" s="243"/>
    </row>
    <row r="1109" spans="1:7" ht="36" x14ac:dyDescent="0.2">
      <c r="A1109" s="255" t="s">
        <v>1674</v>
      </c>
      <c r="B1109" s="202">
        <f>VLOOKUP(A1109,JORNALES!$A$5:$B$28,2,FALSE)</f>
        <v>215000</v>
      </c>
      <c r="C1109" s="233">
        <f>+PRESTACIONES!$C$20/100</f>
        <v>0.89990000000000014</v>
      </c>
      <c r="D1109" s="234">
        <f>+(B1109*C1109)+B1109</f>
        <v>408478.5</v>
      </c>
      <c r="E1109" s="285">
        <v>24</v>
      </c>
      <c r="F1109" s="199">
        <f>+D1109/E1109</f>
        <v>17019.9375</v>
      </c>
      <c r="G1109" s="246"/>
    </row>
    <row r="1110" spans="1:7" x14ac:dyDescent="0.2">
      <c r="A1110" s="247"/>
      <c r="B1110" s="281"/>
      <c r="C1110" s="281"/>
      <c r="D1110" s="281"/>
      <c r="E1110" s="281"/>
      <c r="F1110" s="281"/>
      <c r="G1110" s="246" t="s">
        <v>31</v>
      </c>
    </row>
    <row r="1111" spans="1:7" x14ac:dyDescent="0.2">
      <c r="A1111" s="247"/>
      <c r="B1111" s="281"/>
      <c r="C1111" s="281"/>
      <c r="D1111" s="281"/>
      <c r="E1111" s="281"/>
      <c r="F1111" s="281"/>
      <c r="G1111" s="256">
        <f>SUM(F1109:F1109)</f>
        <v>17019.9375</v>
      </c>
    </row>
    <row r="1112" spans="1:7" ht="15" thickBot="1" x14ac:dyDescent="0.25">
      <c r="A1112" s="1181" t="s">
        <v>25</v>
      </c>
      <c r="B1112" s="1182"/>
      <c r="C1112" s="1182"/>
      <c r="D1112" s="1182"/>
      <c r="E1112" s="1182"/>
      <c r="F1112" s="1182"/>
      <c r="G1112" s="1183"/>
    </row>
    <row r="1113" spans="1:7" ht="15" thickBot="1" x14ac:dyDescent="0.25">
      <c r="A1113" s="1184" t="s">
        <v>45</v>
      </c>
      <c r="B1113" s="1185"/>
      <c r="C1113" s="1185"/>
      <c r="D1113" s="1185"/>
      <c r="E1113" s="1185"/>
      <c r="F1113" s="192"/>
      <c r="G1113" s="277">
        <f xml:space="preserve"> ROUND(G1111+G1106+G1100+G1092,0)</f>
        <v>70082</v>
      </c>
    </row>
    <row r="1114" spans="1:7" x14ac:dyDescent="0.2">
      <c r="A1114" s="1186" t="s">
        <v>476</v>
      </c>
      <c r="B1114" s="1187"/>
      <c r="C1114" s="1187"/>
      <c r="D1114" s="1187"/>
      <c r="E1114" s="1187"/>
      <c r="F1114" s="193" t="s">
        <v>51</v>
      </c>
      <c r="G1114" s="257" t="s">
        <v>307</v>
      </c>
    </row>
    <row r="1115" spans="1:7" x14ac:dyDescent="0.2">
      <c r="A1115" s="1166" t="s">
        <v>17</v>
      </c>
      <c r="B1115" s="1167"/>
      <c r="C1115" s="1167"/>
      <c r="D1115" s="1167"/>
      <c r="E1115" s="1167"/>
      <c r="F1115" s="240"/>
      <c r="G1115" s="196"/>
    </row>
    <row r="1116" spans="1:7" x14ac:dyDescent="0.2">
      <c r="A1116" s="1166" t="s">
        <v>308</v>
      </c>
      <c r="B1116" s="1167"/>
      <c r="C1116" s="1167"/>
      <c r="D1116" s="1167"/>
      <c r="E1116" s="1167"/>
      <c r="F1116" s="240"/>
      <c r="G1116" s="196"/>
    </row>
    <row r="1117" spans="1:7" x14ac:dyDescent="0.2">
      <c r="A1117" s="1166" t="s">
        <v>19</v>
      </c>
      <c r="B1117" s="1167"/>
      <c r="C1117" s="1167"/>
      <c r="D1117" s="1167"/>
      <c r="E1117" s="1167"/>
      <c r="F1117" s="240"/>
      <c r="G1117" s="196"/>
    </row>
    <row r="1118" spans="1:7" ht="15" thickBot="1" x14ac:dyDescent="0.25">
      <c r="A1118" s="1168" t="s">
        <v>309</v>
      </c>
      <c r="B1118" s="1169"/>
      <c r="C1118" s="1169"/>
      <c r="D1118" s="1169"/>
      <c r="E1118" s="1169"/>
      <c r="F1118" s="198"/>
      <c r="G1118" s="258"/>
    </row>
    <row r="1119" spans="1:7" ht="15" thickBot="1" x14ac:dyDescent="0.25">
      <c r="A1119" s="1170" t="s">
        <v>310</v>
      </c>
      <c r="B1119" s="1171"/>
      <c r="C1119" s="1171"/>
      <c r="D1119" s="1171"/>
      <c r="E1119" s="1171"/>
      <c r="F1119" s="1172"/>
      <c r="G1119" s="1173"/>
    </row>
    <row r="1120" spans="1:7" x14ac:dyDescent="0.2">
      <c r="A1120" s="279"/>
      <c r="B1120" s="280"/>
      <c r="C1120" s="280"/>
      <c r="D1120" s="280"/>
      <c r="E1120" s="280"/>
      <c r="F1120" s="193"/>
      <c r="G1120" s="260"/>
    </row>
    <row r="1121" spans="1:7" ht="15" thickBot="1" x14ac:dyDescent="0.25">
      <c r="A1121" s="261" t="s">
        <v>681</v>
      </c>
      <c r="B1121" s="262"/>
      <c r="C1121" s="262" t="s">
        <v>682</v>
      </c>
      <c r="D1121" s="262"/>
      <c r="E1121" s="262"/>
      <c r="F1121" s="262" t="s">
        <v>683</v>
      </c>
      <c r="G1121" s="263"/>
    </row>
    <row r="1122" spans="1:7" ht="15" thickBot="1" x14ac:dyDescent="0.25">
      <c r="A1122" s="1174" t="str">
        <f>+LIST_ACTIVIDADES!D42</f>
        <v>Revoque muro incluye dilataciones y filos</v>
      </c>
      <c r="B1122" s="1175"/>
      <c r="C1122" s="1175"/>
      <c r="D1122" s="1175"/>
      <c r="E1122" s="1175"/>
      <c r="F1122" s="241" t="s">
        <v>24</v>
      </c>
      <c r="G1122" s="264" t="str">
        <f>+LIST_ACTIVIDADES!E42</f>
        <v>m²</v>
      </c>
    </row>
    <row r="1123" spans="1:7" ht="15" thickBot="1" x14ac:dyDescent="0.25">
      <c r="A1123" s="1176" t="s">
        <v>1642</v>
      </c>
      <c r="B1123" s="1177"/>
      <c r="C1123" s="1177"/>
      <c r="D1123" s="1177"/>
      <c r="E1123" s="1177"/>
      <c r="F1123" s="1177"/>
      <c r="G1123" s="1178"/>
    </row>
    <row r="1124" spans="1:7" x14ac:dyDescent="0.2">
      <c r="A1124" s="242" t="s">
        <v>1643</v>
      </c>
      <c r="B1124" s="191" t="s">
        <v>1644</v>
      </c>
      <c r="C1124" s="190" t="s">
        <v>26</v>
      </c>
      <c r="D1124" s="190" t="s">
        <v>27</v>
      </c>
      <c r="E1124" s="190" t="s">
        <v>28</v>
      </c>
      <c r="F1124" s="190" t="s">
        <v>29</v>
      </c>
      <c r="G1124" s="243"/>
    </row>
    <row r="1125" spans="1:7" ht="24" x14ac:dyDescent="0.2">
      <c r="A1125" s="362" t="str">
        <f>VLOOKUP(B1125,PRECIOS!$A$309:$E$485,2,FALSE)</f>
        <v>EQUIPO166</v>
      </c>
      <c r="B1125" s="363" t="s">
        <v>447</v>
      </c>
      <c r="C1125" s="99" t="str">
        <f>VLOOKUP(B1125,PRECIOS!$A$309:$E$485,3,FALSE)</f>
        <v>Estructura</v>
      </c>
      <c r="D1125" s="364">
        <f>VLOOKUP(B1125,PRECIOS!$A$309:$E$485,5,FALSE)</f>
        <v>125</v>
      </c>
      <c r="E1125" s="365">
        <v>0.5</v>
      </c>
      <c r="F1125" s="366">
        <f>+D1125*E1125</f>
        <v>62.5</v>
      </c>
      <c r="G1125" s="245"/>
    </row>
    <row r="1126" spans="1:7" x14ac:dyDescent="0.2">
      <c r="A1126" s="362" t="str">
        <f>VLOOKUP(B1126,PRECIOS!$A$309:$E$485,2,FALSE)</f>
        <v>EQUIPO169</v>
      </c>
      <c r="B1126" s="363" t="s">
        <v>449</v>
      </c>
      <c r="C1126" s="99" t="str">
        <f>VLOOKUP(B1126,PRECIOS!$A$309:$E$485,3,FALSE)</f>
        <v>Estructura</v>
      </c>
      <c r="D1126" s="364">
        <f>VLOOKUP(B1126,PRECIOS!$A$309:$E$485,5,FALSE)</f>
        <v>1500</v>
      </c>
      <c r="E1126" s="365">
        <v>0.5</v>
      </c>
      <c r="F1126" s="366">
        <f>+D1126*E1126</f>
        <v>750</v>
      </c>
      <c r="G1126" s="245"/>
    </row>
    <row r="1127" spans="1:7" x14ac:dyDescent="0.2">
      <c r="A1127" s="362" t="str">
        <f>VLOOKUP(B1127,PRECIOS!$A$309:$E$485,2,FALSE)</f>
        <v>EQUIPO64</v>
      </c>
      <c r="B1127" s="363" t="s">
        <v>530</v>
      </c>
      <c r="C1127" s="99" t="str">
        <f>VLOOKUP(B1127,PRECIOS!$A$309:$E$485,3,FALSE)</f>
        <v>Estructura</v>
      </c>
      <c r="D1127" s="364">
        <f>VLOOKUP(B1127,PRECIOS!$A$309:$E$485,5,FALSE)</f>
        <v>5633.6309999999994</v>
      </c>
      <c r="E1127" s="365">
        <v>0.3</v>
      </c>
      <c r="F1127" s="366">
        <f>+D1127*E1127</f>
        <v>1690.0892999999999</v>
      </c>
      <c r="G1127" s="245"/>
    </row>
    <row r="1128" spans="1:7" x14ac:dyDescent="0.2">
      <c r="A1128" s="1179" t="s">
        <v>1650</v>
      </c>
      <c r="B1128" s="1180"/>
      <c r="C1128" s="214">
        <v>0.05</v>
      </c>
      <c r="D1128" s="213"/>
      <c r="E1128" s="283"/>
      <c r="F1128" s="212">
        <f>+G1148*C1128</f>
        <v>453.86500000000001</v>
      </c>
      <c r="G1128" s="246"/>
    </row>
    <row r="1129" spans="1:7" x14ac:dyDescent="0.2">
      <c r="A1129" s="247" t="s">
        <v>25</v>
      </c>
      <c r="B1129" s="281"/>
      <c r="C1129" s="281"/>
      <c r="D1129" s="281"/>
      <c r="E1129" s="281"/>
      <c r="F1129" s="281"/>
      <c r="G1129" s="246" t="s">
        <v>31</v>
      </c>
    </row>
    <row r="1130" spans="1:7" ht="15" thickBot="1" x14ac:dyDescent="0.25">
      <c r="A1130" s="248"/>
      <c r="B1130" s="284"/>
      <c r="C1130" s="284"/>
      <c r="D1130" s="284"/>
      <c r="E1130" s="284"/>
      <c r="F1130" s="284"/>
      <c r="G1130" s="249">
        <f>SUM(F1125:F1128)</f>
        <v>2956.4542999999994</v>
      </c>
    </row>
    <row r="1131" spans="1:7" ht="15" thickBot="1" x14ac:dyDescent="0.25">
      <c r="A1131" s="1176" t="s">
        <v>1645</v>
      </c>
      <c r="B1131" s="1177"/>
      <c r="C1131" s="1177"/>
      <c r="D1131" s="1177"/>
      <c r="E1131" s="1177"/>
      <c r="F1131" s="1177"/>
      <c r="G1131" s="1178"/>
    </row>
    <row r="1132" spans="1:7" x14ac:dyDescent="0.2">
      <c r="A1132" s="242" t="s">
        <v>1643</v>
      </c>
      <c r="B1132" s="191" t="s">
        <v>1644</v>
      </c>
      <c r="C1132" s="190" t="s">
        <v>32</v>
      </c>
      <c r="D1132" s="190" t="s">
        <v>33</v>
      </c>
      <c r="E1132" s="190" t="s">
        <v>34</v>
      </c>
      <c r="F1132" s="190" t="s">
        <v>35</v>
      </c>
      <c r="G1132" s="243"/>
    </row>
    <row r="1133" spans="1:7" x14ac:dyDescent="0.2">
      <c r="A1133" s="247"/>
      <c r="B1133" s="216" t="str">
        <f>+LIST_APUS_AUX!$A$166</f>
        <v>Mortero de 1:4</v>
      </c>
      <c r="C1133" s="373" t="str">
        <f>+LIST_APUS_AUX!$G$166</f>
        <v>m³</v>
      </c>
      <c r="D1133" s="361">
        <f>+LIST_APUS_AUX!$G$193</f>
        <v>718563</v>
      </c>
      <c r="E1133" s="104">
        <v>1.4999999999999999E-2</v>
      </c>
      <c r="F1133" s="361">
        <f>+D1133*E1133</f>
        <v>10778.445</v>
      </c>
      <c r="G1133" s="370"/>
    </row>
    <row r="1134" spans="1:7" x14ac:dyDescent="0.2">
      <c r="A1134" s="352" t="str">
        <f>VLOOKUP(B1134,PRECIOS!$A$5:$D$303,2,FALSE)</f>
        <v>MADERFINA01</v>
      </c>
      <c r="B1134" s="105" t="s">
        <v>210</v>
      </c>
      <c r="C1134" s="99" t="str">
        <f>VLOOKUP(B1134,PRECIOS!$A$5:$D$303,3,FALSE)</f>
        <v>Docena</v>
      </c>
      <c r="D1134" s="371">
        <f>VLOOKUP(B1134,PRECIOS!$A$5:$D$303,4,FALSE)</f>
        <v>148445.79750000002</v>
      </c>
      <c r="E1134" s="399">
        <v>0.01</v>
      </c>
      <c r="F1134" s="401">
        <f>+D1134*E1134</f>
        <v>1484.4579750000003</v>
      </c>
      <c r="G1134" s="370"/>
    </row>
    <row r="1135" spans="1:7" x14ac:dyDescent="0.2">
      <c r="A1135" s="1179" t="s">
        <v>1649</v>
      </c>
      <c r="B1135" s="1180"/>
      <c r="C1135" s="214">
        <v>0.03</v>
      </c>
      <c r="D1135" s="282"/>
      <c r="E1135" s="283"/>
      <c r="F1135" s="276">
        <f>SUM(F1133:F1134)*C1135</f>
        <v>367.88708925000003</v>
      </c>
      <c r="G1135" s="246"/>
    </row>
    <row r="1136" spans="1:7" x14ac:dyDescent="0.2">
      <c r="A1136" s="247"/>
      <c r="B1136" s="281"/>
      <c r="C1136" s="104"/>
      <c r="D1136" s="104"/>
      <c r="E1136" s="104"/>
      <c r="F1136" s="104"/>
      <c r="G1136" s="246" t="s">
        <v>31</v>
      </c>
    </row>
    <row r="1137" spans="1:7" ht="15" thickBot="1" x14ac:dyDescent="0.25">
      <c r="A1137" s="248"/>
      <c r="B1137" s="284"/>
      <c r="C1137" s="284"/>
      <c r="D1137" s="284"/>
      <c r="E1137" s="284"/>
      <c r="F1137" s="284"/>
      <c r="G1137" s="250">
        <f>SUM(F1133:F1135)</f>
        <v>12630.790064250001</v>
      </c>
    </row>
    <row r="1138" spans="1:7" ht="15" thickBot="1" x14ac:dyDescent="0.25">
      <c r="A1138" s="1176" t="s">
        <v>1646</v>
      </c>
      <c r="B1138" s="1177"/>
      <c r="C1138" s="1177"/>
      <c r="D1138" s="1177"/>
      <c r="E1138" s="1177"/>
      <c r="F1138" s="1177"/>
      <c r="G1138" s="1178"/>
    </row>
    <row r="1139" spans="1:7" x14ac:dyDescent="0.2">
      <c r="A1139" s="251" t="s">
        <v>305</v>
      </c>
      <c r="B1139" s="190" t="s">
        <v>38</v>
      </c>
      <c r="C1139" s="190" t="s">
        <v>39</v>
      </c>
      <c r="D1139" s="190" t="s">
        <v>40</v>
      </c>
      <c r="E1139" s="190" t="s">
        <v>34</v>
      </c>
      <c r="F1139" s="190" t="s">
        <v>35</v>
      </c>
      <c r="G1139" s="243"/>
    </row>
    <row r="1140" spans="1:7" x14ac:dyDescent="0.2">
      <c r="A1140" s="369"/>
      <c r="B1140" s="89"/>
      <c r="C1140" s="209"/>
      <c r="D1140" s="199"/>
      <c r="E1140" s="367"/>
      <c r="F1140" s="234"/>
      <c r="G1140" s="253"/>
    </row>
    <row r="1141" spans="1:7" x14ac:dyDescent="0.2">
      <c r="A1141" s="252"/>
      <c r="B1141" s="235"/>
      <c r="C1141" s="238"/>
      <c r="D1141" s="236"/>
      <c r="E1141" s="237"/>
      <c r="F1141" s="239"/>
      <c r="G1141" s="253"/>
    </row>
    <row r="1142" spans="1:7" x14ac:dyDescent="0.2">
      <c r="A1142" s="247" t="s">
        <v>25</v>
      </c>
      <c r="B1142" s="104" t="s">
        <v>25</v>
      </c>
      <c r="C1142" s="104" t="s">
        <v>25</v>
      </c>
      <c r="D1142" s="188" t="s">
        <v>25</v>
      </c>
      <c r="E1142" s="189" t="s">
        <v>25</v>
      </c>
      <c r="F1142" s="187" t="s">
        <v>25</v>
      </c>
      <c r="G1142" s="246" t="s">
        <v>31</v>
      </c>
    </row>
    <row r="1143" spans="1:7" ht="15" thickBot="1" x14ac:dyDescent="0.25">
      <c r="A1143" s="248"/>
      <c r="B1143" s="284"/>
      <c r="C1143" s="284"/>
      <c r="D1143" s="284"/>
      <c r="E1143" s="284"/>
      <c r="F1143" s="284"/>
      <c r="G1143" s="250">
        <f>SUM(F1140:F1141)</f>
        <v>0</v>
      </c>
    </row>
    <row r="1144" spans="1:7" ht="15" thickBot="1" x14ac:dyDescent="0.25">
      <c r="A1144" s="1176" t="s">
        <v>1647</v>
      </c>
      <c r="B1144" s="1177"/>
      <c r="C1144" s="1177"/>
      <c r="D1144" s="1177"/>
      <c r="E1144" s="1177"/>
      <c r="F1144" s="1177"/>
      <c r="G1144" s="1178"/>
    </row>
    <row r="1145" spans="1:7" ht="24" x14ac:dyDescent="0.2">
      <c r="A1145" s="254" t="s">
        <v>1681</v>
      </c>
      <c r="B1145" s="190" t="s">
        <v>42</v>
      </c>
      <c r="C1145" s="190" t="s">
        <v>43</v>
      </c>
      <c r="D1145" s="190" t="s">
        <v>44</v>
      </c>
      <c r="E1145" s="190" t="s">
        <v>306</v>
      </c>
      <c r="F1145" s="190" t="s">
        <v>29</v>
      </c>
      <c r="G1145" s="243"/>
    </row>
    <row r="1146" spans="1:7" ht="36" x14ac:dyDescent="0.2">
      <c r="A1146" s="255" t="s">
        <v>1674</v>
      </c>
      <c r="B1146" s="202">
        <f>VLOOKUP(A1146,JORNALES!$A$5:$B$28,2,FALSE)</f>
        <v>215000</v>
      </c>
      <c r="C1146" s="233">
        <f>+PRESTACIONES!$C$20/100</f>
        <v>0.89990000000000014</v>
      </c>
      <c r="D1146" s="234">
        <f>+(B1146*C1146)+B1146</f>
        <v>408478.5</v>
      </c>
      <c r="E1146" s="285">
        <v>45</v>
      </c>
      <c r="F1146" s="199">
        <f>+D1146/E1146</f>
        <v>9077.2999999999993</v>
      </c>
      <c r="G1146" s="246"/>
    </row>
    <row r="1147" spans="1:7" x14ac:dyDescent="0.2">
      <c r="A1147" s="247"/>
      <c r="B1147" s="281"/>
      <c r="C1147" s="281"/>
      <c r="D1147" s="281"/>
      <c r="E1147" s="281"/>
      <c r="F1147" s="281"/>
      <c r="G1147" s="246" t="s">
        <v>31</v>
      </c>
    </row>
    <row r="1148" spans="1:7" x14ac:dyDescent="0.2">
      <c r="A1148" s="247"/>
      <c r="B1148" s="281"/>
      <c r="C1148" s="281"/>
      <c r="D1148" s="281"/>
      <c r="E1148" s="281"/>
      <c r="F1148" s="281"/>
      <c r="G1148" s="256">
        <f>SUM(F1146:F1146)</f>
        <v>9077.2999999999993</v>
      </c>
    </row>
    <row r="1149" spans="1:7" ht="15" thickBot="1" x14ac:dyDescent="0.25">
      <c r="A1149" s="1181" t="s">
        <v>25</v>
      </c>
      <c r="B1149" s="1182"/>
      <c r="C1149" s="1182"/>
      <c r="D1149" s="1182"/>
      <c r="E1149" s="1182"/>
      <c r="F1149" s="1182"/>
      <c r="G1149" s="1183"/>
    </row>
    <row r="1150" spans="1:7" ht="15" thickBot="1" x14ac:dyDescent="0.25">
      <c r="A1150" s="1184" t="s">
        <v>45</v>
      </c>
      <c r="B1150" s="1185"/>
      <c r="C1150" s="1185"/>
      <c r="D1150" s="1185"/>
      <c r="E1150" s="1185"/>
      <c r="F1150" s="192"/>
      <c r="G1150" s="277">
        <f xml:space="preserve"> ROUND(G1148+G1143+G1137+G1130,0)</f>
        <v>24665</v>
      </c>
    </row>
    <row r="1151" spans="1:7" x14ac:dyDescent="0.2">
      <c r="A1151" s="1186" t="s">
        <v>476</v>
      </c>
      <c r="B1151" s="1187"/>
      <c r="C1151" s="1187"/>
      <c r="D1151" s="1187"/>
      <c r="E1151" s="1187"/>
      <c r="F1151" s="193" t="s">
        <v>51</v>
      </c>
      <c r="G1151" s="257" t="s">
        <v>307</v>
      </c>
    </row>
    <row r="1152" spans="1:7" x14ac:dyDescent="0.2">
      <c r="A1152" s="1166" t="s">
        <v>17</v>
      </c>
      <c r="B1152" s="1167"/>
      <c r="C1152" s="1167"/>
      <c r="D1152" s="1167"/>
      <c r="E1152" s="1167"/>
      <c r="F1152" s="240"/>
      <c r="G1152" s="196"/>
    </row>
    <row r="1153" spans="1:7" x14ac:dyDescent="0.2">
      <c r="A1153" s="1166" t="s">
        <v>308</v>
      </c>
      <c r="B1153" s="1167"/>
      <c r="C1153" s="1167"/>
      <c r="D1153" s="1167"/>
      <c r="E1153" s="1167"/>
      <c r="F1153" s="240"/>
      <c r="G1153" s="196"/>
    </row>
    <row r="1154" spans="1:7" x14ac:dyDescent="0.2">
      <c r="A1154" s="1166" t="s">
        <v>19</v>
      </c>
      <c r="B1154" s="1167"/>
      <c r="C1154" s="1167"/>
      <c r="D1154" s="1167"/>
      <c r="E1154" s="1167"/>
      <c r="F1154" s="240"/>
      <c r="G1154" s="196"/>
    </row>
    <row r="1155" spans="1:7" ht="15" thickBot="1" x14ac:dyDescent="0.25">
      <c r="A1155" s="1168" t="s">
        <v>309</v>
      </c>
      <c r="B1155" s="1169"/>
      <c r="C1155" s="1169"/>
      <c r="D1155" s="1169"/>
      <c r="E1155" s="1169"/>
      <c r="F1155" s="198"/>
      <c r="G1155" s="258"/>
    </row>
    <row r="1156" spans="1:7" ht="15" thickBot="1" x14ac:dyDescent="0.25">
      <c r="A1156" s="1170" t="s">
        <v>310</v>
      </c>
      <c r="B1156" s="1171"/>
      <c r="C1156" s="1171"/>
      <c r="D1156" s="1171"/>
      <c r="E1156" s="1171"/>
      <c r="F1156" s="1172"/>
      <c r="G1156" s="1173"/>
    </row>
    <row r="1157" spans="1:7" x14ac:dyDescent="0.2">
      <c r="A1157" s="279"/>
      <c r="B1157" s="280"/>
      <c r="C1157" s="280"/>
      <c r="D1157" s="280"/>
      <c r="E1157" s="280"/>
      <c r="F1157" s="193"/>
      <c r="G1157" s="260"/>
    </row>
    <row r="1158" spans="1:7" ht="15" thickBot="1" x14ac:dyDescent="0.25">
      <c r="A1158" s="261" t="s">
        <v>681</v>
      </c>
      <c r="B1158" s="262"/>
      <c r="C1158" s="262" t="s">
        <v>682</v>
      </c>
      <c r="D1158" s="262"/>
      <c r="E1158" s="262"/>
      <c r="F1158" s="262" t="s">
        <v>683</v>
      </c>
      <c r="G1158" s="263"/>
    </row>
    <row r="1159" spans="1:7" ht="15" thickBot="1" x14ac:dyDescent="0.25">
      <c r="A1159" s="1174" t="str">
        <f>+LIST_ACTIVIDADES!D43</f>
        <v>Revoque muro impermeabilizado, incluye dilataciones y filos</v>
      </c>
      <c r="B1159" s="1175"/>
      <c r="C1159" s="1175"/>
      <c r="D1159" s="1175"/>
      <c r="E1159" s="1175"/>
      <c r="F1159" s="241" t="s">
        <v>24</v>
      </c>
      <c r="G1159" s="264" t="str">
        <f>+LIST_ACTIVIDADES!E43</f>
        <v>m²</v>
      </c>
    </row>
    <row r="1160" spans="1:7" ht="15" thickBot="1" x14ac:dyDescent="0.25">
      <c r="A1160" s="1176" t="s">
        <v>1642</v>
      </c>
      <c r="B1160" s="1177"/>
      <c r="C1160" s="1177"/>
      <c r="D1160" s="1177"/>
      <c r="E1160" s="1177"/>
      <c r="F1160" s="1177"/>
      <c r="G1160" s="1178"/>
    </row>
    <row r="1161" spans="1:7" x14ac:dyDescent="0.2">
      <c r="A1161" s="242" t="s">
        <v>1643</v>
      </c>
      <c r="B1161" s="191" t="s">
        <v>1644</v>
      </c>
      <c r="C1161" s="190" t="s">
        <v>26</v>
      </c>
      <c r="D1161" s="190" t="s">
        <v>27</v>
      </c>
      <c r="E1161" s="190" t="s">
        <v>28</v>
      </c>
      <c r="F1161" s="190" t="s">
        <v>29</v>
      </c>
      <c r="G1161" s="243"/>
    </row>
    <row r="1162" spans="1:7" ht="24" x14ac:dyDescent="0.2">
      <c r="A1162" s="362" t="str">
        <f>VLOOKUP(B1162,PRECIOS!$A$309:$E$485,2,FALSE)</f>
        <v>EQUIPO166</v>
      </c>
      <c r="B1162" s="363" t="s">
        <v>447</v>
      </c>
      <c r="C1162" s="99" t="str">
        <f>VLOOKUP(B1162,PRECIOS!$A$309:$E$485,3,FALSE)</f>
        <v>Estructura</v>
      </c>
      <c r="D1162" s="364">
        <f>VLOOKUP(B1162,PRECIOS!$A$309:$E$485,5,FALSE)</f>
        <v>125</v>
      </c>
      <c r="E1162" s="365">
        <v>0.5</v>
      </c>
      <c r="F1162" s="366">
        <f>+D1162*E1162</f>
        <v>62.5</v>
      </c>
      <c r="G1162" s="245"/>
    </row>
    <row r="1163" spans="1:7" x14ac:dyDescent="0.2">
      <c r="A1163" s="362" t="str">
        <f>VLOOKUP(B1163,PRECIOS!$A$309:$E$485,2,FALSE)</f>
        <v>EQUIPO169</v>
      </c>
      <c r="B1163" s="363" t="s">
        <v>449</v>
      </c>
      <c r="C1163" s="99" t="str">
        <f>VLOOKUP(B1163,PRECIOS!$A$309:$E$485,3,FALSE)</f>
        <v>Estructura</v>
      </c>
      <c r="D1163" s="364">
        <f>VLOOKUP(B1163,PRECIOS!$A$309:$E$485,5,FALSE)</f>
        <v>1500</v>
      </c>
      <c r="E1163" s="365">
        <v>0.5</v>
      </c>
      <c r="F1163" s="366">
        <f>+D1163*E1163</f>
        <v>750</v>
      </c>
      <c r="G1163" s="245"/>
    </row>
    <row r="1164" spans="1:7" x14ac:dyDescent="0.2">
      <c r="A1164" s="362" t="str">
        <f>VLOOKUP(B1164,PRECIOS!$A$309:$E$485,2,FALSE)</f>
        <v>EQUIPO64</v>
      </c>
      <c r="B1164" s="363" t="s">
        <v>530</v>
      </c>
      <c r="C1164" s="99" t="str">
        <f>VLOOKUP(B1164,PRECIOS!$A$309:$E$485,3,FALSE)</f>
        <v>Estructura</v>
      </c>
      <c r="D1164" s="364">
        <f>VLOOKUP(B1164,PRECIOS!$A$309:$E$485,5,FALSE)</f>
        <v>5633.6309999999994</v>
      </c>
      <c r="E1164" s="365">
        <v>0.3</v>
      </c>
      <c r="F1164" s="366">
        <f>+D1164*E1164</f>
        <v>1690.0892999999999</v>
      </c>
      <c r="G1164" s="245"/>
    </row>
    <row r="1165" spans="1:7" x14ac:dyDescent="0.2">
      <c r="A1165" s="1179" t="s">
        <v>1650</v>
      </c>
      <c r="B1165" s="1180"/>
      <c r="C1165" s="214">
        <v>0.05</v>
      </c>
      <c r="D1165" s="213"/>
      <c r="E1165" s="283"/>
      <c r="F1165" s="212">
        <f>+G1185*C1165</f>
        <v>291.77035714285716</v>
      </c>
      <c r="G1165" s="246"/>
    </row>
    <row r="1166" spans="1:7" x14ac:dyDescent="0.2">
      <c r="A1166" s="247" t="s">
        <v>25</v>
      </c>
      <c r="B1166" s="281"/>
      <c r="C1166" s="281"/>
      <c r="D1166" s="281"/>
      <c r="E1166" s="281"/>
      <c r="F1166" s="281"/>
      <c r="G1166" s="246" t="s">
        <v>31</v>
      </c>
    </row>
    <row r="1167" spans="1:7" ht="15" thickBot="1" x14ac:dyDescent="0.25">
      <c r="A1167" s="248"/>
      <c r="B1167" s="284"/>
      <c r="C1167" s="284"/>
      <c r="D1167" s="284"/>
      <c r="E1167" s="284"/>
      <c r="F1167" s="284"/>
      <c r="G1167" s="249">
        <f>SUM(F1162:F1165)</f>
        <v>2794.359657142857</v>
      </c>
    </row>
    <row r="1168" spans="1:7" ht="15" thickBot="1" x14ac:dyDescent="0.25">
      <c r="A1168" s="1176" t="s">
        <v>1645</v>
      </c>
      <c r="B1168" s="1177"/>
      <c r="C1168" s="1177"/>
      <c r="D1168" s="1177"/>
      <c r="E1168" s="1177"/>
      <c r="F1168" s="1177"/>
      <c r="G1168" s="1178"/>
    </row>
    <row r="1169" spans="1:7" x14ac:dyDescent="0.2">
      <c r="A1169" s="242" t="s">
        <v>1643</v>
      </c>
      <c r="B1169" s="191" t="s">
        <v>1644</v>
      </c>
      <c r="C1169" s="190" t="s">
        <v>32</v>
      </c>
      <c r="D1169" s="190" t="s">
        <v>33</v>
      </c>
      <c r="E1169" s="190" t="s">
        <v>34</v>
      </c>
      <c r="F1169" s="190" t="s">
        <v>35</v>
      </c>
      <c r="G1169" s="243"/>
    </row>
    <row r="1170" spans="1:7" x14ac:dyDescent="0.2">
      <c r="A1170" s="247"/>
      <c r="B1170" s="216" t="str">
        <f>+LIST_APUS_AUX!$A$166</f>
        <v>Mortero de 1:4</v>
      </c>
      <c r="C1170" s="373" t="str">
        <f>+LIST_APUS_AUX!$G$166</f>
        <v>m³</v>
      </c>
      <c r="D1170" s="361">
        <f>+LIST_APUS_AUX!$G$193</f>
        <v>718563</v>
      </c>
      <c r="E1170" s="104">
        <v>2.5000000000000001E-2</v>
      </c>
      <c r="F1170" s="361">
        <f>+D1170*E1170</f>
        <v>17964.075000000001</v>
      </c>
      <c r="G1170" s="370"/>
    </row>
    <row r="1171" spans="1:7" x14ac:dyDescent="0.2">
      <c r="A1171" s="352" t="str">
        <f>VLOOKUP(B1171,PRECIOS!$A$5:$D$303,2,FALSE)</f>
        <v>MADERFINA01</v>
      </c>
      <c r="B1171" s="105" t="s">
        <v>210</v>
      </c>
      <c r="C1171" s="99" t="str">
        <f>VLOOKUP(B1171,PRECIOS!$A$5:$D$303,3,FALSE)</f>
        <v>Docena</v>
      </c>
      <c r="D1171" s="371">
        <f>VLOOKUP(B1171,PRECIOS!$A$5:$D$303,4,FALSE)</f>
        <v>148445.79750000002</v>
      </c>
      <c r="E1171" s="399">
        <v>0.01</v>
      </c>
      <c r="F1171" s="401">
        <f>+D1171*E1171</f>
        <v>1484.4579750000003</v>
      </c>
      <c r="G1171" s="370"/>
    </row>
    <row r="1172" spans="1:7" x14ac:dyDescent="0.2">
      <c r="A1172" s="1179" t="s">
        <v>1649</v>
      </c>
      <c r="B1172" s="1180"/>
      <c r="C1172" s="214">
        <v>0.03</v>
      </c>
      <c r="D1172" s="282"/>
      <c r="E1172" s="283"/>
      <c r="F1172" s="276">
        <f>SUM(F1170:F1171)*C1172</f>
        <v>583.45598925000002</v>
      </c>
      <c r="G1172" s="246"/>
    </row>
    <row r="1173" spans="1:7" x14ac:dyDescent="0.2">
      <c r="A1173" s="247"/>
      <c r="B1173" s="281"/>
      <c r="C1173" s="104"/>
      <c r="D1173" s="104"/>
      <c r="E1173" s="104"/>
      <c r="F1173" s="104"/>
      <c r="G1173" s="246" t="s">
        <v>31</v>
      </c>
    </row>
    <row r="1174" spans="1:7" ht="15" thickBot="1" x14ac:dyDescent="0.25">
      <c r="A1174" s="248"/>
      <c r="B1174" s="284"/>
      <c r="C1174" s="284"/>
      <c r="D1174" s="284"/>
      <c r="E1174" s="284"/>
      <c r="F1174" s="284"/>
      <c r="G1174" s="250">
        <f>SUM(F1170:F1172)</f>
        <v>20031.988964250002</v>
      </c>
    </row>
    <row r="1175" spans="1:7" ht="15" thickBot="1" x14ac:dyDescent="0.25">
      <c r="A1175" s="1176" t="s">
        <v>1646</v>
      </c>
      <c r="B1175" s="1177"/>
      <c r="C1175" s="1177"/>
      <c r="D1175" s="1177"/>
      <c r="E1175" s="1177"/>
      <c r="F1175" s="1177"/>
      <c r="G1175" s="1178"/>
    </row>
    <row r="1176" spans="1:7" x14ac:dyDescent="0.2">
      <c r="A1176" s="251" t="s">
        <v>305</v>
      </c>
      <c r="B1176" s="190" t="s">
        <v>38</v>
      </c>
      <c r="C1176" s="190" t="s">
        <v>39</v>
      </c>
      <c r="D1176" s="190" t="s">
        <v>40</v>
      </c>
      <c r="E1176" s="190" t="s">
        <v>34</v>
      </c>
      <c r="F1176" s="190" t="s">
        <v>35</v>
      </c>
      <c r="G1176" s="243"/>
    </row>
    <row r="1177" spans="1:7" x14ac:dyDescent="0.2">
      <c r="A1177" s="369"/>
      <c r="B1177" s="89"/>
      <c r="C1177" s="209"/>
      <c r="D1177" s="199"/>
      <c r="E1177" s="367"/>
      <c r="F1177" s="234"/>
      <c r="G1177" s="253"/>
    </row>
    <row r="1178" spans="1:7" x14ac:dyDescent="0.2">
      <c r="A1178" s="252"/>
      <c r="B1178" s="235"/>
      <c r="C1178" s="238"/>
      <c r="D1178" s="236"/>
      <c r="E1178" s="237"/>
      <c r="F1178" s="239"/>
      <c r="G1178" s="253"/>
    </row>
    <row r="1179" spans="1:7" x14ac:dyDescent="0.2">
      <c r="A1179" s="247" t="s">
        <v>25</v>
      </c>
      <c r="B1179" s="104" t="s">
        <v>25</v>
      </c>
      <c r="C1179" s="104" t="s">
        <v>25</v>
      </c>
      <c r="D1179" s="188" t="s">
        <v>25</v>
      </c>
      <c r="E1179" s="189" t="s">
        <v>25</v>
      </c>
      <c r="F1179" s="187" t="s">
        <v>25</v>
      </c>
      <c r="G1179" s="246" t="s">
        <v>31</v>
      </c>
    </row>
    <row r="1180" spans="1:7" ht="15" thickBot="1" x14ac:dyDescent="0.25">
      <c r="A1180" s="248"/>
      <c r="B1180" s="284"/>
      <c r="C1180" s="284"/>
      <c r="D1180" s="284"/>
      <c r="E1180" s="284"/>
      <c r="F1180" s="284"/>
      <c r="G1180" s="250">
        <f>SUM(F1177:F1178)</f>
        <v>0</v>
      </c>
    </row>
    <row r="1181" spans="1:7" ht="15" thickBot="1" x14ac:dyDescent="0.25">
      <c r="A1181" s="1176" t="s">
        <v>1647</v>
      </c>
      <c r="B1181" s="1177"/>
      <c r="C1181" s="1177"/>
      <c r="D1181" s="1177"/>
      <c r="E1181" s="1177"/>
      <c r="F1181" s="1177"/>
      <c r="G1181" s="1178"/>
    </row>
    <row r="1182" spans="1:7" ht="24" x14ac:dyDescent="0.2">
      <c r="A1182" s="254" t="s">
        <v>1681</v>
      </c>
      <c r="B1182" s="190" t="s">
        <v>42</v>
      </c>
      <c r="C1182" s="190" t="s">
        <v>43</v>
      </c>
      <c r="D1182" s="190" t="s">
        <v>44</v>
      </c>
      <c r="E1182" s="190" t="s">
        <v>306</v>
      </c>
      <c r="F1182" s="190" t="s">
        <v>29</v>
      </c>
      <c r="G1182" s="243"/>
    </row>
    <row r="1183" spans="1:7" ht="36" x14ac:dyDescent="0.2">
      <c r="A1183" s="255" t="s">
        <v>1674</v>
      </c>
      <c r="B1183" s="202">
        <f>VLOOKUP(A1183,JORNALES!$A$5:$B$28,2,FALSE)</f>
        <v>215000</v>
      </c>
      <c r="C1183" s="233">
        <f>+PRESTACIONES!$C$20/100</f>
        <v>0.89990000000000014</v>
      </c>
      <c r="D1183" s="234">
        <f>+(B1183*C1183)+B1183</f>
        <v>408478.5</v>
      </c>
      <c r="E1183" s="285">
        <v>70</v>
      </c>
      <c r="F1183" s="199">
        <f>+D1183/E1183</f>
        <v>5835.4071428571433</v>
      </c>
      <c r="G1183" s="246"/>
    </row>
    <row r="1184" spans="1:7" x14ac:dyDescent="0.2">
      <c r="A1184" s="247"/>
      <c r="B1184" s="281"/>
      <c r="C1184" s="281"/>
      <c r="D1184" s="281"/>
      <c r="E1184" s="281"/>
      <c r="F1184" s="281"/>
      <c r="G1184" s="246" t="s">
        <v>31</v>
      </c>
    </row>
    <row r="1185" spans="1:7" x14ac:dyDescent="0.2">
      <c r="A1185" s="247"/>
      <c r="B1185" s="281"/>
      <c r="C1185" s="281"/>
      <c r="D1185" s="281"/>
      <c r="E1185" s="281"/>
      <c r="F1185" s="281"/>
      <c r="G1185" s="256">
        <f>SUM(F1183:F1183)</f>
        <v>5835.4071428571433</v>
      </c>
    </row>
    <row r="1186" spans="1:7" ht="15" thickBot="1" x14ac:dyDescent="0.25">
      <c r="A1186" s="1181" t="s">
        <v>25</v>
      </c>
      <c r="B1186" s="1182"/>
      <c r="C1186" s="1182"/>
      <c r="D1186" s="1182"/>
      <c r="E1186" s="1182"/>
      <c r="F1186" s="1182"/>
      <c r="G1186" s="1183"/>
    </row>
    <row r="1187" spans="1:7" ht="15" thickBot="1" x14ac:dyDescent="0.25">
      <c r="A1187" s="1184" t="s">
        <v>45</v>
      </c>
      <c r="B1187" s="1185"/>
      <c r="C1187" s="1185"/>
      <c r="D1187" s="1185"/>
      <c r="E1187" s="1185"/>
      <c r="F1187" s="192"/>
      <c r="G1187" s="277">
        <f xml:space="preserve"> ROUND(G1185+G1180+G1174+G1167,0)</f>
        <v>28662</v>
      </c>
    </row>
    <row r="1188" spans="1:7" x14ac:dyDescent="0.2">
      <c r="A1188" s="1186" t="s">
        <v>476</v>
      </c>
      <c r="B1188" s="1187"/>
      <c r="C1188" s="1187"/>
      <c r="D1188" s="1187"/>
      <c r="E1188" s="1187"/>
      <c r="F1188" s="193" t="s">
        <v>51</v>
      </c>
      <c r="G1188" s="257" t="s">
        <v>307</v>
      </c>
    </row>
    <row r="1189" spans="1:7" x14ac:dyDescent="0.2">
      <c r="A1189" s="1166" t="s">
        <v>17</v>
      </c>
      <c r="B1189" s="1167"/>
      <c r="C1189" s="1167"/>
      <c r="D1189" s="1167"/>
      <c r="E1189" s="1167"/>
      <c r="F1189" s="240"/>
      <c r="G1189" s="196"/>
    </row>
    <row r="1190" spans="1:7" x14ac:dyDescent="0.2">
      <c r="A1190" s="1166" t="s">
        <v>308</v>
      </c>
      <c r="B1190" s="1167"/>
      <c r="C1190" s="1167"/>
      <c r="D1190" s="1167"/>
      <c r="E1190" s="1167"/>
      <c r="F1190" s="240"/>
      <c r="G1190" s="196"/>
    </row>
    <row r="1191" spans="1:7" x14ac:dyDescent="0.2">
      <c r="A1191" s="1166" t="s">
        <v>19</v>
      </c>
      <c r="B1191" s="1167"/>
      <c r="C1191" s="1167"/>
      <c r="D1191" s="1167"/>
      <c r="E1191" s="1167"/>
      <c r="F1191" s="240"/>
      <c r="G1191" s="196"/>
    </row>
    <row r="1192" spans="1:7" ht="15" thickBot="1" x14ac:dyDescent="0.25">
      <c r="A1192" s="1168" t="s">
        <v>309</v>
      </c>
      <c r="B1192" s="1169"/>
      <c r="C1192" s="1169"/>
      <c r="D1192" s="1169"/>
      <c r="E1192" s="1169"/>
      <c r="F1192" s="198"/>
      <c r="G1192" s="258"/>
    </row>
    <row r="1193" spans="1:7" ht="15" thickBot="1" x14ac:dyDescent="0.25">
      <c r="A1193" s="1170" t="s">
        <v>310</v>
      </c>
      <c r="B1193" s="1171"/>
      <c r="C1193" s="1171"/>
      <c r="D1193" s="1171"/>
      <c r="E1193" s="1171"/>
      <c r="F1193" s="1172"/>
      <c r="G1193" s="1173"/>
    </row>
    <row r="1194" spans="1:7" x14ac:dyDescent="0.2">
      <c r="A1194" s="279"/>
      <c r="B1194" s="280"/>
      <c r="C1194" s="280"/>
      <c r="D1194" s="280"/>
      <c r="E1194" s="280"/>
      <c r="F1194" s="193"/>
      <c r="G1194" s="260"/>
    </row>
    <row r="1195" spans="1:7" ht="15" thickBot="1" x14ac:dyDescent="0.25">
      <c r="A1195" s="261" t="s">
        <v>681</v>
      </c>
      <c r="B1195" s="262"/>
      <c r="C1195" s="262" t="s">
        <v>682</v>
      </c>
      <c r="D1195" s="262"/>
      <c r="E1195" s="262"/>
      <c r="F1195" s="262" t="s">
        <v>683</v>
      </c>
      <c r="G1195" s="263"/>
    </row>
    <row r="1196" spans="1:7" ht="15" thickBot="1" x14ac:dyDescent="0.25">
      <c r="A1196" s="1174" t="str">
        <f>+LIST_ACTIVIDADES!D46</f>
        <v xml:space="preserve">Estuco interior </v>
      </c>
      <c r="B1196" s="1175"/>
      <c r="C1196" s="1175"/>
      <c r="D1196" s="1175"/>
      <c r="E1196" s="1175"/>
      <c r="F1196" s="241" t="s">
        <v>24</v>
      </c>
      <c r="G1196" s="264" t="str">
        <f>+LIST_ACTIVIDADES!E46</f>
        <v>m²</v>
      </c>
    </row>
    <row r="1197" spans="1:7" ht="15" thickBot="1" x14ac:dyDescent="0.25">
      <c r="A1197" s="1176" t="s">
        <v>1642</v>
      </c>
      <c r="B1197" s="1177"/>
      <c r="C1197" s="1177"/>
      <c r="D1197" s="1177"/>
      <c r="E1197" s="1177"/>
      <c r="F1197" s="1177"/>
      <c r="G1197" s="1178"/>
    </row>
    <row r="1198" spans="1:7" x14ac:dyDescent="0.2">
      <c r="A1198" s="242" t="s">
        <v>1643</v>
      </c>
      <c r="B1198" s="191" t="s">
        <v>1644</v>
      </c>
      <c r="C1198" s="190" t="s">
        <v>26</v>
      </c>
      <c r="D1198" s="190" t="s">
        <v>27</v>
      </c>
      <c r="E1198" s="190" t="s">
        <v>28</v>
      </c>
      <c r="F1198" s="190" t="s">
        <v>29</v>
      </c>
      <c r="G1198" s="243"/>
    </row>
    <row r="1199" spans="1:7" ht="24" x14ac:dyDescent="0.2">
      <c r="A1199" s="362" t="str">
        <f>VLOOKUP(B1199,PRECIOS!$A$309:$E$485,2,FALSE)</f>
        <v>EQUIPO166</v>
      </c>
      <c r="B1199" s="363" t="s">
        <v>447</v>
      </c>
      <c r="C1199" s="99" t="str">
        <f>VLOOKUP(B1199,PRECIOS!$A$309:$E$485,3,FALSE)</f>
        <v>Estructura</v>
      </c>
      <c r="D1199" s="364">
        <f>VLOOKUP(B1199,PRECIOS!$A$309:$E$485,5,FALSE)</f>
        <v>125</v>
      </c>
      <c r="E1199" s="365">
        <v>0.5</v>
      </c>
      <c r="F1199" s="366">
        <f>+D1199*E1199</f>
        <v>62.5</v>
      </c>
      <c r="G1199" s="245"/>
    </row>
    <row r="1200" spans="1:7" x14ac:dyDescent="0.2">
      <c r="A1200" s="362" t="str">
        <f>VLOOKUP(B1200,PRECIOS!$A$309:$E$485,2,FALSE)</f>
        <v>EQUIPO169</v>
      </c>
      <c r="B1200" s="363" t="s">
        <v>449</v>
      </c>
      <c r="C1200" s="99" t="str">
        <f>VLOOKUP(B1200,PRECIOS!$A$309:$E$485,3,FALSE)</f>
        <v>Estructura</v>
      </c>
      <c r="D1200" s="364">
        <f>VLOOKUP(B1200,PRECIOS!$A$309:$E$485,5,FALSE)</f>
        <v>1500</v>
      </c>
      <c r="E1200" s="365">
        <v>0.5</v>
      </c>
      <c r="F1200" s="366">
        <f>+D1200*E1200</f>
        <v>750</v>
      </c>
      <c r="G1200" s="245"/>
    </row>
    <row r="1201" spans="1:7" x14ac:dyDescent="0.2">
      <c r="A1201" s="362" t="str">
        <f>VLOOKUP(B1201,PRECIOS!$A$309:$E$485,2,FALSE)</f>
        <v>EQUIPO64</v>
      </c>
      <c r="B1201" s="363" t="s">
        <v>530</v>
      </c>
      <c r="C1201" s="99" t="str">
        <f>VLOOKUP(B1201,PRECIOS!$A$309:$E$485,3,FALSE)</f>
        <v>Estructura</v>
      </c>
      <c r="D1201" s="364">
        <f>VLOOKUP(B1201,PRECIOS!$A$309:$E$485,5,FALSE)</f>
        <v>5633.6309999999994</v>
      </c>
      <c r="E1201" s="365">
        <v>0.3</v>
      </c>
      <c r="F1201" s="366">
        <f>+D1201*E1201</f>
        <v>1690.0892999999999</v>
      </c>
      <c r="G1201" s="245"/>
    </row>
    <row r="1202" spans="1:7" x14ac:dyDescent="0.2">
      <c r="A1202" s="1179" t="s">
        <v>1650</v>
      </c>
      <c r="B1202" s="1180"/>
      <c r="C1202" s="214">
        <v>0.05</v>
      </c>
      <c r="D1202" s="213"/>
      <c r="E1202" s="283"/>
      <c r="F1202" s="212">
        <f>+G1221*C1202</f>
        <v>371.34409090909094</v>
      </c>
      <c r="G1202" s="246"/>
    </row>
    <row r="1203" spans="1:7" x14ac:dyDescent="0.2">
      <c r="A1203" s="247" t="s">
        <v>25</v>
      </c>
      <c r="B1203" s="281"/>
      <c r="C1203" s="281"/>
      <c r="D1203" s="281"/>
      <c r="E1203" s="281"/>
      <c r="F1203" s="281"/>
      <c r="G1203" s="246" t="s">
        <v>31</v>
      </c>
    </row>
    <row r="1204" spans="1:7" ht="15" thickBot="1" x14ac:dyDescent="0.25">
      <c r="A1204" s="248"/>
      <c r="B1204" s="284"/>
      <c r="C1204" s="284"/>
      <c r="D1204" s="284"/>
      <c r="E1204" s="284"/>
      <c r="F1204" s="284"/>
      <c r="G1204" s="249">
        <f>SUM(F1199:F1202)</f>
        <v>2873.9333909090906</v>
      </c>
    </row>
    <row r="1205" spans="1:7" ht="15" thickBot="1" x14ac:dyDescent="0.25">
      <c r="A1205" s="1176" t="s">
        <v>1645</v>
      </c>
      <c r="B1205" s="1177"/>
      <c r="C1205" s="1177"/>
      <c r="D1205" s="1177"/>
      <c r="E1205" s="1177"/>
      <c r="F1205" s="1177"/>
      <c r="G1205" s="1178"/>
    </row>
    <row r="1206" spans="1:7" x14ac:dyDescent="0.2">
      <c r="A1206" s="242" t="s">
        <v>1643</v>
      </c>
      <c r="B1206" s="191" t="s">
        <v>1644</v>
      </c>
      <c r="C1206" s="190" t="s">
        <v>32</v>
      </c>
      <c r="D1206" s="190" t="s">
        <v>33</v>
      </c>
      <c r="E1206" s="190" t="s">
        <v>34</v>
      </c>
      <c r="F1206" s="190" t="s">
        <v>35</v>
      </c>
      <c r="G1206" s="243"/>
    </row>
    <row r="1207" spans="1:7" x14ac:dyDescent="0.2">
      <c r="A1207" s="352" t="str">
        <f>VLOOKUP(B1207,PRECIOS!$A$5:$D$303,2,FALSE)</f>
        <v>VARIOS24</v>
      </c>
      <c r="B1207" s="105" t="s">
        <v>1711</v>
      </c>
      <c r="C1207" s="99" t="str">
        <f>VLOOKUP(B1207,PRECIOS!$A$5:$D$303,3,FALSE)</f>
        <v>Cuñete</v>
      </c>
      <c r="D1207" s="371">
        <f>VLOOKUP(B1207,PRECIOS!$A$5:$D$303,4,FALSE)</f>
        <v>50160</v>
      </c>
      <c r="E1207" s="399">
        <v>0.25</v>
      </c>
      <c r="F1207" s="401">
        <f>+D1207*E1207</f>
        <v>12540</v>
      </c>
      <c r="G1207" s="370"/>
    </row>
    <row r="1208" spans="1:7" x14ac:dyDescent="0.2">
      <c r="A1208" s="1179" t="s">
        <v>1649</v>
      </c>
      <c r="B1208" s="1180"/>
      <c r="C1208" s="214">
        <v>0.03</v>
      </c>
      <c r="D1208" s="282"/>
      <c r="E1208" s="283"/>
      <c r="F1208" s="276">
        <f>SUM(F1207:F1207)*C1208</f>
        <v>376.2</v>
      </c>
      <c r="G1208" s="246"/>
    </row>
    <row r="1209" spans="1:7" x14ac:dyDescent="0.2">
      <c r="A1209" s="247"/>
      <c r="B1209" s="281"/>
      <c r="C1209" s="104"/>
      <c r="D1209" s="104"/>
      <c r="E1209" s="104"/>
      <c r="F1209" s="104"/>
      <c r="G1209" s="246" t="s">
        <v>31</v>
      </c>
    </row>
    <row r="1210" spans="1:7" ht="15" thickBot="1" x14ac:dyDescent="0.25">
      <c r="A1210" s="248"/>
      <c r="B1210" s="284"/>
      <c r="C1210" s="284"/>
      <c r="D1210" s="284"/>
      <c r="E1210" s="284"/>
      <c r="F1210" s="284"/>
      <c r="G1210" s="250">
        <f>SUM(F1207:F1208)</f>
        <v>12916.2</v>
      </c>
    </row>
    <row r="1211" spans="1:7" ht="15" thickBot="1" x14ac:dyDescent="0.25">
      <c r="A1211" s="1176" t="s">
        <v>1646</v>
      </c>
      <c r="B1211" s="1177"/>
      <c r="C1211" s="1177"/>
      <c r="D1211" s="1177"/>
      <c r="E1211" s="1177"/>
      <c r="F1211" s="1177"/>
      <c r="G1211" s="1178"/>
    </row>
    <row r="1212" spans="1:7" x14ac:dyDescent="0.2">
      <c r="A1212" s="251" t="s">
        <v>305</v>
      </c>
      <c r="B1212" s="190" t="s">
        <v>38</v>
      </c>
      <c r="C1212" s="190" t="s">
        <v>39</v>
      </c>
      <c r="D1212" s="190" t="s">
        <v>40</v>
      </c>
      <c r="E1212" s="190" t="s">
        <v>34</v>
      </c>
      <c r="F1212" s="190" t="s">
        <v>35</v>
      </c>
      <c r="G1212" s="243"/>
    </row>
    <row r="1213" spans="1:7" x14ac:dyDescent="0.2">
      <c r="A1213" s="369"/>
      <c r="B1213" s="89"/>
      <c r="C1213" s="209"/>
      <c r="D1213" s="199"/>
      <c r="E1213" s="367"/>
      <c r="F1213" s="234"/>
      <c r="G1213" s="253"/>
    </row>
    <row r="1214" spans="1:7" x14ac:dyDescent="0.2">
      <c r="A1214" s="252"/>
      <c r="B1214" s="235"/>
      <c r="C1214" s="238"/>
      <c r="D1214" s="236"/>
      <c r="E1214" s="237"/>
      <c r="F1214" s="239"/>
      <c r="G1214" s="253"/>
    </row>
    <row r="1215" spans="1:7" x14ac:dyDescent="0.2">
      <c r="A1215" s="247" t="s">
        <v>25</v>
      </c>
      <c r="B1215" s="104" t="s">
        <v>25</v>
      </c>
      <c r="C1215" s="104" t="s">
        <v>25</v>
      </c>
      <c r="D1215" s="188" t="s">
        <v>25</v>
      </c>
      <c r="E1215" s="189" t="s">
        <v>25</v>
      </c>
      <c r="F1215" s="187" t="s">
        <v>25</v>
      </c>
      <c r="G1215" s="246" t="s">
        <v>31</v>
      </c>
    </row>
    <row r="1216" spans="1:7" ht="15" thickBot="1" x14ac:dyDescent="0.25">
      <c r="A1216" s="248"/>
      <c r="B1216" s="284"/>
      <c r="C1216" s="284"/>
      <c r="D1216" s="284"/>
      <c r="E1216" s="284"/>
      <c r="F1216" s="284"/>
      <c r="G1216" s="250">
        <f>SUM(F1213:F1214)</f>
        <v>0</v>
      </c>
    </row>
    <row r="1217" spans="1:7" ht="15" thickBot="1" x14ac:dyDescent="0.25">
      <c r="A1217" s="1176" t="s">
        <v>1647</v>
      </c>
      <c r="B1217" s="1177"/>
      <c r="C1217" s="1177"/>
      <c r="D1217" s="1177"/>
      <c r="E1217" s="1177"/>
      <c r="F1217" s="1177"/>
      <c r="G1217" s="1178"/>
    </row>
    <row r="1218" spans="1:7" ht="24" x14ac:dyDescent="0.2">
      <c r="A1218" s="254" t="s">
        <v>1681</v>
      </c>
      <c r="B1218" s="190" t="s">
        <v>42</v>
      </c>
      <c r="C1218" s="190" t="s">
        <v>43</v>
      </c>
      <c r="D1218" s="190" t="s">
        <v>44</v>
      </c>
      <c r="E1218" s="190" t="s">
        <v>306</v>
      </c>
      <c r="F1218" s="190" t="s">
        <v>29</v>
      </c>
      <c r="G1218" s="243"/>
    </row>
    <row r="1219" spans="1:7" ht="36" x14ac:dyDescent="0.2">
      <c r="A1219" s="255" t="s">
        <v>1674</v>
      </c>
      <c r="B1219" s="202">
        <f>VLOOKUP(A1219,JORNALES!$A$5:$B$28,2,FALSE)</f>
        <v>215000</v>
      </c>
      <c r="C1219" s="233">
        <f>+PRESTACIONES!$C$20/100</f>
        <v>0.89990000000000014</v>
      </c>
      <c r="D1219" s="234">
        <f>+(B1219*C1219)+B1219</f>
        <v>408478.5</v>
      </c>
      <c r="E1219" s="285">
        <v>55</v>
      </c>
      <c r="F1219" s="199">
        <f>+D1219/E1219</f>
        <v>7426.8818181818178</v>
      </c>
      <c r="G1219" s="246"/>
    </row>
    <row r="1220" spans="1:7" x14ac:dyDescent="0.2">
      <c r="A1220" s="247"/>
      <c r="B1220" s="281"/>
      <c r="C1220" s="281"/>
      <c r="D1220" s="281"/>
      <c r="E1220" s="281"/>
      <c r="F1220" s="281"/>
      <c r="G1220" s="246" t="s">
        <v>31</v>
      </c>
    </row>
    <row r="1221" spans="1:7" x14ac:dyDescent="0.2">
      <c r="A1221" s="247"/>
      <c r="B1221" s="281"/>
      <c r="C1221" s="281"/>
      <c r="D1221" s="281"/>
      <c r="E1221" s="281"/>
      <c r="F1221" s="281"/>
      <c r="G1221" s="256">
        <f>SUM(F1219:F1219)</f>
        <v>7426.8818181818178</v>
      </c>
    </row>
    <row r="1222" spans="1:7" ht="15" thickBot="1" x14ac:dyDescent="0.25">
      <c r="A1222" s="1181" t="s">
        <v>25</v>
      </c>
      <c r="B1222" s="1182"/>
      <c r="C1222" s="1182"/>
      <c r="D1222" s="1182"/>
      <c r="E1222" s="1182"/>
      <c r="F1222" s="1182"/>
      <c r="G1222" s="1183"/>
    </row>
    <row r="1223" spans="1:7" ht="15" thickBot="1" x14ac:dyDescent="0.25">
      <c r="A1223" s="1184" t="s">
        <v>45</v>
      </c>
      <c r="B1223" s="1185"/>
      <c r="C1223" s="1185"/>
      <c r="D1223" s="1185"/>
      <c r="E1223" s="1185"/>
      <c r="F1223" s="192"/>
      <c r="G1223" s="277">
        <f xml:space="preserve"> ROUND(G1221+G1216+G1210+G1204,0)</f>
        <v>23217</v>
      </c>
    </row>
    <row r="1224" spans="1:7" x14ac:dyDescent="0.2">
      <c r="A1224" s="1186" t="s">
        <v>476</v>
      </c>
      <c r="B1224" s="1187"/>
      <c r="C1224" s="1187"/>
      <c r="D1224" s="1187"/>
      <c r="E1224" s="1187"/>
      <c r="F1224" s="193" t="s">
        <v>51</v>
      </c>
      <c r="G1224" s="257" t="s">
        <v>307</v>
      </c>
    </row>
    <row r="1225" spans="1:7" x14ac:dyDescent="0.2">
      <c r="A1225" s="1166" t="s">
        <v>17</v>
      </c>
      <c r="B1225" s="1167"/>
      <c r="C1225" s="1167"/>
      <c r="D1225" s="1167"/>
      <c r="E1225" s="1167"/>
      <c r="F1225" s="240"/>
      <c r="G1225" s="196"/>
    </row>
    <row r="1226" spans="1:7" x14ac:dyDescent="0.2">
      <c r="A1226" s="1166" t="s">
        <v>308</v>
      </c>
      <c r="B1226" s="1167"/>
      <c r="C1226" s="1167"/>
      <c r="D1226" s="1167"/>
      <c r="E1226" s="1167"/>
      <c r="F1226" s="240"/>
      <c r="G1226" s="196"/>
    </row>
    <row r="1227" spans="1:7" x14ac:dyDescent="0.2">
      <c r="A1227" s="1166" t="s">
        <v>19</v>
      </c>
      <c r="B1227" s="1167"/>
      <c r="C1227" s="1167"/>
      <c r="D1227" s="1167"/>
      <c r="E1227" s="1167"/>
      <c r="F1227" s="240"/>
      <c r="G1227" s="196"/>
    </row>
    <row r="1228" spans="1:7" ht="15" thickBot="1" x14ac:dyDescent="0.25">
      <c r="A1228" s="1168" t="s">
        <v>309</v>
      </c>
      <c r="B1228" s="1169"/>
      <c r="C1228" s="1169"/>
      <c r="D1228" s="1169"/>
      <c r="E1228" s="1169"/>
      <c r="F1228" s="198"/>
      <c r="G1228" s="258"/>
    </row>
    <row r="1229" spans="1:7" ht="15" thickBot="1" x14ac:dyDescent="0.25">
      <c r="A1229" s="1170" t="s">
        <v>310</v>
      </c>
      <c r="B1229" s="1171"/>
      <c r="C1229" s="1171"/>
      <c r="D1229" s="1171"/>
      <c r="E1229" s="1171"/>
      <c r="F1229" s="1172"/>
      <c r="G1229" s="1173"/>
    </row>
    <row r="1230" spans="1:7" x14ac:dyDescent="0.2">
      <c r="A1230" s="279"/>
      <c r="B1230" s="280"/>
      <c r="C1230" s="280"/>
      <c r="D1230" s="280"/>
      <c r="E1230" s="280"/>
      <c r="F1230" s="193"/>
      <c r="G1230" s="260"/>
    </row>
    <row r="1231" spans="1:7" ht="15" thickBot="1" x14ac:dyDescent="0.25">
      <c r="A1231" s="261" t="s">
        <v>681</v>
      </c>
      <c r="B1231" s="262"/>
      <c r="C1231" s="262" t="s">
        <v>682</v>
      </c>
      <c r="D1231" s="262"/>
      <c r="E1231" s="262"/>
      <c r="F1231" s="262" t="s">
        <v>683</v>
      </c>
      <c r="G1231" s="263"/>
    </row>
    <row r="1232" spans="1:7" ht="15" thickBot="1" x14ac:dyDescent="0.25">
      <c r="A1232" s="1174" t="str">
        <f>+LIST_ACTIVIDADES!D47</f>
        <v>Pintura interior en vinilo tipo 1 a 2 manos</v>
      </c>
      <c r="B1232" s="1175"/>
      <c r="C1232" s="1175"/>
      <c r="D1232" s="1175"/>
      <c r="E1232" s="1175"/>
      <c r="F1232" s="241" t="s">
        <v>24</v>
      </c>
      <c r="G1232" s="264" t="str">
        <f>+LIST_ACTIVIDADES!E47</f>
        <v>m²</v>
      </c>
    </row>
    <row r="1233" spans="1:7" ht="15" thickBot="1" x14ac:dyDescent="0.25">
      <c r="A1233" s="1176" t="s">
        <v>1642</v>
      </c>
      <c r="B1233" s="1177"/>
      <c r="C1233" s="1177"/>
      <c r="D1233" s="1177"/>
      <c r="E1233" s="1177"/>
      <c r="F1233" s="1177"/>
      <c r="G1233" s="1178"/>
    </row>
    <row r="1234" spans="1:7" x14ac:dyDescent="0.2">
      <c r="A1234" s="242" t="s">
        <v>1643</v>
      </c>
      <c r="B1234" s="191" t="s">
        <v>1644</v>
      </c>
      <c r="C1234" s="190" t="s">
        <v>26</v>
      </c>
      <c r="D1234" s="190" t="s">
        <v>27</v>
      </c>
      <c r="E1234" s="190" t="s">
        <v>28</v>
      </c>
      <c r="F1234" s="190" t="s">
        <v>29</v>
      </c>
      <c r="G1234" s="243"/>
    </row>
    <row r="1235" spans="1:7" ht="24" x14ac:dyDescent="0.2">
      <c r="A1235" s="362" t="str">
        <f>VLOOKUP(B1235,PRECIOS!$A$309:$E$485,2,FALSE)</f>
        <v>EQUIPO166</v>
      </c>
      <c r="B1235" s="363" t="s">
        <v>447</v>
      </c>
      <c r="C1235" s="99" t="str">
        <f>VLOOKUP(B1235,PRECIOS!$A$309:$E$485,3,FALSE)</f>
        <v>Estructura</v>
      </c>
      <c r="D1235" s="364">
        <f>VLOOKUP(B1235,PRECIOS!$A$309:$E$485,5,FALSE)</f>
        <v>125</v>
      </c>
      <c r="E1235" s="365">
        <v>0.5</v>
      </c>
      <c r="F1235" s="366">
        <f>+D1235*E1235</f>
        <v>62.5</v>
      </c>
      <c r="G1235" s="245"/>
    </row>
    <row r="1236" spans="1:7" x14ac:dyDescent="0.2">
      <c r="A1236" s="362" t="str">
        <f>VLOOKUP(B1236,PRECIOS!$A$309:$E$485,2,FALSE)</f>
        <v>EQUIPO169</v>
      </c>
      <c r="B1236" s="363" t="s">
        <v>449</v>
      </c>
      <c r="C1236" s="99" t="str">
        <f>VLOOKUP(B1236,PRECIOS!$A$309:$E$485,3,FALSE)</f>
        <v>Estructura</v>
      </c>
      <c r="D1236" s="364">
        <f>VLOOKUP(B1236,PRECIOS!$A$309:$E$485,5,FALSE)</f>
        <v>1500</v>
      </c>
      <c r="E1236" s="365">
        <v>0.5</v>
      </c>
      <c r="F1236" s="366">
        <f>+D1236*E1236</f>
        <v>750</v>
      </c>
      <c r="G1236" s="245"/>
    </row>
    <row r="1237" spans="1:7" x14ac:dyDescent="0.2">
      <c r="A1237" s="362" t="str">
        <f>VLOOKUP(B1237,PRECIOS!$A$309:$E$485,2,FALSE)</f>
        <v>EQUIPO64</v>
      </c>
      <c r="B1237" s="363" t="s">
        <v>530</v>
      </c>
      <c r="C1237" s="99" t="str">
        <f>VLOOKUP(B1237,PRECIOS!$A$309:$E$485,3,FALSE)</f>
        <v>Estructura</v>
      </c>
      <c r="D1237" s="364">
        <f>VLOOKUP(B1237,PRECIOS!$A$309:$E$485,5,FALSE)</f>
        <v>5633.6309999999994</v>
      </c>
      <c r="E1237" s="365">
        <v>0.3</v>
      </c>
      <c r="F1237" s="366">
        <f>+D1237*E1237</f>
        <v>1690.0892999999999</v>
      </c>
      <c r="G1237" s="245"/>
    </row>
    <row r="1238" spans="1:7" x14ac:dyDescent="0.2">
      <c r="A1238" s="1179" t="s">
        <v>1650</v>
      </c>
      <c r="B1238" s="1180"/>
      <c r="C1238" s="214">
        <v>0.05</v>
      </c>
      <c r="D1238" s="213"/>
      <c r="E1238" s="283"/>
      <c r="F1238" s="212">
        <f>+G1257*C1238</f>
        <v>291.77035714285716</v>
      </c>
      <c r="G1238" s="246"/>
    </row>
    <row r="1239" spans="1:7" x14ac:dyDescent="0.2">
      <c r="A1239" s="247" t="s">
        <v>25</v>
      </c>
      <c r="B1239" s="281"/>
      <c r="C1239" s="281"/>
      <c r="D1239" s="281"/>
      <c r="E1239" s="281"/>
      <c r="F1239" s="281"/>
      <c r="G1239" s="246" t="s">
        <v>31</v>
      </c>
    </row>
    <row r="1240" spans="1:7" ht="15" thickBot="1" x14ac:dyDescent="0.25">
      <c r="A1240" s="248"/>
      <c r="B1240" s="284"/>
      <c r="C1240" s="284"/>
      <c r="D1240" s="284"/>
      <c r="E1240" s="284"/>
      <c r="F1240" s="284"/>
      <c r="G1240" s="249">
        <f>SUM(F1235:F1238)</f>
        <v>2794.359657142857</v>
      </c>
    </row>
    <row r="1241" spans="1:7" ht="15" thickBot="1" x14ac:dyDescent="0.25">
      <c r="A1241" s="1176" t="s">
        <v>1645</v>
      </c>
      <c r="B1241" s="1177"/>
      <c r="C1241" s="1177"/>
      <c r="D1241" s="1177"/>
      <c r="E1241" s="1177"/>
      <c r="F1241" s="1177"/>
      <c r="G1241" s="1178"/>
    </row>
    <row r="1242" spans="1:7" x14ac:dyDescent="0.2">
      <c r="A1242" s="242" t="s">
        <v>1643</v>
      </c>
      <c r="B1242" s="191" t="s">
        <v>1644</v>
      </c>
      <c r="C1242" s="190" t="s">
        <v>32</v>
      </c>
      <c r="D1242" s="190" t="s">
        <v>33</v>
      </c>
      <c r="E1242" s="190" t="s">
        <v>34</v>
      </c>
      <c r="F1242" s="190" t="s">
        <v>35</v>
      </c>
      <c r="G1242" s="243"/>
    </row>
    <row r="1243" spans="1:7" x14ac:dyDescent="0.2">
      <c r="A1243" s="352" t="str">
        <f>VLOOKUP(B1243,PRECIOS!$A$5:$D$303,2,FALSE)</f>
        <v>VARIOS25</v>
      </c>
      <c r="B1243" s="105" t="s">
        <v>207</v>
      </c>
      <c r="C1243" s="99" t="str">
        <f>VLOOKUP(B1243,PRECIOS!$A$5:$D$303,3,FALSE)</f>
        <v>Galón</v>
      </c>
      <c r="D1243" s="371">
        <f>VLOOKUP(B1243,PRECIOS!$A$5:$D$303,4,FALSE)</f>
        <v>92950</v>
      </c>
      <c r="E1243" s="399">
        <v>0.15</v>
      </c>
      <c r="F1243" s="401">
        <f>+D1243*E1243</f>
        <v>13942.5</v>
      </c>
      <c r="G1243" s="370"/>
    </row>
    <row r="1244" spans="1:7" x14ac:dyDescent="0.2">
      <c r="A1244" s="1179" t="s">
        <v>1649</v>
      </c>
      <c r="B1244" s="1180"/>
      <c r="C1244" s="214">
        <v>0.03</v>
      </c>
      <c r="D1244" s="282"/>
      <c r="E1244" s="283"/>
      <c r="F1244" s="276">
        <f>SUM(F1243:F1243)*C1244</f>
        <v>418.27499999999998</v>
      </c>
      <c r="G1244" s="246"/>
    </row>
    <row r="1245" spans="1:7" x14ac:dyDescent="0.2">
      <c r="A1245" s="247"/>
      <c r="B1245" s="281"/>
      <c r="C1245" s="104"/>
      <c r="D1245" s="104"/>
      <c r="E1245" s="104"/>
      <c r="F1245" s="104"/>
      <c r="G1245" s="246" t="s">
        <v>31</v>
      </c>
    </row>
    <row r="1246" spans="1:7" ht="15" thickBot="1" x14ac:dyDescent="0.25">
      <c r="A1246" s="248"/>
      <c r="B1246" s="284"/>
      <c r="C1246" s="284"/>
      <c r="D1246" s="284"/>
      <c r="E1246" s="284"/>
      <c r="F1246" s="284"/>
      <c r="G1246" s="250">
        <f>SUM(F1243:F1244)</f>
        <v>14360.775</v>
      </c>
    </row>
    <row r="1247" spans="1:7" ht="15" thickBot="1" x14ac:dyDescent="0.25">
      <c r="A1247" s="1176" t="s">
        <v>1646</v>
      </c>
      <c r="B1247" s="1177"/>
      <c r="C1247" s="1177"/>
      <c r="D1247" s="1177"/>
      <c r="E1247" s="1177"/>
      <c r="F1247" s="1177"/>
      <c r="G1247" s="1178"/>
    </row>
    <row r="1248" spans="1:7" x14ac:dyDescent="0.2">
      <c r="A1248" s="251" t="s">
        <v>305</v>
      </c>
      <c r="B1248" s="190" t="s">
        <v>38</v>
      </c>
      <c r="C1248" s="190" t="s">
        <v>39</v>
      </c>
      <c r="D1248" s="190" t="s">
        <v>40</v>
      </c>
      <c r="E1248" s="190" t="s">
        <v>34</v>
      </c>
      <c r="F1248" s="190" t="s">
        <v>35</v>
      </c>
      <c r="G1248" s="243"/>
    </row>
    <row r="1249" spans="1:7" x14ac:dyDescent="0.2">
      <c r="A1249" s="369"/>
      <c r="B1249" s="89"/>
      <c r="C1249" s="209"/>
      <c r="D1249" s="199"/>
      <c r="E1249" s="367"/>
      <c r="F1249" s="234"/>
      <c r="G1249" s="253"/>
    </row>
    <row r="1250" spans="1:7" x14ac:dyDescent="0.2">
      <c r="A1250" s="252"/>
      <c r="B1250" s="235"/>
      <c r="C1250" s="238"/>
      <c r="D1250" s="236"/>
      <c r="E1250" s="237"/>
      <c r="F1250" s="239"/>
      <c r="G1250" s="253"/>
    </row>
    <row r="1251" spans="1:7" x14ac:dyDescent="0.2">
      <c r="A1251" s="247" t="s">
        <v>25</v>
      </c>
      <c r="B1251" s="104" t="s">
        <v>25</v>
      </c>
      <c r="C1251" s="104" t="s">
        <v>25</v>
      </c>
      <c r="D1251" s="188" t="s">
        <v>25</v>
      </c>
      <c r="E1251" s="189" t="s">
        <v>25</v>
      </c>
      <c r="F1251" s="187" t="s">
        <v>25</v>
      </c>
      <c r="G1251" s="246" t="s">
        <v>31</v>
      </c>
    </row>
    <row r="1252" spans="1:7" ht="15" thickBot="1" x14ac:dyDescent="0.25">
      <c r="A1252" s="248"/>
      <c r="B1252" s="284"/>
      <c r="C1252" s="284"/>
      <c r="D1252" s="284"/>
      <c r="E1252" s="284"/>
      <c r="F1252" s="284"/>
      <c r="G1252" s="250">
        <f>SUM(F1249:F1250)</f>
        <v>0</v>
      </c>
    </row>
    <row r="1253" spans="1:7" ht="15" thickBot="1" x14ac:dyDescent="0.25">
      <c r="A1253" s="1176" t="s">
        <v>1647</v>
      </c>
      <c r="B1253" s="1177"/>
      <c r="C1253" s="1177"/>
      <c r="D1253" s="1177"/>
      <c r="E1253" s="1177"/>
      <c r="F1253" s="1177"/>
      <c r="G1253" s="1178"/>
    </row>
    <row r="1254" spans="1:7" ht="24" x14ac:dyDescent="0.2">
      <c r="A1254" s="254" t="s">
        <v>1681</v>
      </c>
      <c r="B1254" s="190" t="s">
        <v>42</v>
      </c>
      <c r="C1254" s="190" t="s">
        <v>43</v>
      </c>
      <c r="D1254" s="190" t="s">
        <v>44</v>
      </c>
      <c r="E1254" s="190" t="s">
        <v>306</v>
      </c>
      <c r="F1254" s="190" t="s">
        <v>29</v>
      </c>
      <c r="G1254" s="243"/>
    </row>
    <row r="1255" spans="1:7" ht="36" x14ac:dyDescent="0.2">
      <c r="A1255" s="255" t="s">
        <v>1674</v>
      </c>
      <c r="B1255" s="202">
        <f>VLOOKUP(A1255,JORNALES!$A$5:$B$28,2,FALSE)</f>
        <v>215000</v>
      </c>
      <c r="C1255" s="233">
        <f>+PRESTACIONES!$C$20/100</f>
        <v>0.89990000000000014</v>
      </c>
      <c r="D1255" s="234">
        <f>+(B1255*C1255)+B1255</f>
        <v>408478.5</v>
      </c>
      <c r="E1255" s="285">
        <v>70</v>
      </c>
      <c r="F1255" s="199">
        <f>+D1255/E1255</f>
        <v>5835.4071428571433</v>
      </c>
      <c r="G1255" s="246"/>
    </row>
    <row r="1256" spans="1:7" x14ac:dyDescent="0.2">
      <c r="A1256" s="247"/>
      <c r="B1256" s="281"/>
      <c r="C1256" s="281"/>
      <c r="D1256" s="281"/>
      <c r="E1256" s="281"/>
      <c r="F1256" s="281"/>
      <c r="G1256" s="246" t="s">
        <v>31</v>
      </c>
    </row>
    <row r="1257" spans="1:7" x14ac:dyDescent="0.2">
      <c r="A1257" s="247"/>
      <c r="B1257" s="281"/>
      <c r="C1257" s="281"/>
      <c r="D1257" s="281"/>
      <c r="E1257" s="281"/>
      <c r="F1257" s="281"/>
      <c r="G1257" s="256">
        <f>SUM(F1255:F1255)</f>
        <v>5835.4071428571433</v>
      </c>
    </row>
    <row r="1258" spans="1:7" ht="15" thickBot="1" x14ac:dyDescent="0.25">
      <c r="A1258" s="1181" t="s">
        <v>25</v>
      </c>
      <c r="B1258" s="1182"/>
      <c r="C1258" s="1182"/>
      <c r="D1258" s="1182"/>
      <c r="E1258" s="1182"/>
      <c r="F1258" s="1182"/>
      <c r="G1258" s="1183"/>
    </row>
    <row r="1259" spans="1:7" ht="15" thickBot="1" x14ac:dyDescent="0.25">
      <c r="A1259" s="1184" t="s">
        <v>45</v>
      </c>
      <c r="B1259" s="1185"/>
      <c r="C1259" s="1185"/>
      <c r="D1259" s="1185"/>
      <c r="E1259" s="1185"/>
      <c r="F1259" s="192"/>
      <c r="G1259" s="277">
        <f xml:space="preserve"> ROUND(G1257+G1252+G1246+G1240,0)</f>
        <v>22991</v>
      </c>
    </row>
    <row r="1260" spans="1:7" x14ac:dyDescent="0.2">
      <c r="A1260" s="1186" t="s">
        <v>476</v>
      </c>
      <c r="B1260" s="1187"/>
      <c r="C1260" s="1187"/>
      <c r="D1260" s="1187"/>
      <c r="E1260" s="1187"/>
      <c r="F1260" s="193" t="s">
        <v>51</v>
      </c>
      <c r="G1260" s="257" t="s">
        <v>307</v>
      </c>
    </row>
    <row r="1261" spans="1:7" x14ac:dyDescent="0.2">
      <c r="A1261" s="1166" t="s">
        <v>17</v>
      </c>
      <c r="B1261" s="1167"/>
      <c r="C1261" s="1167"/>
      <c r="D1261" s="1167"/>
      <c r="E1261" s="1167"/>
      <c r="F1261" s="240"/>
      <c r="G1261" s="196"/>
    </row>
    <row r="1262" spans="1:7" x14ac:dyDescent="0.2">
      <c r="A1262" s="1166" t="s">
        <v>308</v>
      </c>
      <c r="B1262" s="1167"/>
      <c r="C1262" s="1167"/>
      <c r="D1262" s="1167"/>
      <c r="E1262" s="1167"/>
      <c r="F1262" s="240"/>
      <c r="G1262" s="196"/>
    </row>
    <row r="1263" spans="1:7" x14ac:dyDescent="0.2">
      <c r="A1263" s="1166" t="s">
        <v>19</v>
      </c>
      <c r="B1263" s="1167"/>
      <c r="C1263" s="1167"/>
      <c r="D1263" s="1167"/>
      <c r="E1263" s="1167"/>
      <c r="F1263" s="240"/>
      <c r="G1263" s="196"/>
    </row>
    <row r="1264" spans="1:7" ht="15" thickBot="1" x14ac:dyDescent="0.25">
      <c r="A1264" s="1168" t="s">
        <v>309</v>
      </c>
      <c r="B1264" s="1169"/>
      <c r="C1264" s="1169"/>
      <c r="D1264" s="1169"/>
      <c r="E1264" s="1169"/>
      <c r="F1264" s="198"/>
      <c r="G1264" s="258"/>
    </row>
    <row r="1265" spans="1:7" ht="15" thickBot="1" x14ac:dyDescent="0.25">
      <c r="A1265" s="1170" t="s">
        <v>310</v>
      </c>
      <c r="B1265" s="1171"/>
      <c r="C1265" s="1171"/>
      <c r="D1265" s="1171"/>
      <c r="E1265" s="1171"/>
      <c r="F1265" s="1172"/>
      <c r="G1265" s="1173"/>
    </row>
    <row r="1266" spans="1:7" x14ac:dyDescent="0.2">
      <c r="A1266" s="279"/>
      <c r="B1266" s="280"/>
      <c r="C1266" s="280"/>
      <c r="D1266" s="280"/>
      <c r="E1266" s="280"/>
      <c r="F1266" s="193"/>
      <c r="G1266" s="260"/>
    </row>
    <row r="1267" spans="1:7" ht="15" thickBot="1" x14ac:dyDescent="0.25">
      <c r="A1267" s="261" t="s">
        <v>681</v>
      </c>
      <c r="B1267" s="262"/>
      <c r="C1267" s="262" t="s">
        <v>682</v>
      </c>
      <c r="D1267" s="262"/>
      <c r="E1267" s="262"/>
      <c r="F1267" s="262" t="s">
        <v>683</v>
      </c>
      <c r="G1267" s="263"/>
    </row>
    <row r="1268" spans="1:7" ht="15" thickBot="1" x14ac:dyDescent="0.25">
      <c r="A1268" s="1174" t="str">
        <f>+LIST_ACTIVIDADES!D48</f>
        <v>Pintura exteriores (koraza o similar)</v>
      </c>
      <c r="B1268" s="1175"/>
      <c r="C1268" s="1175"/>
      <c r="D1268" s="1175"/>
      <c r="E1268" s="1175"/>
      <c r="F1268" s="241" t="s">
        <v>24</v>
      </c>
      <c r="G1268" s="264" t="str">
        <f>+LIST_ACTIVIDADES!E48</f>
        <v>m²</v>
      </c>
    </row>
    <row r="1269" spans="1:7" ht="15" thickBot="1" x14ac:dyDescent="0.25">
      <c r="A1269" s="1176" t="s">
        <v>1642</v>
      </c>
      <c r="B1269" s="1177"/>
      <c r="C1269" s="1177"/>
      <c r="D1269" s="1177"/>
      <c r="E1269" s="1177"/>
      <c r="F1269" s="1177"/>
      <c r="G1269" s="1178"/>
    </row>
    <row r="1270" spans="1:7" x14ac:dyDescent="0.2">
      <c r="A1270" s="242" t="s">
        <v>1643</v>
      </c>
      <c r="B1270" s="191" t="s">
        <v>1644</v>
      </c>
      <c r="C1270" s="190" t="s">
        <v>26</v>
      </c>
      <c r="D1270" s="190" t="s">
        <v>27</v>
      </c>
      <c r="E1270" s="190" t="s">
        <v>28</v>
      </c>
      <c r="F1270" s="190" t="s">
        <v>29</v>
      </c>
      <c r="G1270" s="243"/>
    </row>
    <row r="1271" spans="1:7" ht="24" x14ac:dyDescent="0.2">
      <c r="A1271" s="362" t="str">
        <f>VLOOKUP(B1271,PRECIOS!$A$309:$E$485,2,FALSE)</f>
        <v>EQUIPO166</v>
      </c>
      <c r="B1271" s="363" t="s">
        <v>447</v>
      </c>
      <c r="C1271" s="99" t="str">
        <f>VLOOKUP(B1271,PRECIOS!$A$309:$E$485,3,FALSE)</f>
        <v>Estructura</v>
      </c>
      <c r="D1271" s="364">
        <f>VLOOKUP(B1271,PRECIOS!$A$309:$E$485,5,FALSE)</f>
        <v>125</v>
      </c>
      <c r="E1271" s="365">
        <v>0.5</v>
      </c>
      <c r="F1271" s="366">
        <f>+D1271*E1271</f>
        <v>62.5</v>
      </c>
      <c r="G1271" s="245"/>
    </row>
    <row r="1272" spans="1:7" x14ac:dyDescent="0.2">
      <c r="A1272" s="362" t="str">
        <f>VLOOKUP(B1272,PRECIOS!$A$309:$E$485,2,FALSE)</f>
        <v>EQUIPO169</v>
      </c>
      <c r="B1272" s="363" t="s">
        <v>449</v>
      </c>
      <c r="C1272" s="99" t="str">
        <f>VLOOKUP(B1272,PRECIOS!$A$309:$E$485,3,FALSE)</f>
        <v>Estructura</v>
      </c>
      <c r="D1272" s="364">
        <f>VLOOKUP(B1272,PRECIOS!$A$309:$E$485,5,FALSE)</f>
        <v>1500</v>
      </c>
      <c r="E1272" s="365">
        <v>0.5</v>
      </c>
      <c r="F1272" s="366">
        <f>+D1272*E1272</f>
        <v>750</v>
      </c>
      <c r="G1272" s="245"/>
    </row>
    <row r="1273" spans="1:7" x14ac:dyDescent="0.2">
      <c r="A1273" s="362" t="str">
        <f>VLOOKUP(B1273,PRECIOS!$A$309:$E$485,2,FALSE)</f>
        <v>EQUIPO64</v>
      </c>
      <c r="B1273" s="363" t="s">
        <v>530</v>
      </c>
      <c r="C1273" s="99" t="str">
        <f>VLOOKUP(B1273,PRECIOS!$A$309:$E$485,3,FALSE)</f>
        <v>Estructura</v>
      </c>
      <c r="D1273" s="364">
        <f>VLOOKUP(B1273,PRECIOS!$A$309:$E$485,5,FALSE)</f>
        <v>5633.6309999999994</v>
      </c>
      <c r="E1273" s="365">
        <v>0.3</v>
      </c>
      <c r="F1273" s="366">
        <f>+D1273*E1273</f>
        <v>1690.0892999999999</v>
      </c>
      <c r="G1273" s="245"/>
    </row>
    <row r="1274" spans="1:7" x14ac:dyDescent="0.2">
      <c r="A1274" s="1179" t="s">
        <v>1650</v>
      </c>
      <c r="B1274" s="1180"/>
      <c r="C1274" s="214">
        <v>0.05</v>
      </c>
      <c r="D1274" s="213"/>
      <c r="E1274" s="283"/>
      <c r="F1274" s="212">
        <f>+G1293*C1274</f>
        <v>314.21423076923082</v>
      </c>
      <c r="G1274" s="246"/>
    </row>
    <row r="1275" spans="1:7" x14ac:dyDescent="0.2">
      <c r="A1275" s="247" t="s">
        <v>25</v>
      </c>
      <c r="B1275" s="281"/>
      <c r="C1275" s="281"/>
      <c r="D1275" s="281"/>
      <c r="E1275" s="281"/>
      <c r="F1275" s="281"/>
      <c r="G1275" s="246" t="s">
        <v>31</v>
      </c>
    </row>
    <row r="1276" spans="1:7" ht="15" thickBot="1" x14ac:dyDescent="0.25">
      <c r="A1276" s="248"/>
      <c r="B1276" s="284"/>
      <c r="C1276" s="284"/>
      <c r="D1276" s="284"/>
      <c r="E1276" s="284"/>
      <c r="F1276" s="284"/>
      <c r="G1276" s="249">
        <f>SUM(F1271:F1274)</f>
        <v>2816.8035307692303</v>
      </c>
    </row>
    <row r="1277" spans="1:7" ht="15" thickBot="1" x14ac:dyDescent="0.25">
      <c r="A1277" s="1176" t="s">
        <v>1645</v>
      </c>
      <c r="B1277" s="1177"/>
      <c r="C1277" s="1177"/>
      <c r="D1277" s="1177"/>
      <c r="E1277" s="1177"/>
      <c r="F1277" s="1177"/>
      <c r="G1277" s="1178"/>
    </row>
    <row r="1278" spans="1:7" x14ac:dyDescent="0.2">
      <c r="A1278" s="242" t="s">
        <v>1643</v>
      </c>
      <c r="B1278" s="191" t="s">
        <v>1644</v>
      </c>
      <c r="C1278" s="190" t="s">
        <v>32</v>
      </c>
      <c r="D1278" s="190" t="s">
        <v>33</v>
      </c>
      <c r="E1278" s="190" t="s">
        <v>34</v>
      </c>
      <c r="F1278" s="190" t="s">
        <v>35</v>
      </c>
      <c r="G1278" s="243"/>
    </row>
    <row r="1279" spans="1:7" x14ac:dyDescent="0.2">
      <c r="A1279" s="352" t="str">
        <f>VLOOKUP(B1279,PRECIOS!$A$5:$D$303,2,FALSE)</f>
        <v>VARIOS26</v>
      </c>
      <c r="B1279" s="105" t="s">
        <v>209</v>
      </c>
      <c r="C1279" s="99" t="str">
        <f>VLOOKUP(B1279,PRECIOS!$A$5:$D$303,3,FALSE)</f>
        <v>Galón</v>
      </c>
      <c r="D1279" s="371">
        <f>VLOOKUP(B1279,PRECIOS!$A$5:$D$303,4,FALSE)</f>
        <v>141137.69670000003</v>
      </c>
      <c r="E1279" s="399">
        <v>0.1</v>
      </c>
      <c r="F1279" s="401">
        <f>+D1279*E1279</f>
        <v>14113.769670000003</v>
      </c>
      <c r="G1279" s="370"/>
    </row>
    <row r="1280" spans="1:7" x14ac:dyDescent="0.2">
      <c r="A1280" s="1179" t="s">
        <v>1649</v>
      </c>
      <c r="B1280" s="1180"/>
      <c r="C1280" s="214">
        <v>0.03</v>
      </c>
      <c r="D1280" s="282"/>
      <c r="E1280" s="283"/>
      <c r="F1280" s="276">
        <f>SUM(F1279:F1279)*C1280</f>
        <v>423.41309010000009</v>
      </c>
      <c r="G1280" s="246"/>
    </row>
    <row r="1281" spans="1:7" x14ac:dyDescent="0.2">
      <c r="A1281" s="247"/>
      <c r="B1281" s="281"/>
      <c r="C1281" s="104"/>
      <c r="D1281" s="104"/>
      <c r="E1281" s="104"/>
      <c r="F1281" s="104"/>
      <c r="G1281" s="246" t="s">
        <v>31</v>
      </c>
    </row>
    <row r="1282" spans="1:7" ht="15" thickBot="1" x14ac:dyDescent="0.25">
      <c r="A1282" s="248"/>
      <c r="B1282" s="284"/>
      <c r="C1282" s="284"/>
      <c r="D1282" s="284"/>
      <c r="E1282" s="284"/>
      <c r="F1282" s="284"/>
      <c r="G1282" s="250">
        <f>SUM(F1279:F1280)</f>
        <v>14537.182760100004</v>
      </c>
    </row>
    <row r="1283" spans="1:7" ht="15" thickBot="1" x14ac:dyDescent="0.25">
      <c r="A1283" s="1176" t="s">
        <v>1646</v>
      </c>
      <c r="B1283" s="1177"/>
      <c r="C1283" s="1177"/>
      <c r="D1283" s="1177"/>
      <c r="E1283" s="1177"/>
      <c r="F1283" s="1177"/>
      <c r="G1283" s="1178"/>
    </row>
    <row r="1284" spans="1:7" x14ac:dyDescent="0.2">
      <c r="A1284" s="251" t="s">
        <v>305</v>
      </c>
      <c r="B1284" s="190" t="s">
        <v>38</v>
      </c>
      <c r="C1284" s="190" t="s">
        <v>39</v>
      </c>
      <c r="D1284" s="190" t="s">
        <v>40</v>
      </c>
      <c r="E1284" s="190" t="s">
        <v>34</v>
      </c>
      <c r="F1284" s="190" t="s">
        <v>35</v>
      </c>
      <c r="G1284" s="243"/>
    </row>
    <row r="1285" spans="1:7" x14ac:dyDescent="0.2">
      <c r="A1285" s="369"/>
      <c r="B1285" s="89"/>
      <c r="C1285" s="209"/>
      <c r="D1285" s="199"/>
      <c r="E1285" s="367"/>
      <c r="F1285" s="234"/>
      <c r="G1285" s="253"/>
    </row>
    <row r="1286" spans="1:7" x14ac:dyDescent="0.2">
      <c r="A1286" s="252"/>
      <c r="B1286" s="235"/>
      <c r="C1286" s="238"/>
      <c r="D1286" s="236"/>
      <c r="E1286" s="237"/>
      <c r="F1286" s="239"/>
      <c r="G1286" s="253"/>
    </row>
    <row r="1287" spans="1:7" x14ac:dyDescent="0.2">
      <c r="A1287" s="247" t="s">
        <v>25</v>
      </c>
      <c r="B1287" s="104" t="s">
        <v>25</v>
      </c>
      <c r="C1287" s="104" t="s">
        <v>25</v>
      </c>
      <c r="D1287" s="188" t="s">
        <v>25</v>
      </c>
      <c r="E1287" s="189" t="s">
        <v>25</v>
      </c>
      <c r="F1287" s="187" t="s">
        <v>25</v>
      </c>
      <c r="G1287" s="246" t="s">
        <v>31</v>
      </c>
    </row>
    <row r="1288" spans="1:7" ht="15" thickBot="1" x14ac:dyDescent="0.25">
      <c r="A1288" s="248"/>
      <c r="B1288" s="284"/>
      <c r="C1288" s="284"/>
      <c r="D1288" s="284"/>
      <c r="E1288" s="284"/>
      <c r="F1288" s="284"/>
      <c r="G1288" s="250">
        <f>SUM(F1285:F1286)</f>
        <v>0</v>
      </c>
    </row>
    <row r="1289" spans="1:7" ht="15" thickBot="1" x14ac:dyDescent="0.25">
      <c r="A1289" s="1176" t="s">
        <v>1647</v>
      </c>
      <c r="B1289" s="1177"/>
      <c r="C1289" s="1177"/>
      <c r="D1289" s="1177"/>
      <c r="E1289" s="1177"/>
      <c r="F1289" s="1177"/>
      <c r="G1289" s="1178"/>
    </row>
    <row r="1290" spans="1:7" ht="24" x14ac:dyDescent="0.2">
      <c r="A1290" s="254" t="s">
        <v>1681</v>
      </c>
      <c r="B1290" s="190" t="s">
        <v>42</v>
      </c>
      <c r="C1290" s="190" t="s">
        <v>43</v>
      </c>
      <c r="D1290" s="190" t="s">
        <v>44</v>
      </c>
      <c r="E1290" s="190" t="s">
        <v>306</v>
      </c>
      <c r="F1290" s="190" t="s">
        <v>29</v>
      </c>
      <c r="G1290" s="243"/>
    </row>
    <row r="1291" spans="1:7" ht="36" x14ac:dyDescent="0.2">
      <c r="A1291" s="255" t="s">
        <v>1674</v>
      </c>
      <c r="B1291" s="202">
        <f>VLOOKUP(A1291,JORNALES!$A$5:$B$28,2,FALSE)</f>
        <v>215000</v>
      </c>
      <c r="C1291" s="233">
        <f>+PRESTACIONES!$C$20/100</f>
        <v>0.89990000000000014</v>
      </c>
      <c r="D1291" s="234">
        <f>+(B1291*C1291)+B1291</f>
        <v>408478.5</v>
      </c>
      <c r="E1291" s="285">
        <v>65</v>
      </c>
      <c r="F1291" s="199">
        <f>+D1291/E1291</f>
        <v>6284.2846153846158</v>
      </c>
      <c r="G1291" s="246"/>
    </row>
    <row r="1292" spans="1:7" x14ac:dyDescent="0.2">
      <c r="A1292" s="247"/>
      <c r="B1292" s="281"/>
      <c r="C1292" s="281"/>
      <c r="D1292" s="281"/>
      <c r="E1292" s="281"/>
      <c r="F1292" s="281"/>
      <c r="G1292" s="246" t="s">
        <v>31</v>
      </c>
    </row>
    <row r="1293" spans="1:7" x14ac:dyDescent="0.2">
      <c r="A1293" s="247"/>
      <c r="B1293" s="281"/>
      <c r="C1293" s="281"/>
      <c r="D1293" s="281"/>
      <c r="E1293" s="281"/>
      <c r="F1293" s="281"/>
      <c r="G1293" s="256">
        <f>SUM(F1291:F1291)</f>
        <v>6284.2846153846158</v>
      </c>
    </row>
    <row r="1294" spans="1:7" ht="15" thickBot="1" x14ac:dyDescent="0.25">
      <c r="A1294" s="1181" t="s">
        <v>25</v>
      </c>
      <c r="B1294" s="1182"/>
      <c r="C1294" s="1182"/>
      <c r="D1294" s="1182"/>
      <c r="E1294" s="1182"/>
      <c r="F1294" s="1182"/>
      <c r="G1294" s="1183"/>
    </row>
    <row r="1295" spans="1:7" ht="15" thickBot="1" x14ac:dyDescent="0.25">
      <c r="A1295" s="1184" t="s">
        <v>45</v>
      </c>
      <c r="B1295" s="1185"/>
      <c r="C1295" s="1185"/>
      <c r="D1295" s="1185"/>
      <c r="E1295" s="1185"/>
      <c r="F1295" s="192"/>
      <c r="G1295" s="277">
        <f xml:space="preserve"> ROUND(G1293+G1288+G1282+G1276,0)</f>
        <v>23638</v>
      </c>
    </row>
    <row r="1296" spans="1:7" x14ac:dyDescent="0.2">
      <c r="A1296" s="1186" t="s">
        <v>476</v>
      </c>
      <c r="B1296" s="1187"/>
      <c r="C1296" s="1187"/>
      <c r="D1296" s="1187"/>
      <c r="E1296" s="1187"/>
      <c r="F1296" s="193" t="s">
        <v>51</v>
      </c>
      <c r="G1296" s="257" t="s">
        <v>307</v>
      </c>
    </row>
    <row r="1297" spans="1:7" x14ac:dyDescent="0.2">
      <c r="A1297" s="1166" t="s">
        <v>17</v>
      </c>
      <c r="B1297" s="1167"/>
      <c r="C1297" s="1167"/>
      <c r="D1297" s="1167"/>
      <c r="E1297" s="1167"/>
      <c r="F1297" s="240"/>
      <c r="G1297" s="196"/>
    </row>
    <row r="1298" spans="1:7" x14ac:dyDescent="0.2">
      <c r="A1298" s="1166" t="s">
        <v>308</v>
      </c>
      <c r="B1298" s="1167"/>
      <c r="C1298" s="1167"/>
      <c r="D1298" s="1167"/>
      <c r="E1298" s="1167"/>
      <c r="F1298" s="240"/>
      <c r="G1298" s="196"/>
    </row>
    <row r="1299" spans="1:7" x14ac:dyDescent="0.2">
      <c r="A1299" s="1166" t="s">
        <v>19</v>
      </c>
      <c r="B1299" s="1167"/>
      <c r="C1299" s="1167"/>
      <c r="D1299" s="1167"/>
      <c r="E1299" s="1167"/>
      <c r="F1299" s="240"/>
      <c r="G1299" s="196"/>
    </row>
    <row r="1300" spans="1:7" ht="15" thickBot="1" x14ac:dyDescent="0.25">
      <c r="A1300" s="1168" t="s">
        <v>309</v>
      </c>
      <c r="B1300" s="1169"/>
      <c r="C1300" s="1169"/>
      <c r="D1300" s="1169"/>
      <c r="E1300" s="1169"/>
      <c r="F1300" s="198"/>
      <c r="G1300" s="258"/>
    </row>
    <row r="1301" spans="1:7" ht="15" thickBot="1" x14ac:dyDescent="0.25">
      <c r="A1301" s="1170" t="s">
        <v>310</v>
      </c>
      <c r="B1301" s="1171"/>
      <c r="C1301" s="1171"/>
      <c r="D1301" s="1171"/>
      <c r="E1301" s="1171"/>
      <c r="F1301" s="1172"/>
      <c r="G1301" s="1173"/>
    </row>
    <row r="1302" spans="1:7" x14ac:dyDescent="0.2">
      <c r="A1302" s="279"/>
      <c r="B1302" s="280"/>
      <c r="C1302" s="280"/>
      <c r="D1302" s="280"/>
      <c r="E1302" s="280"/>
      <c r="F1302" s="193"/>
      <c r="G1302" s="260"/>
    </row>
    <row r="1303" spans="1:7" ht="15" thickBot="1" x14ac:dyDescent="0.25">
      <c r="A1303" s="261" t="s">
        <v>681</v>
      </c>
      <c r="B1303" s="262"/>
      <c r="C1303" s="262" t="s">
        <v>682</v>
      </c>
      <c r="D1303" s="262"/>
      <c r="E1303" s="262"/>
      <c r="F1303" s="262" t="s">
        <v>683</v>
      </c>
      <c r="G1303" s="263"/>
    </row>
    <row r="1304" spans="1:7" ht="15" thickBot="1" x14ac:dyDescent="0.25">
      <c r="A1304" s="1174" t="str">
        <f>+LIST_ACTIVIDADES!D50</f>
        <v>Mortero de nivelacion e=0,05m parra pisos</v>
      </c>
      <c r="B1304" s="1175"/>
      <c r="C1304" s="1175"/>
      <c r="D1304" s="1175"/>
      <c r="E1304" s="1175"/>
      <c r="F1304" s="241" t="s">
        <v>24</v>
      </c>
      <c r="G1304" s="264" t="str">
        <f>+LIST_ACTIVIDADES!E50</f>
        <v>m²</v>
      </c>
    </row>
    <row r="1305" spans="1:7" ht="15" thickBot="1" x14ac:dyDescent="0.25">
      <c r="A1305" s="1176" t="s">
        <v>1642</v>
      </c>
      <c r="B1305" s="1177"/>
      <c r="C1305" s="1177"/>
      <c r="D1305" s="1177"/>
      <c r="E1305" s="1177"/>
      <c r="F1305" s="1177"/>
      <c r="G1305" s="1178"/>
    </row>
    <row r="1306" spans="1:7" x14ac:dyDescent="0.2">
      <c r="A1306" s="242" t="s">
        <v>1643</v>
      </c>
      <c r="B1306" s="191" t="s">
        <v>1644</v>
      </c>
      <c r="C1306" s="190" t="s">
        <v>26</v>
      </c>
      <c r="D1306" s="190" t="s">
        <v>27</v>
      </c>
      <c r="E1306" s="190" t="s">
        <v>28</v>
      </c>
      <c r="F1306" s="190" t="s">
        <v>29</v>
      </c>
      <c r="G1306" s="243"/>
    </row>
    <row r="1307" spans="1:7" x14ac:dyDescent="0.2">
      <c r="A1307" s="1179" t="s">
        <v>1650</v>
      </c>
      <c r="B1307" s="1180"/>
      <c r="C1307" s="214">
        <v>0.05</v>
      </c>
      <c r="D1307" s="213"/>
      <c r="E1307" s="407"/>
      <c r="F1307" s="212">
        <f>+G1327*C1307</f>
        <v>255.29906249999999</v>
      </c>
      <c r="G1307" s="246"/>
    </row>
    <row r="1308" spans="1:7" x14ac:dyDescent="0.2">
      <c r="A1308" s="247" t="s">
        <v>25</v>
      </c>
      <c r="B1308" s="405"/>
      <c r="C1308" s="405"/>
      <c r="D1308" s="405"/>
      <c r="E1308" s="405"/>
      <c r="F1308" s="405"/>
      <c r="G1308" s="246" t="s">
        <v>31</v>
      </c>
    </row>
    <row r="1309" spans="1:7" ht="15" thickBot="1" x14ac:dyDescent="0.25">
      <c r="A1309" s="248"/>
      <c r="B1309" s="409"/>
      <c r="C1309" s="409"/>
      <c r="D1309" s="409"/>
      <c r="E1309" s="409"/>
      <c r="F1309" s="409"/>
      <c r="G1309" s="249">
        <f>SUM(F1307:F1307)</f>
        <v>255.29906249999999</v>
      </c>
    </row>
    <row r="1310" spans="1:7" ht="15" thickBot="1" x14ac:dyDescent="0.25">
      <c r="A1310" s="1176" t="s">
        <v>1645</v>
      </c>
      <c r="B1310" s="1177"/>
      <c r="C1310" s="1177"/>
      <c r="D1310" s="1177"/>
      <c r="E1310" s="1177"/>
      <c r="F1310" s="1177"/>
      <c r="G1310" s="1178"/>
    </row>
    <row r="1311" spans="1:7" x14ac:dyDescent="0.2">
      <c r="A1311" s="242" t="s">
        <v>1643</v>
      </c>
      <c r="B1311" s="191" t="s">
        <v>1644</v>
      </c>
      <c r="C1311" s="190" t="s">
        <v>32</v>
      </c>
      <c r="D1311" s="190" t="s">
        <v>33</v>
      </c>
      <c r="E1311" s="190" t="s">
        <v>34</v>
      </c>
      <c r="F1311" s="190" t="s">
        <v>35</v>
      </c>
      <c r="G1311" s="243"/>
    </row>
    <row r="1312" spans="1:7" x14ac:dyDescent="0.2">
      <c r="A1312" s="247"/>
      <c r="B1312" s="216" t="str">
        <f>+LIST_APUS_AUX!$A$166</f>
        <v>Mortero de 1:4</v>
      </c>
      <c r="C1312" s="373" t="str">
        <f>+LIST_APUS_AUX!$G$166</f>
        <v>m³</v>
      </c>
      <c r="D1312" s="429">
        <f>+LIST_APUS_AUX!G193</f>
        <v>718563</v>
      </c>
      <c r="E1312" s="104">
        <v>0.04</v>
      </c>
      <c r="F1312" s="361">
        <f>+D1312*E1312</f>
        <v>28742.52</v>
      </c>
      <c r="G1312" s="370"/>
    </row>
    <row r="1313" spans="1:7" x14ac:dyDescent="0.2">
      <c r="A1313" s="425"/>
      <c r="B1313" s="410"/>
      <c r="C1313" s="426"/>
      <c r="D1313" s="427"/>
      <c r="E1313" s="428"/>
      <c r="F1313" s="401"/>
      <c r="G1313" s="370"/>
    </row>
    <row r="1314" spans="1:7" x14ac:dyDescent="0.2">
      <c r="A1314" s="1179" t="s">
        <v>1649</v>
      </c>
      <c r="B1314" s="1180"/>
      <c r="C1314" s="214">
        <v>0.03</v>
      </c>
      <c r="D1314" s="406"/>
      <c r="E1314" s="407"/>
      <c r="F1314" s="276">
        <f>SUM(F1312:F1312)*C1314</f>
        <v>862.27559999999994</v>
      </c>
      <c r="G1314" s="246"/>
    </row>
    <row r="1315" spans="1:7" x14ac:dyDescent="0.2">
      <c r="A1315" s="247"/>
      <c r="B1315" s="405"/>
      <c r="C1315" s="104"/>
      <c r="D1315" s="104"/>
      <c r="E1315" s="104"/>
      <c r="F1315" s="104"/>
      <c r="G1315" s="246" t="s">
        <v>31</v>
      </c>
    </row>
    <row r="1316" spans="1:7" ht="15" thickBot="1" x14ac:dyDescent="0.25">
      <c r="A1316" s="248"/>
      <c r="B1316" s="409"/>
      <c r="C1316" s="409"/>
      <c r="D1316" s="409"/>
      <c r="E1316" s="409"/>
      <c r="F1316" s="409"/>
      <c r="G1316" s="250">
        <f>SUM(F1312:F1314)</f>
        <v>29604.795600000001</v>
      </c>
    </row>
    <row r="1317" spans="1:7" ht="15" thickBot="1" x14ac:dyDescent="0.25">
      <c r="A1317" s="1176" t="s">
        <v>1646</v>
      </c>
      <c r="B1317" s="1177"/>
      <c r="C1317" s="1177"/>
      <c r="D1317" s="1177"/>
      <c r="E1317" s="1177"/>
      <c r="F1317" s="1177"/>
      <c r="G1317" s="1178"/>
    </row>
    <row r="1318" spans="1:7" x14ac:dyDescent="0.2">
      <c r="A1318" s="251" t="s">
        <v>305</v>
      </c>
      <c r="B1318" s="190" t="s">
        <v>38</v>
      </c>
      <c r="C1318" s="190" t="s">
        <v>39</v>
      </c>
      <c r="D1318" s="190" t="s">
        <v>40</v>
      </c>
      <c r="E1318" s="190" t="s">
        <v>34</v>
      </c>
      <c r="F1318" s="190" t="s">
        <v>35</v>
      </c>
      <c r="G1318" s="243"/>
    </row>
    <row r="1319" spans="1:7" x14ac:dyDescent="0.2">
      <c r="A1319" s="369"/>
      <c r="B1319" s="89"/>
      <c r="C1319" s="209"/>
      <c r="D1319" s="199"/>
      <c r="E1319" s="367"/>
      <c r="F1319" s="234"/>
      <c r="G1319" s="253"/>
    </row>
    <row r="1320" spans="1:7" x14ac:dyDescent="0.2">
      <c r="A1320" s="252"/>
      <c r="B1320" s="235"/>
      <c r="C1320" s="238"/>
      <c r="D1320" s="236"/>
      <c r="E1320" s="237"/>
      <c r="F1320" s="239"/>
      <c r="G1320" s="253"/>
    </row>
    <row r="1321" spans="1:7" x14ac:dyDescent="0.2">
      <c r="A1321" s="247" t="s">
        <v>25</v>
      </c>
      <c r="B1321" s="104" t="s">
        <v>25</v>
      </c>
      <c r="C1321" s="104" t="s">
        <v>25</v>
      </c>
      <c r="D1321" s="188" t="s">
        <v>25</v>
      </c>
      <c r="E1321" s="189" t="s">
        <v>25</v>
      </c>
      <c r="F1321" s="187" t="s">
        <v>25</v>
      </c>
      <c r="G1321" s="246" t="s">
        <v>31</v>
      </c>
    </row>
    <row r="1322" spans="1:7" ht="15" thickBot="1" x14ac:dyDescent="0.25">
      <c r="A1322" s="248"/>
      <c r="B1322" s="409"/>
      <c r="C1322" s="409"/>
      <c r="D1322" s="409"/>
      <c r="E1322" s="409"/>
      <c r="F1322" s="409"/>
      <c r="G1322" s="250">
        <f>SUM(F1319:F1320)</f>
        <v>0</v>
      </c>
    </row>
    <row r="1323" spans="1:7" ht="15" thickBot="1" x14ac:dyDescent="0.25">
      <c r="A1323" s="1176" t="s">
        <v>1647</v>
      </c>
      <c r="B1323" s="1177"/>
      <c r="C1323" s="1177"/>
      <c r="D1323" s="1177"/>
      <c r="E1323" s="1177"/>
      <c r="F1323" s="1177"/>
      <c r="G1323" s="1178"/>
    </row>
    <row r="1324" spans="1:7" ht="24" x14ac:dyDescent="0.2">
      <c r="A1324" s="254" t="s">
        <v>1681</v>
      </c>
      <c r="B1324" s="190" t="s">
        <v>42</v>
      </c>
      <c r="C1324" s="190" t="s">
        <v>43</v>
      </c>
      <c r="D1324" s="190" t="s">
        <v>44</v>
      </c>
      <c r="E1324" s="190" t="s">
        <v>306</v>
      </c>
      <c r="F1324" s="190" t="s">
        <v>29</v>
      </c>
      <c r="G1324" s="243"/>
    </row>
    <row r="1325" spans="1:7" ht="36" x14ac:dyDescent="0.2">
      <c r="A1325" s="255" t="s">
        <v>1674</v>
      </c>
      <c r="B1325" s="202">
        <f>VLOOKUP(A1325,JORNALES!$A$5:$B$28,2,FALSE)</f>
        <v>215000</v>
      </c>
      <c r="C1325" s="233">
        <f>+PRESTACIONES!$C$20/100</f>
        <v>0.89990000000000014</v>
      </c>
      <c r="D1325" s="234">
        <f>+(B1325*C1325)+B1325</f>
        <v>408478.5</v>
      </c>
      <c r="E1325" s="408">
        <v>80</v>
      </c>
      <c r="F1325" s="199">
        <f>+D1325/E1325</f>
        <v>5105.9812499999998</v>
      </c>
      <c r="G1325" s="246"/>
    </row>
    <row r="1326" spans="1:7" x14ac:dyDescent="0.2">
      <c r="A1326" s="247"/>
      <c r="B1326" s="405"/>
      <c r="C1326" s="405"/>
      <c r="D1326" s="405"/>
      <c r="E1326" s="405"/>
      <c r="F1326" s="405"/>
      <c r="G1326" s="246" t="s">
        <v>31</v>
      </c>
    </row>
    <row r="1327" spans="1:7" x14ac:dyDescent="0.2">
      <c r="A1327" s="247"/>
      <c r="B1327" s="405"/>
      <c r="C1327" s="405"/>
      <c r="D1327" s="405"/>
      <c r="E1327" s="405"/>
      <c r="F1327" s="405"/>
      <c r="G1327" s="256">
        <f>SUM(F1325:F1325)</f>
        <v>5105.9812499999998</v>
      </c>
    </row>
    <row r="1328" spans="1:7" ht="15" thickBot="1" x14ac:dyDescent="0.25">
      <c r="A1328" s="1181" t="s">
        <v>25</v>
      </c>
      <c r="B1328" s="1182"/>
      <c r="C1328" s="1182"/>
      <c r="D1328" s="1182"/>
      <c r="E1328" s="1182"/>
      <c r="F1328" s="1182"/>
      <c r="G1328" s="1183"/>
    </row>
    <row r="1329" spans="1:7" ht="15" thickBot="1" x14ac:dyDescent="0.25">
      <c r="A1329" s="1184" t="s">
        <v>45</v>
      </c>
      <c r="B1329" s="1185"/>
      <c r="C1329" s="1185"/>
      <c r="D1329" s="1185"/>
      <c r="E1329" s="1185"/>
      <c r="F1329" s="192"/>
      <c r="G1329" s="277">
        <f xml:space="preserve"> ROUND(G1327+G1322+G1316+G1309,0)</f>
        <v>34966</v>
      </c>
    </row>
    <row r="1330" spans="1:7" x14ac:dyDescent="0.2">
      <c r="A1330" s="1186" t="s">
        <v>476</v>
      </c>
      <c r="B1330" s="1187"/>
      <c r="C1330" s="1187"/>
      <c r="D1330" s="1187"/>
      <c r="E1330" s="1187"/>
      <c r="F1330" s="193" t="s">
        <v>51</v>
      </c>
      <c r="G1330" s="257" t="s">
        <v>307</v>
      </c>
    </row>
    <row r="1331" spans="1:7" x14ac:dyDescent="0.2">
      <c r="A1331" s="1166" t="s">
        <v>17</v>
      </c>
      <c r="B1331" s="1167"/>
      <c r="C1331" s="1167"/>
      <c r="D1331" s="1167"/>
      <c r="E1331" s="1167"/>
      <c r="F1331" s="240"/>
      <c r="G1331" s="196"/>
    </row>
    <row r="1332" spans="1:7" x14ac:dyDescent="0.2">
      <c r="A1332" s="1166" t="s">
        <v>308</v>
      </c>
      <c r="B1332" s="1167"/>
      <c r="C1332" s="1167"/>
      <c r="D1332" s="1167"/>
      <c r="E1332" s="1167"/>
      <c r="F1332" s="240"/>
      <c r="G1332" s="196"/>
    </row>
    <row r="1333" spans="1:7" x14ac:dyDescent="0.2">
      <c r="A1333" s="1166" t="s">
        <v>19</v>
      </c>
      <c r="B1333" s="1167"/>
      <c r="C1333" s="1167"/>
      <c r="D1333" s="1167"/>
      <c r="E1333" s="1167"/>
      <c r="F1333" s="240"/>
      <c r="G1333" s="196"/>
    </row>
    <row r="1334" spans="1:7" ht="15" thickBot="1" x14ac:dyDescent="0.25">
      <c r="A1334" s="1168" t="s">
        <v>309</v>
      </c>
      <c r="B1334" s="1169"/>
      <c r="C1334" s="1169"/>
      <c r="D1334" s="1169"/>
      <c r="E1334" s="1169"/>
      <c r="F1334" s="198"/>
      <c r="G1334" s="258"/>
    </row>
    <row r="1335" spans="1:7" ht="15" thickBot="1" x14ac:dyDescent="0.25">
      <c r="A1335" s="1170" t="s">
        <v>310</v>
      </c>
      <c r="B1335" s="1171"/>
      <c r="C1335" s="1171"/>
      <c r="D1335" s="1171"/>
      <c r="E1335" s="1171"/>
      <c r="F1335" s="1172"/>
      <c r="G1335" s="1173"/>
    </row>
    <row r="1336" spans="1:7" x14ac:dyDescent="0.2">
      <c r="A1336" s="402"/>
      <c r="B1336" s="403"/>
      <c r="C1336" s="403"/>
      <c r="D1336" s="403"/>
      <c r="E1336" s="403"/>
      <c r="F1336" s="193"/>
      <c r="G1336" s="260"/>
    </row>
    <row r="1337" spans="1:7" ht="15" thickBot="1" x14ac:dyDescent="0.25">
      <c r="A1337" s="261" t="s">
        <v>681</v>
      </c>
      <c r="B1337" s="262"/>
      <c r="C1337" s="262" t="s">
        <v>682</v>
      </c>
      <c r="D1337" s="262"/>
      <c r="E1337" s="262"/>
      <c r="F1337" s="262" t="s">
        <v>683</v>
      </c>
      <c r="G1337" s="263"/>
    </row>
    <row r="1338" spans="1:7" ht="15" thickBot="1" x14ac:dyDescent="0.25">
      <c r="A1338" s="1174" t="str">
        <f>+LIST_ACTIVIDADES!D51</f>
        <v xml:space="preserve">Placa de contrapiso en concreto de 30000psi, e = 0.10m </v>
      </c>
      <c r="B1338" s="1175"/>
      <c r="C1338" s="1175"/>
      <c r="D1338" s="1175"/>
      <c r="E1338" s="1175"/>
      <c r="F1338" s="241" t="s">
        <v>24</v>
      </c>
      <c r="G1338" s="264" t="str">
        <f>+LIST_ACTIVIDADES!E51</f>
        <v>m²</v>
      </c>
    </row>
    <row r="1339" spans="1:7" ht="15" thickBot="1" x14ac:dyDescent="0.25">
      <c r="A1339" s="1176" t="s">
        <v>1642</v>
      </c>
      <c r="B1339" s="1177"/>
      <c r="C1339" s="1177"/>
      <c r="D1339" s="1177"/>
      <c r="E1339" s="1177"/>
      <c r="F1339" s="1177"/>
      <c r="G1339" s="1178"/>
    </row>
    <row r="1340" spans="1:7" x14ac:dyDescent="0.2">
      <c r="A1340" s="242" t="s">
        <v>1643</v>
      </c>
      <c r="B1340" s="191" t="s">
        <v>1644</v>
      </c>
      <c r="C1340" s="190" t="s">
        <v>26</v>
      </c>
      <c r="D1340" s="190" t="s">
        <v>27</v>
      </c>
      <c r="E1340" s="190" t="s">
        <v>28</v>
      </c>
      <c r="F1340" s="190" t="s">
        <v>29</v>
      </c>
      <c r="G1340" s="243"/>
    </row>
    <row r="1341" spans="1:7" ht="24" x14ac:dyDescent="0.2">
      <c r="A1341" s="362" t="str">
        <f>VLOOKUP(B1341,PRECIOS!$A$309:$E$485,2,FALSE)</f>
        <v>EQUIPO142</v>
      </c>
      <c r="B1341" s="363" t="s">
        <v>621</v>
      </c>
      <c r="C1341" s="99" t="str">
        <f>VLOOKUP(B1341,PRECIOS!$A$309:$E$485,3,FALSE)</f>
        <v>Electrica</v>
      </c>
      <c r="D1341" s="364">
        <f>VLOOKUP(B1341,PRECIOS!$A$309:$E$485,5,FALSE)</f>
        <v>9306.9869999999992</v>
      </c>
      <c r="E1341" s="365">
        <v>0.08</v>
      </c>
      <c r="F1341" s="366">
        <f>+D1341*E1341</f>
        <v>744.55895999999996</v>
      </c>
      <c r="G1341" s="245"/>
    </row>
    <row r="1342" spans="1:7" x14ac:dyDescent="0.2">
      <c r="A1342" s="1179" t="s">
        <v>1650</v>
      </c>
      <c r="B1342" s="1180"/>
      <c r="C1342" s="214">
        <v>0.05</v>
      </c>
      <c r="D1342" s="213"/>
      <c r="E1342" s="418"/>
      <c r="F1342" s="212">
        <f>+G1361*C1342</f>
        <v>350.29406250000005</v>
      </c>
      <c r="G1342" s="246"/>
    </row>
    <row r="1343" spans="1:7" x14ac:dyDescent="0.2">
      <c r="A1343" s="247" t="s">
        <v>25</v>
      </c>
      <c r="B1343" s="416"/>
      <c r="C1343" s="416"/>
      <c r="D1343" s="416"/>
      <c r="E1343" s="416"/>
      <c r="F1343" s="416"/>
      <c r="G1343" s="246" t="s">
        <v>31</v>
      </c>
    </row>
    <row r="1344" spans="1:7" ht="15" thickBot="1" x14ac:dyDescent="0.25">
      <c r="A1344" s="248"/>
      <c r="B1344" s="420"/>
      <c r="C1344" s="420"/>
      <c r="D1344" s="420"/>
      <c r="E1344" s="420"/>
      <c r="F1344" s="420"/>
      <c r="G1344" s="249">
        <f>SUM(F1341:F1342)</f>
        <v>1094.8530225</v>
      </c>
    </row>
    <row r="1345" spans="1:7" ht="15" thickBot="1" x14ac:dyDescent="0.25">
      <c r="A1345" s="1176" t="s">
        <v>1645</v>
      </c>
      <c r="B1345" s="1177"/>
      <c r="C1345" s="1177"/>
      <c r="D1345" s="1177"/>
      <c r="E1345" s="1177"/>
      <c r="F1345" s="1177"/>
      <c r="G1345" s="1178"/>
    </row>
    <row r="1346" spans="1:7" x14ac:dyDescent="0.2">
      <c r="A1346" s="242" t="s">
        <v>1643</v>
      </c>
      <c r="B1346" s="191" t="s">
        <v>1644</v>
      </c>
      <c r="C1346" s="190" t="s">
        <v>32</v>
      </c>
      <c r="D1346" s="190" t="s">
        <v>33</v>
      </c>
      <c r="E1346" s="190" t="s">
        <v>34</v>
      </c>
      <c r="F1346" s="190" t="s">
        <v>35</v>
      </c>
      <c r="G1346" s="243"/>
    </row>
    <row r="1347" spans="1:7" x14ac:dyDescent="0.2">
      <c r="A1347" s="247"/>
      <c r="B1347" s="216" t="str">
        <f>+LIST_APUS_AUX!$A$92</f>
        <v>Concreto de 3000 PSI</v>
      </c>
      <c r="C1347" s="373" t="str">
        <f>+LIST_APUS_AUX!G92</f>
        <v>m³</v>
      </c>
      <c r="D1347" s="361">
        <f>+LIST_APUS_AUX!$G$120</f>
        <v>841990</v>
      </c>
      <c r="E1347" s="104">
        <v>7.0000000000000007E-2</v>
      </c>
      <c r="F1347" s="400">
        <f>+D1347*E1347</f>
        <v>58939.3</v>
      </c>
      <c r="G1347" s="370"/>
    </row>
    <row r="1348" spans="1:7" x14ac:dyDescent="0.2">
      <c r="A1348" s="1179" t="s">
        <v>1649</v>
      </c>
      <c r="B1348" s="1180"/>
      <c r="C1348" s="214">
        <v>0.03</v>
      </c>
      <c r="D1348" s="417"/>
      <c r="E1348" s="418"/>
      <c r="F1348" s="276">
        <f>SUM(F1347:F1347)*C1348</f>
        <v>1768.1790000000001</v>
      </c>
      <c r="G1348" s="246"/>
    </row>
    <row r="1349" spans="1:7" x14ac:dyDescent="0.2">
      <c r="A1349" s="247"/>
      <c r="B1349" s="416"/>
      <c r="C1349" s="104"/>
      <c r="D1349" s="104"/>
      <c r="E1349" s="104"/>
      <c r="F1349" s="104"/>
      <c r="G1349" s="246" t="s">
        <v>31</v>
      </c>
    </row>
    <row r="1350" spans="1:7" ht="15" thickBot="1" x14ac:dyDescent="0.25">
      <c r="A1350" s="248"/>
      <c r="B1350" s="420"/>
      <c r="C1350" s="420"/>
      <c r="D1350" s="420"/>
      <c r="E1350" s="420"/>
      <c r="F1350" s="420"/>
      <c r="G1350" s="250">
        <f>SUM(F1347:F1348)</f>
        <v>60707.479000000007</v>
      </c>
    </row>
    <row r="1351" spans="1:7" ht="15" thickBot="1" x14ac:dyDescent="0.25">
      <c r="A1351" s="1176" t="s">
        <v>1646</v>
      </c>
      <c r="B1351" s="1177"/>
      <c r="C1351" s="1177"/>
      <c r="D1351" s="1177"/>
      <c r="E1351" s="1177"/>
      <c r="F1351" s="1177"/>
      <c r="G1351" s="1178"/>
    </row>
    <row r="1352" spans="1:7" x14ac:dyDescent="0.2">
      <c r="A1352" s="251" t="s">
        <v>305</v>
      </c>
      <c r="B1352" s="190" t="s">
        <v>38</v>
      </c>
      <c r="C1352" s="190" t="s">
        <v>39</v>
      </c>
      <c r="D1352" s="190" t="s">
        <v>40</v>
      </c>
      <c r="E1352" s="190" t="s">
        <v>34</v>
      </c>
      <c r="F1352" s="190" t="s">
        <v>35</v>
      </c>
      <c r="G1352" s="243"/>
    </row>
    <row r="1353" spans="1:7" x14ac:dyDescent="0.2">
      <c r="A1353" s="369"/>
      <c r="B1353" s="89"/>
      <c r="C1353" s="209"/>
      <c r="D1353" s="199"/>
      <c r="E1353" s="367"/>
      <c r="F1353" s="234"/>
      <c r="G1353" s="253"/>
    </row>
    <row r="1354" spans="1:7" x14ac:dyDescent="0.2">
      <c r="A1354" s="252"/>
      <c r="B1354" s="235"/>
      <c r="C1354" s="238"/>
      <c r="D1354" s="236"/>
      <c r="E1354" s="237"/>
      <c r="F1354" s="239"/>
      <c r="G1354" s="253"/>
    </row>
    <row r="1355" spans="1:7" x14ac:dyDescent="0.2">
      <c r="A1355" s="247" t="s">
        <v>25</v>
      </c>
      <c r="B1355" s="104" t="s">
        <v>25</v>
      </c>
      <c r="C1355" s="104" t="s">
        <v>25</v>
      </c>
      <c r="D1355" s="188" t="s">
        <v>25</v>
      </c>
      <c r="E1355" s="189" t="s">
        <v>25</v>
      </c>
      <c r="F1355" s="187" t="s">
        <v>25</v>
      </c>
      <c r="G1355" s="246" t="s">
        <v>31</v>
      </c>
    </row>
    <row r="1356" spans="1:7" ht="15" thickBot="1" x14ac:dyDescent="0.25">
      <c r="A1356" s="248"/>
      <c r="B1356" s="420"/>
      <c r="C1356" s="420"/>
      <c r="D1356" s="420"/>
      <c r="E1356" s="420"/>
      <c r="F1356" s="420"/>
      <c r="G1356" s="250">
        <f>SUM(F1353:F1354)</f>
        <v>0</v>
      </c>
    </row>
    <row r="1357" spans="1:7" ht="15" thickBot="1" x14ac:dyDescent="0.25">
      <c r="A1357" s="1176" t="s">
        <v>1647</v>
      </c>
      <c r="B1357" s="1177"/>
      <c r="C1357" s="1177"/>
      <c r="D1357" s="1177"/>
      <c r="E1357" s="1177"/>
      <c r="F1357" s="1177"/>
      <c r="G1357" s="1178"/>
    </row>
    <row r="1358" spans="1:7" ht="24" x14ac:dyDescent="0.2">
      <c r="A1358" s="254" t="s">
        <v>1681</v>
      </c>
      <c r="B1358" s="190" t="s">
        <v>42</v>
      </c>
      <c r="C1358" s="190" t="s">
        <v>43</v>
      </c>
      <c r="D1358" s="190" t="s">
        <v>44</v>
      </c>
      <c r="E1358" s="190" t="s">
        <v>306</v>
      </c>
      <c r="F1358" s="190" t="s">
        <v>29</v>
      </c>
      <c r="G1358" s="243"/>
    </row>
    <row r="1359" spans="1:7" ht="36" x14ac:dyDescent="0.2">
      <c r="A1359" s="255" t="s">
        <v>1676</v>
      </c>
      <c r="B1359" s="202">
        <f>VLOOKUP(A1359,JORNALES!$A$5:$B$28,2,FALSE)</f>
        <v>295000</v>
      </c>
      <c r="C1359" s="233">
        <f>+PRESTACIONES!$C$20/100</f>
        <v>0.89990000000000014</v>
      </c>
      <c r="D1359" s="234">
        <f>+(B1359*C1359)+B1359</f>
        <v>560470.5</v>
      </c>
      <c r="E1359" s="421">
        <v>80</v>
      </c>
      <c r="F1359" s="199">
        <f>+D1359/E1359</f>
        <v>7005.8812500000004</v>
      </c>
      <c r="G1359" s="246"/>
    </row>
    <row r="1360" spans="1:7" x14ac:dyDescent="0.2">
      <c r="A1360" s="247"/>
      <c r="B1360" s="416"/>
      <c r="C1360" s="416"/>
      <c r="D1360" s="416"/>
      <c r="E1360" s="416"/>
      <c r="F1360" s="416"/>
      <c r="G1360" s="246" t="s">
        <v>31</v>
      </c>
    </row>
    <row r="1361" spans="1:7" x14ac:dyDescent="0.2">
      <c r="A1361" s="247"/>
      <c r="B1361" s="416"/>
      <c r="C1361" s="416"/>
      <c r="D1361" s="416"/>
      <c r="E1361" s="416"/>
      <c r="F1361" s="416"/>
      <c r="G1361" s="256">
        <f>SUM(F1359:F1359)</f>
        <v>7005.8812500000004</v>
      </c>
    </row>
    <row r="1362" spans="1:7" ht="15" thickBot="1" x14ac:dyDescent="0.25">
      <c r="A1362" s="1181" t="s">
        <v>25</v>
      </c>
      <c r="B1362" s="1182"/>
      <c r="C1362" s="1182"/>
      <c r="D1362" s="1182"/>
      <c r="E1362" s="1182"/>
      <c r="F1362" s="1182"/>
      <c r="G1362" s="1183"/>
    </row>
    <row r="1363" spans="1:7" ht="15" thickBot="1" x14ac:dyDescent="0.25">
      <c r="A1363" s="1184" t="s">
        <v>45</v>
      </c>
      <c r="B1363" s="1185"/>
      <c r="C1363" s="1185"/>
      <c r="D1363" s="1185"/>
      <c r="E1363" s="1185"/>
      <c r="F1363" s="192"/>
      <c r="G1363" s="277">
        <f xml:space="preserve"> ROUND(G1361+G1356+G1350+G1344,0)</f>
        <v>68808</v>
      </c>
    </row>
    <row r="1364" spans="1:7" x14ac:dyDescent="0.2">
      <c r="A1364" s="1186" t="s">
        <v>476</v>
      </c>
      <c r="B1364" s="1187"/>
      <c r="C1364" s="1187"/>
      <c r="D1364" s="1187"/>
      <c r="E1364" s="1187"/>
      <c r="F1364" s="193" t="s">
        <v>51</v>
      </c>
      <c r="G1364" s="257" t="s">
        <v>307</v>
      </c>
    </row>
    <row r="1365" spans="1:7" x14ac:dyDescent="0.2">
      <c r="A1365" s="1166" t="s">
        <v>17</v>
      </c>
      <c r="B1365" s="1167"/>
      <c r="C1365" s="1167"/>
      <c r="D1365" s="1167"/>
      <c r="E1365" s="1167"/>
      <c r="F1365" s="240"/>
      <c r="G1365" s="196"/>
    </row>
    <row r="1366" spans="1:7" x14ac:dyDescent="0.2">
      <c r="A1366" s="1166" t="s">
        <v>308</v>
      </c>
      <c r="B1366" s="1167"/>
      <c r="C1366" s="1167"/>
      <c r="D1366" s="1167"/>
      <c r="E1366" s="1167"/>
      <c r="F1366" s="240"/>
      <c r="G1366" s="196"/>
    </row>
    <row r="1367" spans="1:7" x14ac:dyDescent="0.2">
      <c r="A1367" s="1166" t="s">
        <v>19</v>
      </c>
      <c r="B1367" s="1167"/>
      <c r="C1367" s="1167"/>
      <c r="D1367" s="1167"/>
      <c r="E1367" s="1167"/>
      <c r="F1367" s="240"/>
      <c r="G1367" s="196"/>
    </row>
    <row r="1368" spans="1:7" ht="15" thickBot="1" x14ac:dyDescent="0.25">
      <c r="A1368" s="1168" t="s">
        <v>309</v>
      </c>
      <c r="B1368" s="1169"/>
      <c r="C1368" s="1169"/>
      <c r="D1368" s="1169"/>
      <c r="E1368" s="1169"/>
      <c r="F1368" s="198"/>
      <c r="G1368" s="258"/>
    </row>
    <row r="1369" spans="1:7" ht="15" thickBot="1" x14ac:dyDescent="0.25">
      <c r="A1369" s="1170" t="s">
        <v>310</v>
      </c>
      <c r="B1369" s="1171"/>
      <c r="C1369" s="1171"/>
      <c r="D1369" s="1171"/>
      <c r="E1369" s="1171"/>
      <c r="F1369" s="1172"/>
      <c r="G1369" s="1173"/>
    </row>
    <row r="1370" spans="1:7" x14ac:dyDescent="0.2">
      <c r="A1370" s="413"/>
      <c r="B1370" s="414"/>
      <c r="C1370" s="414"/>
      <c r="D1370" s="414"/>
      <c r="E1370" s="414"/>
      <c r="F1370" s="193"/>
      <c r="G1370" s="260"/>
    </row>
    <row r="1371" spans="1:7" ht="15" thickBot="1" x14ac:dyDescent="0.25">
      <c r="A1371" s="261" t="s">
        <v>681</v>
      </c>
      <c r="B1371" s="262"/>
      <c r="C1371" s="262" t="s">
        <v>682</v>
      </c>
      <c r="D1371" s="262"/>
      <c r="E1371" s="262"/>
      <c r="F1371" s="262" t="s">
        <v>683</v>
      </c>
      <c r="G1371" s="263"/>
    </row>
    <row r="1372" spans="1:7" ht="15" thickBot="1" x14ac:dyDescent="0.25">
      <c r="A1372" s="1174" t="str">
        <f>+LIST_ACTIVIDADES!D52</f>
        <v>Piso en baldosa trafico pesado (granito)</v>
      </c>
      <c r="B1372" s="1175"/>
      <c r="C1372" s="1175"/>
      <c r="D1372" s="1175"/>
      <c r="E1372" s="1175"/>
      <c r="F1372" s="241" t="s">
        <v>24</v>
      </c>
      <c r="G1372" s="264" t="str">
        <f>+LIST_ACTIVIDADES!E52</f>
        <v>m²</v>
      </c>
    </row>
    <row r="1373" spans="1:7" ht="15" thickBot="1" x14ac:dyDescent="0.25">
      <c r="A1373" s="1176" t="s">
        <v>1642</v>
      </c>
      <c r="B1373" s="1177"/>
      <c r="C1373" s="1177"/>
      <c r="D1373" s="1177"/>
      <c r="E1373" s="1177"/>
      <c r="F1373" s="1177"/>
      <c r="G1373" s="1178"/>
    </row>
    <row r="1374" spans="1:7" x14ac:dyDescent="0.2">
      <c r="A1374" s="242" t="s">
        <v>1643</v>
      </c>
      <c r="B1374" s="191" t="s">
        <v>1644</v>
      </c>
      <c r="C1374" s="190" t="s">
        <v>26</v>
      </c>
      <c r="D1374" s="190" t="s">
        <v>27</v>
      </c>
      <c r="E1374" s="190" t="s">
        <v>28</v>
      </c>
      <c r="F1374" s="190" t="s">
        <v>29</v>
      </c>
      <c r="G1374" s="243"/>
    </row>
    <row r="1375" spans="1:7" x14ac:dyDescent="0.2">
      <c r="A1375" s="362" t="str">
        <f>VLOOKUP(B1375,PRECIOS!$A$309:$E$485,2,FALSE)</f>
        <v>EQUIPO158</v>
      </c>
      <c r="B1375" s="363" t="s">
        <v>1699</v>
      </c>
      <c r="C1375" s="99" t="str">
        <f>VLOOKUP(B1375,PRECIOS!$A$309:$E$485,3,FALSE)</f>
        <v>Electrica</v>
      </c>
      <c r="D1375" s="364">
        <f>VLOOKUP(B1375,PRECIOS!$A$309:$E$485,5,FALSE)</f>
        <v>6250</v>
      </c>
      <c r="E1375" s="365">
        <v>0.08</v>
      </c>
      <c r="F1375" s="366">
        <f>+D1375*E1375</f>
        <v>500</v>
      </c>
      <c r="G1375" s="245"/>
    </row>
    <row r="1376" spans="1:7" x14ac:dyDescent="0.2">
      <c r="A1376" s="1179" t="s">
        <v>1650</v>
      </c>
      <c r="B1376" s="1180"/>
      <c r="C1376" s="214">
        <v>0.05</v>
      </c>
      <c r="D1376" s="213"/>
      <c r="E1376" s="418"/>
      <c r="F1376" s="212">
        <f>+G1397*C1376</f>
        <v>800.67214285714294</v>
      </c>
      <c r="G1376" s="246"/>
    </row>
    <row r="1377" spans="1:7" x14ac:dyDescent="0.2">
      <c r="A1377" s="247" t="s">
        <v>25</v>
      </c>
      <c r="B1377" s="416"/>
      <c r="C1377" s="416"/>
      <c r="D1377" s="416"/>
      <c r="E1377" s="416"/>
      <c r="F1377" s="416"/>
      <c r="G1377" s="246" t="s">
        <v>31</v>
      </c>
    </row>
    <row r="1378" spans="1:7" ht="15" thickBot="1" x14ac:dyDescent="0.25">
      <c r="A1378" s="248"/>
      <c r="B1378" s="420"/>
      <c r="C1378" s="420"/>
      <c r="D1378" s="420"/>
      <c r="E1378" s="420"/>
      <c r="F1378" s="420"/>
      <c r="G1378" s="249">
        <f>SUM(F1375:F1376)</f>
        <v>1300.6721428571429</v>
      </c>
    </row>
    <row r="1379" spans="1:7" ht="15" thickBot="1" x14ac:dyDescent="0.25">
      <c r="A1379" s="1176" t="s">
        <v>1645</v>
      </c>
      <c r="B1379" s="1177"/>
      <c r="C1379" s="1177"/>
      <c r="D1379" s="1177"/>
      <c r="E1379" s="1177"/>
      <c r="F1379" s="1177"/>
      <c r="G1379" s="1178"/>
    </row>
    <row r="1380" spans="1:7" x14ac:dyDescent="0.2">
      <c r="A1380" s="242" t="s">
        <v>1643</v>
      </c>
      <c r="B1380" s="191" t="s">
        <v>1644</v>
      </c>
      <c r="C1380" s="190" t="s">
        <v>32</v>
      </c>
      <c r="D1380" s="190" t="s">
        <v>33</v>
      </c>
      <c r="E1380" s="190" t="s">
        <v>34</v>
      </c>
      <c r="F1380" s="190" t="s">
        <v>35</v>
      </c>
      <c r="G1380" s="243"/>
    </row>
    <row r="1381" spans="1:7" x14ac:dyDescent="0.2">
      <c r="A1381" s="247"/>
      <c r="B1381" s="216" t="str">
        <f>+LIST_APUS_AUX!$A$166</f>
        <v>Mortero de 1:4</v>
      </c>
      <c r="C1381" s="373" t="str">
        <f>+LIST_APUS_AUX!$G$166</f>
        <v>m³</v>
      </c>
      <c r="D1381" s="361">
        <f>+LIST_APUS_AUX!$G$193</f>
        <v>718563</v>
      </c>
      <c r="E1381" s="104">
        <v>0.04</v>
      </c>
      <c r="F1381" s="400">
        <f>+D1381*E1381</f>
        <v>28742.52</v>
      </c>
      <c r="G1381" s="370"/>
    </row>
    <row r="1382" spans="1:7" x14ac:dyDescent="0.2">
      <c r="A1382" s="352" t="str">
        <f>VLOOKUP(B1382,PRECIOS!$A$5:$D$303,2,FALSE)</f>
        <v>APARATYENCHA04</v>
      </c>
      <c r="B1382" s="105" t="s">
        <v>188</v>
      </c>
      <c r="C1382" s="99" t="str">
        <f>VLOOKUP(B1382,PRECIOS!$A$5:$D$303,3,FALSE)</f>
        <v>M2</v>
      </c>
      <c r="D1382" s="371">
        <f>VLOOKUP(B1382,PRECIOS!$A$5:$D$303,4,FALSE)</f>
        <v>79201.542420000012</v>
      </c>
      <c r="E1382" s="399">
        <v>1</v>
      </c>
      <c r="F1382" s="401">
        <f>+D1382*E1382</f>
        <v>79201.542420000012</v>
      </c>
      <c r="G1382" s="370"/>
    </row>
    <row r="1383" spans="1:7" x14ac:dyDescent="0.2">
      <c r="A1383" s="352" t="str">
        <f>VLOOKUP(B1383,PRECIOS!$A$5:$D$303,2,FALSE)</f>
        <v>APARATYENCHA08</v>
      </c>
      <c r="B1383" s="105" t="s">
        <v>191</v>
      </c>
      <c r="C1383" s="99" t="str">
        <f>VLOOKUP(B1383,PRECIOS!$A$5:$D$303,3,FALSE)</f>
        <v>Bolsa</v>
      </c>
      <c r="D1383" s="371">
        <f>VLOOKUP(B1383,PRECIOS!$A$5:$D$303,4,FALSE)</f>
        <v>3288.6453600000004</v>
      </c>
      <c r="E1383" s="399">
        <v>0.1</v>
      </c>
      <c r="F1383" s="401">
        <f>+D1383*E1383</f>
        <v>328.86453600000004</v>
      </c>
      <c r="G1383" s="370"/>
    </row>
    <row r="1384" spans="1:7" x14ac:dyDescent="0.2">
      <c r="A1384" s="1179" t="s">
        <v>1649</v>
      </c>
      <c r="B1384" s="1180"/>
      <c r="C1384" s="214">
        <v>0.03</v>
      </c>
      <c r="D1384" s="417"/>
      <c r="E1384" s="418"/>
      <c r="F1384" s="276">
        <f>SUM(F1381:F1381)*C1384</f>
        <v>862.27559999999994</v>
      </c>
      <c r="G1384" s="246"/>
    </row>
    <row r="1385" spans="1:7" x14ac:dyDescent="0.2">
      <c r="A1385" s="247"/>
      <c r="B1385" s="416"/>
      <c r="C1385" s="104"/>
      <c r="D1385" s="104"/>
      <c r="E1385" s="104"/>
      <c r="F1385" s="104"/>
      <c r="G1385" s="246" t="s">
        <v>31</v>
      </c>
    </row>
    <row r="1386" spans="1:7" ht="15" thickBot="1" x14ac:dyDescent="0.25">
      <c r="A1386" s="248"/>
      <c r="B1386" s="420"/>
      <c r="C1386" s="420"/>
      <c r="D1386" s="420"/>
      <c r="E1386" s="420"/>
      <c r="F1386" s="420"/>
      <c r="G1386" s="250">
        <f>SUM(F1381:F1384)</f>
        <v>109135.202556</v>
      </c>
    </row>
    <row r="1387" spans="1:7" ht="15" thickBot="1" x14ac:dyDescent="0.25">
      <c r="A1387" s="1176" t="s">
        <v>1646</v>
      </c>
      <c r="B1387" s="1177"/>
      <c r="C1387" s="1177"/>
      <c r="D1387" s="1177"/>
      <c r="E1387" s="1177"/>
      <c r="F1387" s="1177"/>
      <c r="G1387" s="1178"/>
    </row>
    <row r="1388" spans="1:7" x14ac:dyDescent="0.2">
      <c r="A1388" s="251" t="s">
        <v>305</v>
      </c>
      <c r="B1388" s="190" t="s">
        <v>38</v>
      </c>
      <c r="C1388" s="190" t="s">
        <v>39</v>
      </c>
      <c r="D1388" s="190" t="s">
        <v>40</v>
      </c>
      <c r="E1388" s="190" t="s">
        <v>34</v>
      </c>
      <c r="F1388" s="190" t="s">
        <v>35</v>
      </c>
      <c r="G1388" s="243"/>
    </row>
    <row r="1389" spans="1:7" x14ac:dyDescent="0.2">
      <c r="A1389" s="369"/>
      <c r="B1389" s="89"/>
      <c r="C1389" s="209"/>
      <c r="D1389" s="199"/>
      <c r="E1389" s="367"/>
      <c r="F1389" s="234"/>
      <c r="G1389" s="253"/>
    </row>
    <row r="1390" spans="1:7" x14ac:dyDescent="0.2">
      <c r="A1390" s="252"/>
      <c r="B1390" s="235"/>
      <c r="C1390" s="238"/>
      <c r="D1390" s="236"/>
      <c r="E1390" s="237"/>
      <c r="F1390" s="239"/>
      <c r="G1390" s="253"/>
    </row>
    <row r="1391" spans="1:7" x14ac:dyDescent="0.2">
      <c r="A1391" s="247" t="s">
        <v>25</v>
      </c>
      <c r="B1391" s="104" t="s">
        <v>25</v>
      </c>
      <c r="C1391" s="104" t="s">
        <v>25</v>
      </c>
      <c r="D1391" s="188" t="s">
        <v>25</v>
      </c>
      <c r="E1391" s="189" t="s">
        <v>25</v>
      </c>
      <c r="F1391" s="187" t="s">
        <v>25</v>
      </c>
      <c r="G1391" s="246" t="s">
        <v>31</v>
      </c>
    </row>
    <row r="1392" spans="1:7" ht="15" thickBot="1" x14ac:dyDescent="0.25">
      <c r="A1392" s="248"/>
      <c r="B1392" s="420"/>
      <c r="C1392" s="420"/>
      <c r="D1392" s="420"/>
      <c r="E1392" s="420"/>
      <c r="F1392" s="420"/>
      <c r="G1392" s="250">
        <f>SUM(F1389:F1390)</f>
        <v>0</v>
      </c>
    </row>
    <row r="1393" spans="1:7" ht="15" thickBot="1" x14ac:dyDescent="0.25">
      <c r="A1393" s="1176" t="s">
        <v>1647</v>
      </c>
      <c r="B1393" s="1177"/>
      <c r="C1393" s="1177"/>
      <c r="D1393" s="1177"/>
      <c r="E1393" s="1177"/>
      <c r="F1393" s="1177"/>
      <c r="G1393" s="1178"/>
    </row>
    <row r="1394" spans="1:7" ht="24" x14ac:dyDescent="0.2">
      <c r="A1394" s="254" t="s">
        <v>1681</v>
      </c>
      <c r="B1394" s="190" t="s">
        <v>42</v>
      </c>
      <c r="C1394" s="190" t="s">
        <v>43</v>
      </c>
      <c r="D1394" s="190" t="s">
        <v>44</v>
      </c>
      <c r="E1394" s="190" t="s">
        <v>306</v>
      </c>
      <c r="F1394" s="190" t="s">
        <v>29</v>
      </c>
      <c r="G1394" s="243"/>
    </row>
    <row r="1395" spans="1:7" ht="36" x14ac:dyDescent="0.2">
      <c r="A1395" s="255" t="s">
        <v>1676</v>
      </c>
      <c r="B1395" s="202">
        <f>VLOOKUP(A1395,JORNALES!$A$5:$B$28,2,FALSE)</f>
        <v>295000</v>
      </c>
      <c r="C1395" s="233">
        <f>+PRESTACIONES!$C$20/100</f>
        <v>0.89990000000000014</v>
      </c>
      <c r="D1395" s="234">
        <f>+(B1395*C1395)+B1395</f>
        <v>560470.5</v>
      </c>
      <c r="E1395" s="421">
        <v>35</v>
      </c>
      <c r="F1395" s="199">
        <f>+D1395/E1395</f>
        <v>16013.442857142858</v>
      </c>
      <c r="G1395" s="246"/>
    </row>
    <row r="1396" spans="1:7" x14ac:dyDescent="0.2">
      <c r="A1396" s="247"/>
      <c r="B1396" s="416"/>
      <c r="C1396" s="416"/>
      <c r="D1396" s="416"/>
      <c r="E1396" s="416"/>
      <c r="F1396" s="416"/>
      <c r="G1396" s="246" t="s">
        <v>31</v>
      </c>
    </row>
    <row r="1397" spans="1:7" x14ac:dyDescent="0.2">
      <c r="A1397" s="247"/>
      <c r="B1397" s="416"/>
      <c r="C1397" s="416"/>
      <c r="D1397" s="416"/>
      <c r="E1397" s="416"/>
      <c r="F1397" s="416"/>
      <c r="G1397" s="256">
        <f>SUM(F1395:F1395)</f>
        <v>16013.442857142858</v>
      </c>
    </row>
    <row r="1398" spans="1:7" ht="15" thickBot="1" x14ac:dyDescent="0.25">
      <c r="A1398" s="1181" t="s">
        <v>25</v>
      </c>
      <c r="B1398" s="1182"/>
      <c r="C1398" s="1182"/>
      <c r="D1398" s="1182"/>
      <c r="E1398" s="1182"/>
      <c r="F1398" s="1182"/>
      <c r="G1398" s="1183"/>
    </row>
    <row r="1399" spans="1:7" ht="15" thickBot="1" x14ac:dyDescent="0.25">
      <c r="A1399" s="1184" t="s">
        <v>45</v>
      </c>
      <c r="B1399" s="1185"/>
      <c r="C1399" s="1185"/>
      <c r="D1399" s="1185"/>
      <c r="E1399" s="1185"/>
      <c r="F1399" s="192"/>
      <c r="G1399" s="277">
        <f xml:space="preserve"> ROUND(G1397+G1392+G1386+G1378,0)</f>
        <v>126449</v>
      </c>
    </row>
    <row r="1400" spans="1:7" x14ac:dyDescent="0.2">
      <c r="A1400" s="1186" t="s">
        <v>476</v>
      </c>
      <c r="B1400" s="1187"/>
      <c r="C1400" s="1187"/>
      <c r="D1400" s="1187"/>
      <c r="E1400" s="1187"/>
      <c r="F1400" s="193" t="s">
        <v>51</v>
      </c>
      <c r="G1400" s="257" t="s">
        <v>307</v>
      </c>
    </row>
    <row r="1401" spans="1:7" x14ac:dyDescent="0.2">
      <c r="A1401" s="1166" t="s">
        <v>17</v>
      </c>
      <c r="B1401" s="1167"/>
      <c r="C1401" s="1167"/>
      <c r="D1401" s="1167"/>
      <c r="E1401" s="1167"/>
      <c r="F1401" s="240"/>
      <c r="G1401" s="196"/>
    </row>
    <row r="1402" spans="1:7" x14ac:dyDescent="0.2">
      <c r="A1402" s="1166" t="s">
        <v>308</v>
      </c>
      <c r="B1402" s="1167"/>
      <c r="C1402" s="1167"/>
      <c r="D1402" s="1167"/>
      <c r="E1402" s="1167"/>
      <c r="F1402" s="240"/>
      <c r="G1402" s="196"/>
    </row>
    <row r="1403" spans="1:7" x14ac:dyDescent="0.2">
      <c r="A1403" s="1166" t="s">
        <v>19</v>
      </c>
      <c r="B1403" s="1167"/>
      <c r="C1403" s="1167"/>
      <c r="D1403" s="1167"/>
      <c r="E1403" s="1167"/>
      <c r="F1403" s="240"/>
      <c r="G1403" s="196"/>
    </row>
    <row r="1404" spans="1:7" ht="15" thickBot="1" x14ac:dyDescent="0.25">
      <c r="A1404" s="1168" t="s">
        <v>309</v>
      </c>
      <c r="B1404" s="1169"/>
      <c r="C1404" s="1169"/>
      <c r="D1404" s="1169"/>
      <c r="E1404" s="1169"/>
      <c r="F1404" s="198"/>
      <c r="G1404" s="258"/>
    </row>
    <row r="1405" spans="1:7" ht="15" thickBot="1" x14ac:dyDescent="0.25">
      <c r="A1405" s="1170" t="s">
        <v>310</v>
      </c>
      <c r="B1405" s="1171"/>
      <c r="C1405" s="1171"/>
      <c r="D1405" s="1171"/>
      <c r="E1405" s="1171"/>
      <c r="F1405" s="1172"/>
      <c r="G1405" s="1173"/>
    </row>
    <row r="1406" spans="1:7" x14ac:dyDescent="0.2">
      <c r="A1406" s="413"/>
      <c r="B1406" s="414"/>
      <c r="C1406" s="414"/>
      <c r="D1406" s="414"/>
      <c r="E1406" s="414"/>
      <c r="F1406" s="193"/>
      <c r="G1406" s="260"/>
    </row>
    <row r="1407" spans="1:7" ht="15" thickBot="1" x14ac:dyDescent="0.25">
      <c r="A1407" s="261" t="s">
        <v>681</v>
      </c>
      <c r="B1407" s="262"/>
      <c r="C1407" s="262" t="s">
        <v>682</v>
      </c>
      <c r="D1407" s="262"/>
      <c r="E1407" s="262"/>
      <c r="F1407" s="262" t="s">
        <v>683</v>
      </c>
      <c r="G1407" s="263"/>
    </row>
    <row r="1408" spans="1:7" ht="15" thickBot="1" x14ac:dyDescent="0.25">
      <c r="A1408" s="1174" t="str">
        <f>+LIST_ACTIVIDADES!D53</f>
        <v>Destronque, pulida y brillada de piso</v>
      </c>
      <c r="B1408" s="1175"/>
      <c r="C1408" s="1175"/>
      <c r="D1408" s="1175"/>
      <c r="E1408" s="1175"/>
      <c r="F1408" s="241" t="s">
        <v>24</v>
      </c>
      <c r="G1408" s="264" t="str">
        <f>+LIST_ACTIVIDADES!E53</f>
        <v>m²</v>
      </c>
    </row>
    <row r="1409" spans="1:7" ht="15" thickBot="1" x14ac:dyDescent="0.25">
      <c r="A1409" s="1176" t="s">
        <v>1642</v>
      </c>
      <c r="B1409" s="1177"/>
      <c r="C1409" s="1177"/>
      <c r="D1409" s="1177"/>
      <c r="E1409" s="1177"/>
      <c r="F1409" s="1177"/>
      <c r="G1409" s="1178"/>
    </row>
    <row r="1410" spans="1:7" x14ac:dyDescent="0.2">
      <c r="A1410" s="242" t="s">
        <v>1643</v>
      </c>
      <c r="B1410" s="191" t="s">
        <v>1644</v>
      </c>
      <c r="C1410" s="190" t="s">
        <v>26</v>
      </c>
      <c r="D1410" s="190" t="s">
        <v>27</v>
      </c>
      <c r="E1410" s="190" t="s">
        <v>28</v>
      </c>
      <c r="F1410" s="190" t="s">
        <v>29</v>
      </c>
      <c r="G1410" s="243"/>
    </row>
    <row r="1411" spans="1:7" x14ac:dyDescent="0.2">
      <c r="A1411" s="362" t="str">
        <f>VLOOKUP(B1411,PRECIOS!$A$309:$E$485,2,FALSE)</f>
        <v>EQUIPO158</v>
      </c>
      <c r="B1411" s="363" t="s">
        <v>1699</v>
      </c>
      <c r="C1411" s="99" t="str">
        <f>VLOOKUP(B1411,PRECIOS!$A$309:$E$485,3,FALSE)</f>
        <v>Electrica</v>
      </c>
      <c r="D1411" s="364">
        <f>VLOOKUP(B1411,PRECIOS!$A$309:$E$485,5,FALSE)</f>
        <v>6250</v>
      </c>
      <c r="E1411" s="365">
        <v>1</v>
      </c>
      <c r="F1411" s="366">
        <f>+D1411*E1411</f>
        <v>6250</v>
      </c>
      <c r="G1411" s="245"/>
    </row>
    <row r="1412" spans="1:7" x14ac:dyDescent="0.2">
      <c r="A1412" s="1179" t="s">
        <v>1650</v>
      </c>
      <c r="B1412" s="1180"/>
      <c r="C1412" s="214">
        <v>0.05</v>
      </c>
      <c r="D1412" s="213"/>
      <c r="E1412" s="418"/>
      <c r="F1412" s="212">
        <f>+G1431*C1412</f>
        <v>1868.2349999999999</v>
      </c>
      <c r="G1412" s="246"/>
    </row>
    <row r="1413" spans="1:7" x14ac:dyDescent="0.2">
      <c r="A1413" s="247" t="s">
        <v>25</v>
      </c>
      <c r="B1413" s="416"/>
      <c r="C1413" s="416"/>
      <c r="D1413" s="416"/>
      <c r="E1413" s="416"/>
      <c r="F1413" s="416"/>
      <c r="G1413" s="246" t="s">
        <v>31</v>
      </c>
    </row>
    <row r="1414" spans="1:7" ht="15" thickBot="1" x14ac:dyDescent="0.25">
      <c r="A1414" s="248"/>
      <c r="B1414" s="420"/>
      <c r="C1414" s="420"/>
      <c r="D1414" s="420"/>
      <c r="E1414" s="420"/>
      <c r="F1414" s="420"/>
      <c r="G1414" s="249">
        <f>SUM(F1411:F1412)</f>
        <v>8118.2349999999997</v>
      </c>
    </row>
    <row r="1415" spans="1:7" ht="15" thickBot="1" x14ac:dyDescent="0.25">
      <c r="A1415" s="1176" t="s">
        <v>1645</v>
      </c>
      <c r="B1415" s="1177"/>
      <c r="C1415" s="1177"/>
      <c r="D1415" s="1177"/>
      <c r="E1415" s="1177"/>
      <c r="F1415" s="1177"/>
      <c r="G1415" s="1178"/>
    </row>
    <row r="1416" spans="1:7" x14ac:dyDescent="0.2">
      <c r="A1416" s="242" t="s">
        <v>1643</v>
      </c>
      <c r="B1416" s="191" t="s">
        <v>1644</v>
      </c>
      <c r="C1416" s="190" t="s">
        <v>32</v>
      </c>
      <c r="D1416" s="190" t="s">
        <v>33</v>
      </c>
      <c r="E1416" s="190" t="s">
        <v>34</v>
      </c>
      <c r="F1416" s="190" t="s">
        <v>35</v>
      </c>
      <c r="G1416" s="243"/>
    </row>
    <row r="1417" spans="1:7" x14ac:dyDescent="0.2">
      <c r="A1417" s="247"/>
      <c r="B1417" s="216" t="s">
        <v>1783</v>
      </c>
      <c r="C1417" s="373" t="s">
        <v>49</v>
      </c>
      <c r="D1417" s="361">
        <v>38580</v>
      </c>
      <c r="E1417" s="104">
        <v>0.5</v>
      </c>
      <c r="F1417" s="400">
        <f>+D1417*E1417</f>
        <v>19290</v>
      </c>
      <c r="G1417" s="370"/>
    </row>
    <row r="1418" spans="1:7" x14ac:dyDescent="0.2">
      <c r="A1418" s="1179" t="s">
        <v>1649</v>
      </c>
      <c r="B1418" s="1180"/>
      <c r="C1418" s="214">
        <v>0.03</v>
      </c>
      <c r="D1418" s="417"/>
      <c r="E1418" s="418"/>
      <c r="F1418" s="276">
        <f>SUM(F1417:F1417)*C1418</f>
        <v>578.69999999999993</v>
      </c>
      <c r="G1418" s="246"/>
    </row>
    <row r="1419" spans="1:7" x14ac:dyDescent="0.2">
      <c r="A1419" s="247"/>
      <c r="B1419" s="416"/>
      <c r="C1419" s="104"/>
      <c r="D1419" s="104"/>
      <c r="E1419" s="104"/>
      <c r="F1419" s="104"/>
      <c r="G1419" s="246" t="s">
        <v>31</v>
      </c>
    </row>
    <row r="1420" spans="1:7" ht="15" thickBot="1" x14ac:dyDescent="0.25">
      <c r="A1420" s="248"/>
      <c r="B1420" s="420"/>
      <c r="C1420" s="420"/>
      <c r="D1420" s="420"/>
      <c r="E1420" s="420"/>
      <c r="F1420" s="420"/>
      <c r="G1420" s="250">
        <f>SUM(F1417:F1418)</f>
        <v>19868.7</v>
      </c>
    </row>
    <row r="1421" spans="1:7" ht="15" thickBot="1" x14ac:dyDescent="0.25">
      <c r="A1421" s="1176" t="s">
        <v>1646</v>
      </c>
      <c r="B1421" s="1177"/>
      <c r="C1421" s="1177"/>
      <c r="D1421" s="1177"/>
      <c r="E1421" s="1177"/>
      <c r="F1421" s="1177"/>
      <c r="G1421" s="1178"/>
    </row>
    <row r="1422" spans="1:7" x14ac:dyDescent="0.2">
      <c r="A1422" s="251" t="s">
        <v>305</v>
      </c>
      <c r="B1422" s="190" t="s">
        <v>38</v>
      </c>
      <c r="C1422" s="190" t="s">
        <v>39</v>
      </c>
      <c r="D1422" s="190" t="s">
        <v>40</v>
      </c>
      <c r="E1422" s="190" t="s">
        <v>34</v>
      </c>
      <c r="F1422" s="190" t="s">
        <v>35</v>
      </c>
      <c r="G1422" s="243"/>
    </row>
    <row r="1423" spans="1:7" x14ac:dyDescent="0.2">
      <c r="A1423" s="369"/>
      <c r="B1423" s="89"/>
      <c r="C1423" s="209"/>
      <c r="D1423" s="199"/>
      <c r="E1423" s="367"/>
      <c r="F1423" s="234"/>
      <c r="G1423" s="253"/>
    </row>
    <row r="1424" spans="1:7" x14ac:dyDescent="0.2">
      <c r="A1424" s="252"/>
      <c r="B1424" s="235"/>
      <c r="C1424" s="238"/>
      <c r="D1424" s="236"/>
      <c r="E1424" s="237"/>
      <c r="F1424" s="239"/>
      <c r="G1424" s="253"/>
    </row>
    <row r="1425" spans="1:7" x14ac:dyDescent="0.2">
      <c r="A1425" s="247" t="s">
        <v>25</v>
      </c>
      <c r="B1425" s="104" t="s">
        <v>25</v>
      </c>
      <c r="C1425" s="104" t="s">
        <v>25</v>
      </c>
      <c r="D1425" s="188" t="s">
        <v>25</v>
      </c>
      <c r="E1425" s="189" t="s">
        <v>25</v>
      </c>
      <c r="F1425" s="187" t="s">
        <v>25</v>
      </c>
      <c r="G1425" s="246" t="s">
        <v>31</v>
      </c>
    </row>
    <row r="1426" spans="1:7" ht="15" thickBot="1" x14ac:dyDescent="0.25">
      <c r="A1426" s="248"/>
      <c r="B1426" s="420"/>
      <c r="C1426" s="420"/>
      <c r="D1426" s="420"/>
      <c r="E1426" s="420"/>
      <c r="F1426" s="420"/>
      <c r="G1426" s="250">
        <f>SUM(F1423:F1424)</f>
        <v>0</v>
      </c>
    </row>
    <row r="1427" spans="1:7" ht="15" thickBot="1" x14ac:dyDescent="0.25">
      <c r="A1427" s="1176" t="s">
        <v>1647</v>
      </c>
      <c r="B1427" s="1177"/>
      <c r="C1427" s="1177"/>
      <c r="D1427" s="1177"/>
      <c r="E1427" s="1177"/>
      <c r="F1427" s="1177"/>
      <c r="G1427" s="1178"/>
    </row>
    <row r="1428" spans="1:7" ht="24" x14ac:dyDescent="0.2">
      <c r="A1428" s="254" t="s">
        <v>1681</v>
      </c>
      <c r="B1428" s="190" t="s">
        <v>42</v>
      </c>
      <c r="C1428" s="190" t="s">
        <v>43</v>
      </c>
      <c r="D1428" s="190" t="s">
        <v>44</v>
      </c>
      <c r="E1428" s="190" t="s">
        <v>306</v>
      </c>
      <c r="F1428" s="190" t="s">
        <v>29</v>
      </c>
      <c r="G1428" s="243"/>
    </row>
    <row r="1429" spans="1:7" ht="36" x14ac:dyDescent="0.2">
      <c r="A1429" s="255" t="s">
        <v>1676</v>
      </c>
      <c r="B1429" s="202">
        <f>VLOOKUP(A1429,JORNALES!$A$5:$B$28,2,FALSE)</f>
        <v>295000</v>
      </c>
      <c r="C1429" s="233">
        <f>+PRESTACIONES!$C$20/100</f>
        <v>0.89990000000000014</v>
      </c>
      <c r="D1429" s="234">
        <f>+(B1429*C1429)+B1429</f>
        <v>560470.5</v>
      </c>
      <c r="E1429" s="421">
        <v>15</v>
      </c>
      <c r="F1429" s="199">
        <f>+D1429/E1429</f>
        <v>37364.699999999997</v>
      </c>
      <c r="G1429" s="246"/>
    </row>
    <row r="1430" spans="1:7" x14ac:dyDescent="0.2">
      <c r="A1430" s="247"/>
      <c r="B1430" s="416"/>
      <c r="C1430" s="416"/>
      <c r="D1430" s="416"/>
      <c r="E1430" s="416"/>
      <c r="F1430" s="416"/>
      <c r="G1430" s="246" t="s">
        <v>31</v>
      </c>
    </row>
    <row r="1431" spans="1:7" x14ac:dyDescent="0.2">
      <c r="A1431" s="247"/>
      <c r="B1431" s="416"/>
      <c r="C1431" s="416"/>
      <c r="D1431" s="416"/>
      <c r="E1431" s="416"/>
      <c r="F1431" s="416"/>
      <c r="G1431" s="256">
        <f>SUM(F1429:F1429)</f>
        <v>37364.699999999997</v>
      </c>
    </row>
    <row r="1432" spans="1:7" ht="15" thickBot="1" x14ac:dyDescent="0.25">
      <c r="A1432" s="1181" t="s">
        <v>25</v>
      </c>
      <c r="B1432" s="1182"/>
      <c r="C1432" s="1182"/>
      <c r="D1432" s="1182"/>
      <c r="E1432" s="1182"/>
      <c r="F1432" s="1182"/>
      <c r="G1432" s="1183"/>
    </row>
    <row r="1433" spans="1:7" ht="15" thickBot="1" x14ac:dyDescent="0.25">
      <c r="A1433" s="1184" t="s">
        <v>45</v>
      </c>
      <c r="B1433" s="1185"/>
      <c r="C1433" s="1185"/>
      <c r="D1433" s="1185"/>
      <c r="E1433" s="1185"/>
      <c r="F1433" s="192"/>
      <c r="G1433" s="277">
        <f xml:space="preserve"> ROUND(G1431+G1426+G1420+G1414,0)</f>
        <v>65352</v>
      </c>
    </row>
    <row r="1434" spans="1:7" x14ac:dyDescent="0.2">
      <c r="A1434" s="1186" t="s">
        <v>476</v>
      </c>
      <c r="B1434" s="1187"/>
      <c r="C1434" s="1187"/>
      <c r="D1434" s="1187"/>
      <c r="E1434" s="1187"/>
      <c r="F1434" s="193" t="s">
        <v>51</v>
      </c>
      <c r="G1434" s="257" t="s">
        <v>307</v>
      </c>
    </row>
    <row r="1435" spans="1:7" x14ac:dyDescent="0.2">
      <c r="A1435" s="1166" t="s">
        <v>17</v>
      </c>
      <c r="B1435" s="1167"/>
      <c r="C1435" s="1167"/>
      <c r="D1435" s="1167"/>
      <c r="E1435" s="1167"/>
      <c r="F1435" s="240"/>
      <c r="G1435" s="196"/>
    </row>
    <row r="1436" spans="1:7" x14ac:dyDescent="0.2">
      <c r="A1436" s="1166" t="s">
        <v>308</v>
      </c>
      <c r="B1436" s="1167"/>
      <c r="C1436" s="1167"/>
      <c r="D1436" s="1167"/>
      <c r="E1436" s="1167"/>
      <c r="F1436" s="240"/>
      <c r="G1436" s="196"/>
    </row>
    <row r="1437" spans="1:7" x14ac:dyDescent="0.2">
      <c r="A1437" s="1166" t="s">
        <v>19</v>
      </c>
      <c r="B1437" s="1167"/>
      <c r="C1437" s="1167"/>
      <c r="D1437" s="1167"/>
      <c r="E1437" s="1167"/>
      <c r="F1437" s="240"/>
      <c r="G1437" s="196"/>
    </row>
    <row r="1438" spans="1:7" ht="15" thickBot="1" x14ac:dyDescent="0.25">
      <c r="A1438" s="1168" t="s">
        <v>309</v>
      </c>
      <c r="B1438" s="1169"/>
      <c r="C1438" s="1169"/>
      <c r="D1438" s="1169"/>
      <c r="E1438" s="1169"/>
      <c r="F1438" s="198"/>
      <c r="G1438" s="258"/>
    </row>
    <row r="1439" spans="1:7" ht="15" thickBot="1" x14ac:dyDescent="0.25">
      <c r="A1439" s="1170" t="s">
        <v>310</v>
      </c>
      <c r="B1439" s="1171"/>
      <c r="C1439" s="1171"/>
      <c r="D1439" s="1171"/>
      <c r="E1439" s="1171"/>
      <c r="F1439" s="1172"/>
      <c r="G1439" s="1173"/>
    </row>
    <row r="1440" spans="1:7" x14ac:dyDescent="0.2">
      <c r="A1440" s="413"/>
      <c r="B1440" s="414"/>
      <c r="C1440" s="414"/>
      <c r="D1440" s="414"/>
      <c r="E1440" s="414"/>
      <c r="F1440" s="193"/>
      <c r="G1440" s="260"/>
    </row>
    <row r="1441" spans="1:7" ht="15" thickBot="1" x14ac:dyDescent="0.25">
      <c r="A1441" s="261" t="s">
        <v>681</v>
      </c>
      <c r="B1441" s="262"/>
      <c r="C1441" s="262" t="s">
        <v>682</v>
      </c>
      <c r="D1441" s="262"/>
      <c r="E1441" s="262"/>
      <c r="F1441" s="262" t="s">
        <v>683</v>
      </c>
      <c r="G1441" s="263"/>
    </row>
    <row r="1442" spans="1:7" ht="15" thickBot="1" x14ac:dyDescent="0.25">
      <c r="A1442" s="1174" t="str">
        <f>+LIST_ACTIVIDADES!D57</f>
        <v>Techo en lámina arquitectónica pintada</v>
      </c>
      <c r="B1442" s="1175"/>
      <c r="C1442" s="1175"/>
      <c r="D1442" s="1175"/>
      <c r="E1442" s="1175"/>
      <c r="F1442" s="241" t="s">
        <v>24</v>
      </c>
      <c r="G1442" s="264" t="str">
        <f>+LIST_ACTIVIDADES!E57</f>
        <v>m²</v>
      </c>
    </row>
    <row r="1443" spans="1:7" ht="15" thickBot="1" x14ac:dyDescent="0.25">
      <c r="A1443" s="1176" t="s">
        <v>1642</v>
      </c>
      <c r="B1443" s="1177"/>
      <c r="C1443" s="1177"/>
      <c r="D1443" s="1177"/>
      <c r="E1443" s="1177"/>
      <c r="F1443" s="1177"/>
      <c r="G1443" s="1178"/>
    </row>
    <row r="1444" spans="1:7" x14ac:dyDescent="0.2">
      <c r="A1444" s="242" t="s">
        <v>1643</v>
      </c>
      <c r="B1444" s="191" t="s">
        <v>1644</v>
      </c>
      <c r="C1444" s="190" t="s">
        <v>26</v>
      </c>
      <c r="D1444" s="190" t="s">
        <v>27</v>
      </c>
      <c r="E1444" s="190" t="s">
        <v>28</v>
      </c>
      <c r="F1444" s="190" t="s">
        <v>29</v>
      </c>
      <c r="G1444" s="243"/>
    </row>
    <row r="1445" spans="1:7" x14ac:dyDescent="0.2">
      <c r="A1445" s="362" t="str">
        <f>VLOOKUP(B1445,PRECIOS!$A$309:$E$485,2,FALSE)</f>
        <v>EQUIPO158</v>
      </c>
      <c r="B1445" s="363" t="s">
        <v>1699</v>
      </c>
      <c r="C1445" s="99" t="str">
        <f>VLOOKUP(B1445,PRECIOS!$A$309:$E$485,3,FALSE)</f>
        <v>Electrica</v>
      </c>
      <c r="D1445" s="364">
        <f>VLOOKUP(B1445,PRECIOS!$A$309:$E$485,5,FALSE)</f>
        <v>6250</v>
      </c>
      <c r="E1445" s="365">
        <v>0.9</v>
      </c>
      <c r="F1445" s="366">
        <f>+D1445*E1445</f>
        <v>5625</v>
      </c>
      <c r="G1445" s="245"/>
    </row>
    <row r="1446" spans="1:7" x14ac:dyDescent="0.2">
      <c r="A1446" s="362" t="str">
        <f>VLOOKUP(B1446,PRECIOS!$A$309:$E$485,2,FALSE)</f>
        <v>EQUIPO169</v>
      </c>
      <c r="B1446" s="363" t="s">
        <v>449</v>
      </c>
      <c r="C1446" s="99" t="str">
        <f>VLOOKUP(B1446,PRECIOS!$A$309:$E$485,3,FALSE)</f>
        <v>Estructura</v>
      </c>
      <c r="D1446" s="364">
        <f>VLOOKUP(B1446,PRECIOS!$A$309:$E$485,5,FALSE)</f>
        <v>1500</v>
      </c>
      <c r="E1446" s="365">
        <v>1</v>
      </c>
      <c r="F1446" s="366">
        <f>+D1446*E1446</f>
        <v>1500</v>
      </c>
      <c r="G1446" s="245"/>
    </row>
    <row r="1447" spans="1:7" ht="22.5" customHeight="1" x14ac:dyDescent="0.2">
      <c r="A1447" s="362" t="str">
        <f>VLOOKUP(B1447,PRECIOS!$A$309:$E$485,2,FALSE)</f>
        <v>EQUIPO166</v>
      </c>
      <c r="B1447" s="363" t="s">
        <v>447</v>
      </c>
      <c r="C1447" s="99" t="str">
        <f>VLOOKUP(B1447,PRECIOS!$A$309:$E$485,3,FALSE)</f>
        <v>Estructura</v>
      </c>
      <c r="D1447" s="364">
        <f>VLOOKUP(B1447,PRECIOS!$A$309:$E$485,5,FALSE)</f>
        <v>125</v>
      </c>
      <c r="E1447" s="844">
        <v>25</v>
      </c>
      <c r="F1447" s="366">
        <f>+D1447*E1447</f>
        <v>3125</v>
      </c>
      <c r="G1447" s="245"/>
    </row>
    <row r="1448" spans="1:7" x14ac:dyDescent="0.2">
      <c r="A1448" s="1179" t="s">
        <v>1650</v>
      </c>
      <c r="B1448" s="1180"/>
      <c r="C1448" s="214">
        <v>0.05</v>
      </c>
      <c r="D1448" s="213"/>
      <c r="E1448" s="418"/>
      <c r="F1448" s="212">
        <f>+G1467*C1448</f>
        <v>350.29406250000005</v>
      </c>
      <c r="G1448" s="246"/>
    </row>
    <row r="1449" spans="1:7" x14ac:dyDescent="0.2">
      <c r="A1449" s="247" t="s">
        <v>25</v>
      </c>
      <c r="B1449" s="416"/>
      <c r="C1449" s="416"/>
      <c r="D1449" s="416"/>
      <c r="E1449" s="416"/>
      <c r="F1449" s="416"/>
      <c r="G1449" s="246" t="s">
        <v>31</v>
      </c>
    </row>
    <row r="1450" spans="1:7" ht="15" thickBot="1" x14ac:dyDescent="0.25">
      <c r="A1450" s="248"/>
      <c r="B1450" s="420"/>
      <c r="C1450" s="420"/>
      <c r="D1450" s="420"/>
      <c r="E1450" s="420"/>
      <c r="F1450" s="420"/>
      <c r="G1450" s="249">
        <f>SUM(F1445:F1448)</f>
        <v>10600.294062499999</v>
      </c>
    </row>
    <row r="1451" spans="1:7" ht="15" thickBot="1" x14ac:dyDescent="0.25">
      <c r="A1451" s="1176" t="s">
        <v>1645</v>
      </c>
      <c r="B1451" s="1177"/>
      <c r="C1451" s="1177"/>
      <c r="D1451" s="1177"/>
      <c r="E1451" s="1177"/>
      <c r="F1451" s="1177"/>
      <c r="G1451" s="1178"/>
    </row>
    <row r="1452" spans="1:7" x14ac:dyDescent="0.2">
      <c r="A1452" s="242" t="s">
        <v>1643</v>
      </c>
      <c r="B1452" s="191" t="s">
        <v>1644</v>
      </c>
      <c r="C1452" s="190" t="s">
        <v>32</v>
      </c>
      <c r="D1452" s="190" t="s">
        <v>33</v>
      </c>
      <c r="E1452" s="190" t="s">
        <v>34</v>
      </c>
      <c r="F1452" s="190" t="s">
        <v>35</v>
      </c>
      <c r="G1452" s="243"/>
    </row>
    <row r="1453" spans="1:7" ht="27.75" customHeight="1" x14ac:dyDescent="0.2">
      <c r="A1453" s="352" t="str">
        <f>VLOOKUP(B1453,PRECIOS!$A$5:$D$303,2,FALSE)</f>
        <v>CUBIERT04</v>
      </c>
      <c r="B1453" s="105" t="s">
        <v>382</v>
      </c>
      <c r="C1453" s="105" t="str">
        <f>VLOOKUP(B1453,PRECIOS!$A$5:$D$303,3,FALSE)</f>
        <v>Und.</v>
      </c>
      <c r="D1453" s="353">
        <f>VLOOKUP(B1453,PRECIOS!$A$5:$D$303,4,FALSE)</f>
        <v>84398.37</v>
      </c>
      <c r="E1453" s="440">
        <v>1.1000000000000001</v>
      </c>
      <c r="F1453" s="355">
        <f>+D1453*E1453</f>
        <v>92838.207000000009</v>
      </c>
      <c r="G1453" s="370"/>
    </row>
    <row r="1454" spans="1:7" x14ac:dyDescent="0.2">
      <c r="A1454" s="1179" t="s">
        <v>1649</v>
      </c>
      <c r="B1454" s="1180"/>
      <c r="C1454" s="214">
        <v>0.03</v>
      </c>
      <c r="D1454" s="417"/>
      <c r="E1454" s="418"/>
      <c r="F1454" s="276">
        <f>SUM(F1453:F1453)*C1454</f>
        <v>2785.1462100000003</v>
      </c>
      <c r="G1454" s="246"/>
    </row>
    <row r="1455" spans="1:7" x14ac:dyDescent="0.2">
      <c r="A1455" s="247"/>
      <c r="B1455" s="416"/>
      <c r="C1455" s="104"/>
      <c r="D1455" s="104"/>
      <c r="E1455" s="104"/>
      <c r="F1455" s="104"/>
      <c r="G1455" s="246" t="s">
        <v>31</v>
      </c>
    </row>
    <row r="1456" spans="1:7" ht="15" thickBot="1" x14ac:dyDescent="0.25">
      <c r="A1456" s="248"/>
      <c r="B1456" s="420"/>
      <c r="C1456" s="420"/>
      <c r="D1456" s="420"/>
      <c r="E1456" s="420"/>
      <c r="F1456" s="420"/>
      <c r="G1456" s="250">
        <f>SUM(F1453:F1454)</f>
        <v>95623.353210000016</v>
      </c>
    </row>
    <row r="1457" spans="1:7" ht="15" thickBot="1" x14ac:dyDescent="0.25">
      <c r="A1457" s="1176" t="s">
        <v>1646</v>
      </c>
      <c r="B1457" s="1177"/>
      <c r="C1457" s="1177"/>
      <c r="D1457" s="1177"/>
      <c r="E1457" s="1177"/>
      <c r="F1457" s="1177"/>
      <c r="G1457" s="1178"/>
    </row>
    <row r="1458" spans="1:7" x14ac:dyDescent="0.2">
      <c r="A1458" s="251" t="s">
        <v>305</v>
      </c>
      <c r="B1458" s="190" t="s">
        <v>38</v>
      </c>
      <c r="C1458" s="190" t="s">
        <v>39</v>
      </c>
      <c r="D1458" s="190" t="s">
        <v>40</v>
      </c>
      <c r="E1458" s="190" t="s">
        <v>34</v>
      </c>
      <c r="F1458" s="190" t="s">
        <v>35</v>
      </c>
      <c r="G1458" s="243"/>
    </row>
    <row r="1459" spans="1:7" x14ac:dyDescent="0.2">
      <c r="A1459" s="369"/>
      <c r="B1459" s="89"/>
      <c r="C1459" s="209"/>
      <c r="D1459" s="199"/>
      <c r="E1459" s="367"/>
      <c r="F1459" s="234"/>
      <c r="G1459" s="253"/>
    </row>
    <row r="1460" spans="1:7" x14ac:dyDescent="0.2">
      <c r="A1460" s="252"/>
      <c r="B1460" s="235"/>
      <c r="C1460" s="238"/>
      <c r="D1460" s="236"/>
      <c r="E1460" s="237"/>
      <c r="F1460" s="239"/>
      <c r="G1460" s="253"/>
    </row>
    <row r="1461" spans="1:7" x14ac:dyDescent="0.2">
      <c r="A1461" s="247" t="s">
        <v>25</v>
      </c>
      <c r="B1461" s="104" t="s">
        <v>25</v>
      </c>
      <c r="C1461" s="104" t="s">
        <v>25</v>
      </c>
      <c r="D1461" s="188" t="s">
        <v>25</v>
      </c>
      <c r="E1461" s="189" t="s">
        <v>25</v>
      </c>
      <c r="F1461" s="187" t="s">
        <v>25</v>
      </c>
      <c r="G1461" s="246" t="s">
        <v>31</v>
      </c>
    </row>
    <row r="1462" spans="1:7" ht="15" thickBot="1" x14ac:dyDescent="0.25">
      <c r="A1462" s="248"/>
      <c r="B1462" s="420"/>
      <c r="C1462" s="420"/>
      <c r="D1462" s="420"/>
      <c r="E1462" s="420"/>
      <c r="F1462" s="420"/>
      <c r="G1462" s="250">
        <f>SUM(F1459:F1460)</f>
        <v>0</v>
      </c>
    </row>
    <row r="1463" spans="1:7" ht="15" thickBot="1" x14ac:dyDescent="0.25">
      <c r="A1463" s="1176" t="s">
        <v>1647</v>
      </c>
      <c r="B1463" s="1177"/>
      <c r="C1463" s="1177"/>
      <c r="D1463" s="1177"/>
      <c r="E1463" s="1177"/>
      <c r="F1463" s="1177"/>
      <c r="G1463" s="1178"/>
    </row>
    <row r="1464" spans="1:7" ht="24" x14ac:dyDescent="0.2">
      <c r="A1464" s="254" t="s">
        <v>1681</v>
      </c>
      <c r="B1464" s="190" t="s">
        <v>42</v>
      </c>
      <c r="C1464" s="190" t="s">
        <v>43</v>
      </c>
      <c r="D1464" s="190" t="s">
        <v>44</v>
      </c>
      <c r="E1464" s="190" t="s">
        <v>306</v>
      </c>
      <c r="F1464" s="190" t="s">
        <v>29</v>
      </c>
      <c r="G1464" s="243"/>
    </row>
    <row r="1465" spans="1:7" ht="36" x14ac:dyDescent="0.2">
      <c r="A1465" s="255" t="s">
        <v>1676</v>
      </c>
      <c r="B1465" s="202">
        <f>VLOOKUP(A1465,JORNALES!$A$5:$B$28,2,FALSE)</f>
        <v>295000</v>
      </c>
      <c r="C1465" s="233">
        <f>+PRESTACIONES!$C$20/100</f>
        <v>0.89990000000000014</v>
      </c>
      <c r="D1465" s="234">
        <f>+(B1465*C1465)+B1465</f>
        <v>560470.5</v>
      </c>
      <c r="E1465" s="421">
        <v>80</v>
      </c>
      <c r="F1465" s="199">
        <f>+D1465/E1465</f>
        <v>7005.8812500000004</v>
      </c>
      <c r="G1465" s="246"/>
    </row>
    <row r="1466" spans="1:7" x14ac:dyDescent="0.2">
      <c r="A1466" s="247"/>
      <c r="B1466" s="416"/>
      <c r="C1466" s="416"/>
      <c r="D1466" s="416"/>
      <c r="E1466" s="416"/>
      <c r="F1466" s="416"/>
      <c r="G1466" s="246" t="s">
        <v>31</v>
      </c>
    </row>
    <row r="1467" spans="1:7" x14ac:dyDescent="0.2">
      <c r="A1467" s="247"/>
      <c r="B1467" s="416"/>
      <c r="C1467" s="416"/>
      <c r="D1467" s="416"/>
      <c r="E1467" s="416"/>
      <c r="F1467" s="416"/>
      <c r="G1467" s="256">
        <f>SUM(F1465:F1465)</f>
        <v>7005.8812500000004</v>
      </c>
    </row>
    <row r="1468" spans="1:7" ht="15" thickBot="1" x14ac:dyDescent="0.25">
      <c r="A1468" s="1181" t="s">
        <v>25</v>
      </c>
      <c r="B1468" s="1182"/>
      <c r="C1468" s="1182"/>
      <c r="D1468" s="1182"/>
      <c r="E1468" s="1182"/>
      <c r="F1468" s="1182"/>
      <c r="G1468" s="1183"/>
    </row>
    <row r="1469" spans="1:7" ht="15" thickBot="1" x14ac:dyDescent="0.25">
      <c r="A1469" s="1184" t="s">
        <v>45</v>
      </c>
      <c r="B1469" s="1185"/>
      <c r="C1469" s="1185"/>
      <c r="D1469" s="1185"/>
      <c r="E1469" s="1185"/>
      <c r="F1469" s="192"/>
      <c r="G1469" s="277">
        <f xml:space="preserve"> ROUND(G1467+G1462+G1456+G1450,0)</f>
        <v>113230</v>
      </c>
    </row>
    <row r="1470" spans="1:7" x14ac:dyDescent="0.2">
      <c r="A1470" s="1186" t="s">
        <v>476</v>
      </c>
      <c r="B1470" s="1187"/>
      <c r="C1470" s="1187"/>
      <c r="D1470" s="1187"/>
      <c r="E1470" s="1187"/>
      <c r="F1470" s="193" t="s">
        <v>51</v>
      </c>
      <c r="G1470" s="257" t="s">
        <v>307</v>
      </c>
    </row>
    <row r="1471" spans="1:7" x14ac:dyDescent="0.2">
      <c r="A1471" s="1166" t="s">
        <v>17</v>
      </c>
      <c r="B1471" s="1167"/>
      <c r="C1471" s="1167"/>
      <c r="D1471" s="1167"/>
      <c r="E1471" s="1167"/>
      <c r="F1471" s="240"/>
      <c r="G1471" s="196"/>
    </row>
    <row r="1472" spans="1:7" x14ac:dyDescent="0.2">
      <c r="A1472" s="1166" t="s">
        <v>308</v>
      </c>
      <c r="B1472" s="1167"/>
      <c r="C1472" s="1167"/>
      <c r="D1472" s="1167"/>
      <c r="E1472" s="1167"/>
      <c r="F1472" s="240"/>
      <c r="G1472" s="196"/>
    </row>
    <row r="1473" spans="1:7" x14ac:dyDescent="0.2">
      <c r="A1473" s="1166" t="s">
        <v>19</v>
      </c>
      <c r="B1473" s="1167"/>
      <c r="C1473" s="1167"/>
      <c r="D1473" s="1167"/>
      <c r="E1473" s="1167"/>
      <c r="F1473" s="240"/>
      <c r="G1473" s="196"/>
    </row>
    <row r="1474" spans="1:7" ht="15" thickBot="1" x14ac:dyDescent="0.25">
      <c r="A1474" s="1168" t="s">
        <v>309</v>
      </c>
      <c r="B1474" s="1169"/>
      <c r="C1474" s="1169"/>
      <c r="D1474" s="1169"/>
      <c r="E1474" s="1169"/>
      <c r="F1474" s="198"/>
      <c r="G1474" s="258"/>
    </row>
    <row r="1475" spans="1:7" ht="15" thickBot="1" x14ac:dyDescent="0.25">
      <c r="A1475" s="1170" t="s">
        <v>310</v>
      </c>
      <c r="B1475" s="1171"/>
      <c r="C1475" s="1171"/>
      <c r="D1475" s="1171"/>
      <c r="E1475" s="1171"/>
      <c r="F1475" s="1172"/>
      <c r="G1475" s="1173"/>
    </row>
    <row r="1476" spans="1:7" x14ac:dyDescent="0.2">
      <c r="A1476" s="413"/>
      <c r="B1476" s="414"/>
      <c r="C1476" s="414"/>
      <c r="D1476" s="414"/>
      <c r="E1476" s="414"/>
      <c r="F1476" s="193"/>
      <c r="G1476" s="260"/>
    </row>
    <row r="1477" spans="1:7" ht="15" thickBot="1" x14ac:dyDescent="0.25">
      <c r="A1477" s="261" t="s">
        <v>681</v>
      </c>
      <c r="B1477" s="262"/>
      <c r="C1477" s="262" t="s">
        <v>682</v>
      </c>
      <c r="D1477" s="262"/>
      <c r="E1477" s="262"/>
      <c r="F1477" s="262" t="s">
        <v>683</v>
      </c>
      <c r="G1477" s="263"/>
    </row>
    <row r="1478" spans="1:7" ht="15" thickBot="1" x14ac:dyDescent="0.25">
      <c r="A1478" s="1174" t="str">
        <f>+LIST_ACTIVIDADES!D58</f>
        <v>Techo en lámina policarbonato</v>
      </c>
      <c r="B1478" s="1175"/>
      <c r="C1478" s="1175"/>
      <c r="D1478" s="1175"/>
      <c r="E1478" s="1175"/>
      <c r="F1478" s="241" t="s">
        <v>24</v>
      </c>
      <c r="G1478" s="264" t="str">
        <f>+LIST_ACTIVIDADES!E58</f>
        <v>m²</v>
      </c>
    </row>
    <row r="1479" spans="1:7" ht="15" thickBot="1" x14ac:dyDescent="0.25">
      <c r="A1479" s="1176" t="s">
        <v>1642</v>
      </c>
      <c r="B1479" s="1177"/>
      <c r="C1479" s="1177"/>
      <c r="D1479" s="1177"/>
      <c r="E1479" s="1177"/>
      <c r="F1479" s="1177"/>
      <c r="G1479" s="1178"/>
    </row>
    <row r="1480" spans="1:7" x14ac:dyDescent="0.2">
      <c r="A1480" s="242" t="s">
        <v>1643</v>
      </c>
      <c r="B1480" s="191" t="s">
        <v>1644</v>
      </c>
      <c r="C1480" s="190" t="s">
        <v>26</v>
      </c>
      <c r="D1480" s="190" t="s">
        <v>27</v>
      </c>
      <c r="E1480" s="190" t="s">
        <v>28</v>
      </c>
      <c r="F1480" s="190" t="s">
        <v>29</v>
      </c>
      <c r="G1480" s="243"/>
    </row>
    <row r="1481" spans="1:7" x14ac:dyDescent="0.2">
      <c r="A1481" s="362" t="str">
        <f>VLOOKUP(B1481,PRECIOS!$A$309:$E$485,2,FALSE)</f>
        <v>EQUIPO158</v>
      </c>
      <c r="B1481" s="363" t="s">
        <v>1699</v>
      </c>
      <c r="C1481" s="99" t="str">
        <f>VLOOKUP(B1481,PRECIOS!$A$309:$E$485,3,FALSE)</f>
        <v>Electrica</v>
      </c>
      <c r="D1481" s="364">
        <f>VLOOKUP(B1481,PRECIOS!$A$309:$E$485,5,FALSE)</f>
        <v>6250</v>
      </c>
      <c r="E1481" s="365">
        <v>0.9</v>
      </c>
      <c r="F1481" s="366">
        <f>+D1481*E1481</f>
        <v>5625</v>
      </c>
      <c r="G1481" s="245"/>
    </row>
    <row r="1482" spans="1:7" x14ac:dyDescent="0.2">
      <c r="A1482" s="362" t="str">
        <f>VLOOKUP(B1482,PRECIOS!$A$309:$E$485,2,FALSE)</f>
        <v>EQUIPO169</v>
      </c>
      <c r="B1482" s="363" t="s">
        <v>449</v>
      </c>
      <c r="C1482" s="99" t="str">
        <f>VLOOKUP(B1482,PRECIOS!$A$309:$E$485,3,FALSE)</f>
        <v>Estructura</v>
      </c>
      <c r="D1482" s="364">
        <f>VLOOKUP(B1482,PRECIOS!$A$309:$E$485,5,FALSE)</f>
        <v>1500</v>
      </c>
      <c r="E1482" s="365">
        <v>1</v>
      </c>
      <c r="F1482" s="366">
        <f>+D1482*E1482</f>
        <v>1500</v>
      </c>
      <c r="G1482" s="245"/>
    </row>
    <row r="1483" spans="1:7" ht="24" x14ac:dyDescent="0.2">
      <c r="A1483" s="362" t="str">
        <f>VLOOKUP(B1483,PRECIOS!$A$309:$E$485,2,FALSE)</f>
        <v>EQUIPO166</v>
      </c>
      <c r="B1483" s="363" t="s">
        <v>447</v>
      </c>
      <c r="C1483" s="99" t="str">
        <f>VLOOKUP(B1483,PRECIOS!$A$309:$E$485,3,FALSE)</f>
        <v>Estructura</v>
      </c>
      <c r="D1483" s="364">
        <f>VLOOKUP(B1483,PRECIOS!$A$309:$E$485,5,FALSE)</f>
        <v>125</v>
      </c>
      <c r="E1483" s="365">
        <v>25</v>
      </c>
      <c r="F1483" s="366">
        <f>+D1483*E1483</f>
        <v>3125</v>
      </c>
      <c r="G1483" s="245"/>
    </row>
    <row r="1484" spans="1:7" x14ac:dyDescent="0.2">
      <c r="A1484" s="1179" t="s">
        <v>1650</v>
      </c>
      <c r="B1484" s="1180"/>
      <c r="C1484" s="214">
        <v>0.05</v>
      </c>
      <c r="D1484" s="213"/>
      <c r="E1484" s="418"/>
      <c r="F1484" s="212">
        <f>+G1503*C1484</f>
        <v>1120.941</v>
      </c>
      <c r="G1484" s="246"/>
    </row>
    <row r="1485" spans="1:7" x14ac:dyDescent="0.2">
      <c r="A1485" s="247" t="s">
        <v>25</v>
      </c>
      <c r="B1485" s="416"/>
      <c r="C1485" s="416"/>
      <c r="D1485" s="416"/>
      <c r="E1485" s="416"/>
      <c r="F1485" s="416"/>
      <c r="G1485" s="246" t="s">
        <v>31</v>
      </c>
    </row>
    <row r="1486" spans="1:7" ht="15" thickBot="1" x14ac:dyDescent="0.25">
      <c r="A1486" s="248"/>
      <c r="B1486" s="420"/>
      <c r="C1486" s="420"/>
      <c r="D1486" s="420"/>
      <c r="E1486" s="420"/>
      <c r="F1486" s="420"/>
      <c r="G1486" s="249">
        <f>SUM(F1481:F1484)</f>
        <v>11370.941000000001</v>
      </c>
    </row>
    <row r="1487" spans="1:7" ht="15" thickBot="1" x14ac:dyDescent="0.25">
      <c r="A1487" s="1176" t="s">
        <v>1645</v>
      </c>
      <c r="B1487" s="1177"/>
      <c r="C1487" s="1177"/>
      <c r="D1487" s="1177"/>
      <c r="E1487" s="1177"/>
      <c r="F1487" s="1177"/>
      <c r="G1487" s="1178"/>
    </row>
    <row r="1488" spans="1:7" x14ac:dyDescent="0.2">
      <c r="A1488" s="242" t="s">
        <v>1643</v>
      </c>
      <c r="B1488" s="191" t="s">
        <v>1644</v>
      </c>
      <c r="C1488" s="190" t="s">
        <v>32</v>
      </c>
      <c r="D1488" s="190" t="s">
        <v>33</v>
      </c>
      <c r="E1488" s="190" t="s">
        <v>34</v>
      </c>
      <c r="F1488" s="190" t="s">
        <v>35</v>
      </c>
      <c r="G1488" s="243"/>
    </row>
    <row r="1489" spans="1:7" x14ac:dyDescent="0.2">
      <c r="A1489" s="352" t="str">
        <f>VLOOKUP(B1489,PRECIOS!$A$5:$D$303,2,FALSE)</f>
        <v>CUBIERT05</v>
      </c>
      <c r="B1489" s="105" t="s">
        <v>1785</v>
      </c>
      <c r="C1489" s="105" t="str">
        <f>VLOOKUP(B1489,PRECIOS!$A$5:$D$303,3,FALSE)</f>
        <v>m2</v>
      </c>
      <c r="D1489" s="353">
        <f>VLOOKUP(B1489,PRECIOS!$A$5:$D$303,4,FALSE)</f>
        <v>48950</v>
      </c>
      <c r="E1489" s="354">
        <v>1</v>
      </c>
      <c r="F1489" s="355">
        <f>+D1489*E1489</f>
        <v>48950</v>
      </c>
      <c r="G1489" s="370"/>
    </row>
    <row r="1490" spans="1:7" x14ac:dyDescent="0.2">
      <c r="A1490" s="1179" t="s">
        <v>1649</v>
      </c>
      <c r="B1490" s="1180"/>
      <c r="C1490" s="214">
        <v>0.03</v>
      </c>
      <c r="D1490" s="417"/>
      <c r="E1490" s="418"/>
      <c r="F1490" s="276">
        <f>SUM(F1489:F1489)*C1490</f>
        <v>1468.5</v>
      </c>
      <c r="G1490" s="246"/>
    </row>
    <row r="1491" spans="1:7" x14ac:dyDescent="0.2">
      <c r="A1491" s="247"/>
      <c r="B1491" s="416"/>
      <c r="C1491" s="104"/>
      <c r="D1491" s="104"/>
      <c r="E1491" s="104"/>
      <c r="F1491" s="104"/>
      <c r="G1491" s="246" t="s">
        <v>31</v>
      </c>
    </row>
    <row r="1492" spans="1:7" ht="15" thickBot="1" x14ac:dyDescent="0.25">
      <c r="A1492" s="248"/>
      <c r="B1492" s="420"/>
      <c r="C1492" s="420"/>
      <c r="D1492" s="420"/>
      <c r="E1492" s="420"/>
      <c r="F1492" s="420"/>
      <c r="G1492" s="250">
        <f>SUM(F1489:F1490)</f>
        <v>50418.5</v>
      </c>
    </row>
    <row r="1493" spans="1:7" ht="15" thickBot="1" x14ac:dyDescent="0.25">
      <c r="A1493" s="1176" t="s">
        <v>1646</v>
      </c>
      <c r="B1493" s="1177"/>
      <c r="C1493" s="1177"/>
      <c r="D1493" s="1177"/>
      <c r="E1493" s="1177"/>
      <c r="F1493" s="1177"/>
      <c r="G1493" s="1178"/>
    </row>
    <row r="1494" spans="1:7" x14ac:dyDescent="0.2">
      <c r="A1494" s="251" t="s">
        <v>305</v>
      </c>
      <c r="B1494" s="190" t="s">
        <v>38</v>
      </c>
      <c r="C1494" s="190" t="s">
        <v>39</v>
      </c>
      <c r="D1494" s="190" t="s">
        <v>40</v>
      </c>
      <c r="E1494" s="190" t="s">
        <v>34</v>
      </c>
      <c r="F1494" s="190" t="s">
        <v>35</v>
      </c>
      <c r="G1494" s="243"/>
    </row>
    <row r="1495" spans="1:7" x14ac:dyDescent="0.2">
      <c r="A1495" s="369"/>
      <c r="B1495" s="89"/>
      <c r="C1495" s="209"/>
      <c r="D1495" s="199"/>
      <c r="E1495" s="367"/>
      <c r="F1495" s="234"/>
      <c r="G1495" s="253"/>
    </row>
    <row r="1496" spans="1:7" x14ac:dyDescent="0.2">
      <c r="A1496" s="252"/>
      <c r="B1496" s="235"/>
      <c r="C1496" s="238"/>
      <c r="D1496" s="236"/>
      <c r="E1496" s="237"/>
      <c r="F1496" s="239"/>
      <c r="G1496" s="253"/>
    </row>
    <row r="1497" spans="1:7" x14ac:dyDescent="0.2">
      <c r="A1497" s="247" t="s">
        <v>25</v>
      </c>
      <c r="B1497" s="104" t="s">
        <v>25</v>
      </c>
      <c r="C1497" s="104" t="s">
        <v>25</v>
      </c>
      <c r="D1497" s="188" t="s">
        <v>25</v>
      </c>
      <c r="E1497" s="189" t="s">
        <v>25</v>
      </c>
      <c r="F1497" s="187" t="s">
        <v>25</v>
      </c>
      <c r="G1497" s="246" t="s">
        <v>31</v>
      </c>
    </row>
    <row r="1498" spans="1:7" ht="15" thickBot="1" x14ac:dyDescent="0.25">
      <c r="A1498" s="248"/>
      <c r="B1498" s="420"/>
      <c r="C1498" s="420"/>
      <c r="D1498" s="420"/>
      <c r="E1498" s="420"/>
      <c r="F1498" s="420"/>
      <c r="G1498" s="250">
        <f>SUM(F1495:F1496)</f>
        <v>0</v>
      </c>
    </row>
    <row r="1499" spans="1:7" ht="15" thickBot="1" x14ac:dyDescent="0.25">
      <c r="A1499" s="1176" t="s">
        <v>1647</v>
      </c>
      <c r="B1499" s="1177"/>
      <c r="C1499" s="1177"/>
      <c r="D1499" s="1177"/>
      <c r="E1499" s="1177"/>
      <c r="F1499" s="1177"/>
      <c r="G1499" s="1178"/>
    </row>
    <row r="1500" spans="1:7" ht="24" x14ac:dyDescent="0.2">
      <c r="A1500" s="254" t="s">
        <v>1681</v>
      </c>
      <c r="B1500" s="190" t="s">
        <v>42</v>
      </c>
      <c r="C1500" s="190" t="s">
        <v>43</v>
      </c>
      <c r="D1500" s="190" t="s">
        <v>44</v>
      </c>
      <c r="E1500" s="190" t="s">
        <v>306</v>
      </c>
      <c r="F1500" s="190" t="s">
        <v>29</v>
      </c>
      <c r="G1500" s="243"/>
    </row>
    <row r="1501" spans="1:7" ht="36" x14ac:dyDescent="0.2">
      <c r="A1501" s="255" t="s">
        <v>1676</v>
      </c>
      <c r="B1501" s="202">
        <f>VLOOKUP(A1501,JORNALES!$A$5:$B$28,2,FALSE)</f>
        <v>295000</v>
      </c>
      <c r="C1501" s="233">
        <f>+PRESTACIONES!$C$20/100</f>
        <v>0.89990000000000014</v>
      </c>
      <c r="D1501" s="234">
        <f>+(B1501*C1501)+B1501</f>
        <v>560470.5</v>
      </c>
      <c r="E1501" s="421">
        <v>25</v>
      </c>
      <c r="F1501" s="199">
        <f>+D1501/E1501</f>
        <v>22418.82</v>
      </c>
      <c r="G1501" s="246"/>
    </row>
    <row r="1502" spans="1:7" x14ac:dyDescent="0.2">
      <c r="A1502" s="247"/>
      <c r="B1502" s="416"/>
      <c r="C1502" s="416"/>
      <c r="D1502" s="416"/>
      <c r="E1502" s="416"/>
      <c r="F1502" s="416"/>
      <c r="G1502" s="246" t="s">
        <v>31</v>
      </c>
    </row>
    <row r="1503" spans="1:7" x14ac:dyDescent="0.2">
      <c r="A1503" s="247"/>
      <c r="B1503" s="416"/>
      <c r="C1503" s="416"/>
      <c r="D1503" s="416"/>
      <c r="E1503" s="416"/>
      <c r="F1503" s="416"/>
      <c r="G1503" s="256">
        <f>SUM(F1501:F1501)</f>
        <v>22418.82</v>
      </c>
    </row>
    <row r="1504" spans="1:7" ht="15" thickBot="1" x14ac:dyDescent="0.25">
      <c r="A1504" s="1181" t="s">
        <v>25</v>
      </c>
      <c r="B1504" s="1182"/>
      <c r="C1504" s="1182"/>
      <c r="D1504" s="1182"/>
      <c r="E1504" s="1182"/>
      <c r="F1504" s="1182"/>
      <c r="G1504" s="1183"/>
    </row>
    <row r="1505" spans="1:7" ht="15" thickBot="1" x14ac:dyDescent="0.25">
      <c r="A1505" s="1184" t="s">
        <v>45</v>
      </c>
      <c r="B1505" s="1185"/>
      <c r="C1505" s="1185"/>
      <c r="D1505" s="1185"/>
      <c r="E1505" s="1185"/>
      <c r="F1505" s="192"/>
      <c r="G1505" s="277">
        <f xml:space="preserve"> ROUND(G1503+G1498+G1492+G1486,0)</f>
        <v>84208</v>
      </c>
    </row>
    <row r="1506" spans="1:7" x14ac:dyDescent="0.2">
      <c r="A1506" s="1186" t="s">
        <v>476</v>
      </c>
      <c r="B1506" s="1187"/>
      <c r="C1506" s="1187"/>
      <c r="D1506" s="1187"/>
      <c r="E1506" s="1187"/>
      <c r="F1506" s="193" t="s">
        <v>51</v>
      </c>
      <c r="G1506" s="257" t="s">
        <v>307</v>
      </c>
    </row>
    <row r="1507" spans="1:7" x14ac:dyDescent="0.2">
      <c r="A1507" s="1166" t="s">
        <v>17</v>
      </c>
      <c r="B1507" s="1167"/>
      <c r="C1507" s="1167"/>
      <c r="D1507" s="1167"/>
      <c r="E1507" s="1167"/>
      <c r="F1507" s="240"/>
      <c r="G1507" s="196"/>
    </row>
    <row r="1508" spans="1:7" x14ac:dyDescent="0.2">
      <c r="A1508" s="1166" t="s">
        <v>308</v>
      </c>
      <c r="B1508" s="1167"/>
      <c r="C1508" s="1167"/>
      <c r="D1508" s="1167"/>
      <c r="E1508" s="1167"/>
      <c r="F1508" s="240"/>
      <c r="G1508" s="196"/>
    </row>
    <row r="1509" spans="1:7" x14ac:dyDescent="0.2">
      <c r="A1509" s="1166" t="s">
        <v>19</v>
      </c>
      <c r="B1509" s="1167"/>
      <c r="C1509" s="1167"/>
      <c r="D1509" s="1167"/>
      <c r="E1509" s="1167"/>
      <c r="F1509" s="240"/>
      <c r="G1509" s="196"/>
    </row>
    <row r="1510" spans="1:7" ht="15" thickBot="1" x14ac:dyDescent="0.25">
      <c r="A1510" s="1168" t="s">
        <v>309</v>
      </c>
      <c r="B1510" s="1169"/>
      <c r="C1510" s="1169"/>
      <c r="D1510" s="1169"/>
      <c r="E1510" s="1169"/>
      <c r="F1510" s="198"/>
      <c r="G1510" s="258"/>
    </row>
    <row r="1511" spans="1:7" ht="15" thickBot="1" x14ac:dyDescent="0.25">
      <c r="A1511" s="1170" t="s">
        <v>310</v>
      </c>
      <c r="B1511" s="1171"/>
      <c r="C1511" s="1171"/>
      <c r="D1511" s="1171"/>
      <c r="E1511" s="1171"/>
      <c r="F1511" s="1172"/>
      <c r="G1511" s="1173"/>
    </row>
    <row r="1512" spans="1:7" x14ac:dyDescent="0.2">
      <c r="A1512" s="413"/>
      <c r="B1512" s="414"/>
      <c r="C1512" s="414"/>
      <c r="D1512" s="414"/>
      <c r="E1512" s="414"/>
      <c r="F1512" s="193"/>
      <c r="G1512" s="260"/>
    </row>
    <row r="1513" spans="1:7" ht="15" thickBot="1" x14ac:dyDescent="0.25">
      <c r="A1513" s="261" t="s">
        <v>681</v>
      </c>
      <c r="B1513" s="262"/>
      <c r="C1513" s="262" t="s">
        <v>682</v>
      </c>
      <c r="D1513" s="262"/>
      <c r="E1513" s="262"/>
      <c r="F1513" s="262" t="s">
        <v>683</v>
      </c>
      <c r="G1513" s="263"/>
    </row>
    <row r="1514" spans="1:7" ht="15" thickBot="1" x14ac:dyDescent="0.25">
      <c r="A1514" s="1174" t="str">
        <f>+LIST_ACTIVIDADES!D59</f>
        <v>Cielo falso en superboard, incluye estructura</v>
      </c>
      <c r="B1514" s="1175"/>
      <c r="C1514" s="1175"/>
      <c r="D1514" s="1175"/>
      <c r="E1514" s="1175"/>
      <c r="F1514" s="241" t="s">
        <v>24</v>
      </c>
      <c r="G1514" s="264" t="str">
        <f>+LIST_ACTIVIDADES!E59</f>
        <v>m²</v>
      </c>
    </row>
    <row r="1515" spans="1:7" ht="15" thickBot="1" x14ac:dyDescent="0.25">
      <c r="A1515" s="1176" t="s">
        <v>1642</v>
      </c>
      <c r="B1515" s="1177"/>
      <c r="C1515" s="1177"/>
      <c r="D1515" s="1177"/>
      <c r="E1515" s="1177"/>
      <c r="F1515" s="1177"/>
      <c r="G1515" s="1178"/>
    </row>
    <row r="1516" spans="1:7" x14ac:dyDescent="0.2">
      <c r="A1516" s="242" t="s">
        <v>1643</v>
      </c>
      <c r="B1516" s="191" t="s">
        <v>1644</v>
      </c>
      <c r="C1516" s="190" t="s">
        <v>26</v>
      </c>
      <c r="D1516" s="190" t="s">
        <v>27</v>
      </c>
      <c r="E1516" s="190" t="s">
        <v>28</v>
      </c>
      <c r="F1516" s="190" t="s">
        <v>29</v>
      </c>
      <c r="G1516" s="243"/>
    </row>
    <row r="1517" spans="1:7" x14ac:dyDescent="0.2">
      <c r="A1517" s="362" t="str">
        <f>VLOOKUP(B1517,PRECIOS!$A$309:$E$485,2,FALSE)</f>
        <v>EQUIPO158</v>
      </c>
      <c r="B1517" s="363" t="s">
        <v>1699</v>
      </c>
      <c r="C1517" s="99" t="str">
        <f>VLOOKUP(B1517,PRECIOS!$A$309:$E$485,3,FALSE)</f>
        <v>Electrica</v>
      </c>
      <c r="D1517" s="364">
        <f>VLOOKUP(B1517,PRECIOS!$A$309:$E$485,5,FALSE)</f>
        <v>6250</v>
      </c>
      <c r="E1517" s="365">
        <v>0.9</v>
      </c>
      <c r="F1517" s="366">
        <f>+D1517*E1517</f>
        <v>5625</v>
      </c>
      <c r="G1517" s="245"/>
    </row>
    <row r="1518" spans="1:7" x14ac:dyDescent="0.2">
      <c r="A1518" s="362" t="str">
        <f>VLOOKUP(B1518,PRECIOS!$A$309:$E$485,2,FALSE)</f>
        <v>EQUIPO169</v>
      </c>
      <c r="B1518" s="363" t="s">
        <v>449</v>
      </c>
      <c r="C1518" s="99" t="str">
        <f>VLOOKUP(B1518,PRECIOS!$A$309:$E$485,3,FALSE)</f>
        <v>Estructura</v>
      </c>
      <c r="D1518" s="364">
        <f>VLOOKUP(B1518,PRECIOS!$A$309:$E$485,5,FALSE)</f>
        <v>1500</v>
      </c>
      <c r="E1518" s="365">
        <v>1</v>
      </c>
      <c r="F1518" s="366">
        <f>+D1518*E1518</f>
        <v>1500</v>
      </c>
      <c r="G1518" s="245"/>
    </row>
    <row r="1519" spans="1:7" ht="24" x14ac:dyDescent="0.2">
      <c r="A1519" s="362" t="str">
        <f>VLOOKUP(B1519,PRECIOS!$A$309:$E$485,2,FALSE)</f>
        <v>EQUIPO166</v>
      </c>
      <c r="B1519" s="363" t="s">
        <v>447</v>
      </c>
      <c r="C1519" s="99" t="str">
        <f>VLOOKUP(B1519,PRECIOS!$A$309:$E$485,3,FALSE)</f>
        <v>Estructura</v>
      </c>
      <c r="D1519" s="364">
        <f>VLOOKUP(B1519,PRECIOS!$A$309:$E$485,5,FALSE)</f>
        <v>125</v>
      </c>
      <c r="E1519" s="365">
        <v>25</v>
      </c>
      <c r="F1519" s="366">
        <f>+D1519*E1519</f>
        <v>3125</v>
      </c>
      <c r="G1519" s="245"/>
    </row>
    <row r="1520" spans="1:7" x14ac:dyDescent="0.2">
      <c r="A1520" s="1179" t="s">
        <v>1650</v>
      </c>
      <c r="B1520" s="1180"/>
      <c r="C1520" s="214">
        <v>0.05</v>
      </c>
      <c r="D1520" s="213"/>
      <c r="E1520" s="418"/>
      <c r="F1520" s="212">
        <f>+G1540*C1520</f>
        <v>1361.5950000000003</v>
      </c>
      <c r="G1520" s="246"/>
    </row>
    <row r="1521" spans="1:7" x14ac:dyDescent="0.2">
      <c r="A1521" s="247" t="s">
        <v>25</v>
      </c>
      <c r="B1521" s="416"/>
      <c r="C1521" s="416"/>
      <c r="D1521" s="416"/>
      <c r="E1521" s="416"/>
      <c r="F1521" s="416"/>
      <c r="G1521" s="246" t="s">
        <v>31</v>
      </c>
    </row>
    <row r="1522" spans="1:7" ht="15" thickBot="1" x14ac:dyDescent="0.25">
      <c r="A1522" s="248"/>
      <c r="B1522" s="420"/>
      <c r="C1522" s="420"/>
      <c r="D1522" s="420"/>
      <c r="E1522" s="420"/>
      <c r="F1522" s="420"/>
      <c r="G1522" s="249">
        <f>SUM(F1517:F1520)</f>
        <v>11611.595000000001</v>
      </c>
    </row>
    <row r="1523" spans="1:7" ht="15" thickBot="1" x14ac:dyDescent="0.25">
      <c r="A1523" s="1176" t="s">
        <v>1645</v>
      </c>
      <c r="B1523" s="1177"/>
      <c r="C1523" s="1177"/>
      <c r="D1523" s="1177"/>
      <c r="E1523" s="1177"/>
      <c r="F1523" s="1177"/>
      <c r="G1523" s="1178"/>
    </row>
    <row r="1524" spans="1:7" x14ac:dyDescent="0.2">
      <c r="A1524" s="242" t="s">
        <v>1643</v>
      </c>
      <c r="B1524" s="191" t="s">
        <v>1644</v>
      </c>
      <c r="C1524" s="190" t="s">
        <v>32</v>
      </c>
      <c r="D1524" s="190" t="s">
        <v>33</v>
      </c>
      <c r="E1524" s="190" t="s">
        <v>34</v>
      </c>
      <c r="F1524" s="190" t="s">
        <v>35</v>
      </c>
      <c r="G1524" s="243"/>
    </row>
    <row r="1525" spans="1:7" ht="24" x14ac:dyDescent="0.2">
      <c r="A1525" s="352" t="str">
        <f>VLOOKUP(B1525,PRECIOS!$A$5:$D$303,2,FALSE)</f>
        <v>VARIOS30</v>
      </c>
      <c r="B1525" s="105" t="s">
        <v>1788</v>
      </c>
      <c r="C1525" s="105" t="str">
        <f>VLOOKUP(B1525,PRECIOS!$A$5:$D$303,3,FALSE)</f>
        <v>m2</v>
      </c>
      <c r="D1525" s="353">
        <f>VLOOKUP(B1525,PRECIOS!$A$5:$D$303,4,FALSE)</f>
        <v>35280</v>
      </c>
      <c r="E1525" s="354">
        <v>1</v>
      </c>
      <c r="F1525" s="355">
        <f>+D1525*E1525</f>
        <v>35280</v>
      </c>
      <c r="G1525" s="370"/>
    </row>
    <row r="1526" spans="1:7" ht="27" customHeight="1" x14ac:dyDescent="0.2">
      <c r="A1526" s="352" t="str">
        <f>VLOOKUP(B1526,PRECIOS!$A$5:$D$303,2,FALSE)</f>
        <v>VARIOS31</v>
      </c>
      <c r="B1526" s="105" t="s">
        <v>1791</v>
      </c>
      <c r="C1526" s="105" t="str">
        <f>VLOOKUP(B1526,PRECIOS!$A$5:$D$303,3,FALSE)</f>
        <v>m2</v>
      </c>
      <c r="D1526" s="353">
        <f>VLOOKUP(B1526,PRECIOS!$A$5:$D$303,4,FALSE)</f>
        <v>12580</v>
      </c>
      <c r="E1526" s="354">
        <v>1</v>
      </c>
      <c r="F1526" s="355">
        <f>+D1526*E1526</f>
        <v>12580</v>
      </c>
      <c r="G1526" s="370"/>
    </row>
    <row r="1527" spans="1:7" x14ac:dyDescent="0.2">
      <c r="A1527" s="1179" t="s">
        <v>1649</v>
      </c>
      <c r="B1527" s="1180"/>
      <c r="C1527" s="214">
        <v>0.03</v>
      </c>
      <c r="D1527" s="417"/>
      <c r="E1527" s="418"/>
      <c r="F1527" s="276">
        <f>SUM(F1525:F1525)*C1527</f>
        <v>1058.3999999999999</v>
      </c>
      <c r="G1527" s="246"/>
    </row>
    <row r="1528" spans="1:7" x14ac:dyDescent="0.2">
      <c r="A1528" s="247"/>
      <c r="B1528" s="416"/>
      <c r="C1528" s="104"/>
      <c r="D1528" s="104"/>
      <c r="E1528" s="104"/>
      <c r="F1528" s="104"/>
      <c r="G1528" s="246" t="s">
        <v>31</v>
      </c>
    </row>
    <row r="1529" spans="1:7" ht="15" thickBot="1" x14ac:dyDescent="0.25">
      <c r="A1529" s="248"/>
      <c r="B1529" s="420"/>
      <c r="C1529" s="420"/>
      <c r="D1529" s="420"/>
      <c r="E1529" s="420"/>
      <c r="F1529" s="420"/>
      <c r="G1529" s="250">
        <f>SUM(F1525:F1527)</f>
        <v>48918.400000000001</v>
      </c>
    </row>
    <row r="1530" spans="1:7" ht="15" thickBot="1" x14ac:dyDescent="0.25">
      <c r="A1530" s="1176" t="s">
        <v>1646</v>
      </c>
      <c r="B1530" s="1177"/>
      <c r="C1530" s="1177"/>
      <c r="D1530" s="1177"/>
      <c r="E1530" s="1177"/>
      <c r="F1530" s="1177"/>
      <c r="G1530" s="1178"/>
    </row>
    <row r="1531" spans="1:7" x14ac:dyDescent="0.2">
      <c r="A1531" s="251" t="s">
        <v>305</v>
      </c>
      <c r="B1531" s="190" t="s">
        <v>38</v>
      </c>
      <c r="C1531" s="190" t="s">
        <v>39</v>
      </c>
      <c r="D1531" s="190" t="s">
        <v>40</v>
      </c>
      <c r="E1531" s="190" t="s">
        <v>34</v>
      </c>
      <c r="F1531" s="190" t="s">
        <v>35</v>
      </c>
      <c r="G1531" s="243"/>
    </row>
    <row r="1532" spans="1:7" x14ac:dyDescent="0.2">
      <c r="A1532" s="369"/>
      <c r="B1532" s="89"/>
      <c r="C1532" s="209"/>
      <c r="D1532" s="199"/>
      <c r="E1532" s="367"/>
      <c r="F1532" s="234"/>
      <c r="G1532" s="253"/>
    </row>
    <row r="1533" spans="1:7" x14ac:dyDescent="0.2">
      <c r="A1533" s="252"/>
      <c r="B1533" s="235"/>
      <c r="C1533" s="238"/>
      <c r="D1533" s="236"/>
      <c r="E1533" s="237"/>
      <c r="F1533" s="239"/>
      <c r="G1533" s="253"/>
    </row>
    <row r="1534" spans="1:7" x14ac:dyDescent="0.2">
      <c r="A1534" s="247" t="s">
        <v>25</v>
      </c>
      <c r="B1534" s="104" t="s">
        <v>25</v>
      </c>
      <c r="C1534" s="104" t="s">
        <v>25</v>
      </c>
      <c r="D1534" s="188" t="s">
        <v>25</v>
      </c>
      <c r="E1534" s="189" t="s">
        <v>25</v>
      </c>
      <c r="F1534" s="187" t="s">
        <v>25</v>
      </c>
      <c r="G1534" s="246" t="s">
        <v>31</v>
      </c>
    </row>
    <row r="1535" spans="1:7" ht="15" thickBot="1" x14ac:dyDescent="0.25">
      <c r="A1535" s="248"/>
      <c r="B1535" s="420"/>
      <c r="C1535" s="420"/>
      <c r="D1535" s="420"/>
      <c r="E1535" s="420"/>
      <c r="F1535" s="420"/>
      <c r="G1535" s="250">
        <f>SUM(F1532:F1533)</f>
        <v>0</v>
      </c>
    </row>
    <row r="1536" spans="1:7" ht="15" thickBot="1" x14ac:dyDescent="0.25">
      <c r="A1536" s="1176" t="s">
        <v>1647</v>
      </c>
      <c r="B1536" s="1177"/>
      <c r="C1536" s="1177"/>
      <c r="D1536" s="1177"/>
      <c r="E1536" s="1177"/>
      <c r="F1536" s="1177"/>
      <c r="G1536" s="1178"/>
    </row>
    <row r="1537" spans="1:7" ht="24" x14ac:dyDescent="0.2">
      <c r="A1537" s="254" t="s">
        <v>1681</v>
      </c>
      <c r="B1537" s="190" t="s">
        <v>42</v>
      </c>
      <c r="C1537" s="190" t="s">
        <v>43</v>
      </c>
      <c r="D1537" s="190" t="s">
        <v>44</v>
      </c>
      <c r="E1537" s="190" t="s">
        <v>306</v>
      </c>
      <c r="F1537" s="190" t="s">
        <v>29</v>
      </c>
      <c r="G1537" s="243"/>
    </row>
    <row r="1538" spans="1:7" ht="36" x14ac:dyDescent="0.2">
      <c r="A1538" s="255" t="s">
        <v>1674</v>
      </c>
      <c r="B1538" s="202">
        <f>VLOOKUP(A1538,JORNALES!$A$5:$B$28,2,FALSE)</f>
        <v>215000</v>
      </c>
      <c r="C1538" s="233">
        <f>+PRESTACIONES!$C$20/100</f>
        <v>0.89990000000000014</v>
      </c>
      <c r="D1538" s="234">
        <f>+(B1538*C1538)+B1538</f>
        <v>408478.5</v>
      </c>
      <c r="E1538" s="421">
        <v>15</v>
      </c>
      <c r="F1538" s="199">
        <f>+D1538/E1538</f>
        <v>27231.9</v>
      </c>
      <c r="G1538" s="246"/>
    </row>
    <row r="1539" spans="1:7" x14ac:dyDescent="0.2">
      <c r="A1539" s="247"/>
      <c r="B1539" s="416"/>
      <c r="C1539" s="416"/>
      <c r="D1539" s="416"/>
      <c r="E1539" s="416"/>
      <c r="F1539" s="416"/>
      <c r="G1539" s="246" t="s">
        <v>31</v>
      </c>
    </row>
    <row r="1540" spans="1:7" x14ac:dyDescent="0.2">
      <c r="A1540" s="247"/>
      <c r="B1540" s="416"/>
      <c r="C1540" s="416"/>
      <c r="D1540" s="416"/>
      <c r="E1540" s="416"/>
      <c r="F1540" s="416"/>
      <c r="G1540" s="256">
        <f>SUM(F1538:F1538)</f>
        <v>27231.9</v>
      </c>
    </row>
    <row r="1541" spans="1:7" ht="15" thickBot="1" x14ac:dyDescent="0.25">
      <c r="A1541" s="1181" t="s">
        <v>25</v>
      </c>
      <c r="B1541" s="1182"/>
      <c r="C1541" s="1182"/>
      <c r="D1541" s="1182"/>
      <c r="E1541" s="1182"/>
      <c r="F1541" s="1182"/>
      <c r="G1541" s="1183"/>
    </row>
    <row r="1542" spans="1:7" ht="15" thickBot="1" x14ac:dyDescent="0.25">
      <c r="A1542" s="1184" t="s">
        <v>45</v>
      </c>
      <c r="B1542" s="1185"/>
      <c r="C1542" s="1185"/>
      <c r="D1542" s="1185"/>
      <c r="E1542" s="1185"/>
      <c r="F1542" s="192"/>
      <c r="G1542" s="277">
        <f xml:space="preserve"> ROUND(G1540+G1535+G1529+G1522,0)</f>
        <v>87762</v>
      </c>
    </row>
    <row r="1543" spans="1:7" x14ac:dyDescent="0.2">
      <c r="A1543" s="1186" t="s">
        <v>476</v>
      </c>
      <c r="B1543" s="1187"/>
      <c r="C1543" s="1187"/>
      <c r="D1543" s="1187"/>
      <c r="E1543" s="1187"/>
      <c r="F1543" s="193" t="s">
        <v>51</v>
      </c>
      <c r="G1543" s="257" t="s">
        <v>307</v>
      </c>
    </row>
    <row r="1544" spans="1:7" x14ac:dyDescent="0.2">
      <c r="A1544" s="1166" t="s">
        <v>17</v>
      </c>
      <c r="B1544" s="1167"/>
      <c r="C1544" s="1167"/>
      <c r="D1544" s="1167"/>
      <c r="E1544" s="1167"/>
      <c r="F1544" s="240"/>
      <c r="G1544" s="196"/>
    </row>
    <row r="1545" spans="1:7" x14ac:dyDescent="0.2">
      <c r="A1545" s="1166" t="s">
        <v>308</v>
      </c>
      <c r="B1545" s="1167"/>
      <c r="C1545" s="1167"/>
      <c r="D1545" s="1167"/>
      <c r="E1545" s="1167"/>
      <c r="F1545" s="240"/>
      <c r="G1545" s="196"/>
    </row>
    <row r="1546" spans="1:7" x14ac:dyDescent="0.2">
      <c r="A1546" s="1166" t="s">
        <v>19</v>
      </c>
      <c r="B1546" s="1167"/>
      <c r="C1546" s="1167"/>
      <c r="D1546" s="1167"/>
      <c r="E1546" s="1167"/>
      <c r="F1546" s="240"/>
      <c r="G1546" s="196"/>
    </row>
    <row r="1547" spans="1:7" ht="15" thickBot="1" x14ac:dyDescent="0.25">
      <c r="A1547" s="1168" t="s">
        <v>309</v>
      </c>
      <c r="B1547" s="1169"/>
      <c r="C1547" s="1169"/>
      <c r="D1547" s="1169"/>
      <c r="E1547" s="1169"/>
      <c r="F1547" s="198"/>
      <c r="G1547" s="258"/>
    </row>
    <row r="1548" spans="1:7" ht="15" thickBot="1" x14ac:dyDescent="0.25">
      <c r="A1548" s="1170" t="s">
        <v>310</v>
      </c>
      <c r="B1548" s="1171"/>
      <c r="C1548" s="1171"/>
      <c r="D1548" s="1171"/>
      <c r="E1548" s="1171"/>
      <c r="F1548" s="1172"/>
      <c r="G1548" s="1173"/>
    </row>
    <row r="1549" spans="1:7" x14ac:dyDescent="0.2">
      <c r="A1549" s="413"/>
      <c r="B1549" s="414"/>
      <c r="C1549" s="414"/>
      <c r="D1549" s="414"/>
      <c r="E1549" s="414"/>
      <c r="F1549" s="193"/>
      <c r="G1549" s="260"/>
    </row>
    <row r="1550" spans="1:7" ht="15" thickBot="1" x14ac:dyDescent="0.25">
      <c r="A1550" s="261" t="s">
        <v>681</v>
      </c>
      <c r="B1550" s="262"/>
      <c r="C1550" s="262" t="s">
        <v>682</v>
      </c>
      <c r="D1550" s="262"/>
      <c r="E1550" s="262"/>
      <c r="F1550" s="262" t="s">
        <v>683</v>
      </c>
      <c r="G1550" s="263"/>
    </row>
    <row r="1551" spans="1:7" ht="15" thickBot="1" x14ac:dyDescent="0.25">
      <c r="A1551" s="1174" t="str">
        <f>+LIST_ACTIVIDADES!D60</f>
        <v>Manto bituminoso para control de humedades, incluye cintas asfalticas</v>
      </c>
      <c r="B1551" s="1175"/>
      <c r="C1551" s="1175"/>
      <c r="D1551" s="1175"/>
      <c r="E1551" s="1175"/>
      <c r="F1551" s="241" t="s">
        <v>24</v>
      </c>
      <c r="G1551" s="264" t="str">
        <f>+LIST_ACTIVIDADES!E60</f>
        <v>m²</v>
      </c>
    </row>
    <row r="1552" spans="1:7" ht="15" thickBot="1" x14ac:dyDescent="0.25">
      <c r="A1552" s="1176" t="s">
        <v>1642</v>
      </c>
      <c r="B1552" s="1177"/>
      <c r="C1552" s="1177"/>
      <c r="D1552" s="1177"/>
      <c r="E1552" s="1177"/>
      <c r="F1552" s="1177"/>
      <c r="G1552" s="1178"/>
    </row>
    <row r="1553" spans="1:7" x14ac:dyDescent="0.2">
      <c r="A1553" s="242" t="s">
        <v>1643</v>
      </c>
      <c r="B1553" s="191" t="s">
        <v>1644</v>
      </c>
      <c r="C1553" s="190" t="s">
        <v>26</v>
      </c>
      <c r="D1553" s="190" t="s">
        <v>27</v>
      </c>
      <c r="E1553" s="190" t="s">
        <v>28</v>
      </c>
      <c r="F1553" s="190" t="s">
        <v>29</v>
      </c>
      <c r="G1553" s="243"/>
    </row>
    <row r="1554" spans="1:7" x14ac:dyDescent="0.2">
      <c r="A1554" s="362" t="str">
        <f>VLOOKUP(B1554,PRECIOS!$A$309:$E$485,2,FALSE)</f>
        <v>EQUIPO158</v>
      </c>
      <c r="B1554" s="363" t="s">
        <v>1699</v>
      </c>
      <c r="C1554" s="99" t="str">
        <f>VLOOKUP(B1554,PRECIOS!$A$309:$E$485,3,FALSE)</f>
        <v>Electrica</v>
      </c>
      <c r="D1554" s="364">
        <f>VLOOKUP(B1554,PRECIOS!$A$309:$E$485,5,FALSE)</f>
        <v>6250</v>
      </c>
      <c r="E1554" s="365">
        <v>0.9</v>
      </c>
      <c r="F1554" s="366">
        <f>+D1554*E1554</f>
        <v>5625</v>
      </c>
      <c r="G1554" s="245"/>
    </row>
    <row r="1555" spans="1:7" x14ac:dyDescent="0.2">
      <c r="A1555" s="362" t="str">
        <f>VLOOKUP(B1555,PRECIOS!$A$309:$E$485,2,FALSE)</f>
        <v>EQUIPO169</v>
      </c>
      <c r="B1555" s="363" t="s">
        <v>449</v>
      </c>
      <c r="C1555" s="99" t="str">
        <f>VLOOKUP(B1555,PRECIOS!$A$309:$E$485,3,FALSE)</f>
        <v>Estructura</v>
      </c>
      <c r="D1555" s="364">
        <f>VLOOKUP(B1555,PRECIOS!$A$309:$E$485,5,FALSE)</f>
        <v>1500</v>
      </c>
      <c r="E1555" s="365">
        <v>1</v>
      </c>
      <c r="F1555" s="366">
        <f>+D1555*E1555</f>
        <v>1500</v>
      </c>
      <c r="G1555" s="245"/>
    </row>
    <row r="1556" spans="1:7" x14ac:dyDescent="0.2">
      <c r="A1556" s="1179" t="s">
        <v>1650</v>
      </c>
      <c r="B1556" s="1180"/>
      <c r="C1556" s="214">
        <v>0.05</v>
      </c>
      <c r="D1556" s="213"/>
      <c r="E1556" s="418"/>
      <c r="F1556" s="212">
        <f>+G1575*C1556</f>
        <v>510.59812499999998</v>
      </c>
      <c r="G1556" s="246"/>
    </row>
    <row r="1557" spans="1:7" x14ac:dyDescent="0.2">
      <c r="A1557" s="247" t="s">
        <v>25</v>
      </c>
      <c r="B1557" s="416"/>
      <c r="C1557" s="416"/>
      <c r="D1557" s="416"/>
      <c r="E1557" s="416"/>
      <c r="F1557" s="416"/>
      <c r="G1557" s="246" t="s">
        <v>31</v>
      </c>
    </row>
    <row r="1558" spans="1:7" ht="15" thickBot="1" x14ac:dyDescent="0.25">
      <c r="A1558" s="248"/>
      <c r="B1558" s="420"/>
      <c r="C1558" s="420"/>
      <c r="D1558" s="420"/>
      <c r="E1558" s="420"/>
      <c r="F1558" s="420"/>
      <c r="G1558" s="249">
        <f>SUM(F1554:F1556)</f>
        <v>7635.5981250000004</v>
      </c>
    </row>
    <row r="1559" spans="1:7" ht="15" thickBot="1" x14ac:dyDescent="0.25">
      <c r="A1559" s="1176" t="s">
        <v>1645</v>
      </c>
      <c r="B1559" s="1177"/>
      <c r="C1559" s="1177"/>
      <c r="D1559" s="1177"/>
      <c r="E1559" s="1177"/>
      <c r="F1559" s="1177"/>
      <c r="G1559" s="1178"/>
    </row>
    <row r="1560" spans="1:7" x14ac:dyDescent="0.2">
      <c r="A1560" s="242" t="s">
        <v>1643</v>
      </c>
      <c r="B1560" s="191" t="s">
        <v>1644</v>
      </c>
      <c r="C1560" s="190" t="s">
        <v>32</v>
      </c>
      <c r="D1560" s="190" t="s">
        <v>33</v>
      </c>
      <c r="E1560" s="190" t="s">
        <v>34</v>
      </c>
      <c r="F1560" s="190" t="s">
        <v>35</v>
      </c>
      <c r="G1560" s="243"/>
    </row>
    <row r="1561" spans="1:7" x14ac:dyDescent="0.2">
      <c r="A1561" s="352" t="str">
        <f>VLOOKUP(B1561,PRECIOS!$A$5:$D$303,2,FALSE)</f>
        <v>VARIOS32</v>
      </c>
      <c r="B1561" s="105" t="s">
        <v>1793</v>
      </c>
      <c r="C1561" s="105" t="str">
        <f>VLOOKUP(B1561,PRECIOS!$A$5:$D$303,3,FALSE)</f>
        <v>m2</v>
      </c>
      <c r="D1561" s="353">
        <f>VLOOKUP(B1561,PRECIOS!$A$5:$D$303,4,FALSE)</f>
        <v>19837.5</v>
      </c>
      <c r="E1561" s="354">
        <v>1</v>
      </c>
      <c r="F1561" s="355">
        <f>+D1561*E1561</f>
        <v>19837.5</v>
      </c>
      <c r="G1561" s="370"/>
    </row>
    <row r="1562" spans="1:7" x14ac:dyDescent="0.2">
      <c r="A1562" s="1179" t="s">
        <v>1649</v>
      </c>
      <c r="B1562" s="1180"/>
      <c r="C1562" s="214">
        <v>0.03</v>
      </c>
      <c r="D1562" s="417"/>
      <c r="E1562" s="418"/>
      <c r="F1562" s="276">
        <f>SUM(F1561:F1561)*C1562</f>
        <v>595.125</v>
      </c>
      <c r="G1562" s="246"/>
    </row>
    <row r="1563" spans="1:7" x14ac:dyDescent="0.2">
      <c r="A1563" s="247"/>
      <c r="B1563" s="416"/>
      <c r="C1563" s="104"/>
      <c r="D1563" s="104"/>
      <c r="E1563" s="104"/>
      <c r="F1563" s="104"/>
      <c r="G1563" s="246" t="s">
        <v>31</v>
      </c>
    </row>
    <row r="1564" spans="1:7" ht="15" thickBot="1" x14ac:dyDescent="0.25">
      <c r="A1564" s="248"/>
      <c r="B1564" s="420"/>
      <c r="C1564" s="420"/>
      <c r="D1564" s="420"/>
      <c r="E1564" s="420"/>
      <c r="F1564" s="420"/>
      <c r="G1564" s="250">
        <f>SUM(F1561:F1562)</f>
        <v>20432.625</v>
      </c>
    </row>
    <row r="1565" spans="1:7" ht="15" thickBot="1" x14ac:dyDescent="0.25">
      <c r="A1565" s="1176" t="s">
        <v>1646</v>
      </c>
      <c r="B1565" s="1177"/>
      <c r="C1565" s="1177"/>
      <c r="D1565" s="1177"/>
      <c r="E1565" s="1177"/>
      <c r="F1565" s="1177"/>
      <c r="G1565" s="1178"/>
    </row>
    <row r="1566" spans="1:7" x14ac:dyDescent="0.2">
      <c r="A1566" s="251" t="s">
        <v>305</v>
      </c>
      <c r="B1566" s="190" t="s">
        <v>38</v>
      </c>
      <c r="C1566" s="190" t="s">
        <v>39</v>
      </c>
      <c r="D1566" s="190" t="s">
        <v>40</v>
      </c>
      <c r="E1566" s="190" t="s">
        <v>34</v>
      </c>
      <c r="F1566" s="190" t="s">
        <v>35</v>
      </c>
      <c r="G1566" s="243"/>
    </row>
    <row r="1567" spans="1:7" x14ac:dyDescent="0.2">
      <c r="A1567" s="369"/>
      <c r="B1567" s="89"/>
      <c r="C1567" s="209"/>
      <c r="D1567" s="199"/>
      <c r="E1567" s="367"/>
      <c r="F1567" s="234"/>
      <c r="G1567" s="253"/>
    </row>
    <row r="1568" spans="1:7" x14ac:dyDescent="0.2">
      <c r="A1568" s="252"/>
      <c r="B1568" s="235"/>
      <c r="C1568" s="238"/>
      <c r="D1568" s="236"/>
      <c r="E1568" s="237"/>
      <c r="F1568" s="239"/>
      <c r="G1568" s="253"/>
    </row>
    <row r="1569" spans="1:7" x14ac:dyDescent="0.2">
      <c r="A1569" s="247" t="s">
        <v>25</v>
      </c>
      <c r="B1569" s="104" t="s">
        <v>25</v>
      </c>
      <c r="C1569" s="104" t="s">
        <v>25</v>
      </c>
      <c r="D1569" s="188" t="s">
        <v>25</v>
      </c>
      <c r="E1569" s="189" t="s">
        <v>25</v>
      </c>
      <c r="F1569" s="187" t="s">
        <v>25</v>
      </c>
      <c r="G1569" s="246" t="s">
        <v>31</v>
      </c>
    </row>
    <row r="1570" spans="1:7" ht="15" thickBot="1" x14ac:dyDescent="0.25">
      <c r="A1570" s="248"/>
      <c r="B1570" s="420"/>
      <c r="C1570" s="420"/>
      <c r="D1570" s="420"/>
      <c r="E1570" s="420"/>
      <c r="F1570" s="420"/>
      <c r="G1570" s="250">
        <f>SUM(F1567:F1568)</f>
        <v>0</v>
      </c>
    </row>
    <row r="1571" spans="1:7" ht="15" thickBot="1" x14ac:dyDescent="0.25">
      <c r="A1571" s="1176" t="s">
        <v>1647</v>
      </c>
      <c r="B1571" s="1177"/>
      <c r="C1571" s="1177"/>
      <c r="D1571" s="1177"/>
      <c r="E1571" s="1177"/>
      <c r="F1571" s="1177"/>
      <c r="G1571" s="1178"/>
    </row>
    <row r="1572" spans="1:7" ht="24" x14ac:dyDescent="0.2">
      <c r="A1572" s="254" t="s">
        <v>1681</v>
      </c>
      <c r="B1572" s="190" t="s">
        <v>42</v>
      </c>
      <c r="C1572" s="190" t="s">
        <v>43</v>
      </c>
      <c r="D1572" s="190" t="s">
        <v>44</v>
      </c>
      <c r="E1572" s="190" t="s">
        <v>306</v>
      </c>
      <c r="F1572" s="190" t="s">
        <v>29</v>
      </c>
      <c r="G1572" s="243"/>
    </row>
    <row r="1573" spans="1:7" ht="36" x14ac:dyDescent="0.2">
      <c r="A1573" s="255" t="s">
        <v>1674</v>
      </c>
      <c r="B1573" s="202">
        <f>VLOOKUP(A1573,JORNALES!$A$5:$B$28,2,FALSE)</f>
        <v>215000</v>
      </c>
      <c r="C1573" s="233">
        <f>+PRESTACIONES!$C$20/100</f>
        <v>0.89990000000000014</v>
      </c>
      <c r="D1573" s="234">
        <f>+(B1573*C1573)+B1573</f>
        <v>408478.5</v>
      </c>
      <c r="E1573" s="421">
        <v>40</v>
      </c>
      <c r="F1573" s="199">
        <f>+D1573/E1573</f>
        <v>10211.9625</v>
      </c>
      <c r="G1573" s="246"/>
    </row>
    <row r="1574" spans="1:7" x14ac:dyDescent="0.2">
      <c r="A1574" s="247"/>
      <c r="B1574" s="416"/>
      <c r="C1574" s="416"/>
      <c r="D1574" s="416"/>
      <c r="E1574" s="416"/>
      <c r="F1574" s="416"/>
      <c r="G1574" s="246" t="s">
        <v>31</v>
      </c>
    </row>
    <row r="1575" spans="1:7" x14ac:dyDescent="0.2">
      <c r="A1575" s="247"/>
      <c r="B1575" s="416"/>
      <c r="C1575" s="416"/>
      <c r="D1575" s="416"/>
      <c r="E1575" s="416"/>
      <c r="F1575" s="416"/>
      <c r="G1575" s="256">
        <f>SUM(F1573:F1573)</f>
        <v>10211.9625</v>
      </c>
    </row>
    <row r="1576" spans="1:7" ht="15" thickBot="1" x14ac:dyDescent="0.25">
      <c r="A1576" s="1181" t="s">
        <v>25</v>
      </c>
      <c r="B1576" s="1182"/>
      <c r="C1576" s="1182"/>
      <c r="D1576" s="1182"/>
      <c r="E1576" s="1182"/>
      <c r="F1576" s="1182"/>
      <c r="G1576" s="1183"/>
    </row>
    <row r="1577" spans="1:7" ht="15" thickBot="1" x14ac:dyDescent="0.25">
      <c r="A1577" s="1184" t="s">
        <v>45</v>
      </c>
      <c r="B1577" s="1185"/>
      <c r="C1577" s="1185"/>
      <c r="D1577" s="1185"/>
      <c r="E1577" s="1185"/>
      <c r="F1577" s="192"/>
      <c r="G1577" s="277">
        <f xml:space="preserve"> ROUND(G1575+G1570+G1564+G1558,0)</f>
        <v>38280</v>
      </c>
    </row>
    <row r="1578" spans="1:7" x14ac:dyDescent="0.2">
      <c r="A1578" s="1186" t="s">
        <v>476</v>
      </c>
      <c r="B1578" s="1187"/>
      <c r="C1578" s="1187"/>
      <c r="D1578" s="1187"/>
      <c r="E1578" s="1187"/>
      <c r="F1578" s="193" t="s">
        <v>51</v>
      </c>
      <c r="G1578" s="257" t="s">
        <v>307</v>
      </c>
    </row>
    <row r="1579" spans="1:7" x14ac:dyDescent="0.2">
      <c r="A1579" s="1166" t="s">
        <v>17</v>
      </c>
      <c r="B1579" s="1167"/>
      <c r="C1579" s="1167"/>
      <c r="D1579" s="1167"/>
      <c r="E1579" s="1167"/>
      <c r="F1579" s="240"/>
      <c r="G1579" s="196"/>
    </row>
    <row r="1580" spans="1:7" x14ac:dyDescent="0.2">
      <c r="A1580" s="1166" t="s">
        <v>308</v>
      </c>
      <c r="B1580" s="1167"/>
      <c r="C1580" s="1167"/>
      <c r="D1580" s="1167"/>
      <c r="E1580" s="1167"/>
      <c r="F1580" s="240"/>
      <c r="G1580" s="196"/>
    </row>
    <row r="1581" spans="1:7" x14ac:dyDescent="0.2">
      <c r="A1581" s="1166" t="s">
        <v>19</v>
      </c>
      <c r="B1581" s="1167"/>
      <c r="C1581" s="1167"/>
      <c r="D1581" s="1167"/>
      <c r="E1581" s="1167"/>
      <c r="F1581" s="240"/>
      <c r="G1581" s="196"/>
    </row>
    <row r="1582" spans="1:7" ht="15" thickBot="1" x14ac:dyDescent="0.25">
      <c r="A1582" s="1168" t="s">
        <v>309</v>
      </c>
      <c r="B1582" s="1169"/>
      <c r="C1582" s="1169"/>
      <c r="D1582" s="1169"/>
      <c r="E1582" s="1169"/>
      <c r="F1582" s="198"/>
      <c r="G1582" s="258"/>
    </row>
    <row r="1583" spans="1:7" ht="15" thickBot="1" x14ac:dyDescent="0.25">
      <c r="A1583" s="1170" t="s">
        <v>310</v>
      </c>
      <c r="B1583" s="1171"/>
      <c r="C1583" s="1171"/>
      <c r="D1583" s="1171"/>
      <c r="E1583" s="1171"/>
      <c r="F1583" s="1172"/>
      <c r="G1583" s="1173"/>
    </row>
    <row r="1584" spans="1:7" x14ac:dyDescent="0.2">
      <c r="A1584" s="413"/>
      <c r="B1584" s="414"/>
      <c r="C1584" s="414"/>
      <c r="D1584" s="414"/>
      <c r="E1584" s="414"/>
      <c r="F1584" s="193"/>
      <c r="G1584" s="260"/>
    </row>
    <row r="1585" spans="1:7" ht="15" thickBot="1" x14ac:dyDescent="0.25">
      <c r="A1585" s="261" t="s">
        <v>681</v>
      </c>
      <c r="B1585" s="262"/>
      <c r="C1585" s="262" t="s">
        <v>682</v>
      </c>
      <c r="D1585" s="262"/>
      <c r="E1585" s="262"/>
      <c r="F1585" s="262" t="s">
        <v>683</v>
      </c>
      <c r="G1585" s="263"/>
    </row>
    <row r="1586" spans="1:7" ht="15" thickBot="1" x14ac:dyDescent="0.25">
      <c r="A1586" s="1174" t="str">
        <f>+LIST_ACTIVIDADES!D63</f>
        <v>Puerta Corrediza (P1) en aluminio y vidrio 3+3 de 2,10 x 3,6mts, según diseños</v>
      </c>
      <c r="B1586" s="1175"/>
      <c r="C1586" s="1175"/>
      <c r="D1586" s="1175"/>
      <c r="E1586" s="1175"/>
      <c r="F1586" s="241" t="s">
        <v>24</v>
      </c>
      <c r="G1586" s="264" t="str">
        <f>+LIST_ACTIVIDADES!E63</f>
        <v>und</v>
      </c>
    </row>
    <row r="1587" spans="1:7" ht="15" thickBot="1" x14ac:dyDescent="0.25">
      <c r="A1587" s="1176" t="s">
        <v>1642</v>
      </c>
      <c r="B1587" s="1177"/>
      <c r="C1587" s="1177"/>
      <c r="D1587" s="1177"/>
      <c r="E1587" s="1177"/>
      <c r="F1587" s="1177"/>
      <c r="G1587" s="1178"/>
    </row>
    <row r="1588" spans="1:7" x14ac:dyDescent="0.2">
      <c r="A1588" s="242" t="s">
        <v>1643</v>
      </c>
      <c r="B1588" s="191" t="s">
        <v>1644</v>
      </c>
      <c r="C1588" s="190" t="s">
        <v>26</v>
      </c>
      <c r="D1588" s="190" t="s">
        <v>27</v>
      </c>
      <c r="E1588" s="190" t="s">
        <v>28</v>
      </c>
      <c r="F1588" s="190" t="s">
        <v>29</v>
      </c>
      <c r="G1588" s="243"/>
    </row>
    <row r="1589" spans="1:7" x14ac:dyDescent="0.2">
      <c r="A1589" s="362" t="str">
        <f>VLOOKUP(B1589,PRECIOS!$A$309:$E$485,2,FALSE)</f>
        <v>EQUIPO158</v>
      </c>
      <c r="B1589" s="363" t="s">
        <v>1699</v>
      </c>
      <c r="C1589" s="99" t="str">
        <f>VLOOKUP(B1589,PRECIOS!$A$309:$E$485,3,FALSE)</f>
        <v>Electrica</v>
      </c>
      <c r="D1589" s="364">
        <f>VLOOKUP(B1589,PRECIOS!$A$309:$E$485,5,FALSE)</f>
        <v>6250</v>
      </c>
      <c r="E1589" s="365">
        <v>0.9</v>
      </c>
      <c r="F1589" s="366">
        <f>+D1589*E1589</f>
        <v>5625</v>
      </c>
      <c r="G1589" s="245"/>
    </row>
    <row r="1590" spans="1:7" x14ac:dyDescent="0.2">
      <c r="A1590" s="362" t="str">
        <f>VLOOKUP(B1590,PRECIOS!$A$309:$E$485,2,FALSE)</f>
        <v>EQUIPO169</v>
      </c>
      <c r="B1590" s="363" t="s">
        <v>449</v>
      </c>
      <c r="C1590" s="99" t="str">
        <f>VLOOKUP(B1590,PRECIOS!$A$309:$E$485,3,FALSE)</f>
        <v>Estructura</v>
      </c>
      <c r="D1590" s="364">
        <f>VLOOKUP(B1590,PRECIOS!$A$309:$E$485,5,FALSE)</f>
        <v>1500</v>
      </c>
      <c r="E1590" s="365">
        <v>1</v>
      </c>
      <c r="F1590" s="366">
        <f>+D1590*E1590</f>
        <v>1500</v>
      </c>
      <c r="G1590" s="245"/>
    </row>
    <row r="1591" spans="1:7" x14ac:dyDescent="0.2">
      <c r="A1591" s="1179" t="s">
        <v>1650</v>
      </c>
      <c r="B1591" s="1180"/>
      <c r="C1591" s="214">
        <v>0.05</v>
      </c>
      <c r="D1591" s="213"/>
      <c r="E1591" s="418"/>
      <c r="F1591" s="212">
        <f>+G1610*C1591</f>
        <v>20423.925000000003</v>
      </c>
      <c r="G1591" s="246"/>
    </row>
    <row r="1592" spans="1:7" x14ac:dyDescent="0.2">
      <c r="A1592" s="247" t="s">
        <v>25</v>
      </c>
      <c r="B1592" s="416"/>
      <c r="C1592" s="416"/>
      <c r="D1592" s="416"/>
      <c r="E1592" s="416"/>
      <c r="F1592" s="416"/>
      <c r="G1592" s="246" t="s">
        <v>31</v>
      </c>
    </row>
    <row r="1593" spans="1:7" ht="15" thickBot="1" x14ac:dyDescent="0.25">
      <c r="A1593" s="248"/>
      <c r="B1593" s="420"/>
      <c r="C1593" s="420"/>
      <c r="D1593" s="420"/>
      <c r="E1593" s="420"/>
      <c r="F1593" s="420"/>
      <c r="G1593" s="249">
        <f>SUM(F1589:F1591)</f>
        <v>27548.925000000003</v>
      </c>
    </row>
    <row r="1594" spans="1:7" ht="15" thickBot="1" x14ac:dyDescent="0.25">
      <c r="A1594" s="1176" t="s">
        <v>1645</v>
      </c>
      <c r="B1594" s="1177"/>
      <c r="C1594" s="1177"/>
      <c r="D1594" s="1177"/>
      <c r="E1594" s="1177"/>
      <c r="F1594" s="1177"/>
      <c r="G1594" s="1178"/>
    </row>
    <row r="1595" spans="1:7" x14ac:dyDescent="0.2">
      <c r="A1595" s="242" t="s">
        <v>1643</v>
      </c>
      <c r="B1595" s="191" t="s">
        <v>1644</v>
      </c>
      <c r="C1595" s="190" t="s">
        <v>32</v>
      </c>
      <c r="D1595" s="190" t="s">
        <v>33</v>
      </c>
      <c r="E1595" s="190" t="s">
        <v>34</v>
      </c>
      <c r="F1595" s="190" t="s">
        <v>35</v>
      </c>
      <c r="G1595" s="243"/>
    </row>
    <row r="1596" spans="1:7" ht="39" customHeight="1" x14ac:dyDescent="0.2">
      <c r="A1596" s="352" t="str">
        <f>VLOOKUP(B1596,PRECIOS!$A$5:$D$303,2,FALSE)</f>
        <v>CARPMETAL01</v>
      </c>
      <c r="B1596" s="105" t="s">
        <v>1797</v>
      </c>
      <c r="C1596" s="105" t="str">
        <f>VLOOKUP(B1596,PRECIOS!$A$5:$D$303,3,FALSE)</f>
        <v>und</v>
      </c>
      <c r="D1596" s="353">
        <f>VLOOKUP(B1596,PRECIOS!$A$5:$D$303,4,FALSE)</f>
        <v>5000000</v>
      </c>
      <c r="E1596" s="354">
        <v>1</v>
      </c>
      <c r="F1596" s="355">
        <f>+D1596*E1596</f>
        <v>5000000</v>
      </c>
      <c r="G1596" s="370"/>
    </row>
    <row r="1597" spans="1:7" x14ac:dyDescent="0.2">
      <c r="A1597" s="1179" t="s">
        <v>1649</v>
      </c>
      <c r="B1597" s="1180"/>
      <c r="C1597" s="214">
        <v>0.03</v>
      </c>
      <c r="D1597" s="417"/>
      <c r="E1597" s="418"/>
      <c r="F1597" s="276">
        <f>SUM(F1596:F1596)*C1597</f>
        <v>150000</v>
      </c>
      <c r="G1597" s="246"/>
    </row>
    <row r="1598" spans="1:7" x14ac:dyDescent="0.2">
      <c r="A1598" s="247"/>
      <c r="B1598" s="416"/>
      <c r="C1598" s="104"/>
      <c r="D1598" s="104"/>
      <c r="E1598" s="104"/>
      <c r="F1598" s="104"/>
      <c r="G1598" s="246" t="s">
        <v>31</v>
      </c>
    </row>
    <row r="1599" spans="1:7" ht="15" thickBot="1" x14ac:dyDescent="0.25">
      <c r="A1599" s="248"/>
      <c r="B1599" s="420"/>
      <c r="C1599" s="420"/>
      <c r="D1599" s="420"/>
      <c r="E1599" s="420"/>
      <c r="F1599" s="420"/>
      <c r="G1599" s="250">
        <f>SUM(F1596:F1597)</f>
        <v>5150000</v>
      </c>
    </row>
    <row r="1600" spans="1:7" ht="15" thickBot="1" x14ac:dyDescent="0.25">
      <c r="A1600" s="1176" t="s">
        <v>1646</v>
      </c>
      <c r="B1600" s="1177"/>
      <c r="C1600" s="1177"/>
      <c r="D1600" s="1177"/>
      <c r="E1600" s="1177"/>
      <c r="F1600" s="1177"/>
      <c r="G1600" s="1178"/>
    </row>
    <row r="1601" spans="1:7" x14ac:dyDescent="0.2">
      <c r="A1601" s="251" t="s">
        <v>305</v>
      </c>
      <c r="B1601" s="190" t="s">
        <v>38</v>
      </c>
      <c r="C1601" s="190" t="s">
        <v>39</v>
      </c>
      <c r="D1601" s="190" t="s">
        <v>40</v>
      </c>
      <c r="E1601" s="190" t="s">
        <v>34</v>
      </c>
      <c r="F1601" s="190" t="s">
        <v>35</v>
      </c>
      <c r="G1601" s="243"/>
    </row>
    <row r="1602" spans="1:7" x14ac:dyDescent="0.2">
      <c r="A1602" s="369"/>
      <c r="B1602" s="89"/>
      <c r="C1602" s="209"/>
      <c r="D1602" s="199"/>
      <c r="E1602" s="367"/>
      <c r="F1602" s="234"/>
      <c r="G1602" s="253"/>
    </row>
    <row r="1603" spans="1:7" x14ac:dyDescent="0.2">
      <c r="A1603" s="252"/>
      <c r="B1603" s="235"/>
      <c r="C1603" s="238"/>
      <c r="D1603" s="236"/>
      <c r="E1603" s="237"/>
      <c r="F1603" s="239"/>
      <c r="G1603" s="253"/>
    </row>
    <row r="1604" spans="1:7" x14ac:dyDescent="0.2">
      <c r="A1604" s="247" t="s">
        <v>25</v>
      </c>
      <c r="B1604" s="104" t="s">
        <v>25</v>
      </c>
      <c r="C1604" s="104" t="s">
        <v>25</v>
      </c>
      <c r="D1604" s="188" t="s">
        <v>25</v>
      </c>
      <c r="E1604" s="189" t="s">
        <v>25</v>
      </c>
      <c r="F1604" s="187" t="s">
        <v>25</v>
      </c>
      <c r="G1604" s="246" t="s">
        <v>31</v>
      </c>
    </row>
    <row r="1605" spans="1:7" ht="15" thickBot="1" x14ac:dyDescent="0.25">
      <c r="A1605" s="248"/>
      <c r="B1605" s="420"/>
      <c r="C1605" s="420"/>
      <c r="D1605" s="420"/>
      <c r="E1605" s="420"/>
      <c r="F1605" s="420"/>
      <c r="G1605" s="250">
        <f>SUM(F1602:F1603)</f>
        <v>0</v>
      </c>
    </row>
    <row r="1606" spans="1:7" ht="15" thickBot="1" x14ac:dyDescent="0.25">
      <c r="A1606" s="1176" t="s">
        <v>1647</v>
      </c>
      <c r="B1606" s="1177"/>
      <c r="C1606" s="1177"/>
      <c r="D1606" s="1177"/>
      <c r="E1606" s="1177"/>
      <c r="F1606" s="1177"/>
      <c r="G1606" s="1178"/>
    </row>
    <row r="1607" spans="1:7" ht="24" x14ac:dyDescent="0.2">
      <c r="A1607" s="254" t="s">
        <v>1681</v>
      </c>
      <c r="B1607" s="190" t="s">
        <v>42</v>
      </c>
      <c r="C1607" s="190" t="s">
        <v>43</v>
      </c>
      <c r="D1607" s="190" t="s">
        <v>44</v>
      </c>
      <c r="E1607" s="190" t="s">
        <v>306</v>
      </c>
      <c r="F1607" s="190" t="s">
        <v>29</v>
      </c>
      <c r="G1607" s="243"/>
    </row>
    <row r="1608" spans="1:7" ht="36" x14ac:dyDescent="0.2">
      <c r="A1608" s="255" t="s">
        <v>1674</v>
      </c>
      <c r="B1608" s="202">
        <f>VLOOKUP(A1608,JORNALES!$A$5:$B$28,2,FALSE)</f>
        <v>215000</v>
      </c>
      <c r="C1608" s="233">
        <f>+PRESTACIONES!$C$20/100</f>
        <v>0.89990000000000014</v>
      </c>
      <c r="D1608" s="234">
        <f>+(B1608*C1608)+B1608</f>
        <v>408478.5</v>
      </c>
      <c r="E1608" s="421">
        <v>1</v>
      </c>
      <c r="F1608" s="199">
        <f>+D1608/E1608</f>
        <v>408478.5</v>
      </c>
      <c r="G1608" s="246"/>
    </row>
    <row r="1609" spans="1:7" x14ac:dyDescent="0.2">
      <c r="A1609" s="247"/>
      <c r="B1609" s="416"/>
      <c r="C1609" s="416"/>
      <c r="D1609" s="416"/>
      <c r="E1609" s="416"/>
      <c r="F1609" s="416"/>
      <c r="G1609" s="246" t="s">
        <v>31</v>
      </c>
    </row>
    <row r="1610" spans="1:7" x14ac:dyDescent="0.2">
      <c r="A1610" s="247"/>
      <c r="B1610" s="416"/>
      <c r="C1610" s="416"/>
      <c r="D1610" s="416"/>
      <c r="E1610" s="416"/>
      <c r="F1610" s="416"/>
      <c r="G1610" s="256">
        <f>SUM(F1608:F1608)</f>
        <v>408478.5</v>
      </c>
    </row>
    <row r="1611" spans="1:7" ht="15" thickBot="1" x14ac:dyDescent="0.25">
      <c r="A1611" s="1181" t="s">
        <v>25</v>
      </c>
      <c r="B1611" s="1182"/>
      <c r="C1611" s="1182"/>
      <c r="D1611" s="1182"/>
      <c r="E1611" s="1182"/>
      <c r="F1611" s="1182"/>
      <c r="G1611" s="1183"/>
    </row>
    <row r="1612" spans="1:7" ht="15" thickBot="1" x14ac:dyDescent="0.25">
      <c r="A1612" s="1184" t="s">
        <v>45</v>
      </c>
      <c r="B1612" s="1185"/>
      <c r="C1612" s="1185"/>
      <c r="D1612" s="1185"/>
      <c r="E1612" s="1185"/>
      <c r="F1612" s="192"/>
      <c r="G1612" s="277">
        <f xml:space="preserve"> ROUND(G1610+G1605+G1599+G1593,0)</f>
        <v>5586027</v>
      </c>
    </row>
    <row r="1613" spans="1:7" x14ac:dyDescent="0.2">
      <c r="A1613" s="1186" t="s">
        <v>476</v>
      </c>
      <c r="B1613" s="1187"/>
      <c r="C1613" s="1187"/>
      <c r="D1613" s="1187"/>
      <c r="E1613" s="1187"/>
      <c r="F1613" s="193" t="s">
        <v>51</v>
      </c>
      <c r="G1613" s="257" t="s">
        <v>307</v>
      </c>
    </row>
    <row r="1614" spans="1:7" x14ac:dyDescent="0.2">
      <c r="A1614" s="1166" t="s">
        <v>17</v>
      </c>
      <c r="B1614" s="1167"/>
      <c r="C1614" s="1167"/>
      <c r="D1614" s="1167"/>
      <c r="E1614" s="1167"/>
      <c r="F1614" s="240"/>
      <c r="G1614" s="196"/>
    </row>
    <row r="1615" spans="1:7" x14ac:dyDescent="0.2">
      <c r="A1615" s="1166" t="s">
        <v>308</v>
      </c>
      <c r="B1615" s="1167"/>
      <c r="C1615" s="1167"/>
      <c r="D1615" s="1167"/>
      <c r="E1615" s="1167"/>
      <c r="F1615" s="240"/>
      <c r="G1615" s="196"/>
    </row>
    <row r="1616" spans="1:7" x14ac:dyDescent="0.2">
      <c r="A1616" s="1166" t="s">
        <v>19</v>
      </c>
      <c r="B1616" s="1167"/>
      <c r="C1616" s="1167"/>
      <c r="D1616" s="1167"/>
      <c r="E1616" s="1167"/>
      <c r="F1616" s="240"/>
      <c r="G1616" s="196"/>
    </row>
    <row r="1617" spans="1:7" ht="15" thickBot="1" x14ac:dyDescent="0.25">
      <c r="A1617" s="1168" t="s">
        <v>309</v>
      </c>
      <c r="B1617" s="1169"/>
      <c r="C1617" s="1169"/>
      <c r="D1617" s="1169"/>
      <c r="E1617" s="1169"/>
      <c r="F1617" s="198"/>
      <c r="G1617" s="258"/>
    </row>
    <row r="1618" spans="1:7" ht="15" thickBot="1" x14ac:dyDescent="0.25">
      <c r="A1618" s="1170" t="s">
        <v>310</v>
      </c>
      <c r="B1618" s="1171"/>
      <c r="C1618" s="1171"/>
      <c r="D1618" s="1171"/>
      <c r="E1618" s="1171"/>
      <c r="F1618" s="1172"/>
      <c r="G1618" s="1173"/>
    </row>
    <row r="1619" spans="1:7" x14ac:dyDescent="0.2">
      <c r="A1619" s="413"/>
      <c r="B1619" s="414"/>
      <c r="C1619" s="414"/>
      <c r="D1619" s="414"/>
      <c r="E1619" s="414"/>
      <c r="F1619" s="193"/>
      <c r="G1619" s="260"/>
    </row>
    <row r="1620" spans="1:7" ht="15" thickBot="1" x14ac:dyDescent="0.25">
      <c r="A1620" s="261" t="s">
        <v>681</v>
      </c>
      <c r="B1620" s="262"/>
      <c r="C1620" s="262" t="s">
        <v>682</v>
      </c>
      <c r="D1620" s="262"/>
      <c r="E1620" s="262"/>
      <c r="F1620" s="262" t="s">
        <v>683</v>
      </c>
      <c r="G1620" s="263"/>
    </row>
    <row r="1621" spans="1:7" ht="15" thickBot="1" x14ac:dyDescent="0.25">
      <c r="A1621" s="1174" t="str">
        <f>+LIST_ACTIVIDADES!D64</f>
        <v>Puerta Doble Vatiente (P2) en aluminio y vidrio 3+3 de 2,10 x 2,0mts, según diseños</v>
      </c>
      <c r="B1621" s="1175"/>
      <c r="C1621" s="1175"/>
      <c r="D1621" s="1175"/>
      <c r="E1621" s="1175"/>
      <c r="F1621" s="241" t="s">
        <v>24</v>
      </c>
      <c r="G1621" s="264" t="str">
        <f>+LIST_ACTIVIDADES!E64</f>
        <v>und</v>
      </c>
    </row>
    <row r="1622" spans="1:7" ht="15" thickBot="1" x14ac:dyDescent="0.25">
      <c r="A1622" s="1176" t="s">
        <v>1642</v>
      </c>
      <c r="B1622" s="1177"/>
      <c r="C1622" s="1177"/>
      <c r="D1622" s="1177"/>
      <c r="E1622" s="1177"/>
      <c r="F1622" s="1177"/>
      <c r="G1622" s="1178"/>
    </row>
    <row r="1623" spans="1:7" x14ac:dyDescent="0.2">
      <c r="A1623" s="242" t="s">
        <v>1643</v>
      </c>
      <c r="B1623" s="191" t="s">
        <v>1644</v>
      </c>
      <c r="C1623" s="190" t="s">
        <v>26</v>
      </c>
      <c r="D1623" s="190" t="s">
        <v>27</v>
      </c>
      <c r="E1623" s="190" t="s">
        <v>28</v>
      </c>
      <c r="F1623" s="190" t="s">
        <v>29</v>
      </c>
      <c r="G1623" s="243"/>
    </row>
    <row r="1624" spans="1:7" x14ac:dyDescent="0.2">
      <c r="A1624" s="362" t="str">
        <f>VLOOKUP(B1624,PRECIOS!$A$309:$E$485,2,FALSE)</f>
        <v>EQUIPO158</v>
      </c>
      <c r="B1624" s="363" t="s">
        <v>1699</v>
      </c>
      <c r="C1624" s="99" t="str">
        <f>VLOOKUP(B1624,PRECIOS!$A$309:$E$485,3,FALSE)</f>
        <v>Electrica</v>
      </c>
      <c r="D1624" s="364">
        <f>VLOOKUP(B1624,PRECIOS!$A$309:$E$485,5,FALSE)</f>
        <v>6250</v>
      </c>
      <c r="E1624" s="365">
        <v>0.9</v>
      </c>
      <c r="F1624" s="366">
        <f>+D1624*E1624</f>
        <v>5625</v>
      </c>
      <c r="G1624" s="245"/>
    </row>
    <row r="1625" spans="1:7" x14ac:dyDescent="0.2">
      <c r="A1625" s="362" t="str">
        <f>VLOOKUP(B1625,PRECIOS!$A$309:$E$485,2,FALSE)</f>
        <v>EQUIPO169</v>
      </c>
      <c r="B1625" s="363" t="s">
        <v>449</v>
      </c>
      <c r="C1625" s="99" t="str">
        <f>VLOOKUP(B1625,PRECIOS!$A$309:$E$485,3,FALSE)</f>
        <v>Estructura</v>
      </c>
      <c r="D1625" s="364">
        <f>VLOOKUP(B1625,PRECIOS!$A$309:$E$485,5,FALSE)</f>
        <v>1500</v>
      </c>
      <c r="E1625" s="365">
        <v>1</v>
      </c>
      <c r="F1625" s="366">
        <f>+D1625*E1625</f>
        <v>1500</v>
      </c>
      <c r="G1625" s="245"/>
    </row>
    <row r="1626" spans="1:7" x14ac:dyDescent="0.2">
      <c r="A1626" s="1179" t="s">
        <v>1650</v>
      </c>
      <c r="B1626" s="1180"/>
      <c r="C1626" s="214">
        <v>0.05</v>
      </c>
      <c r="D1626" s="213"/>
      <c r="E1626" s="418"/>
      <c r="F1626" s="212">
        <f>+G1645*C1626</f>
        <v>6807.9750000000004</v>
      </c>
      <c r="G1626" s="246"/>
    </row>
    <row r="1627" spans="1:7" x14ac:dyDescent="0.2">
      <c r="A1627" s="247" t="s">
        <v>25</v>
      </c>
      <c r="B1627" s="416"/>
      <c r="C1627" s="416"/>
      <c r="D1627" s="416"/>
      <c r="E1627" s="416"/>
      <c r="F1627" s="416"/>
      <c r="G1627" s="246" t="s">
        <v>31</v>
      </c>
    </row>
    <row r="1628" spans="1:7" ht="15" thickBot="1" x14ac:dyDescent="0.25">
      <c r="A1628" s="248"/>
      <c r="B1628" s="420"/>
      <c r="C1628" s="420"/>
      <c r="D1628" s="420"/>
      <c r="E1628" s="420"/>
      <c r="F1628" s="420"/>
      <c r="G1628" s="249">
        <f>SUM(F1624:F1626)</f>
        <v>13932.975</v>
      </c>
    </row>
    <row r="1629" spans="1:7" ht="15" thickBot="1" x14ac:dyDescent="0.25">
      <c r="A1629" s="1176" t="s">
        <v>1645</v>
      </c>
      <c r="B1629" s="1177"/>
      <c r="C1629" s="1177"/>
      <c r="D1629" s="1177"/>
      <c r="E1629" s="1177"/>
      <c r="F1629" s="1177"/>
      <c r="G1629" s="1178"/>
    </row>
    <row r="1630" spans="1:7" x14ac:dyDescent="0.2">
      <c r="A1630" s="242" t="s">
        <v>1643</v>
      </c>
      <c r="B1630" s="191" t="s">
        <v>1644</v>
      </c>
      <c r="C1630" s="190" t="s">
        <v>32</v>
      </c>
      <c r="D1630" s="190" t="s">
        <v>33</v>
      </c>
      <c r="E1630" s="190" t="s">
        <v>34</v>
      </c>
      <c r="F1630" s="190" t="s">
        <v>35</v>
      </c>
      <c r="G1630" s="243"/>
    </row>
    <row r="1631" spans="1:7" ht="36" x14ac:dyDescent="0.2">
      <c r="A1631" s="352" t="str">
        <f>VLOOKUP(B1631,PRECIOS!$A$5:$D$303,2,FALSE)</f>
        <v>CARPMETAL02</v>
      </c>
      <c r="B1631" s="105" t="s">
        <v>1798</v>
      </c>
      <c r="C1631" s="105" t="str">
        <f>VLOOKUP(B1631,PRECIOS!$A$5:$D$303,3,FALSE)</f>
        <v>und</v>
      </c>
      <c r="D1631" s="353">
        <f>VLOOKUP(B1631,PRECIOS!$A$5:$D$303,4,FALSE)</f>
        <v>2500000</v>
      </c>
      <c r="E1631" s="354">
        <v>1</v>
      </c>
      <c r="F1631" s="355">
        <f>+D1631*E1631</f>
        <v>2500000</v>
      </c>
      <c r="G1631" s="370"/>
    </row>
    <row r="1632" spans="1:7" x14ac:dyDescent="0.2">
      <c r="A1632" s="1179" t="s">
        <v>1649</v>
      </c>
      <c r="B1632" s="1180"/>
      <c r="C1632" s="214">
        <v>0.03</v>
      </c>
      <c r="D1632" s="417"/>
      <c r="E1632" s="418"/>
      <c r="F1632" s="276">
        <f>SUM(F1631:F1631)*C1632</f>
        <v>75000</v>
      </c>
      <c r="G1632" s="246"/>
    </row>
    <row r="1633" spans="1:7" x14ac:dyDescent="0.2">
      <c r="A1633" s="247"/>
      <c r="B1633" s="416"/>
      <c r="C1633" s="104"/>
      <c r="D1633" s="104"/>
      <c r="E1633" s="104"/>
      <c r="F1633" s="104"/>
      <c r="G1633" s="246" t="s">
        <v>31</v>
      </c>
    </row>
    <row r="1634" spans="1:7" ht="15" thickBot="1" x14ac:dyDescent="0.25">
      <c r="A1634" s="248"/>
      <c r="B1634" s="420"/>
      <c r="C1634" s="420"/>
      <c r="D1634" s="420"/>
      <c r="E1634" s="420"/>
      <c r="F1634" s="420"/>
      <c r="G1634" s="250">
        <f>SUM(F1631:F1632)</f>
        <v>2575000</v>
      </c>
    </row>
    <row r="1635" spans="1:7" ht="15" thickBot="1" x14ac:dyDescent="0.25">
      <c r="A1635" s="1176" t="s">
        <v>1646</v>
      </c>
      <c r="B1635" s="1177"/>
      <c r="C1635" s="1177"/>
      <c r="D1635" s="1177"/>
      <c r="E1635" s="1177"/>
      <c r="F1635" s="1177"/>
      <c r="G1635" s="1178"/>
    </row>
    <row r="1636" spans="1:7" x14ac:dyDescent="0.2">
      <c r="A1636" s="251" t="s">
        <v>305</v>
      </c>
      <c r="B1636" s="190" t="s">
        <v>38</v>
      </c>
      <c r="C1636" s="190" t="s">
        <v>39</v>
      </c>
      <c r="D1636" s="190" t="s">
        <v>40</v>
      </c>
      <c r="E1636" s="190" t="s">
        <v>34</v>
      </c>
      <c r="F1636" s="190" t="s">
        <v>35</v>
      </c>
      <c r="G1636" s="243"/>
    </row>
    <row r="1637" spans="1:7" x14ac:dyDescent="0.2">
      <c r="A1637" s="369"/>
      <c r="B1637" s="89"/>
      <c r="C1637" s="209"/>
      <c r="D1637" s="199"/>
      <c r="E1637" s="367"/>
      <c r="F1637" s="234"/>
      <c r="G1637" s="253"/>
    </row>
    <row r="1638" spans="1:7" x14ac:dyDescent="0.2">
      <c r="A1638" s="252"/>
      <c r="B1638" s="235"/>
      <c r="C1638" s="238"/>
      <c r="D1638" s="236"/>
      <c r="E1638" s="237"/>
      <c r="F1638" s="239"/>
      <c r="G1638" s="253"/>
    </row>
    <row r="1639" spans="1:7" x14ac:dyDescent="0.2">
      <c r="A1639" s="247" t="s">
        <v>25</v>
      </c>
      <c r="B1639" s="104" t="s">
        <v>25</v>
      </c>
      <c r="C1639" s="104" t="s">
        <v>25</v>
      </c>
      <c r="D1639" s="188" t="s">
        <v>25</v>
      </c>
      <c r="E1639" s="189" t="s">
        <v>25</v>
      </c>
      <c r="F1639" s="187" t="s">
        <v>25</v>
      </c>
      <c r="G1639" s="246" t="s">
        <v>31</v>
      </c>
    </row>
    <row r="1640" spans="1:7" ht="15" thickBot="1" x14ac:dyDescent="0.25">
      <c r="A1640" s="248"/>
      <c r="B1640" s="420"/>
      <c r="C1640" s="420"/>
      <c r="D1640" s="420"/>
      <c r="E1640" s="420"/>
      <c r="F1640" s="420"/>
      <c r="G1640" s="250">
        <f>SUM(F1637:F1638)</f>
        <v>0</v>
      </c>
    </row>
    <row r="1641" spans="1:7" ht="15" thickBot="1" x14ac:dyDescent="0.25">
      <c r="A1641" s="1176" t="s">
        <v>1647</v>
      </c>
      <c r="B1641" s="1177"/>
      <c r="C1641" s="1177"/>
      <c r="D1641" s="1177"/>
      <c r="E1641" s="1177"/>
      <c r="F1641" s="1177"/>
      <c r="G1641" s="1178"/>
    </row>
    <row r="1642" spans="1:7" ht="24" x14ac:dyDescent="0.2">
      <c r="A1642" s="254" t="s">
        <v>1681</v>
      </c>
      <c r="B1642" s="190" t="s">
        <v>42</v>
      </c>
      <c r="C1642" s="190" t="s">
        <v>43</v>
      </c>
      <c r="D1642" s="190" t="s">
        <v>44</v>
      </c>
      <c r="E1642" s="190" t="s">
        <v>306</v>
      </c>
      <c r="F1642" s="190" t="s">
        <v>29</v>
      </c>
      <c r="G1642" s="243"/>
    </row>
    <row r="1643" spans="1:7" ht="36" x14ac:dyDescent="0.2">
      <c r="A1643" s="255" t="s">
        <v>1674</v>
      </c>
      <c r="B1643" s="202">
        <f>VLOOKUP(A1643,JORNALES!$A$5:$B$28,2,FALSE)</f>
        <v>215000</v>
      </c>
      <c r="C1643" s="233">
        <f>+PRESTACIONES!$C$20/100</f>
        <v>0.89990000000000014</v>
      </c>
      <c r="D1643" s="234">
        <f>+(B1643*C1643)+B1643</f>
        <v>408478.5</v>
      </c>
      <c r="E1643" s="421">
        <v>3</v>
      </c>
      <c r="F1643" s="199">
        <f>+D1643/E1643</f>
        <v>136159.5</v>
      </c>
      <c r="G1643" s="246"/>
    </row>
    <row r="1644" spans="1:7" x14ac:dyDescent="0.2">
      <c r="A1644" s="247"/>
      <c r="B1644" s="416"/>
      <c r="C1644" s="416"/>
      <c r="D1644" s="416"/>
      <c r="E1644" s="416"/>
      <c r="F1644" s="416"/>
      <c r="G1644" s="246" t="s">
        <v>31</v>
      </c>
    </row>
    <row r="1645" spans="1:7" x14ac:dyDescent="0.2">
      <c r="A1645" s="247"/>
      <c r="B1645" s="416"/>
      <c r="C1645" s="416"/>
      <c r="D1645" s="416"/>
      <c r="E1645" s="416"/>
      <c r="F1645" s="416"/>
      <c r="G1645" s="256">
        <f>SUM(F1643:F1643)</f>
        <v>136159.5</v>
      </c>
    </row>
    <row r="1646" spans="1:7" ht="15" thickBot="1" x14ac:dyDescent="0.25">
      <c r="A1646" s="1181" t="s">
        <v>25</v>
      </c>
      <c r="B1646" s="1182"/>
      <c r="C1646" s="1182"/>
      <c r="D1646" s="1182"/>
      <c r="E1646" s="1182"/>
      <c r="F1646" s="1182"/>
      <c r="G1646" s="1183"/>
    </row>
    <row r="1647" spans="1:7" ht="15" thickBot="1" x14ac:dyDescent="0.25">
      <c r="A1647" s="1184" t="s">
        <v>45</v>
      </c>
      <c r="B1647" s="1185"/>
      <c r="C1647" s="1185"/>
      <c r="D1647" s="1185"/>
      <c r="E1647" s="1185"/>
      <c r="F1647" s="192"/>
      <c r="G1647" s="277">
        <f xml:space="preserve"> ROUND(G1645+G1640+G1634+G1628,0)</f>
        <v>2725092</v>
      </c>
    </row>
    <row r="1648" spans="1:7" x14ac:dyDescent="0.2">
      <c r="A1648" s="1186" t="s">
        <v>476</v>
      </c>
      <c r="B1648" s="1187"/>
      <c r="C1648" s="1187"/>
      <c r="D1648" s="1187"/>
      <c r="E1648" s="1187"/>
      <c r="F1648" s="193" t="s">
        <v>51</v>
      </c>
      <c r="G1648" s="257" t="s">
        <v>307</v>
      </c>
    </row>
    <row r="1649" spans="1:7" x14ac:dyDescent="0.2">
      <c r="A1649" s="1166" t="s">
        <v>17</v>
      </c>
      <c r="B1649" s="1167"/>
      <c r="C1649" s="1167"/>
      <c r="D1649" s="1167"/>
      <c r="E1649" s="1167"/>
      <c r="F1649" s="240"/>
      <c r="G1649" s="196"/>
    </row>
    <row r="1650" spans="1:7" x14ac:dyDescent="0.2">
      <c r="A1650" s="1166" t="s">
        <v>308</v>
      </c>
      <c r="B1650" s="1167"/>
      <c r="C1650" s="1167"/>
      <c r="D1650" s="1167"/>
      <c r="E1650" s="1167"/>
      <c r="F1650" s="240"/>
      <c r="G1650" s="196"/>
    </row>
    <row r="1651" spans="1:7" x14ac:dyDescent="0.2">
      <c r="A1651" s="1166" t="s">
        <v>19</v>
      </c>
      <c r="B1651" s="1167"/>
      <c r="C1651" s="1167"/>
      <c r="D1651" s="1167"/>
      <c r="E1651" s="1167"/>
      <c r="F1651" s="240"/>
      <c r="G1651" s="196"/>
    </row>
    <row r="1652" spans="1:7" ht="15" thickBot="1" x14ac:dyDescent="0.25">
      <c r="A1652" s="1168" t="s">
        <v>309</v>
      </c>
      <c r="B1652" s="1169"/>
      <c r="C1652" s="1169"/>
      <c r="D1652" s="1169"/>
      <c r="E1652" s="1169"/>
      <c r="F1652" s="198"/>
      <c r="G1652" s="258"/>
    </row>
    <row r="1653" spans="1:7" ht="15" thickBot="1" x14ac:dyDescent="0.25">
      <c r="A1653" s="1170" t="s">
        <v>310</v>
      </c>
      <c r="B1653" s="1171"/>
      <c r="C1653" s="1171"/>
      <c r="D1653" s="1171"/>
      <c r="E1653" s="1171"/>
      <c r="F1653" s="1172"/>
      <c r="G1653" s="1173"/>
    </row>
    <row r="1654" spans="1:7" x14ac:dyDescent="0.2">
      <c r="A1654" s="413"/>
      <c r="B1654" s="414"/>
      <c r="C1654" s="414"/>
      <c r="D1654" s="414"/>
      <c r="E1654" s="414"/>
      <c r="F1654" s="193"/>
      <c r="G1654" s="260"/>
    </row>
    <row r="1655" spans="1:7" ht="15" thickBot="1" x14ac:dyDescent="0.25">
      <c r="A1655" s="261" t="s">
        <v>681</v>
      </c>
      <c r="B1655" s="262"/>
      <c r="C1655" s="262" t="s">
        <v>682</v>
      </c>
      <c r="D1655" s="262"/>
      <c r="E1655" s="262"/>
      <c r="F1655" s="262" t="s">
        <v>683</v>
      </c>
      <c r="G1655" s="263"/>
    </row>
    <row r="1656" spans="1:7" ht="15" thickBot="1" x14ac:dyDescent="0.25">
      <c r="A1656" s="1174" t="str">
        <f>+LIST_ACTIVIDADES!D65</f>
        <v>Puerta Doble Vatiente (P3) en aluminio y vidrio 3+3 de 2,10 x 1,8mts, según diseños</v>
      </c>
      <c r="B1656" s="1175"/>
      <c r="C1656" s="1175"/>
      <c r="D1656" s="1175"/>
      <c r="E1656" s="1175"/>
      <c r="F1656" s="241" t="s">
        <v>24</v>
      </c>
      <c r="G1656" s="264" t="str">
        <f>+LIST_ACTIVIDADES!E65</f>
        <v>und</v>
      </c>
    </row>
    <row r="1657" spans="1:7" ht="15" thickBot="1" x14ac:dyDescent="0.25">
      <c r="A1657" s="1176" t="s">
        <v>1642</v>
      </c>
      <c r="B1657" s="1177"/>
      <c r="C1657" s="1177"/>
      <c r="D1657" s="1177"/>
      <c r="E1657" s="1177"/>
      <c r="F1657" s="1177"/>
      <c r="G1657" s="1178"/>
    </row>
    <row r="1658" spans="1:7" x14ac:dyDescent="0.2">
      <c r="A1658" s="242" t="s">
        <v>1643</v>
      </c>
      <c r="B1658" s="191" t="s">
        <v>1644</v>
      </c>
      <c r="C1658" s="190" t="s">
        <v>26</v>
      </c>
      <c r="D1658" s="190" t="s">
        <v>27</v>
      </c>
      <c r="E1658" s="190" t="s">
        <v>28</v>
      </c>
      <c r="F1658" s="190" t="s">
        <v>29</v>
      </c>
      <c r="G1658" s="243"/>
    </row>
    <row r="1659" spans="1:7" x14ac:dyDescent="0.2">
      <c r="A1659" s="362" t="str">
        <f>VLOOKUP(B1659,PRECIOS!$A$309:$E$485,2,FALSE)</f>
        <v>EQUIPO158</v>
      </c>
      <c r="B1659" s="363" t="s">
        <v>1699</v>
      </c>
      <c r="C1659" s="99" t="str">
        <f>VLOOKUP(B1659,PRECIOS!$A$309:$E$485,3,FALSE)</f>
        <v>Electrica</v>
      </c>
      <c r="D1659" s="364">
        <f>VLOOKUP(B1659,PRECIOS!$A$309:$E$485,5,FALSE)</f>
        <v>6250</v>
      </c>
      <c r="E1659" s="365">
        <v>0.9</v>
      </c>
      <c r="F1659" s="366">
        <f>+D1659*E1659</f>
        <v>5625</v>
      </c>
      <c r="G1659" s="245"/>
    </row>
    <row r="1660" spans="1:7" x14ac:dyDescent="0.2">
      <c r="A1660" s="362" t="str">
        <f>VLOOKUP(B1660,PRECIOS!$A$309:$E$485,2,FALSE)</f>
        <v>EQUIPO169</v>
      </c>
      <c r="B1660" s="363" t="s">
        <v>449</v>
      </c>
      <c r="C1660" s="99" t="str">
        <f>VLOOKUP(B1660,PRECIOS!$A$309:$E$485,3,FALSE)</f>
        <v>Estructura</v>
      </c>
      <c r="D1660" s="364">
        <f>VLOOKUP(B1660,PRECIOS!$A$309:$E$485,5,FALSE)</f>
        <v>1500</v>
      </c>
      <c r="E1660" s="365">
        <v>1</v>
      </c>
      <c r="F1660" s="366">
        <f>+D1660*E1660</f>
        <v>1500</v>
      </c>
      <c r="G1660" s="245"/>
    </row>
    <row r="1661" spans="1:7" x14ac:dyDescent="0.2">
      <c r="A1661" s="1179" t="s">
        <v>1650</v>
      </c>
      <c r="B1661" s="1180"/>
      <c r="C1661" s="214">
        <v>0.05</v>
      </c>
      <c r="D1661" s="213"/>
      <c r="E1661" s="418"/>
      <c r="F1661" s="212">
        <f>+G1680*C1661</f>
        <v>6807.9750000000004</v>
      </c>
      <c r="G1661" s="246"/>
    </row>
    <row r="1662" spans="1:7" x14ac:dyDescent="0.2">
      <c r="A1662" s="247" t="s">
        <v>25</v>
      </c>
      <c r="B1662" s="416"/>
      <c r="C1662" s="416"/>
      <c r="D1662" s="416"/>
      <c r="E1662" s="416"/>
      <c r="F1662" s="416"/>
      <c r="G1662" s="246" t="s">
        <v>31</v>
      </c>
    </row>
    <row r="1663" spans="1:7" ht="15" thickBot="1" x14ac:dyDescent="0.25">
      <c r="A1663" s="248"/>
      <c r="B1663" s="420"/>
      <c r="C1663" s="420"/>
      <c r="D1663" s="420"/>
      <c r="E1663" s="420"/>
      <c r="F1663" s="420"/>
      <c r="G1663" s="249">
        <f>SUM(F1659:F1661)</f>
        <v>13932.975</v>
      </c>
    </row>
    <row r="1664" spans="1:7" ht="15" thickBot="1" x14ac:dyDescent="0.25">
      <c r="A1664" s="1176" t="s">
        <v>1645</v>
      </c>
      <c r="B1664" s="1177"/>
      <c r="C1664" s="1177"/>
      <c r="D1664" s="1177"/>
      <c r="E1664" s="1177"/>
      <c r="F1664" s="1177"/>
      <c r="G1664" s="1178"/>
    </row>
    <row r="1665" spans="1:7" x14ac:dyDescent="0.2">
      <c r="A1665" s="242" t="s">
        <v>1643</v>
      </c>
      <c r="B1665" s="191" t="s">
        <v>1644</v>
      </c>
      <c r="C1665" s="190" t="s">
        <v>32</v>
      </c>
      <c r="D1665" s="190" t="s">
        <v>33</v>
      </c>
      <c r="E1665" s="190" t="s">
        <v>34</v>
      </c>
      <c r="F1665" s="190" t="s">
        <v>35</v>
      </c>
      <c r="G1665" s="243"/>
    </row>
    <row r="1666" spans="1:7" ht="36" x14ac:dyDescent="0.2">
      <c r="A1666" s="352" t="str">
        <f>VLOOKUP(B1666,PRECIOS!$A$5:$D$303,2,FALSE)</f>
        <v>CARPMETAL03</v>
      </c>
      <c r="B1666" s="105" t="s">
        <v>1799</v>
      </c>
      <c r="C1666" s="105" t="str">
        <f>VLOOKUP(B1666,PRECIOS!$A$5:$D$303,3,FALSE)</f>
        <v>und</v>
      </c>
      <c r="D1666" s="353">
        <f>VLOOKUP(B1666,PRECIOS!$A$5:$D$303,4,FALSE)</f>
        <v>2400000</v>
      </c>
      <c r="E1666" s="354">
        <v>1</v>
      </c>
      <c r="F1666" s="355">
        <f>+D1666*E1666</f>
        <v>2400000</v>
      </c>
      <c r="G1666" s="370"/>
    </row>
    <row r="1667" spans="1:7" x14ac:dyDescent="0.2">
      <c r="A1667" s="1179" t="s">
        <v>1649</v>
      </c>
      <c r="B1667" s="1180"/>
      <c r="C1667" s="214">
        <v>0.03</v>
      </c>
      <c r="D1667" s="417"/>
      <c r="E1667" s="418"/>
      <c r="F1667" s="276">
        <f>SUM(F1666:F1666)*C1667</f>
        <v>72000</v>
      </c>
      <c r="G1667" s="246"/>
    </row>
    <row r="1668" spans="1:7" x14ac:dyDescent="0.2">
      <c r="A1668" s="247"/>
      <c r="B1668" s="416"/>
      <c r="C1668" s="104"/>
      <c r="D1668" s="104"/>
      <c r="E1668" s="104"/>
      <c r="F1668" s="104"/>
      <c r="G1668" s="246" t="s">
        <v>31</v>
      </c>
    </row>
    <row r="1669" spans="1:7" ht="15" thickBot="1" x14ac:dyDescent="0.25">
      <c r="A1669" s="248"/>
      <c r="B1669" s="420"/>
      <c r="C1669" s="420"/>
      <c r="D1669" s="420"/>
      <c r="E1669" s="420"/>
      <c r="F1669" s="420"/>
      <c r="G1669" s="250">
        <f>SUM(F1666:F1667)</f>
        <v>2472000</v>
      </c>
    </row>
    <row r="1670" spans="1:7" ht="15" thickBot="1" x14ac:dyDescent="0.25">
      <c r="A1670" s="1176" t="s">
        <v>1646</v>
      </c>
      <c r="B1670" s="1177"/>
      <c r="C1670" s="1177"/>
      <c r="D1670" s="1177"/>
      <c r="E1670" s="1177"/>
      <c r="F1670" s="1177"/>
      <c r="G1670" s="1178"/>
    </row>
    <row r="1671" spans="1:7" x14ac:dyDescent="0.2">
      <c r="A1671" s="251" t="s">
        <v>305</v>
      </c>
      <c r="B1671" s="190" t="s">
        <v>38</v>
      </c>
      <c r="C1671" s="190" t="s">
        <v>39</v>
      </c>
      <c r="D1671" s="190" t="s">
        <v>40</v>
      </c>
      <c r="E1671" s="190" t="s">
        <v>34</v>
      </c>
      <c r="F1671" s="190" t="s">
        <v>35</v>
      </c>
      <c r="G1671" s="243"/>
    </row>
    <row r="1672" spans="1:7" x14ac:dyDescent="0.2">
      <c r="A1672" s="369"/>
      <c r="B1672" s="89"/>
      <c r="C1672" s="209"/>
      <c r="D1672" s="199"/>
      <c r="E1672" s="367"/>
      <c r="F1672" s="234"/>
      <c r="G1672" s="253"/>
    </row>
    <row r="1673" spans="1:7" x14ac:dyDescent="0.2">
      <c r="A1673" s="252"/>
      <c r="B1673" s="235"/>
      <c r="C1673" s="238"/>
      <c r="D1673" s="236"/>
      <c r="E1673" s="237"/>
      <c r="F1673" s="239"/>
      <c r="G1673" s="253"/>
    </row>
    <row r="1674" spans="1:7" x14ac:dyDescent="0.2">
      <c r="A1674" s="247" t="s">
        <v>25</v>
      </c>
      <c r="B1674" s="104" t="s">
        <v>25</v>
      </c>
      <c r="C1674" s="104" t="s">
        <v>25</v>
      </c>
      <c r="D1674" s="188" t="s">
        <v>25</v>
      </c>
      <c r="E1674" s="189" t="s">
        <v>25</v>
      </c>
      <c r="F1674" s="187" t="s">
        <v>25</v>
      </c>
      <c r="G1674" s="246" t="s">
        <v>31</v>
      </c>
    </row>
    <row r="1675" spans="1:7" ht="15" thickBot="1" x14ac:dyDescent="0.25">
      <c r="A1675" s="248"/>
      <c r="B1675" s="420"/>
      <c r="C1675" s="420"/>
      <c r="D1675" s="420"/>
      <c r="E1675" s="420"/>
      <c r="F1675" s="420"/>
      <c r="G1675" s="250">
        <f>SUM(F1672:F1673)</f>
        <v>0</v>
      </c>
    </row>
    <row r="1676" spans="1:7" ht="15" thickBot="1" x14ac:dyDescent="0.25">
      <c r="A1676" s="1176" t="s">
        <v>1647</v>
      </c>
      <c r="B1676" s="1177"/>
      <c r="C1676" s="1177"/>
      <c r="D1676" s="1177"/>
      <c r="E1676" s="1177"/>
      <c r="F1676" s="1177"/>
      <c r="G1676" s="1178"/>
    </row>
    <row r="1677" spans="1:7" ht="24" x14ac:dyDescent="0.2">
      <c r="A1677" s="254" t="s">
        <v>1681</v>
      </c>
      <c r="B1677" s="190" t="s">
        <v>42</v>
      </c>
      <c r="C1677" s="190" t="s">
        <v>43</v>
      </c>
      <c r="D1677" s="190" t="s">
        <v>44</v>
      </c>
      <c r="E1677" s="190" t="s">
        <v>306</v>
      </c>
      <c r="F1677" s="190" t="s">
        <v>29</v>
      </c>
      <c r="G1677" s="243"/>
    </row>
    <row r="1678" spans="1:7" ht="36" x14ac:dyDescent="0.2">
      <c r="A1678" s="255" t="s">
        <v>1674</v>
      </c>
      <c r="B1678" s="202">
        <f>VLOOKUP(A1678,JORNALES!$A$5:$B$28,2,FALSE)</f>
        <v>215000</v>
      </c>
      <c r="C1678" s="233">
        <f>+PRESTACIONES!$C$20/100</f>
        <v>0.89990000000000014</v>
      </c>
      <c r="D1678" s="234">
        <f>+(B1678*C1678)+B1678</f>
        <v>408478.5</v>
      </c>
      <c r="E1678" s="421">
        <v>3</v>
      </c>
      <c r="F1678" s="199">
        <f>+D1678/E1678</f>
        <v>136159.5</v>
      </c>
      <c r="G1678" s="246"/>
    </row>
    <row r="1679" spans="1:7" x14ac:dyDescent="0.2">
      <c r="A1679" s="247"/>
      <c r="B1679" s="416"/>
      <c r="C1679" s="416"/>
      <c r="D1679" s="416"/>
      <c r="E1679" s="416"/>
      <c r="F1679" s="416"/>
      <c r="G1679" s="246" t="s">
        <v>31</v>
      </c>
    </row>
    <row r="1680" spans="1:7" x14ac:dyDescent="0.2">
      <c r="A1680" s="247"/>
      <c r="B1680" s="416"/>
      <c r="C1680" s="416"/>
      <c r="D1680" s="416"/>
      <c r="E1680" s="416"/>
      <c r="F1680" s="416"/>
      <c r="G1680" s="256">
        <f>SUM(F1678:F1678)</f>
        <v>136159.5</v>
      </c>
    </row>
    <row r="1681" spans="1:7" ht="15" thickBot="1" x14ac:dyDescent="0.25">
      <c r="A1681" s="1181" t="s">
        <v>25</v>
      </c>
      <c r="B1681" s="1182"/>
      <c r="C1681" s="1182"/>
      <c r="D1681" s="1182"/>
      <c r="E1681" s="1182"/>
      <c r="F1681" s="1182"/>
      <c r="G1681" s="1183"/>
    </row>
    <row r="1682" spans="1:7" ht="15" thickBot="1" x14ac:dyDescent="0.25">
      <c r="A1682" s="1184" t="s">
        <v>45</v>
      </c>
      <c r="B1682" s="1185"/>
      <c r="C1682" s="1185"/>
      <c r="D1682" s="1185"/>
      <c r="E1682" s="1185"/>
      <c r="F1682" s="192"/>
      <c r="G1682" s="277">
        <f xml:space="preserve"> ROUND(G1680+G1675+G1669+G1663,0)</f>
        <v>2622092</v>
      </c>
    </row>
    <row r="1683" spans="1:7" x14ac:dyDescent="0.2">
      <c r="A1683" s="1186" t="s">
        <v>476</v>
      </c>
      <c r="B1683" s="1187"/>
      <c r="C1683" s="1187"/>
      <c r="D1683" s="1187"/>
      <c r="E1683" s="1187"/>
      <c r="F1683" s="193" t="s">
        <v>51</v>
      </c>
      <c r="G1683" s="257" t="s">
        <v>307</v>
      </c>
    </row>
    <row r="1684" spans="1:7" x14ac:dyDescent="0.2">
      <c r="A1684" s="1166" t="s">
        <v>17</v>
      </c>
      <c r="B1684" s="1167"/>
      <c r="C1684" s="1167"/>
      <c r="D1684" s="1167"/>
      <c r="E1684" s="1167"/>
      <c r="F1684" s="240"/>
      <c r="G1684" s="196"/>
    </row>
    <row r="1685" spans="1:7" x14ac:dyDescent="0.2">
      <c r="A1685" s="1166" t="s">
        <v>308</v>
      </c>
      <c r="B1685" s="1167"/>
      <c r="C1685" s="1167"/>
      <c r="D1685" s="1167"/>
      <c r="E1685" s="1167"/>
      <c r="F1685" s="240"/>
      <c r="G1685" s="196"/>
    </row>
    <row r="1686" spans="1:7" x14ac:dyDescent="0.2">
      <c r="A1686" s="1166" t="s">
        <v>19</v>
      </c>
      <c r="B1686" s="1167"/>
      <c r="C1686" s="1167"/>
      <c r="D1686" s="1167"/>
      <c r="E1686" s="1167"/>
      <c r="F1686" s="240"/>
      <c r="G1686" s="196"/>
    </row>
    <row r="1687" spans="1:7" ht="15" thickBot="1" x14ac:dyDescent="0.25">
      <c r="A1687" s="1168" t="s">
        <v>309</v>
      </c>
      <c r="B1687" s="1169"/>
      <c r="C1687" s="1169"/>
      <c r="D1687" s="1169"/>
      <c r="E1687" s="1169"/>
      <c r="F1687" s="198"/>
      <c r="G1687" s="258"/>
    </row>
    <row r="1688" spans="1:7" ht="15" thickBot="1" x14ac:dyDescent="0.25">
      <c r="A1688" s="1170" t="s">
        <v>310</v>
      </c>
      <c r="B1688" s="1171"/>
      <c r="C1688" s="1171"/>
      <c r="D1688" s="1171"/>
      <c r="E1688" s="1171"/>
      <c r="F1688" s="1172"/>
      <c r="G1688" s="1173"/>
    </row>
    <row r="1689" spans="1:7" x14ac:dyDescent="0.2">
      <c r="A1689" s="413"/>
      <c r="B1689" s="414"/>
      <c r="C1689" s="414"/>
      <c r="D1689" s="414"/>
      <c r="E1689" s="414"/>
      <c r="F1689" s="193"/>
      <c r="G1689" s="260"/>
    </row>
    <row r="1690" spans="1:7" ht="15" thickBot="1" x14ac:dyDescent="0.25">
      <c r="A1690" s="261" t="s">
        <v>681</v>
      </c>
      <c r="B1690" s="262"/>
      <c r="C1690" s="262" t="s">
        <v>682</v>
      </c>
      <c r="D1690" s="262"/>
      <c r="E1690" s="262"/>
      <c r="F1690" s="262" t="s">
        <v>683</v>
      </c>
      <c r="G1690" s="263"/>
    </row>
    <row r="1691" spans="1:7" ht="15" thickBot="1" x14ac:dyDescent="0.25">
      <c r="A1691" s="1174" t="str">
        <f>+LIST_ACTIVIDADES!D66</f>
        <v>Puerta Doble Vatiente (P4) en aluminio y vidrio 3+3  de 2,10 x 2,0mts, según diseños</v>
      </c>
      <c r="B1691" s="1175"/>
      <c r="C1691" s="1175"/>
      <c r="D1691" s="1175"/>
      <c r="E1691" s="1175"/>
      <c r="F1691" s="241" t="s">
        <v>24</v>
      </c>
      <c r="G1691" s="264" t="str">
        <f>+LIST_ACTIVIDADES!E66</f>
        <v>und</v>
      </c>
    </row>
    <row r="1692" spans="1:7" ht="15" thickBot="1" x14ac:dyDescent="0.25">
      <c r="A1692" s="1176" t="s">
        <v>1642</v>
      </c>
      <c r="B1692" s="1177"/>
      <c r="C1692" s="1177"/>
      <c r="D1692" s="1177"/>
      <c r="E1692" s="1177"/>
      <c r="F1692" s="1177"/>
      <c r="G1692" s="1178"/>
    </row>
    <row r="1693" spans="1:7" x14ac:dyDescent="0.2">
      <c r="A1693" s="242" t="s">
        <v>1643</v>
      </c>
      <c r="B1693" s="191" t="s">
        <v>1644</v>
      </c>
      <c r="C1693" s="190" t="s">
        <v>26</v>
      </c>
      <c r="D1693" s="190" t="s">
        <v>27</v>
      </c>
      <c r="E1693" s="190" t="s">
        <v>28</v>
      </c>
      <c r="F1693" s="190" t="s">
        <v>29</v>
      </c>
      <c r="G1693" s="243"/>
    </row>
    <row r="1694" spans="1:7" x14ac:dyDescent="0.2">
      <c r="A1694" s="362" t="str">
        <f>VLOOKUP(B1694,PRECIOS!$A$309:$E$485,2,FALSE)</f>
        <v>EQUIPO158</v>
      </c>
      <c r="B1694" s="363" t="s">
        <v>1699</v>
      </c>
      <c r="C1694" s="99" t="str">
        <f>VLOOKUP(B1694,PRECIOS!$A$309:$E$485,3,FALSE)</f>
        <v>Electrica</v>
      </c>
      <c r="D1694" s="364">
        <f>VLOOKUP(B1694,PRECIOS!$A$309:$E$485,5,FALSE)</f>
        <v>6250</v>
      </c>
      <c r="E1694" s="365">
        <v>0.9</v>
      </c>
      <c r="F1694" s="366">
        <f>+D1694*E1694</f>
        <v>5625</v>
      </c>
      <c r="G1694" s="245"/>
    </row>
    <row r="1695" spans="1:7" x14ac:dyDescent="0.2">
      <c r="A1695" s="362" t="str">
        <f>VLOOKUP(B1695,PRECIOS!$A$309:$E$485,2,FALSE)</f>
        <v>EQUIPO169</v>
      </c>
      <c r="B1695" s="363" t="s">
        <v>449</v>
      </c>
      <c r="C1695" s="99" t="str">
        <f>VLOOKUP(B1695,PRECIOS!$A$309:$E$485,3,FALSE)</f>
        <v>Estructura</v>
      </c>
      <c r="D1695" s="364">
        <f>VLOOKUP(B1695,PRECIOS!$A$309:$E$485,5,FALSE)</f>
        <v>1500</v>
      </c>
      <c r="E1695" s="365">
        <v>1</v>
      </c>
      <c r="F1695" s="366">
        <f>+D1695*E1695</f>
        <v>1500</v>
      </c>
      <c r="G1695" s="245"/>
    </row>
    <row r="1696" spans="1:7" x14ac:dyDescent="0.2">
      <c r="A1696" s="1179" t="s">
        <v>1650</v>
      </c>
      <c r="B1696" s="1180"/>
      <c r="C1696" s="214">
        <v>0.05</v>
      </c>
      <c r="D1696" s="213"/>
      <c r="E1696" s="418"/>
      <c r="F1696" s="212">
        <f>+G1715*C1696</f>
        <v>6807.9750000000004</v>
      </c>
      <c r="G1696" s="246"/>
    </row>
    <row r="1697" spans="1:7" x14ac:dyDescent="0.2">
      <c r="A1697" s="247" t="s">
        <v>25</v>
      </c>
      <c r="B1697" s="416"/>
      <c r="C1697" s="416"/>
      <c r="D1697" s="416"/>
      <c r="E1697" s="416"/>
      <c r="F1697" s="416"/>
      <c r="G1697" s="246" t="s">
        <v>31</v>
      </c>
    </row>
    <row r="1698" spans="1:7" ht="15" thickBot="1" x14ac:dyDescent="0.25">
      <c r="A1698" s="248"/>
      <c r="B1698" s="420"/>
      <c r="C1698" s="420"/>
      <c r="D1698" s="420"/>
      <c r="E1698" s="420"/>
      <c r="F1698" s="420"/>
      <c r="G1698" s="249">
        <f>SUM(F1694:F1696)</f>
        <v>13932.975</v>
      </c>
    </row>
    <row r="1699" spans="1:7" ht="15" thickBot="1" x14ac:dyDescent="0.25">
      <c r="A1699" s="1176" t="s">
        <v>1645</v>
      </c>
      <c r="B1699" s="1177"/>
      <c r="C1699" s="1177"/>
      <c r="D1699" s="1177"/>
      <c r="E1699" s="1177"/>
      <c r="F1699" s="1177"/>
      <c r="G1699" s="1178"/>
    </row>
    <row r="1700" spans="1:7" x14ac:dyDescent="0.2">
      <c r="A1700" s="242" t="s">
        <v>1643</v>
      </c>
      <c r="B1700" s="191" t="s">
        <v>1644</v>
      </c>
      <c r="C1700" s="190" t="s">
        <v>32</v>
      </c>
      <c r="D1700" s="190" t="s">
        <v>33</v>
      </c>
      <c r="E1700" s="190" t="s">
        <v>34</v>
      </c>
      <c r="F1700" s="190" t="s">
        <v>35</v>
      </c>
      <c r="G1700" s="243"/>
    </row>
    <row r="1701" spans="1:7" ht="36" x14ac:dyDescent="0.2">
      <c r="A1701" s="352" t="str">
        <f>VLOOKUP(B1701,PRECIOS!$A$5:$D$303,2,FALSE)</f>
        <v>CARPMETAL04</v>
      </c>
      <c r="B1701" s="105" t="s">
        <v>1800</v>
      </c>
      <c r="C1701" s="105" t="str">
        <f>VLOOKUP(B1701,PRECIOS!$A$5:$D$303,3,FALSE)</f>
        <v>und</v>
      </c>
      <c r="D1701" s="353">
        <f>VLOOKUP(B1701,PRECIOS!$A$5:$D$303,4,FALSE)</f>
        <v>2500000</v>
      </c>
      <c r="E1701" s="354">
        <v>1</v>
      </c>
      <c r="F1701" s="355">
        <f>+D1701*E1701</f>
        <v>2500000</v>
      </c>
      <c r="G1701" s="370"/>
    </row>
    <row r="1702" spans="1:7" x14ac:dyDescent="0.2">
      <c r="A1702" s="1179" t="s">
        <v>1649</v>
      </c>
      <c r="B1702" s="1180"/>
      <c r="C1702" s="214">
        <v>0.03</v>
      </c>
      <c r="D1702" s="417"/>
      <c r="E1702" s="418"/>
      <c r="F1702" s="276">
        <f>SUM(F1701:F1701)*C1702</f>
        <v>75000</v>
      </c>
      <c r="G1702" s="246"/>
    </row>
    <row r="1703" spans="1:7" x14ac:dyDescent="0.2">
      <c r="A1703" s="247"/>
      <c r="B1703" s="416"/>
      <c r="C1703" s="104"/>
      <c r="D1703" s="104"/>
      <c r="E1703" s="104"/>
      <c r="F1703" s="104"/>
      <c r="G1703" s="246" t="s">
        <v>31</v>
      </c>
    </row>
    <row r="1704" spans="1:7" ht="15" thickBot="1" x14ac:dyDescent="0.25">
      <c r="A1704" s="248"/>
      <c r="B1704" s="420"/>
      <c r="C1704" s="420"/>
      <c r="D1704" s="420"/>
      <c r="E1704" s="420"/>
      <c r="F1704" s="420"/>
      <c r="G1704" s="250">
        <f>SUM(F1701:F1702)</f>
        <v>2575000</v>
      </c>
    </row>
    <row r="1705" spans="1:7" ht="15" thickBot="1" x14ac:dyDescent="0.25">
      <c r="A1705" s="1176" t="s">
        <v>1646</v>
      </c>
      <c r="B1705" s="1177"/>
      <c r="C1705" s="1177"/>
      <c r="D1705" s="1177"/>
      <c r="E1705" s="1177"/>
      <c r="F1705" s="1177"/>
      <c r="G1705" s="1178"/>
    </row>
    <row r="1706" spans="1:7" x14ac:dyDescent="0.2">
      <c r="A1706" s="251" t="s">
        <v>305</v>
      </c>
      <c r="B1706" s="190" t="s">
        <v>38</v>
      </c>
      <c r="C1706" s="190" t="s">
        <v>39</v>
      </c>
      <c r="D1706" s="190" t="s">
        <v>40</v>
      </c>
      <c r="E1706" s="190" t="s">
        <v>34</v>
      </c>
      <c r="F1706" s="190" t="s">
        <v>35</v>
      </c>
      <c r="G1706" s="243"/>
    </row>
    <row r="1707" spans="1:7" x14ac:dyDescent="0.2">
      <c r="A1707" s="369"/>
      <c r="B1707" s="89"/>
      <c r="C1707" s="209"/>
      <c r="D1707" s="199"/>
      <c r="E1707" s="367"/>
      <c r="F1707" s="234"/>
      <c r="G1707" s="253"/>
    </row>
    <row r="1708" spans="1:7" x14ac:dyDescent="0.2">
      <c r="A1708" s="252"/>
      <c r="B1708" s="235"/>
      <c r="C1708" s="238"/>
      <c r="D1708" s="236"/>
      <c r="E1708" s="237"/>
      <c r="F1708" s="239"/>
      <c r="G1708" s="253"/>
    </row>
    <row r="1709" spans="1:7" x14ac:dyDescent="0.2">
      <c r="A1709" s="247" t="s">
        <v>25</v>
      </c>
      <c r="B1709" s="104" t="s">
        <v>25</v>
      </c>
      <c r="C1709" s="104" t="s">
        <v>25</v>
      </c>
      <c r="D1709" s="188" t="s">
        <v>25</v>
      </c>
      <c r="E1709" s="189" t="s">
        <v>25</v>
      </c>
      <c r="F1709" s="187" t="s">
        <v>25</v>
      </c>
      <c r="G1709" s="246" t="s">
        <v>31</v>
      </c>
    </row>
    <row r="1710" spans="1:7" ht="15" thickBot="1" x14ac:dyDescent="0.25">
      <c r="A1710" s="248"/>
      <c r="B1710" s="420"/>
      <c r="C1710" s="420"/>
      <c r="D1710" s="420"/>
      <c r="E1710" s="420"/>
      <c r="F1710" s="420"/>
      <c r="G1710" s="250">
        <f>SUM(F1707:F1708)</f>
        <v>0</v>
      </c>
    </row>
    <row r="1711" spans="1:7" ht="15" thickBot="1" x14ac:dyDescent="0.25">
      <c r="A1711" s="1176" t="s">
        <v>1647</v>
      </c>
      <c r="B1711" s="1177"/>
      <c r="C1711" s="1177"/>
      <c r="D1711" s="1177"/>
      <c r="E1711" s="1177"/>
      <c r="F1711" s="1177"/>
      <c r="G1711" s="1178"/>
    </row>
    <row r="1712" spans="1:7" ht="24" x14ac:dyDescent="0.2">
      <c r="A1712" s="254" t="s">
        <v>1681</v>
      </c>
      <c r="B1712" s="190" t="s">
        <v>42</v>
      </c>
      <c r="C1712" s="190" t="s">
        <v>43</v>
      </c>
      <c r="D1712" s="190" t="s">
        <v>44</v>
      </c>
      <c r="E1712" s="190" t="s">
        <v>306</v>
      </c>
      <c r="F1712" s="190" t="s">
        <v>29</v>
      </c>
      <c r="G1712" s="243"/>
    </row>
    <row r="1713" spans="1:7" ht="36" x14ac:dyDescent="0.2">
      <c r="A1713" s="255" t="s">
        <v>1674</v>
      </c>
      <c r="B1713" s="202">
        <f>VLOOKUP(A1713,JORNALES!$A$5:$B$28,2,FALSE)</f>
        <v>215000</v>
      </c>
      <c r="C1713" s="233">
        <f>+PRESTACIONES!$C$20/100</f>
        <v>0.89990000000000014</v>
      </c>
      <c r="D1713" s="234">
        <f>+(B1713*C1713)+B1713</f>
        <v>408478.5</v>
      </c>
      <c r="E1713" s="421">
        <v>3</v>
      </c>
      <c r="F1713" s="199">
        <f>+D1713/E1713</f>
        <v>136159.5</v>
      </c>
      <c r="G1713" s="246"/>
    </row>
    <row r="1714" spans="1:7" x14ac:dyDescent="0.2">
      <c r="A1714" s="247"/>
      <c r="B1714" s="416"/>
      <c r="C1714" s="416"/>
      <c r="D1714" s="416"/>
      <c r="E1714" s="416"/>
      <c r="F1714" s="416"/>
      <c r="G1714" s="246" t="s">
        <v>31</v>
      </c>
    </row>
    <row r="1715" spans="1:7" x14ac:dyDescent="0.2">
      <c r="A1715" s="247"/>
      <c r="B1715" s="416"/>
      <c r="C1715" s="416"/>
      <c r="D1715" s="416"/>
      <c r="E1715" s="416"/>
      <c r="F1715" s="416"/>
      <c r="G1715" s="256">
        <f>SUM(F1713:F1713)</f>
        <v>136159.5</v>
      </c>
    </row>
    <row r="1716" spans="1:7" ht="15" thickBot="1" x14ac:dyDescent="0.25">
      <c r="A1716" s="1181" t="s">
        <v>25</v>
      </c>
      <c r="B1716" s="1182"/>
      <c r="C1716" s="1182"/>
      <c r="D1716" s="1182"/>
      <c r="E1716" s="1182"/>
      <c r="F1716" s="1182"/>
      <c r="G1716" s="1183"/>
    </row>
    <row r="1717" spans="1:7" ht="15" thickBot="1" x14ac:dyDescent="0.25">
      <c r="A1717" s="1184" t="s">
        <v>45</v>
      </c>
      <c r="B1717" s="1185"/>
      <c r="C1717" s="1185"/>
      <c r="D1717" s="1185"/>
      <c r="E1717" s="1185"/>
      <c r="F1717" s="192"/>
      <c r="G1717" s="277">
        <f xml:space="preserve"> ROUND(G1715+G1710+G1704+G1698,0)</f>
        <v>2725092</v>
      </c>
    </row>
    <row r="1718" spans="1:7" x14ac:dyDescent="0.2">
      <c r="A1718" s="1186" t="s">
        <v>476</v>
      </c>
      <c r="B1718" s="1187"/>
      <c r="C1718" s="1187"/>
      <c r="D1718" s="1187"/>
      <c r="E1718" s="1187"/>
      <c r="F1718" s="193" t="s">
        <v>51</v>
      </c>
      <c r="G1718" s="257" t="s">
        <v>307</v>
      </c>
    </row>
    <row r="1719" spans="1:7" x14ac:dyDescent="0.2">
      <c r="A1719" s="1166" t="s">
        <v>17</v>
      </c>
      <c r="B1719" s="1167"/>
      <c r="C1719" s="1167"/>
      <c r="D1719" s="1167"/>
      <c r="E1719" s="1167"/>
      <c r="F1719" s="240"/>
      <c r="G1719" s="196"/>
    </row>
    <row r="1720" spans="1:7" x14ac:dyDescent="0.2">
      <c r="A1720" s="1166" t="s">
        <v>308</v>
      </c>
      <c r="B1720" s="1167"/>
      <c r="C1720" s="1167"/>
      <c r="D1720" s="1167"/>
      <c r="E1720" s="1167"/>
      <c r="F1720" s="240"/>
      <c r="G1720" s="196"/>
    </row>
    <row r="1721" spans="1:7" x14ac:dyDescent="0.2">
      <c r="A1721" s="1166" t="s">
        <v>19</v>
      </c>
      <c r="B1721" s="1167"/>
      <c r="C1721" s="1167"/>
      <c r="D1721" s="1167"/>
      <c r="E1721" s="1167"/>
      <c r="F1721" s="240"/>
      <c r="G1721" s="196"/>
    </row>
    <row r="1722" spans="1:7" ht="15" thickBot="1" x14ac:dyDescent="0.25">
      <c r="A1722" s="1168" t="s">
        <v>309</v>
      </c>
      <c r="B1722" s="1169"/>
      <c r="C1722" s="1169"/>
      <c r="D1722" s="1169"/>
      <c r="E1722" s="1169"/>
      <c r="F1722" s="198"/>
      <c r="G1722" s="258"/>
    </row>
    <row r="1723" spans="1:7" ht="15" thickBot="1" x14ac:dyDescent="0.25">
      <c r="A1723" s="1170" t="s">
        <v>310</v>
      </c>
      <c r="B1723" s="1171"/>
      <c r="C1723" s="1171"/>
      <c r="D1723" s="1171"/>
      <c r="E1723" s="1171"/>
      <c r="F1723" s="1172"/>
      <c r="G1723" s="1173"/>
    </row>
    <row r="1724" spans="1:7" x14ac:dyDescent="0.2">
      <c r="A1724" s="413"/>
      <c r="B1724" s="414"/>
      <c r="C1724" s="414"/>
      <c r="D1724" s="414"/>
      <c r="E1724" s="414"/>
      <c r="F1724" s="193"/>
      <c r="G1724" s="260"/>
    </row>
    <row r="1725" spans="1:7" ht="15" thickBot="1" x14ac:dyDescent="0.25">
      <c r="A1725" s="261" t="s">
        <v>681</v>
      </c>
      <c r="B1725" s="262"/>
      <c r="C1725" s="262" t="s">
        <v>682</v>
      </c>
      <c r="D1725" s="262"/>
      <c r="E1725" s="262"/>
      <c r="F1725" s="262" t="s">
        <v>683</v>
      </c>
      <c r="G1725" s="263"/>
    </row>
    <row r="1726" spans="1:7" ht="15" thickBot="1" x14ac:dyDescent="0.25">
      <c r="A1726" s="1174" t="str">
        <f>+LIST_ACTIVIDADES!D67</f>
        <v>Puerta Doble Vatiente (P5) en aluminio y vidrio 3+3 de 2,10 x 1,5mts, según diseños</v>
      </c>
      <c r="B1726" s="1175"/>
      <c r="C1726" s="1175"/>
      <c r="D1726" s="1175"/>
      <c r="E1726" s="1175"/>
      <c r="F1726" s="241" t="s">
        <v>24</v>
      </c>
      <c r="G1726" s="264" t="str">
        <f>+LIST_ACTIVIDADES!E67</f>
        <v>und</v>
      </c>
    </row>
    <row r="1727" spans="1:7" ht="15" thickBot="1" x14ac:dyDescent="0.25">
      <c r="A1727" s="1176" t="s">
        <v>1642</v>
      </c>
      <c r="B1727" s="1177"/>
      <c r="C1727" s="1177"/>
      <c r="D1727" s="1177"/>
      <c r="E1727" s="1177"/>
      <c r="F1727" s="1177"/>
      <c r="G1727" s="1178"/>
    </row>
    <row r="1728" spans="1:7" x14ac:dyDescent="0.2">
      <c r="A1728" s="242" t="s">
        <v>1643</v>
      </c>
      <c r="B1728" s="191" t="s">
        <v>1644</v>
      </c>
      <c r="C1728" s="190" t="s">
        <v>26</v>
      </c>
      <c r="D1728" s="190" t="s">
        <v>27</v>
      </c>
      <c r="E1728" s="190" t="s">
        <v>28</v>
      </c>
      <c r="F1728" s="190" t="s">
        <v>29</v>
      </c>
      <c r="G1728" s="243"/>
    </row>
    <row r="1729" spans="1:7" x14ac:dyDescent="0.2">
      <c r="A1729" s="362" t="str">
        <f>VLOOKUP(B1729,PRECIOS!$A$309:$E$485,2,FALSE)</f>
        <v>EQUIPO158</v>
      </c>
      <c r="B1729" s="363" t="s">
        <v>1699</v>
      </c>
      <c r="C1729" s="99" t="str">
        <f>VLOOKUP(B1729,PRECIOS!$A$309:$E$485,3,FALSE)</f>
        <v>Electrica</v>
      </c>
      <c r="D1729" s="364">
        <f>VLOOKUP(B1729,PRECIOS!$A$309:$E$485,5,FALSE)</f>
        <v>6250</v>
      </c>
      <c r="E1729" s="365">
        <v>0.9</v>
      </c>
      <c r="F1729" s="366">
        <f>+D1729*E1729</f>
        <v>5625</v>
      </c>
      <c r="G1729" s="245"/>
    </row>
    <row r="1730" spans="1:7" x14ac:dyDescent="0.2">
      <c r="A1730" s="362" t="str">
        <f>VLOOKUP(B1730,PRECIOS!$A$309:$E$485,2,FALSE)</f>
        <v>EQUIPO169</v>
      </c>
      <c r="B1730" s="363" t="s">
        <v>449</v>
      </c>
      <c r="C1730" s="99" t="str">
        <f>VLOOKUP(B1730,PRECIOS!$A$309:$E$485,3,FALSE)</f>
        <v>Estructura</v>
      </c>
      <c r="D1730" s="364">
        <f>VLOOKUP(B1730,PRECIOS!$A$309:$E$485,5,FALSE)</f>
        <v>1500</v>
      </c>
      <c r="E1730" s="365">
        <v>1</v>
      </c>
      <c r="F1730" s="366">
        <f>+D1730*E1730</f>
        <v>1500</v>
      </c>
      <c r="G1730" s="245"/>
    </row>
    <row r="1731" spans="1:7" x14ac:dyDescent="0.2">
      <c r="A1731" s="1179" t="s">
        <v>1650</v>
      </c>
      <c r="B1731" s="1180"/>
      <c r="C1731" s="214">
        <v>0.05</v>
      </c>
      <c r="D1731" s="213"/>
      <c r="E1731" s="418"/>
      <c r="F1731" s="212">
        <f>+G1750*C1731</f>
        <v>6807.9750000000004</v>
      </c>
      <c r="G1731" s="246"/>
    </row>
    <row r="1732" spans="1:7" x14ac:dyDescent="0.2">
      <c r="A1732" s="247" t="s">
        <v>25</v>
      </c>
      <c r="B1732" s="416"/>
      <c r="C1732" s="416"/>
      <c r="D1732" s="416"/>
      <c r="E1732" s="416"/>
      <c r="F1732" s="416"/>
      <c r="G1732" s="246" t="s">
        <v>31</v>
      </c>
    </row>
    <row r="1733" spans="1:7" ht="15" thickBot="1" x14ac:dyDescent="0.25">
      <c r="A1733" s="248"/>
      <c r="B1733" s="420"/>
      <c r="C1733" s="420"/>
      <c r="D1733" s="420"/>
      <c r="E1733" s="420"/>
      <c r="F1733" s="420"/>
      <c r="G1733" s="249">
        <f>SUM(F1729:F1731)</f>
        <v>13932.975</v>
      </c>
    </row>
    <row r="1734" spans="1:7" ht="15" thickBot="1" x14ac:dyDescent="0.25">
      <c r="A1734" s="1176" t="s">
        <v>1645</v>
      </c>
      <c r="B1734" s="1177"/>
      <c r="C1734" s="1177"/>
      <c r="D1734" s="1177"/>
      <c r="E1734" s="1177"/>
      <c r="F1734" s="1177"/>
      <c r="G1734" s="1178"/>
    </row>
    <row r="1735" spans="1:7" x14ac:dyDescent="0.2">
      <c r="A1735" s="242" t="s">
        <v>1643</v>
      </c>
      <c r="B1735" s="191" t="s">
        <v>1644</v>
      </c>
      <c r="C1735" s="190" t="s">
        <v>32</v>
      </c>
      <c r="D1735" s="190" t="s">
        <v>33</v>
      </c>
      <c r="E1735" s="190" t="s">
        <v>34</v>
      </c>
      <c r="F1735" s="190" t="s">
        <v>35</v>
      </c>
      <c r="G1735" s="243"/>
    </row>
    <row r="1736" spans="1:7" ht="36" x14ac:dyDescent="0.2">
      <c r="A1736" s="352" t="str">
        <f>VLOOKUP(B1736,PRECIOS!$A$5:$D$303,2,FALSE)</f>
        <v>CARPMETAL05</v>
      </c>
      <c r="B1736" s="105" t="s">
        <v>1801</v>
      </c>
      <c r="C1736" s="105" t="str">
        <f>VLOOKUP(B1736,PRECIOS!$A$5:$D$303,3,FALSE)</f>
        <v>und</v>
      </c>
      <c r="D1736" s="353">
        <f>VLOOKUP(B1736,PRECIOS!$A$5:$D$303,4,FALSE)</f>
        <v>2000000</v>
      </c>
      <c r="E1736" s="354">
        <v>1</v>
      </c>
      <c r="F1736" s="355">
        <f>+D1736*E1736</f>
        <v>2000000</v>
      </c>
      <c r="G1736" s="370"/>
    </row>
    <row r="1737" spans="1:7" x14ac:dyDescent="0.2">
      <c r="A1737" s="1179" t="s">
        <v>1649</v>
      </c>
      <c r="B1737" s="1180"/>
      <c r="C1737" s="214">
        <v>0.03</v>
      </c>
      <c r="D1737" s="417"/>
      <c r="E1737" s="418"/>
      <c r="F1737" s="276">
        <f>SUM(F1736:F1736)*C1737</f>
        <v>60000</v>
      </c>
      <c r="G1737" s="246"/>
    </row>
    <row r="1738" spans="1:7" x14ac:dyDescent="0.2">
      <c r="A1738" s="247"/>
      <c r="B1738" s="416"/>
      <c r="C1738" s="104"/>
      <c r="D1738" s="104"/>
      <c r="E1738" s="104"/>
      <c r="F1738" s="104"/>
      <c r="G1738" s="246" t="s">
        <v>31</v>
      </c>
    </row>
    <row r="1739" spans="1:7" ht="15" thickBot="1" x14ac:dyDescent="0.25">
      <c r="A1739" s="248"/>
      <c r="B1739" s="420"/>
      <c r="C1739" s="420"/>
      <c r="D1739" s="420"/>
      <c r="E1739" s="420"/>
      <c r="F1739" s="420"/>
      <c r="G1739" s="250">
        <f>SUM(F1736:F1737)</f>
        <v>2060000</v>
      </c>
    </row>
    <row r="1740" spans="1:7" ht="15" thickBot="1" x14ac:dyDescent="0.25">
      <c r="A1740" s="1176" t="s">
        <v>1646</v>
      </c>
      <c r="B1740" s="1177"/>
      <c r="C1740" s="1177"/>
      <c r="D1740" s="1177"/>
      <c r="E1740" s="1177"/>
      <c r="F1740" s="1177"/>
      <c r="G1740" s="1178"/>
    </row>
    <row r="1741" spans="1:7" x14ac:dyDescent="0.2">
      <c r="A1741" s="251" t="s">
        <v>305</v>
      </c>
      <c r="B1741" s="190" t="s">
        <v>38</v>
      </c>
      <c r="C1741" s="190" t="s">
        <v>39</v>
      </c>
      <c r="D1741" s="190" t="s">
        <v>40</v>
      </c>
      <c r="E1741" s="190" t="s">
        <v>34</v>
      </c>
      <c r="F1741" s="190" t="s">
        <v>35</v>
      </c>
      <c r="G1741" s="243"/>
    </row>
    <row r="1742" spans="1:7" x14ac:dyDescent="0.2">
      <c r="A1742" s="369"/>
      <c r="B1742" s="89"/>
      <c r="C1742" s="209"/>
      <c r="D1742" s="199"/>
      <c r="E1742" s="367"/>
      <c r="F1742" s="234"/>
      <c r="G1742" s="253"/>
    </row>
    <row r="1743" spans="1:7" x14ac:dyDescent="0.2">
      <c r="A1743" s="252"/>
      <c r="B1743" s="235"/>
      <c r="C1743" s="238"/>
      <c r="D1743" s="236"/>
      <c r="E1743" s="237"/>
      <c r="F1743" s="239"/>
      <c r="G1743" s="253"/>
    </row>
    <row r="1744" spans="1:7" x14ac:dyDescent="0.2">
      <c r="A1744" s="247" t="s">
        <v>25</v>
      </c>
      <c r="B1744" s="104" t="s">
        <v>25</v>
      </c>
      <c r="C1744" s="104" t="s">
        <v>25</v>
      </c>
      <c r="D1744" s="188" t="s">
        <v>25</v>
      </c>
      <c r="E1744" s="189" t="s">
        <v>25</v>
      </c>
      <c r="F1744" s="187" t="s">
        <v>25</v>
      </c>
      <c r="G1744" s="246" t="s">
        <v>31</v>
      </c>
    </row>
    <row r="1745" spans="1:7" ht="15" thickBot="1" x14ac:dyDescent="0.25">
      <c r="A1745" s="248"/>
      <c r="B1745" s="420"/>
      <c r="C1745" s="420"/>
      <c r="D1745" s="420"/>
      <c r="E1745" s="420"/>
      <c r="F1745" s="420"/>
      <c r="G1745" s="250">
        <f>SUM(F1742:F1743)</f>
        <v>0</v>
      </c>
    </row>
    <row r="1746" spans="1:7" ht="15" thickBot="1" x14ac:dyDescent="0.25">
      <c r="A1746" s="1176" t="s">
        <v>1647</v>
      </c>
      <c r="B1746" s="1177"/>
      <c r="C1746" s="1177"/>
      <c r="D1746" s="1177"/>
      <c r="E1746" s="1177"/>
      <c r="F1746" s="1177"/>
      <c r="G1746" s="1178"/>
    </row>
    <row r="1747" spans="1:7" ht="24" x14ac:dyDescent="0.2">
      <c r="A1747" s="254" t="s">
        <v>1681</v>
      </c>
      <c r="B1747" s="190" t="s">
        <v>42</v>
      </c>
      <c r="C1747" s="190" t="s">
        <v>43</v>
      </c>
      <c r="D1747" s="190" t="s">
        <v>44</v>
      </c>
      <c r="E1747" s="190" t="s">
        <v>306</v>
      </c>
      <c r="F1747" s="190" t="s">
        <v>29</v>
      </c>
      <c r="G1747" s="243"/>
    </row>
    <row r="1748" spans="1:7" ht="36" x14ac:dyDescent="0.2">
      <c r="A1748" s="255" t="s">
        <v>1674</v>
      </c>
      <c r="B1748" s="202">
        <f>VLOOKUP(A1748,JORNALES!$A$5:$B$28,2,FALSE)</f>
        <v>215000</v>
      </c>
      <c r="C1748" s="233">
        <f>+PRESTACIONES!$C$20/100</f>
        <v>0.89990000000000014</v>
      </c>
      <c r="D1748" s="234">
        <f>+(B1748*C1748)+B1748</f>
        <v>408478.5</v>
      </c>
      <c r="E1748" s="421">
        <v>3</v>
      </c>
      <c r="F1748" s="199">
        <f>+D1748/E1748</f>
        <v>136159.5</v>
      </c>
      <c r="G1748" s="246"/>
    </row>
    <row r="1749" spans="1:7" x14ac:dyDescent="0.2">
      <c r="A1749" s="247"/>
      <c r="B1749" s="416"/>
      <c r="C1749" s="416"/>
      <c r="D1749" s="416"/>
      <c r="E1749" s="416"/>
      <c r="F1749" s="416"/>
      <c r="G1749" s="246" t="s">
        <v>31</v>
      </c>
    </row>
    <row r="1750" spans="1:7" x14ac:dyDescent="0.2">
      <c r="A1750" s="247"/>
      <c r="B1750" s="416"/>
      <c r="C1750" s="416"/>
      <c r="D1750" s="416"/>
      <c r="E1750" s="416"/>
      <c r="F1750" s="416"/>
      <c r="G1750" s="256">
        <f>SUM(F1748:F1748)</f>
        <v>136159.5</v>
      </c>
    </row>
    <row r="1751" spans="1:7" ht="15" thickBot="1" x14ac:dyDescent="0.25">
      <c r="A1751" s="1181" t="s">
        <v>25</v>
      </c>
      <c r="B1751" s="1182"/>
      <c r="C1751" s="1182"/>
      <c r="D1751" s="1182"/>
      <c r="E1751" s="1182"/>
      <c r="F1751" s="1182"/>
      <c r="G1751" s="1183"/>
    </row>
    <row r="1752" spans="1:7" ht="15" thickBot="1" x14ac:dyDescent="0.25">
      <c r="A1752" s="1184" t="s">
        <v>45</v>
      </c>
      <c r="B1752" s="1185"/>
      <c r="C1752" s="1185"/>
      <c r="D1752" s="1185"/>
      <c r="E1752" s="1185"/>
      <c r="F1752" s="192"/>
      <c r="G1752" s="277">
        <f xml:space="preserve"> ROUND(G1750+G1745+G1739+G1733,0)</f>
        <v>2210092</v>
      </c>
    </row>
    <row r="1753" spans="1:7" x14ac:dyDescent="0.2">
      <c r="A1753" s="1186" t="s">
        <v>476</v>
      </c>
      <c r="B1753" s="1187"/>
      <c r="C1753" s="1187"/>
      <c r="D1753" s="1187"/>
      <c r="E1753" s="1187"/>
      <c r="F1753" s="193" t="s">
        <v>51</v>
      </c>
      <c r="G1753" s="257" t="s">
        <v>307</v>
      </c>
    </row>
    <row r="1754" spans="1:7" x14ac:dyDescent="0.2">
      <c r="A1754" s="1166" t="s">
        <v>17</v>
      </c>
      <c r="B1754" s="1167"/>
      <c r="C1754" s="1167"/>
      <c r="D1754" s="1167"/>
      <c r="E1754" s="1167"/>
      <c r="F1754" s="240"/>
      <c r="G1754" s="196"/>
    </row>
    <row r="1755" spans="1:7" x14ac:dyDescent="0.2">
      <c r="A1755" s="1166" t="s">
        <v>308</v>
      </c>
      <c r="B1755" s="1167"/>
      <c r="C1755" s="1167"/>
      <c r="D1755" s="1167"/>
      <c r="E1755" s="1167"/>
      <c r="F1755" s="240"/>
      <c r="G1755" s="196"/>
    </row>
    <row r="1756" spans="1:7" x14ac:dyDescent="0.2">
      <c r="A1756" s="1166" t="s">
        <v>19</v>
      </c>
      <c r="B1756" s="1167"/>
      <c r="C1756" s="1167"/>
      <c r="D1756" s="1167"/>
      <c r="E1756" s="1167"/>
      <c r="F1756" s="240"/>
      <c r="G1756" s="196"/>
    </row>
    <row r="1757" spans="1:7" ht="15" thickBot="1" x14ac:dyDescent="0.25">
      <c r="A1757" s="1168" t="s">
        <v>309</v>
      </c>
      <c r="B1757" s="1169"/>
      <c r="C1757" s="1169"/>
      <c r="D1757" s="1169"/>
      <c r="E1757" s="1169"/>
      <c r="F1757" s="198"/>
      <c r="G1757" s="258"/>
    </row>
    <row r="1758" spans="1:7" ht="15" thickBot="1" x14ac:dyDescent="0.25">
      <c r="A1758" s="1170" t="s">
        <v>310</v>
      </c>
      <c r="B1758" s="1171"/>
      <c r="C1758" s="1171"/>
      <c r="D1758" s="1171"/>
      <c r="E1758" s="1171"/>
      <c r="F1758" s="1172"/>
      <c r="G1758" s="1173"/>
    </row>
    <row r="1759" spans="1:7" x14ac:dyDescent="0.2">
      <c r="A1759" s="413"/>
      <c r="B1759" s="414"/>
      <c r="C1759" s="414"/>
      <c r="D1759" s="414"/>
      <c r="E1759" s="414"/>
      <c r="F1759" s="193"/>
      <c r="G1759" s="260"/>
    </row>
    <row r="1760" spans="1:7" ht="15" thickBot="1" x14ac:dyDescent="0.25">
      <c r="A1760" s="261" t="s">
        <v>681</v>
      </c>
      <c r="B1760" s="262"/>
      <c r="C1760" s="262" t="s">
        <v>682</v>
      </c>
      <c r="D1760" s="262"/>
      <c r="E1760" s="262"/>
      <c r="F1760" s="262" t="s">
        <v>683</v>
      </c>
      <c r="G1760" s="263"/>
    </row>
    <row r="1761" spans="1:7" ht="15" thickBot="1" x14ac:dyDescent="0.25">
      <c r="A1761" s="1174" t="str">
        <f>+LIST_ACTIVIDADES!D68</f>
        <v>Puerta Doble Vatiente (P6) en aluminio y vidrio 3+3 de 2,10 x 1,20mts, según diseños</v>
      </c>
      <c r="B1761" s="1175"/>
      <c r="C1761" s="1175"/>
      <c r="D1761" s="1175"/>
      <c r="E1761" s="1175"/>
      <c r="F1761" s="241" t="s">
        <v>24</v>
      </c>
      <c r="G1761" s="264" t="str">
        <f>+LIST_ACTIVIDADES!E68</f>
        <v>und</v>
      </c>
    </row>
    <row r="1762" spans="1:7" ht="15" thickBot="1" x14ac:dyDescent="0.25">
      <c r="A1762" s="1176" t="s">
        <v>1642</v>
      </c>
      <c r="B1762" s="1177"/>
      <c r="C1762" s="1177"/>
      <c r="D1762" s="1177"/>
      <c r="E1762" s="1177"/>
      <c r="F1762" s="1177"/>
      <c r="G1762" s="1178"/>
    </row>
    <row r="1763" spans="1:7" x14ac:dyDescent="0.2">
      <c r="A1763" s="242" t="s">
        <v>1643</v>
      </c>
      <c r="B1763" s="191" t="s">
        <v>1644</v>
      </c>
      <c r="C1763" s="190" t="s">
        <v>26</v>
      </c>
      <c r="D1763" s="190" t="s">
        <v>27</v>
      </c>
      <c r="E1763" s="190" t="s">
        <v>28</v>
      </c>
      <c r="F1763" s="190" t="s">
        <v>29</v>
      </c>
      <c r="G1763" s="243"/>
    </row>
    <row r="1764" spans="1:7" x14ac:dyDescent="0.2">
      <c r="A1764" s="362" t="str">
        <f>VLOOKUP(B1764,PRECIOS!$A$309:$E$485,2,FALSE)</f>
        <v>EQUIPO158</v>
      </c>
      <c r="B1764" s="363" t="s">
        <v>1699</v>
      </c>
      <c r="C1764" s="99" t="str">
        <f>VLOOKUP(B1764,PRECIOS!$A$309:$E$485,3,FALSE)</f>
        <v>Electrica</v>
      </c>
      <c r="D1764" s="364">
        <f>VLOOKUP(B1764,PRECIOS!$A$309:$E$485,5,FALSE)</f>
        <v>6250</v>
      </c>
      <c r="E1764" s="365">
        <v>0.9</v>
      </c>
      <c r="F1764" s="366">
        <f>+D1764*E1764</f>
        <v>5625</v>
      </c>
      <c r="G1764" s="245"/>
    </row>
    <row r="1765" spans="1:7" x14ac:dyDescent="0.2">
      <c r="A1765" s="362" t="str">
        <f>VLOOKUP(B1765,PRECIOS!$A$309:$E$485,2,FALSE)</f>
        <v>EQUIPO169</v>
      </c>
      <c r="B1765" s="363" t="s">
        <v>449</v>
      </c>
      <c r="C1765" s="99" t="str">
        <f>VLOOKUP(B1765,PRECIOS!$A$309:$E$485,3,FALSE)</f>
        <v>Estructura</v>
      </c>
      <c r="D1765" s="364">
        <f>VLOOKUP(B1765,PRECIOS!$A$309:$E$485,5,FALSE)</f>
        <v>1500</v>
      </c>
      <c r="E1765" s="365">
        <v>1</v>
      </c>
      <c r="F1765" s="366">
        <f>+D1765*E1765</f>
        <v>1500</v>
      </c>
      <c r="G1765" s="245"/>
    </row>
    <row r="1766" spans="1:7" x14ac:dyDescent="0.2">
      <c r="A1766" s="1179" t="s">
        <v>1650</v>
      </c>
      <c r="B1766" s="1180"/>
      <c r="C1766" s="214">
        <v>0.05</v>
      </c>
      <c r="D1766" s="213"/>
      <c r="E1766" s="418"/>
      <c r="F1766" s="212">
        <f>+G1785*C1766</f>
        <v>6807.9750000000004</v>
      </c>
      <c r="G1766" s="246"/>
    </row>
    <row r="1767" spans="1:7" x14ac:dyDescent="0.2">
      <c r="A1767" s="247" t="s">
        <v>25</v>
      </c>
      <c r="B1767" s="416"/>
      <c r="C1767" s="416"/>
      <c r="D1767" s="416"/>
      <c r="E1767" s="416"/>
      <c r="F1767" s="416"/>
      <c r="G1767" s="246" t="s">
        <v>31</v>
      </c>
    </row>
    <row r="1768" spans="1:7" ht="15" thickBot="1" x14ac:dyDescent="0.25">
      <c r="A1768" s="248"/>
      <c r="B1768" s="420"/>
      <c r="C1768" s="420"/>
      <c r="D1768" s="420"/>
      <c r="E1768" s="420"/>
      <c r="F1768" s="420"/>
      <c r="G1768" s="249">
        <f>SUM(F1764:F1766)</f>
        <v>13932.975</v>
      </c>
    </row>
    <row r="1769" spans="1:7" ht="15" thickBot="1" x14ac:dyDescent="0.25">
      <c r="A1769" s="1176" t="s">
        <v>1645</v>
      </c>
      <c r="B1769" s="1177"/>
      <c r="C1769" s="1177"/>
      <c r="D1769" s="1177"/>
      <c r="E1769" s="1177"/>
      <c r="F1769" s="1177"/>
      <c r="G1769" s="1178"/>
    </row>
    <row r="1770" spans="1:7" x14ac:dyDescent="0.2">
      <c r="A1770" s="242" t="s">
        <v>1643</v>
      </c>
      <c r="B1770" s="191" t="s">
        <v>1644</v>
      </c>
      <c r="C1770" s="190" t="s">
        <v>32</v>
      </c>
      <c r="D1770" s="190" t="s">
        <v>33</v>
      </c>
      <c r="E1770" s="190" t="s">
        <v>34</v>
      </c>
      <c r="F1770" s="190" t="s">
        <v>35</v>
      </c>
      <c r="G1770" s="243"/>
    </row>
    <row r="1771" spans="1:7" ht="36" x14ac:dyDescent="0.2">
      <c r="A1771" s="352" t="str">
        <f>VLOOKUP(B1771,PRECIOS!$A$5:$D$303,2,FALSE)</f>
        <v>CARPMETAL06</v>
      </c>
      <c r="B1771" s="105" t="s">
        <v>1802</v>
      </c>
      <c r="C1771" s="105" t="str">
        <f>VLOOKUP(B1771,PRECIOS!$A$5:$D$303,3,FALSE)</f>
        <v>und</v>
      </c>
      <c r="D1771" s="353">
        <f>VLOOKUP(B1771,PRECIOS!$A$5:$D$303,4,FALSE)</f>
        <v>1800000</v>
      </c>
      <c r="E1771" s="354">
        <v>1</v>
      </c>
      <c r="F1771" s="355">
        <f>+D1771*E1771</f>
        <v>1800000</v>
      </c>
      <c r="G1771" s="370"/>
    </row>
    <row r="1772" spans="1:7" x14ac:dyDescent="0.2">
      <c r="A1772" s="1179" t="s">
        <v>1649</v>
      </c>
      <c r="B1772" s="1180"/>
      <c r="C1772" s="214">
        <v>0.03</v>
      </c>
      <c r="D1772" s="417"/>
      <c r="E1772" s="418"/>
      <c r="F1772" s="276">
        <f>SUM(F1771:F1771)*C1772</f>
        <v>54000</v>
      </c>
      <c r="G1772" s="246"/>
    </row>
    <row r="1773" spans="1:7" x14ac:dyDescent="0.2">
      <c r="A1773" s="247"/>
      <c r="B1773" s="416"/>
      <c r="C1773" s="104"/>
      <c r="D1773" s="104"/>
      <c r="E1773" s="104"/>
      <c r="F1773" s="104"/>
      <c r="G1773" s="246" t="s">
        <v>31</v>
      </c>
    </row>
    <row r="1774" spans="1:7" ht="15" thickBot="1" x14ac:dyDescent="0.25">
      <c r="A1774" s="248"/>
      <c r="B1774" s="420"/>
      <c r="C1774" s="420"/>
      <c r="D1774" s="420"/>
      <c r="E1774" s="420"/>
      <c r="F1774" s="420"/>
      <c r="G1774" s="250">
        <f>SUM(F1771:F1772)</f>
        <v>1854000</v>
      </c>
    </row>
    <row r="1775" spans="1:7" ht="15" thickBot="1" x14ac:dyDescent="0.25">
      <c r="A1775" s="1176" t="s">
        <v>1646</v>
      </c>
      <c r="B1775" s="1177"/>
      <c r="C1775" s="1177"/>
      <c r="D1775" s="1177"/>
      <c r="E1775" s="1177"/>
      <c r="F1775" s="1177"/>
      <c r="G1775" s="1178"/>
    </row>
    <row r="1776" spans="1:7" x14ac:dyDescent="0.2">
      <c r="A1776" s="251" t="s">
        <v>305</v>
      </c>
      <c r="B1776" s="190" t="s">
        <v>38</v>
      </c>
      <c r="C1776" s="190" t="s">
        <v>39</v>
      </c>
      <c r="D1776" s="190" t="s">
        <v>40</v>
      </c>
      <c r="E1776" s="190" t="s">
        <v>34</v>
      </c>
      <c r="F1776" s="190" t="s">
        <v>35</v>
      </c>
      <c r="G1776" s="243"/>
    </row>
    <row r="1777" spans="1:7" x14ac:dyDescent="0.2">
      <c r="A1777" s="369"/>
      <c r="B1777" s="89"/>
      <c r="C1777" s="209"/>
      <c r="D1777" s="199"/>
      <c r="E1777" s="367"/>
      <c r="F1777" s="234"/>
      <c r="G1777" s="253"/>
    </row>
    <row r="1778" spans="1:7" x14ac:dyDescent="0.2">
      <c r="A1778" s="252"/>
      <c r="B1778" s="235"/>
      <c r="C1778" s="238"/>
      <c r="D1778" s="236"/>
      <c r="E1778" s="237"/>
      <c r="F1778" s="239"/>
      <c r="G1778" s="253"/>
    </row>
    <row r="1779" spans="1:7" x14ac:dyDescent="0.2">
      <c r="A1779" s="247" t="s">
        <v>25</v>
      </c>
      <c r="B1779" s="104" t="s">
        <v>25</v>
      </c>
      <c r="C1779" s="104" t="s">
        <v>25</v>
      </c>
      <c r="D1779" s="188" t="s">
        <v>25</v>
      </c>
      <c r="E1779" s="189" t="s">
        <v>25</v>
      </c>
      <c r="F1779" s="187" t="s">
        <v>25</v>
      </c>
      <c r="G1779" s="246" t="s">
        <v>31</v>
      </c>
    </row>
    <row r="1780" spans="1:7" ht="15" thickBot="1" x14ac:dyDescent="0.25">
      <c r="A1780" s="248"/>
      <c r="B1780" s="420"/>
      <c r="C1780" s="420"/>
      <c r="D1780" s="420"/>
      <c r="E1780" s="420"/>
      <c r="F1780" s="420"/>
      <c r="G1780" s="250">
        <f>SUM(F1777:F1778)</f>
        <v>0</v>
      </c>
    </row>
    <row r="1781" spans="1:7" ht="15" thickBot="1" x14ac:dyDescent="0.25">
      <c r="A1781" s="1176" t="s">
        <v>1647</v>
      </c>
      <c r="B1781" s="1177"/>
      <c r="C1781" s="1177"/>
      <c r="D1781" s="1177"/>
      <c r="E1781" s="1177"/>
      <c r="F1781" s="1177"/>
      <c r="G1781" s="1178"/>
    </row>
    <row r="1782" spans="1:7" ht="24" x14ac:dyDescent="0.2">
      <c r="A1782" s="254" t="s">
        <v>1681</v>
      </c>
      <c r="B1782" s="190" t="s">
        <v>42</v>
      </c>
      <c r="C1782" s="190" t="s">
        <v>43</v>
      </c>
      <c r="D1782" s="190" t="s">
        <v>44</v>
      </c>
      <c r="E1782" s="190" t="s">
        <v>306</v>
      </c>
      <c r="F1782" s="190" t="s">
        <v>29</v>
      </c>
      <c r="G1782" s="243"/>
    </row>
    <row r="1783" spans="1:7" ht="36" x14ac:dyDescent="0.2">
      <c r="A1783" s="255" t="s">
        <v>1674</v>
      </c>
      <c r="B1783" s="202">
        <f>VLOOKUP(A1783,JORNALES!$A$5:$B$28,2,FALSE)</f>
        <v>215000</v>
      </c>
      <c r="C1783" s="233">
        <f>+PRESTACIONES!$C$20/100</f>
        <v>0.89990000000000014</v>
      </c>
      <c r="D1783" s="234">
        <f>+(B1783*C1783)+B1783</f>
        <v>408478.5</v>
      </c>
      <c r="E1783" s="421">
        <v>3</v>
      </c>
      <c r="F1783" s="199">
        <f>+D1783/E1783</f>
        <v>136159.5</v>
      </c>
      <c r="G1783" s="246"/>
    </row>
    <row r="1784" spans="1:7" x14ac:dyDescent="0.2">
      <c r="A1784" s="247"/>
      <c r="B1784" s="416"/>
      <c r="C1784" s="416"/>
      <c r="D1784" s="416"/>
      <c r="E1784" s="416"/>
      <c r="F1784" s="416"/>
      <c r="G1784" s="246" t="s">
        <v>31</v>
      </c>
    </row>
    <row r="1785" spans="1:7" x14ac:dyDescent="0.2">
      <c r="A1785" s="247"/>
      <c r="B1785" s="416"/>
      <c r="C1785" s="416"/>
      <c r="D1785" s="416"/>
      <c r="E1785" s="416"/>
      <c r="F1785" s="416"/>
      <c r="G1785" s="256">
        <f>SUM(F1783:F1783)</f>
        <v>136159.5</v>
      </c>
    </row>
    <row r="1786" spans="1:7" ht="15" thickBot="1" x14ac:dyDescent="0.25">
      <c r="A1786" s="1181" t="s">
        <v>25</v>
      </c>
      <c r="B1786" s="1182"/>
      <c r="C1786" s="1182"/>
      <c r="D1786" s="1182"/>
      <c r="E1786" s="1182"/>
      <c r="F1786" s="1182"/>
      <c r="G1786" s="1183"/>
    </row>
    <row r="1787" spans="1:7" ht="15" thickBot="1" x14ac:dyDescent="0.25">
      <c r="A1787" s="1184" t="s">
        <v>45</v>
      </c>
      <c r="B1787" s="1185"/>
      <c r="C1787" s="1185"/>
      <c r="D1787" s="1185"/>
      <c r="E1787" s="1185"/>
      <c r="F1787" s="192"/>
      <c r="G1787" s="277">
        <f xml:space="preserve"> ROUND(G1785+G1780+G1774+G1768,0)</f>
        <v>2004092</v>
      </c>
    </row>
    <row r="1788" spans="1:7" x14ac:dyDescent="0.2">
      <c r="A1788" s="1186" t="s">
        <v>476</v>
      </c>
      <c r="B1788" s="1187"/>
      <c r="C1788" s="1187"/>
      <c r="D1788" s="1187"/>
      <c r="E1788" s="1187"/>
      <c r="F1788" s="193" t="s">
        <v>51</v>
      </c>
      <c r="G1788" s="257" t="s">
        <v>307</v>
      </c>
    </row>
    <row r="1789" spans="1:7" x14ac:dyDescent="0.2">
      <c r="A1789" s="1166" t="s">
        <v>17</v>
      </c>
      <c r="B1789" s="1167"/>
      <c r="C1789" s="1167"/>
      <c r="D1789" s="1167"/>
      <c r="E1789" s="1167"/>
      <c r="F1789" s="240"/>
      <c r="G1789" s="196"/>
    </row>
    <row r="1790" spans="1:7" x14ac:dyDescent="0.2">
      <c r="A1790" s="1166" t="s">
        <v>308</v>
      </c>
      <c r="B1790" s="1167"/>
      <c r="C1790" s="1167"/>
      <c r="D1790" s="1167"/>
      <c r="E1790" s="1167"/>
      <c r="F1790" s="240"/>
      <c r="G1790" s="196"/>
    </row>
    <row r="1791" spans="1:7" x14ac:dyDescent="0.2">
      <c r="A1791" s="1166" t="s">
        <v>19</v>
      </c>
      <c r="B1791" s="1167"/>
      <c r="C1791" s="1167"/>
      <c r="D1791" s="1167"/>
      <c r="E1791" s="1167"/>
      <c r="F1791" s="240"/>
      <c r="G1791" s="196"/>
    </row>
    <row r="1792" spans="1:7" ht="15" thickBot="1" x14ac:dyDescent="0.25">
      <c r="A1792" s="1168" t="s">
        <v>309</v>
      </c>
      <c r="B1792" s="1169"/>
      <c r="C1792" s="1169"/>
      <c r="D1792" s="1169"/>
      <c r="E1792" s="1169"/>
      <c r="F1792" s="198"/>
      <c r="G1792" s="258"/>
    </row>
    <row r="1793" spans="1:7" ht="15" thickBot="1" x14ac:dyDescent="0.25">
      <c r="A1793" s="1170" t="s">
        <v>310</v>
      </c>
      <c r="B1793" s="1171"/>
      <c r="C1793" s="1171"/>
      <c r="D1793" s="1171"/>
      <c r="E1793" s="1171"/>
      <c r="F1793" s="1172"/>
      <c r="G1793" s="1173"/>
    </row>
    <row r="1794" spans="1:7" x14ac:dyDescent="0.2">
      <c r="A1794" s="413"/>
      <c r="B1794" s="414"/>
      <c r="C1794" s="414"/>
      <c r="D1794" s="414"/>
      <c r="E1794" s="414"/>
      <c r="F1794" s="193"/>
      <c r="G1794" s="260"/>
    </row>
    <row r="1795" spans="1:7" ht="15" thickBot="1" x14ac:dyDescent="0.25">
      <c r="A1795" s="261" t="s">
        <v>681</v>
      </c>
      <c r="B1795" s="262"/>
      <c r="C1795" s="262" t="s">
        <v>682</v>
      </c>
      <c r="D1795" s="262"/>
      <c r="E1795" s="262"/>
      <c r="F1795" s="262" t="s">
        <v>683</v>
      </c>
      <c r="G1795" s="263"/>
    </row>
    <row r="1796" spans="1:7" ht="15" thickBot="1" x14ac:dyDescent="0.25">
      <c r="A1796" s="1174" t="str">
        <f>+LIST_ACTIVIDADES!D69</f>
        <v>Puerta Doble Vatiente (P7) en aluminio y vidrio 3+3 de 2,10 x 1,40mts, según diseños</v>
      </c>
      <c r="B1796" s="1175"/>
      <c r="C1796" s="1175"/>
      <c r="D1796" s="1175"/>
      <c r="E1796" s="1175"/>
      <c r="F1796" s="241" t="s">
        <v>24</v>
      </c>
      <c r="G1796" s="264" t="str">
        <f>+LIST_ACTIVIDADES!E69</f>
        <v>und</v>
      </c>
    </row>
    <row r="1797" spans="1:7" ht="15" thickBot="1" x14ac:dyDescent="0.25">
      <c r="A1797" s="1176" t="s">
        <v>1642</v>
      </c>
      <c r="B1797" s="1177"/>
      <c r="C1797" s="1177"/>
      <c r="D1797" s="1177"/>
      <c r="E1797" s="1177"/>
      <c r="F1797" s="1177"/>
      <c r="G1797" s="1178"/>
    </row>
    <row r="1798" spans="1:7" x14ac:dyDescent="0.2">
      <c r="A1798" s="242" t="s">
        <v>1643</v>
      </c>
      <c r="B1798" s="191" t="s">
        <v>1644</v>
      </c>
      <c r="C1798" s="190" t="s">
        <v>26</v>
      </c>
      <c r="D1798" s="190" t="s">
        <v>27</v>
      </c>
      <c r="E1798" s="190" t="s">
        <v>28</v>
      </c>
      <c r="F1798" s="190" t="s">
        <v>29</v>
      </c>
      <c r="G1798" s="243"/>
    </row>
    <row r="1799" spans="1:7" x14ac:dyDescent="0.2">
      <c r="A1799" s="362" t="str">
        <f>VLOOKUP(B1799,PRECIOS!$A$309:$E$485,2,FALSE)</f>
        <v>EQUIPO158</v>
      </c>
      <c r="B1799" s="363" t="s">
        <v>1699</v>
      </c>
      <c r="C1799" s="99" t="str">
        <f>VLOOKUP(B1799,PRECIOS!$A$309:$E$485,3,FALSE)</f>
        <v>Electrica</v>
      </c>
      <c r="D1799" s="364">
        <f>VLOOKUP(B1799,PRECIOS!$A$309:$E$485,5,FALSE)</f>
        <v>6250</v>
      </c>
      <c r="E1799" s="365">
        <v>0.9</v>
      </c>
      <c r="F1799" s="366">
        <f>+D1799*E1799</f>
        <v>5625</v>
      </c>
      <c r="G1799" s="245"/>
    </row>
    <row r="1800" spans="1:7" x14ac:dyDescent="0.2">
      <c r="A1800" s="362" t="str">
        <f>VLOOKUP(B1800,PRECIOS!$A$309:$E$485,2,FALSE)</f>
        <v>EQUIPO169</v>
      </c>
      <c r="B1800" s="363" t="s">
        <v>449</v>
      </c>
      <c r="C1800" s="99" t="str">
        <f>VLOOKUP(B1800,PRECIOS!$A$309:$E$485,3,FALSE)</f>
        <v>Estructura</v>
      </c>
      <c r="D1800" s="364">
        <f>VLOOKUP(B1800,PRECIOS!$A$309:$E$485,5,FALSE)</f>
        <v>1500</v>
      </c>
      <c r="E1800" s="365">
        <v>1</v>
      </c>
      <c r="F1800" s="366">
        <f>+D1800*E1800</f>
        <v>1500</v>
      </c>
      <c r="G1800" s="245"/>
    </row>
    <row r="1801" spans="1:7" x14ac:dyDescent="0.2">
      <c r="A1801" s="1179" t="s">
        <v>1650</v>
      </c>
      <c r="B1801" s="1180"/>
      <c r="C1801" s="214">
        <v>0.05</v>
      </c>
      <c r="D1801" s="213"/>
      <c r="E1801" s="418"/>
      <c r="F1801" s="212">
        <f>+G1820*C1801</f>
        <v>6807.9750000000004</v>
      </c>
      <c r="G1801" s="246"/>
    </row>
    <row r="1802" spans="1:7" x14ac:dyDescent="0.2">
      <c r="A1802" s="247" t="s">
        <v>25</v>
      </c>
      <c r="B1802" s="416"/>
      <c r="C1802" s="416"/>
      <c r="D1802" s="416"/>
      <c r="E1802" s="416"/>
      <c r="F1802" s="416"/>
      <c r="G1802" s="246" t="s">
        <v>31</v>
      </c>
    </row>
    <row r="1803" spans="1:7" ht="15" thickBot="1" x14ac:dyDescent="0.25">
      <c r="A1803" s="248"/>
      <c r="B1803" s="420"/>
      <c r="C1803" s="420"/>
      <c r="D1803" s="420"/>
      <c r="E1803" s="420"/>
      <c r="F1803" s="420"/>
      <c r="G1803" s="249">
        <f>SUM(F1799:F1801)</f>
        <v>13932.975</v>
      </c>
    </row>
    <row r="1804" spans="1:7" ht="15" thickBot="1" x14ac:dyDescent="0.25">
      <c r="A1804" s="1176" t="s">
        <v>1645</v>
      </c>
      <c r="B1804" s="1177"/>
      <c r="C1804" s="1177"/>
      <c r="D1804" s="1177"/>
      <c r="E1804" s="1177"/>
      <c r="F1804" s="1177"/>
      <c r="G1804" s="1178"/>
    </row>
    <row r="1805" spans="1:7" x14ac:dyDescent="0.2">
      <c r="A1805" s="242" t="s">
        <v>1643</v>
      </c>
      <c r="B1805" s="191" t="s">
        <v>1644</v>
      </c>
      <c r="C1805" s="190" t="s">
        <v>32</v>
      </c>
      <c r="D1805" s="190" t="s">
        <v>33</v>
      </c>
      <c r="E1805" s="190" t="s">
        <v>34</v>
      </c>
      <c r="F1805" s="190" t="s">
        <v>35</v>
      </c>
      <c r="G1805" s="243"/>
    </row>
    <row r="1806" spans="1:7" ht="36" x14ac:dyDescent="0.2">
      <c r="A1806" s="352" t="str">
        <f>VLOOKUP(B1806,PRECIOS!$A$5:$D$303,2,FALSE)</f>
        <v>CARPMETAL07</v>
      </c>
      <c r="B1806" s="105" t="s">
        <v>1803</v>
      </c>
      <c r="C1806" s="105" t="str">
        <f>VLOOKUP(B1806,PRECIOS!$A$5:$D$303,3,FALSE)</f>
        <v>und</v>
      </c>
      <c r="D1806" s="353">
        <f>VLOOKUP(B1806,PRECIOS!$A$5:$D$303,4,FALSE)</f>
        <v>2000000</v>
      </c>
      <c r="E1806" s="354">
        <v>1</v>
      </c>
      <c r="F1806" s="355">
        <f>+D1806*E1806</f>
        <v>2000000</v>
      </c>
      <c r="G1806" s="370"/>
    </row>
    <row r="1807" spans="1:7" x14ac:dyDescent="0.2">
      <c r="A1807" s="1179" t="s">
        <v>1649</v>
      </c>
      <c r="B1807" s="1180"/>
      <c r="C1807" s="214">
        <v>0.03</v>
      </c>
      <c r="D1807" s="417"/>
      <c r="E1807" s="418"/>
      <c r="F1807" s="276">
        <f>SUM(F1806:F1806)*C1807</f>
        <v>60000</v>
      </c>
      <c r="G1807" s="246"/>
    </row>
    <row r="1808" spans="1:7" x14ac:dyDescent="0.2">
      <c r="A1808" s="247"/>
      <c r="B1808" s="416"/>
      <c r="C1808" s="104"/>
      <c r="D1808" s="104"/>
      <c r="E1808" s="104"/>
      <c r="F1808" s="104"/>
      <c r="G1808" s="246" t="s">
        <v>31</v>
      </c>
    </row>
    <row r="1809" spans="1:7" ht="15" thickBot="1" x14ac:dyDescent="0.25">
      <c r="A1809" s="248"/>
      <c r="B1809" s="420"/>
      <c r="C1809" s="420"/>
      <c r="D1809" s="420"/>
      <c r="E1809" s="420"/>
      <c r="F1809" s="420"/>
      <c r="G1809" s="250">
        <f>SUM(F1806:F1807)</f>
        <v>2060000</v>
      </c>
    </row>
    <row r="1810" spans="1:7" ht="15" thickBot="1" x14ac:dyDescent="0.25">
      <c r="A1810" s="1176" t="s">
        <v>1646</v>
      </c>
      <c r="B1810" s="1177"/>
      <c r="C1810" s="1177"/>
      <c r="D1810" s="1177"/>
      <c r="E1810" s="1177"/>
      <c r="F1810" s="1177"/>
      <c r="G1810" s="1178"/>
    </row>
    <row r="1811" spans="1:7" x14ac:dyDescent="0.2">
      <c r="A1811" s="251" t="s">
        <v>305</v>
      </c>
      <c r="B1811" s="190" t="s">
        <v>38</v>
      </c>
      <c r="C1811" s="190" t="s">
        <v>39</v>
      </c>
      <c r="D1811" s="190" t="s">
        <v>40</v>
      </c>
      <c r="E1811" s="190" t="s">
        <v>34</v>
      </c>
      <c r="F1811" s="190" t="s">
        <v>35</v>
      </c>
      <c r="G1811" s="243"/>
    </row>
    <row r="1812" spans="1:7" x14ac:dyDescent="0.2">
      <c r="A1812" s="369"/>
      <c r="B1812" s="89"/>
      <c r="C1812" s="209"/>
      <c r="D1812" s="199"/>
      <c r="E1812" s="367"/>
      <c r="F1812" s="234"/>
      <c r="G1812" s="253"/>
    </row>
    <row r="1813" spans="1:7" x14ac:dyDescent="0.2">
      <c r="A1813" s="252"/>
      <c r="B1813" s="235"/>
      <c r="C1813" s="238"/>
      <c r="D1813" s="236"/>
      <c r="E1813" s="237"/>
      <c r="F1813" s="239"/>
      <c r="G1813" s="253"/>
    </row>
    <row r="1814" spans="1:7" x14ac:dyDescent="0.2">
      <c r="A1814" s="247" t="s">
        <v>25</v>
      </c>
      <c r="B1814" s="104" t="s">
        <v>25</v>
      </c>
      <c r="C1814" s="104" t="s">
        <v>25</v>
      </c>
      <c r="D1814" s="188" t="s">
        <v>25</v>
      </c>
      <c r="E1814" s="189" t="s">
        <v>25</v>
      </c>
      <c r="F1814" s="187" t="s">
        <v>25</v>
      </c>
      <c r="G1814" s="246" t="s">
        <v>31</v>
      </c>
    </row>
    <row r="1815" spans="1:7" ht="15" thickBot="1" x14ac:dyDescent="0.25">
      <c r="A1815" s="248"/>
      <c r="B1815" s="420"/>
      <c r="C1815" s="420"/>
      <c r="D1815" s="420"/>
      <c r="E1815" s="420"/>
      <c r="F1815" s="420"/>
      <c r="G1815" s="250">
        <f>SUM(F1812:F1813)</f>
        <v>0</v>
      </c>
    </row>
    <row r="1816" spans="1:7" ht="15" thickBot="1" x14ac:dyDescent="0.25">
      <c r="A1816" s="1176" t="s">
        <v>1647</v>
      </c>
      <c r="B1816" s="1177"/>
      <c r="C1816" s="1177"/>
      <c r="D1816" s="1177"/>
      <c r="E1816" s="1177"/>
      <c r="F1816" s="1177"/>
      <c r="G1816" s="1178"/>
    </row>
    <row r="1817" spans="1:7" ht="24" x14ac:dyDescent="0.2">
      <c r="A1817" s="254" t="s">
        <v>1681</v>
      </c>
      <c r="B1817" s="190" t="s">
        <v>42</v>
      </c>
      <c r="C1817" s="190" t="s">
        <v>43</v>
      </c>
      <c r="D1817" s="190" t="s">
        <v>44</v>
      </c>
      <c r="E1817" s="190" t="s">
        <v>306</v>
      </c>
      <c r="F1817" s="190" t="s">
        <v>29</v>
      </c>
      <c r="G1817" s="243"/>
    </row>
    <row r="1818" spans="1:7" ht="36" x14ac:dyDescent="0.2">
      <c r="A1818" s="255" t="s">
        <v>1674</v>
      </c>
      <c r="B1818" s="202">
        <f>VLOOKUP(A1818,JORNALES!$A$5:$B$28,2,FALSE)</f>
        <v>215000</v>
      </c>
      <c r="C1818" s="233">
        <f>+PRESTACIONES!$C$20/100</f>
        <v>0.89990000000000014</v>
      </c>
      <c r="D1818" s="234">
        <f>+(B1818*C1818)+B1818</f>
        <v>408478.5</v>
      </c>
      <c r="E1818" s="421">
        <v>3</v>
      </c>
      <c r="F1818" s="199">
        <f>+D1818/E1818</f>
        <v>136159.5</v>
      </c>
      <c r="G1818" s="246"/>
    </row>
    <row r="1819" spans="1:7" x14ac:dyDescent="0.2">
      <c r="A1819" s="247"/>
      <c r="B1819" s="416"/>
      <c r="C1819" s="416"/>
      <c r="D1819" s="416"/>
      <c r="E1819" s="416"/>
      <c r="F1819" s="416"/>
      <c r="G1819" s="246" t="s">
        <v>31</v>
      </c>
    </row>
    <row r="1820" spans="1:7" x14ac:dyDescent="0.2">
      <c r="A1820" s="247"/>
      <c r="B1820" s="416"/>
      <c r="C1820" s="416"/>
      <c r="D1820" s="416"/>
      <c r="E1820" s="416"/>
      <c r="F1820" s="416"/>
      <c r="G1820" s="256">
        <f>SUM(F1818:F1818)</f>
        <v>136159.5</v>
      </c>
    </row>
    <row r="1821" spans="1:7" ht="15" thickBot="1" x14ac:dyDescent="0.25">
      <c r="A1821" s="1181" t="s">
        <v>25</v>
      </c>
      <c r="B1821" s="1182"/>
      <c r="C1821" s="1182"/>
      <c r="D1821" s="1182"/>
      <c r="E1821" s="1182"/>
      <c r="F1821" s="1182"/>
      <c r="G1821" s="1183"/>
    </row>
    <row r="1822" spans="1:7" ht="15" thickBot="1" x14ac:dyDescent="0.25">
      <c r="A1822" s="1184" t="s">
        <v>45</v>
      </c>
      <c r="B1822" s="1185"/>
      <c r="C1822" s="1185"/>
      <c r="D1822" s="1185"/>
      <c r="E1822" s="1185"/>
      <c r="F1822" s="192"/>
      <c r="G1822" s="277">
        <f xml:space="preserve"> ROUND(G1820+G1815+G1809+G1803,0)</f>
        <v>2210092</v>
      </c>
    </row>
    <row r="1823" spans="1:7" x14ac:dyDescent="0.2">
      <c r="A1823" s="1186" t="s">
        <v>476</v>
      </c>
      <c r="B1823" s="1187"/>
      <c r="C1823" s="1187"/>
      <c r="D1823" s="1187"/>
      <c r="E1823" s="1187"/>
      <c r="F1823" s="193" t="s">
        <v>51</v>
      </c>
      <c r="G1823" s="257" t="s">
        <v>307</v>
      </c>
    </row>
    <row r="1824" spans="1:7" x14ac:dyDescent="0.2">
      <c r="A1824" s="1166" t="s">
        <v>17</v>
      </c>
      <c r="B1824" s="1167"/>
      <c r="C1824" s="1167"/>
      <c r="D1824" s="1167"/>
      <c r="E1824" s="1167"/>
      <c r="F1824" s="240"/>
      <c r="G1824" s="196"/>
    </row>
    <row r="1825" spans="1:7" x14ac:dyDescent="0.2">
      <c r="A1825" s="1166" t="s">
        <v>308</v>
      </c>
      <c r="B1825" s="1167"/>
      <c r="C1825" s="1167"/>
      <c r="D1825" s="1167"/>
      <c r="E1825" s="1167"/>
      <c r="F1825" s="240"/>
      <c r="G1825" s="196"/>
    </row>
    <row r="1826" spans="1:7" x14ac:dyDescent="0.2">
      <c r="A1826" s="1166" t="s">
        <v>19</v>
      </c>
      <c r="B1826" s="1167"/>
      <c r="C1826" s="1167"/>
      <c r="D1826" s="1167"/>
      <c r="E1826" s="1167"/>
      <c r="F1826" s="240"/>
      <c r="G1826" s="196"/>
    </row>
    <row r="1827" spans="1:7" ht="15" thickBot="1" x14ac:dyDescent="0.25">
      <c r="A1827" s="1168" t="s">
        <v>309</v>
      </c>
      <c r="B1827" s="1169"/>
      <c r="C1827" s="1169"/>
      <c r="D1827" s="1169"/>
      <c r="E1827" s="1169"/>
      <c r="F1827" s="198"/>
      <c r="G1827" s="258"/>
    </row>
    <row r="1828" spans="1:7" ht="15" thickBot="1" x14ac:dyDescent="0.25">
      <c r="A1828" s="1170" t="s">
        <v>310</v>
      </c>
      <c r="B1828" s="1171"/>
      <c r="C1828" s="1171"/>
      <c r="D1828" s="1171"/>
      <c r="E1828" s="1171"/>
      <c r="F1828" s="1172"/>
      <c r="G1828" s="1173"/>
    </row>
    <row r="1829" spans="1:7" x14ac:dyDescent="0.2">
      <c r="A1829" s="413"/>
      <c r="B1829" s="414"/>
      <c r="C1829" s="414"/>
      <c r="D1829" s="414"/>
      <c r="E1829" s="414"/>
      <c r="F1829" s="193"/>
      <c r="G1829" s="260"/>
    </row>
    <row r="1830" spans="1:7" ht="15" thickBot="1" x14ac:dyDescent="0.25">
      <c r="A1830" s="261" t="s">
        <v>681</v>
      </c>
      <c r="B1830" s="262"/>
      <c r="C1830" s="262" t="s">
        <v>682</v>
      </c>
      <c r="D1830" s="262"/>
      <c r="E1830" s="262"/>
      <c r="F1830" s="262" t="s">
        <v>683</v>
      </c>
      <c r="G1830" s="263"/>
    </row>
    <row r="1831" spans="1:7" ht="15" thickBot="1" x14ac:dyDescent="0.25">
      <c r="A1831" s="1174" t="str">
        <f>+LIST_ACTIVIDADES!D70</f>
        <v>Puerta Vatiente Izq (P8) en aluminio y PLOMO de 2,10 x 1,30mts, según diseños</v>
      </c>
      <c r="B1831" s="1175"/>
      <c r="C1831" s="1175"/>
      <c r="D1831" s="1175"/>
      <c r="E1831" s="1175"/>
      <c r="F1831" s="241" t="s">
        <v>24</v>
      </c>
      <c r="G1831" s="264" t="str">
        <f>+LIST_ACTIVIDADES!E70</f>
        <v>und</v>
      </c>
    </row>
    <row r="1832" spans="1:7" ht="15" thickBot="1" x14ac:dyDescent="0.25">
      <c r="A1832" s="1176" t="s">
        <v>1642</v>
      </c>
      <c r="B1832" s="1177"/>
      <c r="C1832" s="1177"/>
      <c r="D1832" s="1177"/>
      <c r="E1832" s="1177"/>
      <c r="F1832" s="1177"/>
      <c r="G1832" s="1178"/>
    </row>
    <row r="1833" spans="1:7" x14ac:dyDescent="0.2">
      <c r="A1833" s="242" t="s">
        <v>1643</v>
      </c>
      <c r="B1833" s="191" t="s">
        <v>1644</v>
      </c>
      <c r="C1833" s="190" t="s">
        <v>26</v>
      </c>
      <c r="D1833" s="190" t="s">
        <v>27</v>
      </c>
      <c r="E1833" s="190" t="s">
        <v>28</v>
      </c>
      <c r="F1833" s="190" t="s">
        <v>29</v>
      </c>
      <c r="G1833" s="243"/>
    </row>
    <row r="1834" spans="1:7" x14ac:dyDescent="0.2">
      <c r="A1834" s="362" t="str">
        <f>VLOOKUP(B1834,PRECIOS!$A$309:$E$485,2,FALSE)</f>
        <v>EQUIPO158</v>
      </c>
      <c r="B1834" s="363" t="s">
        <v>1699</v>
      </c>
      <c r="C1834" s="99" t="str">
        <f>VLOOKUP(B1834,PRECIOS!$A$309:$E$485,3,FALSE)</f>
        <v>Electrica</v>
      </c>
      <c r="D1834" s="364">
        <f>VLOOKUP(B1834,PRECIOS!$A$309:$E$485,5,FALSE)</f>
        <v>6250</v>
      </c>
      <c r="E1834" s="365">
        <v>0.9</v>
      </c>
      <c r="F1834" s="366">
        <f>+D1834*E1834</f>
        <v>5625</v>
      </c>
      <c r="G1834" s="245"/>
    </row>
    <row r="1835" spans="1:7" x14ac:dyDescent="0.2">
      <c r="A1835" s="362" t="str">
        <f>VLOOKUP(B1835,PRECIOS!$A$309:$E$485,2,FALSE)</f>
        <v>EQUIPO169</v>
      </c>
      <c r="B1835" s="363" t="s">
        <v>449</v>
      </c>
      <c r="C1835" s="99" t="str">
        <f>VLOOKUP(B1835,PRECIOS!$A$309:$E$485,3,FALSE)</f>
        <v>Estructura</v>
      </c>
      <c r="D1835" s="364">
        <f>VLOOKUP(B1835,PRECIOS!$A$309:$E$485,5,FALSE)</f>
        <v>1500</v>
      </c>
      <c r="E1835" s="365">
        <v>1</v>
      </c>
      <c r="F1835" s="366">
        <f>+D1835*E1835</f>
        <v>1500</v>
      </c>
      <c r="G1835" s="245"/>
    </row>
    <row r="1836" spans="1:7" x14ac:dyDescent="0.2">
      <c r="A1836" s="1179" t="s">
        <v>1650</v>
      </c>
      <c r="B1836" s="1180"/>
      <c r="C1836" s="214">
        <v>0.05</v>
      </c>
      <c r="D1836" s="213"/>
      <c r="E1836" s="418"/>
      <c r="F1836" s="212">
        <f>+G1855*C1836</f>
        <v>6807.9750000000004</v>
      </c>
      <c r="G1836" s="246"/>
    </row>
    <row r="1837" spans="1:7" x14ac:dyDescent="0.2">
      <c r="A1837" s="247" t="s">
        <v>25</v>
      </c>
      <c r="B1837" s="416"/>
      <c r="C1837" s="416"/>
      <c r="D1837" s="416"/>
      <c r="E1837" s="416"/>
      <c r="F1837" s="416"/>
      <c r="G1837" s="246" t="s">
        <v>31</v>
      </c>
    </row>
    <row r="1838" spans="1:7" ht="15" thickBot="1" x14ac:dyDescent="0.25">
      <c r="A1838" s="248"/>
      <c r="B1838" s="420"/>
      <c r="C1838" s="420"/>
      <c r="D1838" s="420"/>
      <c r="E1838" s="420"/>
      <c r="F1838" s="420"/>
      <c r="G1838" s="249">
        <f>SUM(F1834:F1836)</f>
        <v>13932.975</v>
      </c>
    </row>
    <row r="1839" spans="1:7" ht="15" thickBot="1" x14ac:dyDescent="0.25">
      <c r="A1839" s="1176" t="s">
        <v>1645</v>
      </c>
      <c r="B1839" s="1177"/>
      <c r="C1839" s="1177"/>
      <c r="D1839" s="1177"/>
      <c r="E1839" s="1177"/>
      <c r="F1839" s="1177"/>
      <c r="G1839" s="1178"/>
    </row>
    <row r="1840" spans="1:7" x14ac:dyDescent="0.2">
      <c r="A1840" s="242" t="s">
        <v>1643</v>
      </c>
      <c r="B1840" s="191" t="s">
        <v>1644</v>
      </c>
      <c r="C1840" s="190" t="s">
        <v>32</v>
      </c>
      <c r="D1840" s="190" t="s">
        <v>33</v>
      </c>
      <c r="E1840" s="190" t="s">
        <v>34</v>
      </c>
      <c r="F1840" s="190" t="s">
        <v>35</v>
      </c>
      <c r="G1840" s="243"/>
    </row>
    <row r="1841" spans="1:7" ht="36" x14ac:dyDescent="0.2">
      <c r="A1841" s="352" t="str">
        <f>VLOOKUP(B1841,PRECIOS!$A$5:$D$303,2,FALSE)</f>
        <v>CARPMETAL08</v>
      </c>
      <c r="B1841" s="105" t="s">
        <v>1795</v>
      </c>
      <c r="C1841" s="105" t="str">
        <f>VLOOKUP(B1841,PRECIOS!$A$5:$D$303,3,FALSE)</f>
        <v>und</v>
      </c>
      <c r="D1841" s="353">
        <f>VLOOKUP(B1841,PRECIOS!$A$5:$D$303,4,FALSE)</f>
        <v>3800000</v>
      </c>
      <c r="E1841" s="354">
        <v>1</v>
      </c>
      <c r="F1841" s="355">
        <f>+D1841*E1841</f>
        <v>3800000</v>
      </c>
      <c r="G1841" s="370"/>
    </row>
    <row r="1842" spans="1:7" x14ac:dyDescent="0.2">
      <c r="A1842" s="1179" t="s">
        <v>1649</v>
      </c>
      <c r="B1842" s="1180"/>
      <c r="C1842" s="214">
        <v>0.03</v>
      </c>
      <c r="D1842" s="417"/>
      <c r="E1842" s="418"/>
      <c r="F1842" s="276">
        <f>SUM(F1841:F1841)*C1842</f>
        <v>114000</v>
      </c>
      <c r="G1842" s="246"/>
    </row>
    <row r="1843" spans="1:7" x14ac:dyDescent="0.2">
      <c r="A1843" s="247"/>
      <c r="B1843" s="416"/>
      <c r="C1843" s="104"/>
      <c r="D1843" s="104"/>
      <c r="E1843" s="104"/>
      <c r="F1843" s="104"/>
      <c r="G1843" s="246" t="s">
        <v>31</v>
      </c>
    </row>
    <row r="1844" spans="1:7" ht="15" thickBot="1" x14ac:dyDescent="0.25">
      <c r="A1844" s="248"/>
      <c r="B1844" s="420"/>
      <c r="C1844" s="420"/>
      <c r="D1844" s="420"/>
      <c r="E1844" s="420"/>
      <c r="F1844" s="420"/>
      <c r="G1844" s="250">
        <f>SUM(F1841:F1842)</f>
        <v>3914000</v>
      </c>
    </row>
    <row r="1845" spans="1:7" ht="15" thickBot="1" x14ac:dyDescent="0.25">
      <c r="A1845" s="1176" t="s">
        <v>1646</v>
      </c>
      <c r="B1845" s="1177"/>
      <c r="C1845" s="1177"/>
      <c r="D1845" s="1177"/>
      <c r="E1845" s="1177"/>
      <c r="F1845" s="1177"/>
      <c r="G1845" s="1178"/>
    </row>
    <row r="1846" spans="1:7" x14ac:dyDescent="0.2">
      <c r="A1846" s="251" t="s">
        <v>305</v>
      </c>
      <c r="B1846" s="190" t="s">
        <v>38</v>
      </c>
      <c r="C1846" s="190" t="s">
        <v>39</v>
      </c>
      <c r="D1846" s="190" t="s">
        <v>40</v>
      </c>
      <c r="E1846" s="190" t="s">
        <v>34</v>
      </c>
      <c r="F1846" s="190" t="s">
        <v>35</v>
      </c>
      <c r="G1846" s="243"/>
    </row>
    <row r="1847" spans="1:7" x14ac:dyDescent="0.2">
      <c r="A1847" s="369"/>
      <c r="B1847" s="89"/>
      <c r="C1847" s="209"/>
      <c r="D1847" s="199"/>
      <c r="E1847" s="367"/>
      <c r="F1847" s="234"/>
      <c r="G1847" s="253"/>
    </row>
    <row r="1848" spans="1:7" x14ac:dyDescent="0.2">
      <c r="A1848" s="252"/>
      <c r="B1848" s="235"/>
      <c r="C1848" s="238"/>
      <c r="D1848" s="236"/>
      <c r="E1848" s="237"/>
      <c r="F1848" s="239"/>
      <c r="G1848" s="253"/>
    </row>
    <row r="1849" spans="1:7" x14ac:dyDescent="0.2">
      <c r="A1849" s="247" t="s">
        <v>25</v>
      </c>
      <c r="B1849" s="104" t="s">
        <v>25</v>
      </c>
      <c r="C1849" s="104" t="s">
        <v>25</v>
      </c>
      <c r="D1849" s="188" t="s">
        <v>25</v>
      </c>
      <c r="E1849" s="189" t="s">
        <v>25</v>
      </c>
      <c r="F1849" s="187" t="s">
        <v>25</v>
      </c>
      <c r="G1849" s="246" t="s">
        <v>31</v>
      </c>
    </row>
    <row r="1850" spans="1:7" ht="15" thickBot="1" x14ac:dyDescent="0.25">
      <c r="A1850" s="248"/>
      <c r="B1850" s="420"/>
      <c r="C1850" s="420"/>
      <c r="D1850" s="420"/>
      <c r="E1850" s="420"/>
      <c r="F1850" s="420"/>
      <c r="G1850" s="250">
        <f>SUM(F1847:F1848)</f>
        <v>0</v>
      </c>
    </row>
    <row r="1851" spans="1:7" ht="15" thickBot="1" x14ac:dyDescent="0.25">
      <c r="A1851" s="1176" t="s">
        <v>1647</v>
      </c>
      <c r="B1851" s="1177"/>
      <c r="C1851" s="1177"/>
      <c r="D1851" s="1177"/>
      <c r="E1851" s="1177"/>
      <c r="F1851" s="1177"/>
      <c r="G1851" s="1178"/>
    </row>
    <row r="1852" spans="1:7" ht="24" x14ac:dyDescent="0.2">
      <c r="A1852" s="254" t="s">
        <v>1681</v>
      </c>
      <c r="B1852" s="190" t="s">
        <v>42</v>
      </c>
      <c r="C1852" s="190" t="s">
        <v>43</v>
      </c>
      <c r="D1852" s="190" t="s">
        <v>44</v>
      </c>
      <c r="E1852" s="190" t="s">
        <v>306</v>
      </c>
      <c r="F1852" s="190" t="s">
        <v>29</v>
      </c>
      <c r="G1852" s="243"/>
    </row>
    <row r="1853" spans="1:7" ht="36" x14ac:dyDescent="0.2">
      <c r="A1853" s="255" t="s">
        <v>1674</v>
      </c>
      <c r="B1853" s="202">
        <f>VLOOKUP(A1853,JORNALES!$A$5:$B$28,2,FALSE)</f>
        <v>215000</v>
      </c>
      <c r="C1853" s="233">
        <f>+PRESTACIONES!$C$20/100</f>
        <v>0.89990000000000014</v>
      </c>
      <c r="D1853" s="234">
        <f>+(B1853*C1853)+B1853</f>
        <v>408478.5</v>
      </c>
      <c r="E1853" s="421">
        <v>3</v>
      </c>
      <c r="F1853" s="199">
        <f>+D1853/E1853</f>
        <v>136159.5</v>
      </c>
      <c r="G1853" s="246"/>
    </row>
    <row r="1854" spans="1:7" x14ac:dyDescent="0.2">
      <c r="A1854" s="247"/>
      <c r="B1854" s="416"/>
      <c r="C1854" s="416"/>
      <c r="D1854" s="416"/>
      <c r="E1854" s="416"/>
      <c r="F1854" s="416"/>
      <c r="G1854" s="246" t="s">
        <v>31</v>
      </c>
    </row>
    <row r="1855" spans="1:7" x14ac:dyDescent="0.2">
      <c r="A1855" s="247"/>
      <c r="B1855" s="416"/>
      <c r="C1855" s="416"/>
      <c r="D1855" s="416"/>
      <c r="E1855" s="416"/>
      <c r="F1855" s="416"/>
      <c r="G1855" s="256">
        <f>SUM(F1853:F1853)</f>
        <v>136159.5</v>
      </c>
    </row>
    <row r="1856" spans="1:7" ht="15" thickBot="1" x14ac:dyDescent="0.25">
      <c r="A1856" s="1181" t="s">
        <v>25</v>
      </c>
      <c r="B1856" s="1182"/>
      <c r="C1856" s="1182"/>
      <c r="D1856" s="1182"/>
      <c r="E1856" s="1182"/>
      <c r="F1856" s="1182"/>
      <c r="G1856" s="1183"/>
    </row>
    <row r="1857" spans="1:7" ht="15" thickBot="1" x14ac:dyDescent="0.25">
      <c r="A1857" s="1184" t="s">
        <v>45</v>
      </c>
      <c r="B1857" s="1185"/>
      <c r="C1857" s="1185"/>
      <c r="D1857" s="1185"/>
      <c r="E1857" s="1185"/>
      <c r="F1857" s="192"/>
      <c r="G1857" s="277">
        <f xml:space="preserve"> ROUND(G1855+G1850+G1844+G1838,0)</f>
        <v>4064092</v>
      </c>
    </row>
    <row r="1858" spans="1:7" x14ac:dyDescent="0.2">
      <c r="A1858" s="1186" t="s">
        <v>476</v>
      </c>
      <c r="B1858" s="1187"/>
      <c r="C1858" s="1187"/>
      <c r="D1858" s="1187"/>
      <c r="E1858" s="1187"/>
      <c r="F1858" s="193" t="s">
        <v>51</v>
      </c>
      <c r="G1858" s="257" t="s">
        <v>307</v>
      </c>
    </row>
    <row r="1859" spans="1:7" x14ac:dyDescent="0.2">
      <c r="A1859" s="1166" t="s">
        <v>17</v>
      </c>
      <c r="B1859" s="1167"/>
      <c r="C1859" s="1167"/>
      <c r="D1859" s="1167"/>
      <c r="E1859" s="1167"/>
      <c r="F1859" s="240"/>
      <c r="G1859" s="196"/>
    </row>
    <row r="1860" spans="1:7" x14ac:dyDescent="0.2">
      <c r="A1860" s="1166" t="s">
        <v>308</v>
      </c>
      <c r="B1860" s="1167"/>
      <c r="C1860" s="1167"/>
      <c r="D1860" s="1167"/>
      <c r="E1860" s="1167"/>
      <c r="F1860" s="240"/>
      <c r="G1860" s="196"/>
    </row>
    <row r="1861" spans="1:7" x14ac:dyDescent="0.2">
      <c r="A1861" s="1166" t="s">
        <v>19</v>
      </c>
      <c r="B1861" s="1167"/>
      <c r="C1861" s="1167"/>
      <c r="D1861" s="1167"/>
      <c r="E1861" s="1167"/>
      <c r="F1861" s="240"/>
      <c r="G1861" s="196"/>
    </row>
    <row r="1862" spans="1:7" ht="15" thickBot="1" x14ac:dyDescent="0.25">
      <c r="A1862" s="1168" t="s">
        <v>309</v>
      </c>
      <c r="B1862" s="1169"/>
      <c r="C1862" s="1169"/>
      <c r="D1862" s="1169"/>
      <c r="E1862" s="1169"/>
      <c r="F1862" s="198"/>
      <c r="G1862" s="258"/>
    </row>
    <row r="1863" spans="1:7" ht="15" thickBot="1" x14ac:dyDescent="0.25">
      <c r="A1863" s="1170" t="s">
        <v>310</v>
      </c>
      <c r="B1863" s="1171"/>
      <c r="C1863" s="1171"/>
      <c r="D1863" s="1171"/>
      <c r="E1863" s="1171"/>
      <c r="F1863" s="1172"/>
      <c r="G1863" s="1173"/>
    </row>
    <row r="1864" spans="1:7" x14ac:dyDescent="0.2">
      <c r="A1864" s="413"/>
      <c r="B1864" s="414"/>
      <c r="C1864" s="414"/>
      <c r="D1864" s="414"/>
      <c r="E1864" s="414"/>
      <c r="F1864" s="193"/>
      <c r="G1864" s="260"/>
    </row>
    <row r="1865" spans="1:7" ht="15" thickBot="1" x14ac:dyDescent="0.25">
      <c r="A1865" s="261" t="s">
        <v>681</v>
      </c>
      <c r="B1865" s="262"/>
      <c r="C1865" s="262" t="s">
        <v>682</v>
      </c>
      <c r="D1865" s="262"/>
      <c r="E1865" s="262"/>
      <c r="F1865" s="262" t="s">
        <v>683</v>
      </c>
      <c r="G1865" s="263"/>
    </row>
    <row r="1866" spans="1:7" ht="15" thickBot="1" x14ac:dyDescent="0.25">
      <c r="A1866" s="1174" t="str">
        <f>+LIST_ACTIVIDADES!D71</f>
        <v>Puerta Corrediza (P9) en aluminio y PLOMO de 2,10 x 1,40mts, según diseños</v>
      </c>
      <c r="B1866" s="1175"/>
      <c r="C1866" s="1175"/>
      <c r="D1866" s="1175"/>
      <c r="E1866" s="1175"/>
      <c r="F1866" s="241" t="s">
        <v>24</v>
      </c>
      <c r="G1866" s="264" t="str">
        <f>+LIST_ACTIVIDADES!E71</f>
        <v>und</v>
      </c>
    </row>
    <row r="1867" spans="1:7" ht="15" thickBot="1" x14ac:dyDescent="0.25">
      <c r="A1867" s="1176" t="s">
        <v>1642</v>
      </c>
      <c r="B1867" s="1177"/>
      <c r="C1867" s="1177"/>
      <c r="D1867" s="1177"/>
      <c r="E1867" s="1177"/>
      <c r="F1867" s="1177"/>
      <c r="G1867" s="1178"/>
    </row>
    <row r="1868" spans="1:7" x14ac:dyDescent="0.2">
      <c r="A1868" s="242" t="s">
        <v>1643</v>
      </c>
      <c r="B1868" s="191" t="s">
        <v>1644</v>
      </c>
      <c r="C1868" s="190" t="s">
        <v>26</v>
      </c>
      <c r="D1868" s="190" t="s">
        <v>27</v>
      </c>
      <c r="E1868" s="190" t="s">
        <v>28</v>
      </c>
      <c r="F1868" s="190" t="s">
        <v>29</v>
      </c>
      <c r="G1868" s="243"/>
    </row>
    <row r="1869" spans="1:7" x14ac:dyDescent="0.2">
      <c r="A1869" s="362" t="str">
        <f>VLOOKUP(B1869,PRECIOS!$A$309:$E$485,2,FALSE)</f>
        <v>EQUIPO158</v>
      </c>
      <c r="B1869" s="363" t="s">
        <v>1699</v>
      </c>
      <c r="C1869" s="99" t="str">
        <f>VLOOKUP(B1869,PRECIOS!$A$309:$E$485,3,FALSE)</f>
        <v>Electrica</v>
      </c>
      <c r="D1869" s="364">
        <f>VLOOKUP(B1869,PRECIOS!$A$309:$E$485,5,FALSE)</f>
        <v>6250</v>
      </c>
      <c r="E1869" s="365">
        <v>0.9</v>
      </c>
      <c r="F1869" s="366">
        <f>+D1869*E1869</f>
        <v>5625</v>
      </c>
      <c r="G1869" s="245"/>
    </row>
    <row r="1870" spans="1:7" x14ac:dyDescent="0.2">
      <c r="A1870" s="362" t="str">
        <f>VLOOKUP(B1870,PRECIOS!$A$309:$E$485,2,FALSE)</f>
        <v>EQUIPO169</v>
      </c>
      <c r="B1870" s="363" t="s">
        <v>449</v>
      </c>
      <c r="C1870" s="99" t="str">
        <f>VLOOKUP(B1870,PRECIOS!$A$309:$E$485,3,FALSE)</f>
        <v>Estructura</v>
      </c>
      <c r="D1870" s="364">
        <f>VLOOKUP(B1870,PRECIOS!$A$309:$E$485,5,FALSE)</f>
        <v>1500</v>
      </c>
      <c r="E1870" s="365">
        <v>1</v>
      </c>
      <c r="F1870" s="366">
        <f>+D1870*E1870</f>
        <v>1500</v>
      </c>
      <c r="G1870" s="245"/>
    </row>
    <row r="1871" spans="1:7" x14ac:dyDescent="0.2">
      <c r="A1871" s="1179" t="s">
        <v>1650</v>
      </c>
      <c r="B1871" s="1180"/>
      <c r="C1871" s="214">
        <v>0.05</v>
      </c>
      <c r="D1871" s="213"/>
      <c r="E1871" s="418"/>
      <c r="F1871" s="212">
        <f>+G1890*C1871</f>
        <v>6807.9750000000004</v>
      </c>
      <c r="G1871" s="246"/>
    </row>
    <row r="1872" spans="1:7" x14ac:dyDescent="0.2">
      <c r="A1872" s="247" t="s">
        <v>25</v>
      </c>
      <c r="B1872" s="416"/>
      <c r="C1872" s="416"/>
      <c r="D1872" s="416"/>
      <c r="E1872" s="416"/>
      <c r="F1872" s="416"/>
      <c r="G1872" s="246" t="s">
        <v>31</v>
      </c>
    </row>
    <row r="1873" spans="1:7" ht="15" thickBot="1" x14ac:dyDescent="0.25">
      <c r="A1873" s="248"/>
      <c r="B1873" s="420"/>
      <c r="C1873" s="420"/>
      <c r="D1873" s="420"/>
      <c r="E1873" s="420"/>
      <c r="F1873" s="420"/>
      <c r="G1873" s="249">
        <f>SUM(F1869:F1871)</f>
        <v>13932.975</v>
      </c>
    </row>
    <row r="1874" spans="1:7" ht="15" thickBot="1" x14ac:dyDescent="0.25">
      <c r="A1874" s="1176" t="s">
        <v>1645</v>
      </c>
      <c r="B1874" s="1177"/>
      <c r="C1874" s="1177"/>
      <c r="D1874" s="1177"/>
      <c r="E1874" s="1177"/>
      <c r="F1874" s="1177"/>
      <c r="G1874" s="1178"/>
    </row>
    <row r="1875" spans="1:7" x14ac:dyDescent="0.2">
      <c r="A1875" s="242" t="s">
        <v>1643</v>
      </c>
      <c r="B1875" s="191" t="s">
        <v>1644</v>
      </c>
      <c r="C1875" s="190" t="s">
        <v>32</v>
      </c>
      <c r="D1875" s="190" t="s">
        <v>33</v>
      </c>
      <c r="E1875" s="190" t="s">
        <v>34</v>
      </c>
      <c r="F1875" s="190" t="s">
        <v>35</v>
      </c>
      <c r="G1875" s="243"/>
    </row>
    <row r="1876" spans="1:7" ht="36" x14ac:dyDescent="0.2">
      <c r="A1876" s="352" t="str">
        <f>VLOOKUP(B1876,PRECIOS!$A$5:$D$303,2,FALSE)</f>
        <v>CARPMETAL09</v>
      </c>
      <c r="B1876" s="105" t="s">
        <v>1796</v>
      </c>
      <c r="C1876" s="105" t="str">
        <f>VLOOKUP(B1876,PRECIOS!$A$5:$D$303,3,FALSE)</f>
        <v>und</v>
      </c>
      <c r="D1876" s="353">
        <f>VLOOKUP(B1876,PRECIOS!$A$5:$D$303,4,FALSE)</f>
        <v>3800000</v>
      </c>
      <c r="E1876" s="354">
        <v>1</v>
      </c>
      <c r="F1876" s="355">
        <f>+D1876*E1876</f>
        <v>3800000</v>
      </c>
      <c r="G1876" s="370"/>
    </row>
    <row r="1877" spans="1:7" x14ac:dyDescent="0.2">
      <c r="A1877" s="1179" t="s">
        <v>1649</v>
      </c>
      <c r="B1877" s="1180"/>
      <c r="C1877" s="214">
        <v>0.03</v>
      </c>
      <c r="D1877" s="417"/>
      <c r="E1877" s="418"/>
      <c r="F1877" s="276">
        <f>SUM(F1876:F1876)*C1877</f>
        <v>114000</v>
      </c>
      <c r="G1877" s="246"/>
    </row>
    <row r="1878" spans="1:7" x14ac:dyDescent="0.2">
      <c r="A1878" s="247"/>
      <c r="B1878" s="416"/>
      <c r="C1878" s="104"/>
      <c r="D1878" s="104"/>
      <c r="E1878" s="104"/>
      <c r="F1878" s="104"/>
      <c r="G1878" s="246" t="s">
        <v>31</v>
      </c>
    </row>
    <row r="1879" spans="1:7" ht="15" thickBot="1" x14ac:dyDescent="0.25">
      <c r="A1879" s="248"/>
      <c r="B1879" s="420"/>
      <c r="C1879" s="420"/>
      <c r="D1879" s="420"/>
      <c r="E1879" s="420"/>
      <c r="F1879" s="420"/>
      <c r="G1879" s="250">
        <f>SUM(F1876:F1877)</f>
        <v>3914000</v>
      </c>
    </row>
    <row r="1880" spans="1:7" ht="15" thickBot="1" x14ac:dyDescent="0.25">
      <c r="A1880" s="1176" t="s">
        <v>1646</v>
      </c>
      <c r="B1880" s="1177"/>
      <c r="C1880" s="1177"/>
      <c r="D1880" s="1177"/>
      <c r="E1880" s="1177"/>
      <c r="F1880" s="1177"/>
      <c r="G1880" s="1178"/>
    </row>
    <row r="1881" spans="1:7" x14ac:dyDescent="0.2">
      <c r="A1881" s="251" t="s">
        <v>305</v>
      </c>
      <c r="B1881" s="190" t="s">
        <v>38</v>
      </c>
      <c r="C1881" s="190" t="s">
        <v>39</v>
      </c>
      <c r="D1881" s="190" t="s">
        <v>40</v>
      </c>
      <c r="E1881" s="190" t="s">
        <v>34</v>
      </c>
      <c r="F1881" s="190" t="s">
        <v>35</v>
      </c>
      <c r="G1881" s="243"/>
    </row>
    <row r="1882" spans="1:7" x14ac:dyDescent="0.2">
      <c r="A1882" s="369"/>
      <c r="B1882" s="89"/>
      <c r="C1882" s="209"/>
      <c r="D1882" s="199"/>
      <c r="E1882" s="367"/>
      <c r="F1882" s="234"/>
      <c r="G1882" s="253"/>
    </row>
    <row r="1883" spans="1:7" x14ac:dyDescent="0.2">
      <c r="A1883" s="252"/>
      <c r="B1883" s="235"/>
      <c r="C1883" s="238"/>
      <c r="D1883" s="236"/>
      <c r="E1883" s="237"/>
      <c r="F1883" s="239"/>
      <c r="G1883" s="253"/>
    </row>
    <row r="1884" spans="1:7" x14ac:dyDescent="0.2">
      <c r="A1884" s="247" t="s">
        <v>25</v>
      </c>
      <c r="B1884" s="104" t="s">
        <v>25</v>
      </c>
      <c r="C1884" s="104" t="s">
        <v>25</v>
      </c>
      <c r="D1884" s="188" t="s">
        <v>25</v>
      </c>
      <c r="E1884" s="189" t="s">
        <v>25</v>
      </c>
      <c r="F1884" s="187" t="s">
        <v>25</v>
      </c>
      <c r="G1884" s="246" t="s">
        <v>31</v>
      </c>
    </row>
    <row r="1885" spans="1:7" ht="15" thickBot="1" x14ac:dyDescent="0.25">
      <c r="A1885" s="248"/>
      <c r="B1885" s="420"/>
      <c r="C1885" s="420"/>
      <c r="D1885" s="420"/>
      <c r="E1885" s="420"/>
      <c r="F1885" s="420"/>
      <c r="G1885" s="250">
        <f>SUM(F1882:F1883)</f>
        <v>0</v>
      </c>
    </row>
    <row r="1886" spans="1:7" ht="15" thickBot="1" x14ac:dyDescent="0.25">
      <c r="A1886" s="1176" t="s">
        <v>1647</v>
      </c>
      <c r="B1886" s="1177"/>
      <c r="C1886" s="1177"/>
      <c r="D1886" s="1177"/>
      <c r="E1886" s="1177"/>
      <c r="F1886" s="1177"/>
      <c r="G1886" s="1178"/>
    </row>
    <row r="1887" spans="1:7" ht="24" x14ac:dyDescent="0.2">
      <c r="A1887" s="254" t="s">
        <v>1681</v>
      </c>
      <c r="B1887" s="190" t="s">
        <v>42</v>
      </c>
      <c r="C1887" s="190" t="s">
        <v>43</v>
      </c>
      <c r="D1887" s="190" t="s">
        <v>44</v>
      </c>
      <c r="E1887" s="190" t="s">
        <v>306</v>
      </c>
      <c r="F1887" s="190" t="s">
        <v>29</v>
      </c>
      <c r="G1887" s="243"/>
    </row>
    <row r="1888" spans="1:7" ht="36" x14ac:dyDescent="0.2">
      <c r="A1888" s="255" t="s">
        <v>1674</v>
      </c>
      <c r="B1888" s="202">
        <f>VLOOKUP(A1888,JORNALES!$A$5:$B$28,2,FALSE)</f>
        <v>215000</v>
      </c>
      <c r="C1888" s="233">
        <f>+PRESTACIONES!$C$20/100</f>
        <v>0.89990000000000014</v>
      </c>
      <c r="D1888" s="234">
        <f>+(B1888*C1888)+B1888</f>
        <v>408478.5</v>
      </c>
      <c r="E1888" s="421">
        <v>3</v>
      </c>
      <c r="F1888" s="199">
        <f>+D1888/E1888</f>
        <v>136159.5</v>
      </c>
      <c r="G1888" s="246"/>
    </row>
    <row r="1889" spans="1:7" x14ac:dyDescent="0.2">
      <c r="A1889" s="247"/>
      <c r="B1889" s="416"/>
      <c r="C1889" s="416"/>
      <c r="D1889" s="416"/>
      <c r="E1889" s="416"/>
      <c r="F1889" s="416"/>
      <c r="G1889" s="246" t="s">
        <v>31</v>
      </c>
    </row>
    <row r="1890" spans="1:7" x14ac:dyDescent="0.2">
      <c r="A1890" s="247"/>
      <c r="B1890" s="416"/>
      <c r="C1890" s="416"/>
      <c r="D1890" s="416"/>
      <c r="E1890" s="416"/>
      <c r="F1890" s="416"/>
      <c r="G1890" s="256">
        <f>SUM(F1888:F1888)</f>
        <v>136159.5</v>
      </c>
    </row>
    <row r="1891" spans="1:7" ht="15" thickBot="1" x14ac:dyDescent="0.25">
      <c r="A1891" s="1181" t="s">
        <v>25</v>
      </c>
      <c r="B1891" s="1182"/>
      <c r="C1891" s="1182"/>
      <c r="D1891" s="1182"/>
      <c r="E1891" s="1182"/>
      <c r="F1891" s="1182"/>
      <c r="G1891" s="1183"/>
    </row>
    <row r="1892" spans="1:7" ht="15" thickBot="1" x14ac:dyDescent="0.25">
      <c r="A1892" s="1184" t="s">
        <v>45</v>
      </c>
      <c r="B1892" s="1185"/>
      <c r="C1892" s="1185"/>
      <c r="D1892" s="1185"/>
      <c r="E1892" s="1185"/>
      <c r="F1892" s="192"/>
      <c r="G1892" s="277">
        <f xml:space="preserve"> ROUND(G1890+G1885+G1879+G1873,0)</f>
        <v>4064092</v>
      </c>
    </row>
    <row r="1893" spans="1:7" x14ac:dyDescent="0.2">
      <c r="A1893" s="1186" t="s">
        <v>476</v>
      </c>
      <c r="B1893" s="1187"/>
      <c r="C1893" s="1187"/>
      <c r="D1893" s="1187"/>
      <c r="E1893" s="1187"/>
      <c r="F1893" s="193" t="s">
        <v>51</v>
      </c>
      <c r="G1893" s="257" t="s">
        <v>307</v>
      </c>
    </row>
    <row r="1894" spans="1:7" x14ac:dyDescent="0.2">
      <c r="A1894" s="1166" t="s">
        <v>17</v>
      </c>
      <c r="B1894" s="1167"/>
      <c r="C1894" s="1167"/>
      <c r="D1894" s="1167"/>
      <c r="E1894" s="1167"/>
      <c r="F1894" s="240"/>
      <c r="G1894" s="196"/>
    </row>
    <row r="1895" spans="1:7" x14ac:dyDescent="0.2">
      <c r="A1895" s="1166" t="s">
        <v>308</v>
      </c>
      <c r="B1895" s="1167"/>
      <c r="C1895" s="1167"/>
      <c r="D1895" s="1167"/>
      <c r="E1895" s="1167"/>
      <c r="F1895" s="240"/>
      <c r="G1895" s="196"/>
    </row>
    <row r="1896" spans="1:7" x14ac:dyDescent="0.2">
      <c r="A1896" s="1166" t="s">
        <v>19</v>
      </c>
      <c r="B1896" s="1167"/>
      <c r="C1896" s="1167"/>
      <c r="D1896" s="1167"/>
      <c r="E1896" s="1167"/>
      <c r="F1896" s="240"/>
      <c r="G1896" s="196"/>
    </row>
    <row r="1897" spans="1:7" ht="15" thickBot="1" x14ac:dyDescent="0.25">
      <c r="A1897" s="1168" t="s">
        <v>309</v>
      </c>
      <c r="B1897" s="1169"/>
      <c r="C1897" s="1169"/>
      <c r="D1897" s="1169"/>
      <c r="E1897" s="1169"/>
      <c r="F1897" s="198"/>
      <c r="G1897" s="258"/>
    </row>
    <row r="1898" spans="1:7" ht="15" thickBot="1" x14ac:dyDescent="0.25">
      <c r="A1898" s="1170" t="s">
        <v>310</v>
      </c>
      <c r="B1898" s="1171"/>
      <c r="C1898" s="1171"/>
      <c r="D1898" s="1171"/>
      <c r="E1898" s="1171"/>
      <c r="F1898" s="1172"/>
      <c r="G1898" s="1173"/>
    </row>
    <row r="1899" spans="1:7" x14ac:dyDescent="0.2">
      <c r="A1899" s="413"/>
      <c r="B1899" s="414"/>
      <c r="C1899" s="414"/>
      <c r="D1899" s="414"/>
      <c r="E1899" s="414"/>
      <c r="F1899" s="193"/>
      <c r="G1899" s="260"/>
    </row>
    <row r="1900" spans="1:7" ht="15" thickBot="1" x14ac:dyDescent="0.25">
      <c r="A1900" s="261" t="s">
        <v>681</v>
      </c>
      <c r="B1900" s="262"/>
      <c r="C1900" s="262" t="s">
        <v>682</v>
      </c>
      <c r="D1900" s="262"/>
      <c r="E1900" s="262"/>
      <c r="F1900" s="262" t="s">
        <v>683</v>
      </c>
      <c r="G1900" s="263"/>
    </row>
    <row r="1901" spans="1:7" ht="15" thickBot="1" x14ac:dyDescent="0.25">
      <c r="A1901" s="1174" t="str">
        <f>+LIST_ACTIVIDADES!D72</f>
        <v>Puerta Vatiente Izq (P10) en aluminio y vidrio 3+3 de 2,10 x 0,9mts, según diseños</v>
      </c>
      <c r="B1901" s="1175"/>
      <c r="C1901" s="1175"/>
      <c r="D1901" s="1175"/>
      <c r="E1901" s="1175"/>
      <c r="F1901" s="241" t="s">
        <v>24</v>
      </c>
      <c r="G1901" s="264" t="str">
        <f>+LIST_ACTIVIDADES!E72</f>
        <v>und</v>
      </c>
    </row>
    <row r="1902" spans="1:7" ht="15" thickBot="1" x14ac:dyDescent="0.25">
      <c r="A1902" s="1176" t="s">
        <v>1642</v>
      </c>
      <c r="B1902" s="1177"/>
      <c r="C1902" s="1177"/>
      <c r="D1902" s="1177"/>
      <c r="E1902" s="1177"/>
      <c r="F1902" s="1177"/>
      <c r="G1902" s="1178"/>
    </row>
    <row r="1903" spans="1:7" x14ac:dyDescent="0.2">
      <c r="A1903" s="242" t="s">
        <v>1643</v>
      </c>
      <c r="B1903" s="191" t="s">
        <v>1644</v>
      </c>
      <c r="C1903" s="190" t="s">
        <v>26</v>
      </c>
      <c r="D1903" s="190" t="s">
        <v>27</v>
      </c>
      <c r="E1903" s="190" t="s">
        <v>28</v>
      </c>
      <c r="F1903" s="190" t="s">
        <v>29</v>
      </c>
      <c r="G1903" s="243"/>
    </row>
    <row r="1904" spans="1:7" x14ac:dyDescent="0.2">
      <c r="A1904" s="362" t="str">
        <f>VLOOKUP(B1904,PRECIOS!$A$309:$E$485,2,FALSE)</f>
        <v>EQUIPO158</v>
      </c>
      <c r="B1904" s="363" t="s">
        <v>1699</v>
      </c>
      <c r="C1904" s="99" t="str">
        <f>VLOOKUP(B1904,PRECIOS!$A$309:$E$485,3,FALSE)</f>
        <v>Electrica</v>
      </c>
      <c r="D1904" s="364">
        <f>VLOOKUP(B1904,PRECIOS!$A$309:$E$485,5,FALSE)</f>
        <v>6250</v>
      </c>
      <c r="E1904" s="365">
        <v>0.9</v>
      </c>
      <c r="F1904" s="366">
        <f>+D1904*E1904</f>
        <v>5625</v>
      </c>
      <c r="G1904" s="245"/>
    </row>
    <row r="1905" spans="1:7" x14ac:dyDescent="0.2">
      <c r="A1905" s="362" t="str">
        <f>VLOOKUP(B1905,PRECIOS!$A$309:$E$485,2,FALSE)</f>
        <v>EQUIPO169</v>
      </c>
      <c r="B1905" s="363" t="s">
        <v>449</v>
      </c>
      <c r="C1905" s="99" t="str">
        <f>VLOOKUP(B1905,PRECIOS!$A$309:$E$485,3,FALSE)</f>
        <v>Estructura</v>
      </c>
      <c r="D1905" s="364">
        <f>VLOOKUP(B1905,PRECIOS!$A$309:$E$485,5,FALSE)</f>
        <v>1500</v>
      </c>
      <c r="E1905" s="365">
        <v>1</v>
      </c>
      <c r="F1905" s="366">
        <f>+D1905*E1905</f>
        <v>1500</v>
      </c>
      <c r="G1905" s="245"/>
    </row>
    <row r="1906" spans="1:7" x14ac:dyDescent="0.2">
      <c r="A1906" s="1179" t="s">
        <v>1650</v>
      </c>
      <c r="B1906" s="1180"/>
      <c r="C1906" s="214">
        <v>0.05</v>
      </c>
      <c r="D1906" s="213"/>
      <c r="E1906" s="418"/>
      <c r="F1906" s="212">
        <f>+G1925*C1906</f>
        <v>6807.9750000000004</v>
      </c>
      <c r="G1906" s="246"/>
    </row>
    <row r="1907" spans="1:7" x14ac:dyDescent="0.2">
      <c r="A1907" s="247" t="s">
        <v>25</v>
      </c>
      <c r="B1907" s="416"/>
      <c r="C1907" s="416"/>
      <c r="D1907" s="416"/>
      <c r="E1907" s="416"/>
      <c r="F1907" s="416"/>
      <c r="G1907" s="246" t="s">
        <v>31</v>
      </c>
    </row>
    <row r="1908" spans="1:7" ht="15" thickBot="1" x14ac:dyDescent="0.25">
      <c r="A1908" s="248"/>
      <c r="B1908" s="420"/>
      <c r="C1908" s="420"/>
      <c r="D1908" s="420"/>
      <c r="E1908" s="420"/>
      <c r="F1908" s="420"/>
      <c r="G1908" s="249">
        <f>SUM(F1904:F1906)</f>
        <v>13932.975</v>
      </c>
    </row>
    <row r="1909" spans="1:7" ht="15" thickBot="1" x14ac:dyDescent="0.25">
      <c r="A1909" s="1176" t="s">
        <v>1645</v>
      </c>
      <c r="B1909" s="1177"/>
      <c r="C1909" s="1177"/>
      <c r="D1909" s="1177"/>
      <c r="E1909" s="1177"/>
      <c r="F1909" s="1177"/>
      <c r="G1909" s="1178"/>
    </row>
    <row r="1910" spans="1:7" x14ac:dyDescent="0.2">
      <c r="A1910" s="242" t="s">
        <v>1643</v>
      </c>
      <c r="B1910" s="191" t="s">
        <v>1644</v>
      </c>
      <c r="C1910" s="190" t="s">
        <v>32</v>
      </c>
      <c r="D1910" s="190" t="s">
        <v>33</v>
      </c>
      <c r="E1910" s="190" t="s">
        <v>34</v>
      </c>
      <c r="F1910" s="190" t="s">
        <v>35</v>
      </c>
      <c r="G1910" s="243"/>
    </row>
    <row r="1911" spans="1:7" ht="36" x14ac:dyDescent="0.2">
      <c r="A1911" s="352" t="str">
        <f>VLOOKUP(B1911,PRECIOS!$A$5:$D$303,2,FALSE)</f>
        <v>CARPMETAL10</v>
      </c>
      <c r="B1911" s="105" t="s">
        <v>1804</v>
      </c>
      <c r="C1911" s="105" t="str">
        <f>VLOOKUP(B1911,PRECIOS!$A$5:$D$303,3,FALSE)</f>
        <v>und</v>
      </c>
      <c r="D1911" s="353">
        <f>VLOOKUP(B1911,PRECIOS!$A$5:$D$303,4,FALSE)</f>
        <v>1200000</v>
      </c>
      <c r="E1911" s="354">
        <v>1</v>
      </c>
      <c r="F1911" s="355">
        <f>+D1911*E1911</f>
        <v>1200000</v>
      </c>
      <c r="G1911" s="370"/>
    </row>
    <row r="1912" spans="1:7" x14ac:dyDescent="0.2">
      <c r="A1912" s="1179" t="s">
        <v>1649</v>
      </c>
      <c r="B1912" s="1180"/>
      <c r="C1912" s="214">
        <v>0.03</v>
      </c>
      <c r="D1912" s="417"/>
      <c r="E1912" s="418"/>
      <c r="F1912" s="276">
        <f>SUM(F1911:F1911)*C1912</f>
        <v>36000</v>
      </c>
      <c r="G1912" s="246"/>
    </row>
    <row r="1913" spans="1:7" x14ac:dyDescent="0.2">
      <c r="A1913" s="247"/>
      <c r="B1913" s="416"/>
      <c r="C1913" s="104"/>
      <c r="D1913" s="104"/>
      <c r="E1913" s="104"/>
      <c r="F1913" s="104"/>
      <c r="G1913" s="246" t="s">
        <v>31</v>
      </c>
    </row>
    <row r="1914" spans="1:7" ht="15" thickBot="1" x14ac:dyDescent="0.25">
      <c r="A1914" s="248"/>
      <c r="B1914" s="420"/>
      <c r="C1914" s="420"/>
      <c r="D1914" s="420"/>
      <c r="E1914" s="420"/>
      <c r="F1914" s="420"/>
      <c r="G1914" s="250">
        <f>SUM(F1911:F1912)</f>
        <v>1236000</v>
      </c>
    </row>
    <row r="1915" spans="1:7" ht="15" thickBot="1" x14ac:dyDescent="0.25">
      <c r="A1915" s="1176" t="s">
        <v>1646</v>
      </c>
      <c r="B1915" s="1177"/>
      <c r="C1915" s="1177"/>
      <c r="D1915" s="1177"/>
      <c r="E1915" s="1177"/>
      <c r="F1915" s="1177"/>
      <c r="G1915" s="1178"/>
    </row>
    <row r="1916" spans="1:7" x14ac:dyDescent="0.2">
      <c r="A1916" s="251" t="s">
        <v>305</v>
      </c>
      <c r="B1916" s="190" t="s">
        <v>38</v>
      </c>
      <c r="C1916" s="190" t="s">
        <v>39</v>
      </c>
      <c r="D1916" s="190" t="s">
        <v>40</v>
      </c>
      <c r="E1916" s="190" t="s">
        <v>34</v>
      </c>
      <c r="F1916" s="190" t="s">
        <v>35</v>
      </c>
      <c r="G1916" s="243"/>
    </row>
    <row r="1917" spans="1:7" x14ac:dyDescent="0.2">
      <c r="A1917" s="369"/>
      <c r="B1917" s="89"/>
      <c r="C1917" s="209"/>
      <c r="D1917" s="199"/>
      <c r="E1917" s="367"/>
      <c r="F1917" s="234"/>
      <c r="G1917" s="253"/>
    </row>
    <row r="1918" spans="1:7" x14ac:dyDescent="0.2">
      <c r="A1918" s="252"/>
      <c r="B1918" s="235"/>
      <c r="C1918" s="238"/>
      <c r="D1918" s="236"/>
      <c r="E1918" s="237"/>
      <c r="F1918" s="239"/>
      <c r="G1918" s="253"/>
    </row>
    <row r="1919" spans="1:7" x14ac:dyDescent="0.2">
      <c r="A1919" s="247" t="s">
        <v>25</v>
      </c>
      <c r="B1919" s="104" t="s">
        <v>25</v>
      </c>
      <c r="C1919" s="104" t="s">
        <v>25</v>
      </c>
      <c r="D1919" s="188" t="s">
        <v>25</v>
      </c>
      <c r="E1919" s="189" t="s">
        <v>25</v>
      </c>
      <c r="F1919" s="187" t="s">
        <v>25</v>
      </c>
      <c r="G1919" s="246" t="s">
        <v>31</v>
      </c>
    </row>
    <row r="1920" spans="1:7" ht="15" thickBot="1" x14ac:dyDescent="0.25">
      <c r="A1920" s="248"/>
      <c r="B1920" s="420"/>
      <c r="C1920" s="420"/>
      <c r="D1920" s="420"/>
      <c r="E1920" s="420"/>
      <c r="F1920" s="420"/>
      <c r="G1920" s="250">
        <f>SUM(F1917:F1918)</f>
        <v>0</v>
      </c>
    </row>
    <row r="1921" spans="1:7" ht="15" thickBot="1" x14ac:dyDescent="0.25">
      <c r="A1921" s="1176" t="s">
        <v>1647</v>
      </c>
      <c r="B1921" s="1177"/>
      <c r="C1921" s="1177"/>
      <c r="D1921" s="1177"/>
      <c r="E1921" s="1177"/>
      <c r="F1921" s="1177"/>
      <c r="G1921" s="1178"/>
    </row>
    <row r="1922" spans="1:7" ht="24" x14ac:dyDescent="0.2">
      <c r="A1922" s="254" t="s">
        <v>1681</v>
      </c>
      <c r="B1922" s="190" t="s">
        <v>42</v>
      </c>
      <c r="C1922" s="190" t="s">
        <v>43</v>
      </c>
      <c r="D1922" s="190" t="s">
        <v>44</v>
      </c>
      <c r="E1922" s="190" t="s">
        <v>306</v>
      </c>
      <c r="F1922" s="190" t="s">
        <v>29</v>
      </c>
      <c r="G1922" s="243"/>
    </row>
    <row r="1923" spans="1:7" ht="36" x14ac:dyDescent="0.2">
      <c r="A1923" s="255" t="s">
        <v>1674</v>
      </c>
      <c r="B1923" s="202">
        <f>VLOOKUP(A1923,JORNALES!$A$5:$B$28,2,FALSE)</f>
        <v>215000</v>
      </c>
      <c r="C1923" s="233">
        <f>+PRESTACIONES!$C$20/100</f>
        <v>0.89990000000000014</v>
      </c>
      <c r="D1923" s="234">
        <f>+(B1923*C1923)+B1923</f>
        <v>408478.5</v>
      </c>
      <c r="E1923" s="421">
        <v>3</v>
      </c>
      <c r="F1923" s="199">
        <f>+D1923/E1923</f>
        <v>136159.5</v>
      </c>
      <c r="G1923" s="246"/>
    </row>
    <row r="1924" spans="1:7" x14ac:dyDescent="0.2">
      <c r="A1924" s="247"/>
      <c r="B1924" s="416"/>
      <c r="C1924" s="416"/>
      <c r="D1924" s="416"/>
      <c r="E1924" s="416"/>
      <c r="F1924" s="416"/>
      <c r="G1924" s="246" t="s">
        <v>31</v>
      </c>
    </row>
    <row r="1925" spans="1:7" x14ac:dyDescent="0.2">
      <c r="A1925" s="247"/>
      <c r="B1925" s="416"/>
      <c r="C1925" s="416"/>
      <c r="D1925" s="416"/>
      <c r="E1925" s="416"/>
      <c r="F1925" s="416"/>
      <c r="G1925" s="256">
        <f>SUM(F1923:F1923)</f>
        <v>136159.5</v>
      </c>
    </row>
    <row r="1926" spans="1:7" ht="15" thickBot="1" x14ac:dyDescent="0.25">
      <c r="A1926" s="1181" t="s">
        <v>25</v>
      </c>
      <c r="B1926" s="1182"/>
      <c r="C1926" s="1182"/>
      <c r="D1926" s="1182"/>
      <c r="E1926" s="1182"/>
      <c r="F1926" s="1182"/>
      <c r="G1926" s="1183"/>
    </row>
    <row r="1927" spans="1:7" ht="15" thickBot="1" x14ac:dyDescent="0.25">
      <c r="A1927" s="1184" t="s">
        <v>45</v>
      </c>
      <c r="B1927" s="1185"/>
      <c r="C1927" s="1185"/>
      <c r="D1927" s="1185"/>
      <c r="E1927" s="1185"/>
      <c r="F1927" s="192"/>
      <c r="G1927" s="277">
        <f xml:space="preserve"> ROUND(G1925+G1920+G1914+G1908,0)</f>
        <v>1386092</v>
      </c>
    </row>
    <row r="1928" spans="1:7" x14ac:dyDescent="0.2">
      <c r="A1928" s="1186" t="s">
        <v>476</v>
      </c>
      <c r="B1928" s="1187"/>
      <c r="C1928" s="1187"/>
      <c r="D1928" s="1187"/>
      <c r="E1928" s="1187"/>
      <c r="F1928" s="193" t="s">
        <v>51</v>
      </c>
      <c r="G1928" s="257" t="s">
        <v>307</v>
      </c>
    </row>
    <row r="1929" spans="1:7" x14ac:dyDescent="0.2">
      <c r="A1929" s="1166" t="s">
        <v>17</v>
      </c>
      <c r="B1929" s="1167"/>
      <c r="C1929" s="1167"/>
      <c r="D1929" s="1167"/>
      <c r="E1929" s="1167"/>
      <c r="F1929" s="240"/>
      <c r="G1929" s="196"/>
    </row>
    <row r="1930" spans="1:7" x14ac:dyDescent="0.2">
      <c r="A1930" s="1166" t="s">
        <v>308</v>
      </c>
      <c r="B1930" s="1167"/>
      <c r="C1930" s="1167"/>
      <c r="D1930" s="1167"/>
      <c r="E1930" s="1167"/>
      <c r="F1930" s="240"/>
      <c r="G1930" s="196"/>
    </row>
    <row r="1931" spans="1:7" x14ac:dyDescent="0.2">
      <c r="A1931" s="1166" t="s">
        <v>19</v>
      </c>
      <c r="B1931" s="1167"/>
      <c r="C1931" s="1167"/>
      <c r="D1931" s="1167"/>
      <c r="E1931" s="1167"/>
      <c r="F1931" s="240"/>
      <c r="G1931" s="196"/>
    </row>
    <row r="1932" spans="1:7" ht="15" thickBot="1" x14ac:dyDescent="0.25">
      <c r="A1932" s="1168" t="s">
        <v>309</v>
      </c>
      <c r="B1932" s="1169"/>
      <c r="C1932" s="1169"/>
      <c r="D1932" s="1169"/>
      <c r="E1932" s="1169"/>
      <c r="F1932" s="198"/>
      <c r="G1932" s="258"/>
    </row>
    <row r="1933" spans="1:7" ht="15" thickBot="1" x14ac:dyDescent="0.25">
      <c r="A1933" s="1170" t="s">
        <v>310</v>
      </c>
      <c r="B1933" s="1171"/>
      <c r="C1933" s="1171"/>
      <c r="D1933" s="1171"/>
      <c r="E1933" s="1171"/>
      <c r="F1933" s="1172"/>
      <c r="G1933" s="1173"/>
    </row>
    <row r="1934" spans="1:7" x14ac:dyDescent="0.2">
      <c r="A1934" s="413"/>
      <c r="B1934" s="414"/>
      <c r="C1934" s="414"/>
      <c r="D1934" s="414"/>
      <c r="E1934" s="414"/>
      <c r="F1934" s="193"/>
      <c r="G1934" s="260"/>
    </row>
    <row r="1935" spans="1:7" ht="15" thickBot="1" x14ac:dyDescent="0.25">
      <c r="A1935" s="261" t="s">
        <v>681</v>
      </c>
      <c r="B1935" s="262"/>
      <c r="C1935" s="262" t="s">
        <v>682</v>
      </c>
      <c r="D1935" s="262"/>
      <c r="E1935" s="262"/>
      <c r="F1935" s="262" t="s">
        <v>683</v>
      </c>
      <c r="G1935" s="263"/>
    </row>
    <row r="1936" spans="1:7" ht="15" thickBot="1" x14ac:dyDescent="0.25">
      <c r="A1936" s="1174" t="str">
        <f>+LIST_ACTIVIDADES!D73</f>
        <v>Puerta Vatiente Izq (P11) en aluminio y vidrio 3+3 de 2,10 x 1,00mts, según diseños</v>
      </c>
      <c r="B1936" s="1175"/>
      <c r="C1936" s="1175"/>
      <c r="D1936" s="1175"/>
      <c r="E1936" s="1175"/>
      <c r="F1936" s="241" t="s">
        <v>24</v>
      </c>
      <c r="G1936" s="264" t="str">
        <f>+LIST_ACTIVIDADES!E73</f>
        <v>und</v>
      </c>
    </row>
    <row r="1937" spans="1:7" ht="15" thickBot="1" x14ac:dyDescent="0.25">
      <c r="A1937" s="1176" t="s">
        <v>1642</v>
      </c>
      <c r="B1937" s="1177"/>
      <c r="C1937" s="1177"/>
      <c r="D1937" s="1177"/>
      <c r="E1937" s="1177"/>
      <c r="F1937" s="1177"/>
      <c r="G1937" s="1178"/>
    </row>
    <row r="1938" spans="1:7" x14ac:dyDescent="0.2">
      <c r="A1938" s="242" t="s">
        <v>1643</v>
      </c>
      <c r="B1938" s="191" t="s">
        <v>1644</v>
      </c>
      <c r="C1938" s="190" t="s">
        <v>26</v>
      </c>
      <c r="D1938" s="190" t="s">
        <v>27</v>
      </c>
      <c r="E1938" s="190" t="s">
        <v>28</v>
      </c>
      <c r="F1938" s="190" t="s">
        <v>29</v>
      </c>
      <c r="G1938" s="243"/>
    </row>
    <row r="1939" spans="1:7" x14ac:dyDescent="0.2">
      <c r="A1939" s="362" t="str">
        <f>VLOOKUP(B1939,PRECIOS!$A$309:$E$485,2,FALSE)</f>
        <v>EQUIPO158</v>
      </c>
      <c r="B1939" s="363" t="s">
        <v>1699</v>
      </c>
      <c r="C1939" s="99" t="str">
        <f>VLOOKUP(B1939,PRECIOS!$A$309:$E$485,3,FALSE)</f>
        <v>Electrica</v>
      </c>
      <c r="D1939" s="364">
        <f>VLOOKUP(B1939,PRECIOS!$A$309:$E$485,5,FALSE)</f>
        <v>6250</v>
      </c>
      <c r="E1939" s="365">
        <v>0.9</v>
      </c>
      <c r="F1939" s="366">
        <f>+D1939*E1939</f>
        <v>5625</v>
      </c>
      <c r="G1939" s="245"/>
    </row>
    <row r="1940" spans="1:7" x14ac:dyDescent="0.2">
      <c r="A1940" s="362" t="str">
        <f>VLOOKUP(B1940,PRECIOS!$A$309:$E$485,2,FALSE)</f>
        <v>EQUIPO169</v>
      </c>
      <c r="B1940" s="363" t="s">
        <v>449</v>
      </c>
      <c r="C1940" s="99" t="str">
        <f>VLOOKUP(B1940,PRECIOS!$A$309:$E$485,3,FALSE)</f>
        <v>Estructura</v>
      </c>
      <c r="D1940" s="364">
        <f>VLOOKUP(B1940,PRECIOS!$A$309:$E$485,5,FALSE)</f>
        <v>1500</v>
      </c>
      <c r="E1940" s="365">
        <v>1</v>
      </c>
      <c r="F1940" s="366">
        <f>+D1940*E1940</f>
        <v>1500</v>
      </c>
      <c r="G1940" s="245"/>
    </row>
    <row r="1941" spans="1:7" x14ac:dyDescent="0.2">
      <c r="A1941" s="1179" t="s">
        <v>1650</v>
      </c>
      <c r="B1941" s="1180"/>
      <c r="C1941" s="214">
        <v>0.05</v>
      </c>
      <c r="D1941" s="213"/>
      <c r="E1941" s="418"/>
      <c r="F1941" s="212">
        <f>+G1960*C1941</f>
        <v>6807.9750000000004</v>
      </c>
      <c r="G1941" s="246"/>
    </row>
    <row r="1942" spans="1:7" x14ac:dyDescent="0.2">
      <c r="A1942" s="247" t="s">
        <v>25</v>
      </c>
      <c r="B1942" s="416"/>
      <c r="C1942" s="416"/>
      <c r="D1942" s="416"/>
      <c r="E1942" s="416"/>
      <c r="F1942" s="416"/>
      <c r="G1942" s="246" t="s">
        <v>31</v>
      </c>
    </row>
    <row r="1943" spans="1:7" ht="15" thickBot="1" x14ac:dyDescent="0.25">
      <c r="A1943" s="248"/>
      <c r="B1943" s="420"/>
      <c r="C1943" s="420"/>
      <c r="D1943" s="420"/>
      <c r="E1943" s="420"/>
      <c r="F1943" s="420"/>
      <c r="G1943" s="249">
        <f>SUM(F1939:F1941)</f>
        <v>13932.975</v>
      </c>
    </row>
    <row r="1944" spans="1:7" ht="15" thickBot="1" x14ac:dyDescent="0.25">
      <c r="A1944" s="1176" t="s">
        <v>1645</v>
      </c>
      <c r="B1944" s="1177"/>
      <c r="C1944" s="1177"/>
      <c r="D1944" s="1177"/>
      <c r="E1944" s="1177"/>
      <c r="F1944" s="1177"/>
      <c r="G1944" s="1178"/>
    </row>
    <row r="1945" spans="1:7" x14ac:dyDescent="0.2">
      <c r="A1945" s="242" t="s">
        <v>1643</v>
      </c>
      <c r="B1945" s="191" t="s">
        <v>1644</v>
      </c>
      <c r="C1945" s="190" t="s">
        <v>32</v>
      </c>
      <c r="D1945" s="190" t="s">
        <v>33</v>
      </c>
      <c r="E1945" s="190" t="s">
        <v>34</v>
      </c>
      <c r="F1945" s="190" t="s">
        <v>35</v>
      </c>
      <c r="G1945" s="243"/>
    </row>
    <row r="1946" spans="1:7" ht="36" x14ac:dyDescent="0.2">
      <c r="A1946" s="352" t="str">
        <f>VLOOKUP(B1946,PRECIOS!$A$5:$D$303,2,FALSE)</f>
        <v>CARPMETAL11</v>
      </c>
      <c r="B1946" s="105" t="s">
        <v>1805</v>
      </c>
      <c r="C1946" s="105" t="str">
        <f>VLOOKUP(B1946,PRECIOS!$A$5:$D$303,3,FALSE)</f>
        <v>und</v>
      </c>
      <c r="D1946" s="353">
        <f>VLOOKUP(B1946,PRECIOS!$A$5:$D$303,4,FALSE)</f>
        <v>1300000</v>
      </c>
      <c r="E1946" s="354">
        <v>1</v>
      </c>
      <c r="F1946" s="355">
        <f>+D1946*E1946</f>
        <v>1300000</v>
      </c>
      <c r="G1946" s="370"/>
    </row>
    <row r="1947" spans="1:7" x14ac:dyDescent="0.2">
      <c r="A1947" s="1179" t="s">
        <v>1649</v>
      </c>
      <c r="B1947" s="1180"/>
      <c r="C1947" s="214">
        <v>0.03</v>
      </c>
      <c r="D1947" s="417"/>
      <c r="E1947" s="418"/>
      <c r="F1947" s="276">
        <f>SUM(F1946:F1946)*C1947</f>
        <v>39000</v>
      </c>
      <c r="G1947" s="246"/>
    </row>
    <row r="1948" spans="1:7" x14ac:dyDescent="0.2">
      <c r="A1948" s="247"/>
      <c r="B1948" s="416"/>
      <c r="C1948" s="104"/>
      <c r="D1948" s="104"/>
      <c r="E1948" s="104"/>
      <c r="F1948" s="104"/>
      <c r="G1948" s="246" t="s">
        <v>31</v>
      </c>
    </row>
    <row r="1949" spans="1:7" ht="15" thickBot="1" x14ac:dyDescent="0.25">
      <c r="A1949" s="248"/>
      <c r="B1949" s="420"/>
      <c r="C1949" s="420"/>
      <c r="D1949" s="420"/>
      <c r="E1949" s="420"/>
      <c r="F1949" s="420"/>
      <c r="G1949" s="250">
        <f>SUM(F1946:F1947)</f>
        <v>1339000</v>
      </c>
    </row>
    <row r="1950" spans="1:7" ht="15" thickBot="1" x14ac:dyDescent="0.25">
      <c r="A1950" s="1176" t="s">
        <v>1646</v>
      </c>
      <c r="B1950" s="1177"/>
      <c r="C1950" s="1177"/>
      <c r="D1950" s="1177"/>
      <c r="E1950" s="1177"/>
      <c r="F1950" s="1177"/>
      <c r="G1950" s="1178"/>
    </row>
    <row r="1951" spans="1:7" x14ac:dyDescent="0.2">
      <c r="A1951" s="251" t="s">
        <v>305</v>
      </c>
      <c r="B1951" s="190" t="s">
        <v>38</v>
      </c>
      <c r="C1951" s="190" t="s">
        <v>39</v>
      </c>
      <c r="D1951" s="190" t="s">
        <v>40</v>
      </c>
      <c r="E1951" s="190" t="s">
        <v>34</v>
      </c>
      <c r="F1951" s="190" t="s">
        <v>35</v>
      </c>
      <c r="G1951" s="243"/>
    </row>
    <row r="1952" spans="1:7" x14ac:dyDescent="0.2">
      <c r="A1952" s="369"/>
      <c r="B1952" s="89"/>
      <c r="C1952" s="209"/>
      <c r="D1952" s="199"/>
      <c r="E1952" s="367"/>
      <c r="F1952" s="234"/>
      <c r="G1952" s="253"/>
    </row>
    <row r="1953" spans="1:7" x14ac:dyDescent="0.2">
      <c r="A1953" s="252"/>
      <c r="B1953" s="235"/>
      <c r="C1953" s="238"/>
      <c r="D1953" s="236"/>
      <c r="E1953" s="237"/>
      <c r="F1953" s="239"/>
      <c r="G1953" s="253"/>
    </row>
    <row r="1954" spans="1:7" x14ac:dyDescent="0.2">
      <c r="A1954" s="247" t="s">
        <v>25</v>
      </c>
      <c r="B1954" s="104" t="s">
        <v>25</v>
      </c>
      <c r="C1954" s="104" t="s">
        <v>25</v>
      </c>
      <c r="D1954" s="188" t="s">
        <v>25</v>
      </c>
      <c r="E1954" s="189" t="s">
        <v>25</v>
      </c>
      <c r="F1954" s="187" t="s">
        <v>25</v>
      </c>
      <c r="G1954" s="246" t="s">
        <v>31</v>
      </c>
    </row>
    <row r="1955" spans="1:7" ht="15" thickBot="1" x14ac:dyDescent="0.25">
      <c r="A1955" s="248"/>
      <c r="B1955" s="420"/>
      <c r="C1955" s="420"/>
      <c r="D1955" s="420"/>
      <c r="E1955" s="420"/>
      <c r="F1955" s="420"/>
      <c r="G1955" s="250">
        <f>SUM(F1952:F1953)</f>
        <v>0</v>
      </c>
    </row>
    <row r="1956" spans="1:7" ht="15" thickBot="1" x14ac:dyDescent="0.25">
      <c r="A1956" s="1176" t="s">
        <v>1647</v>
      </c>
      <c r="B1956" s="1177"/>
      <c r="C1956" s="1177"/>
      <c r="D1956" s="1177"/>
      <c r="E1956" s="1177"/>
      <c r="F1956" s="1177"/>
      <c r="G1956" s="1178"/>
    </row>
    <row r="1957" spans="1:7" ht="24" x14ac:dyDescent="0.2">
      <c r="A1957" s="254" t="s">
        <v>1681</v>
      </c>
      <c r="B1957" s="190" t="s">
        <v>42</v>
      </c>
      <c r="C1957" s="190" t="s">
        <v>43</v>
      </c>
      <c r="D1957" s="190" t="s">
        <v>44</v>
      </c>
      <c r="E1957" s="190" t="s">
        <v>306</v>
      </c>
      <c r="F1957" s="190" t="s">
        <v>29</v>
      </c>
      <c r="G1957" s="243"/>
    </row>
    <row r="1958" spans="1:7" ht="36" x14ac:dyDescent="0.2">
      <c r="A1958" s="255" t="s">
        <v>1674</v>
      </c>
      <c r="B1958" s="202">
        <f>VLOOKUP(A1958,JORNALES!$A$5:$B$28,2,FALSE)</f>
        <v>215000</v>
      </c>
      <c r="C1958" s="233">
        <f>+PRESTACIONES!$C$20/100</f>
        <v>0.89990000000000014</v>
      </c>
      <c r="D1958" s="234">
        <f>+(B1958*C1958)+B1958</f>
        <v>408478.5</v>
      </c>
      <c r="E1958" s="421">
        <v>3</v>
      </c>
      <c r="F1958" s="199">
        <f>+D1958/E1958</f>
        <v>136159.5</v>
      </c>
      <c r="G1958" s="246"/>
    </row>
    <row r="1959" spans="1:7" x14ac:dyDescent="0.2">
      <c r="A1959" s="247"/>
      <c r="B1959" s="416"/>
      <c r="C1959" s="416"/>
      <c r="D1959" s="416"/>
      <c r="E1959" s="416"/>
      <c r="F1959" s="416"/>
      <c r="G1959" s="246" t="s">
        <v>31</v>
      </c>
    </row>
    <row r="1960" spans="1:7" x14ac:dyDescent="0.2">
      <c r="A1960" s="247"/>
      <c r="B1960" s="416"/>
      <c r="C1960" s="416"/>
      <c r="D1960" s="416"/>
      <c r="E1960" s="416"/>
      <c r="F1960" s="416"/>
      <c r="G1960" s="256">
        <f>SUM(F1958:F1958)</f>
        <v>136159.5</v>
      </c>
    </row>
    <row r="1961" spans="1:7" ht="15" thickBot="1" x14ac:dyDescent="0.25">
      <c r="A1961" s="1181" t="s">
        <v>25</v>
      </c>
      <c r="B1961" s="1182"/>
      <c r="C1961" s="1182"/>
      <c r="D1961" s="1182"/>
      <c r="E1961" s="1182"/>
      <c r="F1961" s="1182"/>
      <c r="G1961" s="1183"/>
    </row>
    <row r="1962" spans="1:7" ht="15" thickBot="1" x14ac:dyDescent="0.25">
      <c r="A1962" s="1184" t="s">
        <v>45</v>
      </c>
      <c r="B1962" s="1185"/>
      <c r="C1962" s="1185"/>
      <c r="D1962" s="1185"/>
      <c r="E1962" s="1185"/>
      <c r="F1962" s="192"/>
      <c r="G1962" s="277">
        <f xml:space="preserve"> ROUND(G1960+G1955+G1949+G1943,0)</f>
        <v>1489092</v>
      </c>
    </row>
    <row r="1963" spans="1:7" x14ac:dyDescent="0.2">
      <c r="A1963" s="1186" t="s">
        <v>476</v>
      </c>
      <c r="B1963" s="1187"/>
      <c r="C1963" s="1187"/>
      <c r="D1963" s="1187"/>
      <c r="E1963" s="1187"/>
      <c r="F1963" s="193" t="s">
        <v>51</v>
      </c>
      <c r="G1963" s="257" t="s">
        <v>307</v>
      </c>
    </row>
    <row r="1964" spans="1:7" x14ac:dyDescent="0.2">
      <c r="A1964" s="1166" t="s">
        <v>17</v>
      </c>
      <c r="B1964" s="1167"/>
      <c r="C1964" s="1167"/>
      <c r="D1964" s="1167"/>
      <c r="E1964" s="1167"/>
      <c r="F1964" s="240"/>
      <c r="G1964" s="196"/>
    </row>
    <row r="1965" spans="1:7" x14ac:dyDescent="0.2">
      <c r="A1965" s="1166" t="s">
        <v>308</v>
      </c>
      <c r="B1965" s="1167"/>
      <c r="C1965" s="1167"/>
      <c r="D1965" s="1167"/>
      <c r="E1965" s="1167"/>
      <c r="F1965" s="240"/>
      <c r="G1965" s="196"/>
    </row>
    <row r="1966" spans="1:7" x14ac:dyDescent="0.2">
      <c r="A1966" s="1166" t="s">
        <v>19</v>
      </c>
      <c r="B1966" s="1167"/>
      <c r="C1966" s="1167"/>
      <c r="D1966" s="1167"/>
      <c r="E1966" s="1167"/>
      <c r="F1966" s="240"/>
      <c r="G1966" s="196"/>
    </row>
    <row r="1967" spans="1:7" ht="15" thickBot="1" x14ac:dyDescent="0.25">
      <c r="A1967" s="1168" t="s">
        <v>309</v>
      </c>
      <c r="B1967" s="1169"/>
      <c r="C1967" s="1169"/>
      <c r="D1967" s="1169"/>
      <c r="E1967" s="1169"/>
      <c r="F1967" s="198"/>
      <c r="G1967" s="258"/>
    </row>
    <row r="1968" spans="1:7" ht="15" thickBot="1" x14ac:dyDescent="0.25">
      <c r="A1968" s="1170" t="s">
        <v>310</v>
      </c>
      <c r="B1968" s="1171"/>
      <c r="C1968" s="1171"/>
      <c r="D1968" s="1171"/>
      <c r="E1968" s="1171"/>
      <c r="F1968" s="1172"/>
      <c r="G1968" s="1173"/>
    </row>
    <row r="1969" spans="1:7" x14ac:dyDescent="0.2">
      <c r="A1969" s="413"/>
      <c r="B1969" s="414"/>
      <c r="C1969" s="414"/>
      <c r="D1969" s="414"/>
      <c r="E1969" s="414"/>
      <c r="F1969" s="193"/>
      <c r="G1969" s="260"/>
    </row>
    <row r="1970" spans="1:7" ht="15" thickBot="1" x14ac:dyDescent="0.25">
      <c r="A1970" s="261" t="s">
        <v>681</v>
      </c>
      <c r="B1970" s="262"/>
      <c r="C1970" s="262" t="s">
        <v>682</v>
      </c>
      <c r="D1970" s="262"/>
      <c r="E1970" s="262"/>
      <c r="F1970" s="262" t="s">
        <v>683</v>
      </c>
      <c r="G1970" s="263"/>
    </row>
    <row r="1971" spans="1:7" ht="15" thickBot="1" x14ac:dyDescent="0.25">
      <c r="A1971" s="1174" t="str">
        <f>+LIST_ACTIVIDADES!D74</f>
        <v>Puerta Vatiente Der (P12) en aluminio y vidrio 3+3 de 2,10 x 0,9mts, según diseños</v>
      </c>
      <c r="B1971" s="1175"/>
      <c r="C1971" s="1175"/>
      <c r="D1971" s="1175"/>
      <c r="E1971" s="1175"/>
      <c r="F1971" s="241" t="s">
        <v>24</v>
      </c>
      <c r="G1971" s="264" t="str">
        <f>+LIST_ACTIVIDADES!E74</f>
        <v>und</v>
      </c>
    </row>
    <row r="1972" spans="1:7" ht="15" thickBot="1" x14ac:dyDescent="0.25">
      <c r="A1972" s="1176" t="s">
        <v>1642</v>
      </c>
      <c r="B1972" s="1177"/>
      <c r="C1972" s="1177"/>
      <c r="D1972" s="1177"/>
      <c r="E1972" s="1177"/>
      <c r="F1972" s="1177"/>
      <c r="G1972" s="1178"/>
    </row>
    <row r="1973" spans="1:7" x14ac:dyDescent="0.2">
      <c r="A1973" s="242" t="s">
        <v>1643</v>
      </c>
      <c r="B1973" s="191" t="s">
        <v>1644</v>
      </c>
      <c r="C1973" s="190" t="s">
        <v>26</v>
      </c>
      <c r="D1973" s="190" t="s">
        <v>27</v>
      </c>
      <c r="E1973" s="190" t="s">
        <v>28</v>
      </c>
      <c r="F1973" s="190" t="s">
        <v>29</v>
      </c>
      <c r="G1973" s="243"/>
    </row>
    <row r="1974" spans="1:7" x14ac:dyDescent="0.2">
      <c r="A1974" s="362" t="str">
        <f>VLOOKUP(B1974,PRECIOS!$A$309:$E$485,2,FALSE)</f>
        <v>EQUIPO158</v>
      </c>
      <c r="B1974" s="363" t="s">
        <v>1699</v>
      </c>
      <c r="C1974" s="99" t="str">
        <f>VLOOKUP(B1974,PRECIOS!$A$309:$E$485,3,FALSE)</f>
        <v>Electrica</v>
      </c>
      <c r="D1974" s="364">
        <f>VLOOKUP(B1974,PRECIOS!$A$309:$E$485,5,FALSE)</f>
        <v>6250</v>
      </c>
      <c r="E1974" s="365">
        <v>0.9</v>
      </c>
      <c r="F1974" s="366">
        <f>+D1974*E1974</f>
        <v>5625</v>
      </c>
      <c r="G1974" s="245"/>
    </row>
    <row r="1975" spans="1:7" x14ac:dyDescent="0.2">
      <c r="A1975" s="362" t="str">
        <f>VLOOKUP(B1975,PRECIOS!$A$309:$E$485,2,FALSE)</f>
        <v>EQUIPO169</v>
      </c>
      <c r="B1975" s="363" t="s">
        <v>449</v>
      </c>
      <c r="C1975" s="99" t="str">
        <f>VLOOKUP(B1975,PRECIOS!$A$309:$E$485,3,FALSE)</f>
        <v>Estructura</v>
      </c>
      <c r="D1975" s="364">
        <f>VLOOKUP(B1975,PRECIOS!$A$309:$E$485,5,FALSE)</f>
        <v>1500</v>
      </c>
      <c r="E1975" s="365">
        <v>1</v>
      </c>
      <c r="F1975" s="366">
        <f>+D1975*E1975</f>
        <v>1500</v>
      </c>
      <c r="G1975" s="245"/>
    </row>
    <row r="1976" spans="1:7" x14ac:dyDescent="0.2">
      <c r="A1976" s="1179" t="s">
        <v>1650</v>
      </c>
      <c r="B1976" s="1180"/>
      <c r="C1976" s="214">
        <v>0.05</v>
      </c>
      <c r="D1976" s="213"/>
      <c r="E1976" s="418"/>
      <c r="F1976" s="212">
        <f>+G1995*C1976</f>
        <v>6807.9750000000004</v>
      </c>
      <c r="G1976" s="246"/>
    </row>
    <row r="1977" spans="1:7" x14ac:dyDescent="0.2">
      <c r="A1977" s="247" t="s">
        <v>25</v>
      </c>
      <c r="B1977" s="416"/>
      <c r="C1977" s="416"/>
      <c r="D1977" s="416"/>
      <c r="E1977" s="416"/>
      <c r="F1977" s="416"/>
      <c r="G1977" s="246" t="s">
        <v>31</v>
      </c>
    </row>
    <row r="1978" spans="1:7" ht="15" thickBot="1" x14ac:dyDescent="0.25">
      <c r="A1978" s="248"/>
      <c r="B1978" s="420"/>
      <c r="C1978" s="420"/>
      <c r="D1978" s="420"/>
      <c r="E1978" s="420"/>
      <c r="F1978" s="420"/>
      <c r="G1978" s="249">
        <f>SUM(F1974:F1976)</f>
        <v>13932.975</v>
      </c>
    </row>
    <row r="1979" spans="1:7" ht="15" thickBot="1" x14ac:dyDescent="0.25">
      <c r="A1979" s="1176" t="s">
        <v>1645</v>
      </c>
      <c r="B1979" s="1177"/>
      <c r="C1979" s="1177"/>
      <c r="D1979" s="1177"/>
      <c r="E1979" s="1177"/>
      <c r="F1979" s="1177"/>
      <c r="G1979" s="1178"/>
    </row>
    <row r="1980" spans="1:7" x14ac:dyDescent="0.2">
      <c r="A1980" s="242" t="s">
        <v>1643</v>
      </c>
      <c r="B1980" s="191" t="s">
        <v>1644</v>
      </c>
      <c r="C1980" s="190" t="s">
        <v>32</v>
      </c>
      <c r="D1980" s="190" t="s">
        <v>33</v>
      </c>
      <c r="E1980" s="190" t="s">
        <v>34</v>
      </c>
      <c r="F1980" s="190" t="s">
        <v>35</v>
      </c>
      <c r="G1980" s="243"/>
    </row>
    <row r="1981" spans="1:7" ht="36" x14ac:dyDescent="0.2">
      <c r="A1981" s="352" t="str">
        <f>VLOOKUP(B1981,PRECIOS!$A$5:$D$303,2,FALSE)</f>
        <v>CARPMETAL12</v>
      </c>
      <c r="B1981" s="105" t="s">
        <v>1806</v>
      </c>
      <c r="C1981" s="105" t="str">
        <f>VLOOKUP(B1981,PRECIOS!$A$5:$D$303,3,FALSE)</f>
        <v>und</v>
      </c>
      <c r="D1981" s="353">
        <f>VLOOKUP(B1981,PRECIOS!$A$5:$D$303,4,FALSE)</f>
        <v>1200000</v>
      </c>
      <c r="E1981" s="354">
        <v>1</v>
      </c>
      <c r="F1981" s="355">
        <f>+D1981*E1981</f>
        <v>1200000</v>
      </c>
      <c r="G1981" s="370"/>
    </row>
    <row r="1982" spans="1:7" x14ac:dyDescent="0.2">
      <c r="A1982" s="1179" t="s">
        <v>1649</v>
      </c>
      <c r="B1982" s="1180"/>
      <c r="C1982" s="214">
        <v>0.03</v>
      </c>
      <c r="D1982" s="417"/>
      <c r="E1982" s="418"/>
      <c r="F1982" s="276">
        <f>SUM(F1981:F1981)*C1982</f>
        <v>36000</v>
      </c>
      <c r="G1982" s="246"/>
    </row>
    <row r="1983" spans="1:7" x14ac:dyDescent="0.2">
      <c r="A1983" s="247"/>
      <c r="B1983" s="416"/>
      <c r="C1983" s="104"/>
      <c r="D1983" s="104"/>
      <c r="E1983" s="104"/>
      <c r="F1983" s="104"/>
      <c r="G1983" s="246" t="s">
        <v>31</v>
      </c>
    </row>
    <row r="1984" spans="1:7" ht="15" thickBot="1" x14ac:dyDescent="0.25">
      <c r="A1984" s="248"/>
      <c r="B1984" s="420"/>
      <c r="C1984" s="420"/>
      <c r="D1984" s="420"/>
      <c r="E1984" s="420"/>
      <c r="F1984" s="420"/>
      <c r="G1984" s="250">
        <f>SUM(F1981:F1982)</f>
        <v>1236000</v>
      </c>
    </row>
    <row r="1985" spans="1:7" ht="15" thickBot="1" x14ac:dyDescent="0.25">
      <c r="A1985" s="1176" t="s">
        <v>1646</v>
      </c>
      <c r="B1985" s="1177"/>
      <c r="C1985" s="1177"/>
      <c r="D1985" s="1177"/>
      <c r="E1985" s="1177"/>
      <c r="F1985" s="1177"/>
      <c r="G1985" s="1178"/>
    </row>
    <row r="1986" spans="1:7" x14ac:dyDescent="0.2">
      <c r="A1986" s="251" t="s">
        <v>305</v>
      </c>
      <c r="B1986" s="190" t="s">
        <v>38</v>
      </c>
      <c r="C1986" s="190" t="s">
        <v>39</v>
      </c>
      <c r="D1986" s="190" t="s">
        <v>40</v>
      </c>
      <c r="E1986" s="190" t="s">
        <v>34</v>
      </c>
      <c r="F1986" s="190" t="s">
        <v>35</v>
      </c>
      <c r="G1986" s="243"/>
    </row>
    <row r="1987" spans="1:7" x14ac:dyDescent="0.2">
      <c r="A1987" s="369"/>
      <c r="B1987" s="89"/>
      <c r="C1987" s="209"/>
      <c r="D1987" s="199"/>
      <c r="E1987" s="367"/>
      <c r="F1987" s="234"/>
      <c r="G1987" s="253"/>
    </row>
    <row r="1988" spans="1:7" x14ac:dyDescent="0.2">
      <c r="A1988" s="252"/>
      <c r="B1988" s="235"/>
      <c r="C1988" s="238"/>
      <c r="D1988" s="236"/>
      <c r="E1988" s="237"/>
      <c r="F1988" s="239"/>
      <c r="G1988" s="253"/>
    </row>
    <row r="1989" spans="1:7" x14ac:dyDescent="0.2">
      <c r="A1989" s="247" t="s">
        <v>25</v>
      </c>
      <c r="B1989" s="104" t="s">
        <v>25</v>
      </c>
      <c r="C1989" s="104" t="s">
        <v>25</v>
      </c>
      <c r="D1989" s="188" t="s">
        <v>25</v>
      </c>
      <c r="E1989" s="189" t="s">
        <v>25</v>
      </c>
      <c r="F1989" s="187" t="s">
        <v>25</v>
      </c>
      <c r="G1989" s="246" t="s">
        <v>31</v>
      </c>
    </row>
    <row r="1990" spans="1:7" ht="15" thickBot="1" x14ac:dyDescent="0.25">
      <c r="A1990" s="248"/>
      <c r="B1990" s="420"/>
      <c r="C1990" s="420"/>
      <c r="D1990" s="420"/>
      <c r="E1990" s="420"/>
      <c r="F1990" s="420"/>
      <c r="G1990" s="250">
        <f>SUM(F1987:F1988)</f>
        <v>0</v>
      </c>
    </row>
    <row r="1991" spans="1:7" ht="15" thickBot="1" x14ac:dyDescent="0.25">
      <c r="A1991" s="1176" t="s">
        <v>1647</v>
      </c>
      <c r="B1991" s="1177"/>
      <c r="C1991" s="1177"/>
      <c r="D1991" s="1177"/>
      <c r="E1991" s="1177"/>
      <c r="F1991" s="1177"/>
      <c r="G1991" s="1178"/>
    </row>
    <row r="1992" spans="1:7" ht="24" x14ac:dyDescent="0.2">
      <c r="A1992" s="254" t="s">
        <v>1681</v>
      </c>
      <c r="B1992" s="190" t="s">
        <v>42</v>
      </c>
      <c r="C1992" s="190" t="s">
        <v>43</v>
      </c>
      <c r="D1992" s="190" t="s">
        <v>44</v>
      </c>
      <c r="E1992" s="190" t="s">
        <v>306</v>
      </c>
      <c r="F1992" s="190" t="s">
        <v>29</v>
      </c>
      <c r="G1992" s="243"/>
    </row>
    <row r="1993" spans="1:7" ht="36" x14ac:dyDescent="0.2">
      <c r="A1993" s="255" t="s">
        <v>1674</v>
      </c>
      <c r="B1993" s="202">
        <f>VLOOKUP(A1993,JORNALES!$A$5:$B$28,2,FALSE)</f>
        <v>215000</v>
      </c>
      <c r="C1993" s="233">
        <f>+PRESTACIONES!$C$20/100</f>
        <v>0.89990000000000014</v>
      </c>
      <c r="D1993" s="234">
        <f>+(B1993*C1993)+B1993</f>
        <v>408478.5</v>
      </c>
      <c r="E1993" s="421">
        <v>3</v>
      </c>
      <c r="F1993" s="199">
        <f>+D1993/E1993</f>
        <v>136159.5</v>
      </c>
      <c r="G1993" s="246"/>
    </row>
    <row r="1994" spans="1:7" x14ac:dyDescent="0.2">
      <c r="A1994" s="247"/>
      <c r="B1994" s="416"/>
      <c r="C1994" s="416"/>
      <c r="D1994" s="416"/>
      <c r="E1994" s="416"/>
      <c r="F1994" s="416"/>
      <c r="G1994" s="246" t="s">
        <v>31</v>
      </c>
    </row>
    <row r="1995" spans="1:7" x14ac:dyDescent="0.2">
      <c r="A1995" s="247"/>
      <c r="B1995" s="416"/>
      <c r="C1995" s="416"/>
      <c r="D1995" s="416"/>
      <c r="E1995" s="416"/>
      <c r="F1995" s="416"/>
      <c r="G1995" s="256">
        <f>SUM(F1993:F1993)</f>
        <v>136159.5</v>
      </c>
    </row>
    <row r="1996" spans="1:7" ht="15" thickBot="1" x14ac:dyDescent="0.25">
      <c r="A1996" s="1181" t="s">
        <v>25</v>
      </c>
      <c r="B1996" s="1182"/>
      <c r="C1996" s="1182"/>
      <c r="D1996" s="1182"/>
      <c r="E1996" s="1182"/>
      <c r="F1996" s="1182"/>
      <c r="G1996" s="1183"/>
    </row>
    <row r="1997" spans="1:7" ht="15" thickBot="1" x14ac:dyDescent="0.25">
      <c r="A1997" s="1184" t="s">
        <v>45</v>
      </c>
      <c r="B1997" s="1185"/>
      <c r="C1997" s="1185"/>
      <c r="D1997" s="1185"/>
      <c r="E1997" s="1185"/>
      <c r="F1997" s="192"/>
      <c r="G1997" s="277">
        <f xml:space="preserve"> ROUND(G1995+G1990+G1984+G1978,0)</f>
        <v>1386092</v>
      </c>
    </row>
    <row r="1998" spans="1:7" x14ac:dyDescent="0.2">
      <c r="A1998" s="1186" t="s">
        <v>476</v>
      </c>
      <c r="B1998" s="1187"/>
      <c r="C1998" s="1187"/>
      <c r="D1998" s="1187"/>
      <c r="E1998" s="1187"/>
      <c r="F1998" s="193" t="s">
        <v>51</v>
      </c>
      <c r="G1998" s="257" t="s">
        <v>307</v>
      </c>
    </row>
    <row r="1999" spans="1:7" x14ac:dyDescent="0.2">
      <c r="A1999" s="1166" t="s">
        <v>17</v>
      </c>
      <c r="B1999" s="1167"/>
      <c r="C1999" s="1167"/>
      <c r="D1999" s="1167"/>
      <c r="E1999" s="1167"/>
      <c r="F1999" s="240"/>
      <c r="G1999" s="196"/>
    </row>
    <row r="2000" spans="1:7" x14ac:dyDescent="0.2">
      <c r="A2000" s="1166" t="s">
        <v>308</v>
      </c>
      <c r="B2000" s="1167"/>
      <c r="C2000" s="1167"/>
      <c r="D2000" s="1167"/>
      <c r="E2000" s="1167"/>
      <c r="F2000" s="240"/>
      <c r="G2000" s="196"/>
    </row>
    <row r="2001" spans="1:7" x14ac:dyDescent="0.2">
      <c r="A2001" s="1166" t="s">
        <v>19</v>
      </c>
      <c r="B2001" s="1167"/>
      <c r="C2001" s="1167"/>
      <c r="D2001" s="1167"/>
      <c r="E2001" s="1167"/>
      <c r="F2001" s="240"/>
      <c r="G2001" s="196"/>
    </row>
    <row r="2002" spans="1:7" ht="15" thickBot="1" x14ac:dyDescent="0.25">
      <c r="A2002" s="1168" t="s">
        <v>309</v>
      </c>
      <c r="B2002" s="1169"/>
      <c r="C2002" s="1169"/>
      <c r="D2002" s="1169"/>
      <c r="E2002" s="1169"/>
      <c r="F2002" s="198"/>
      <c r="G2002" s="258"/>
    </row>
    <row r="2003" spans="1:7" ht="15" thickBot="1" x14ac:dyDescent="0.25">
      <c r="A2003" s="1170" t="s">
        <v>310</v>
      </c>
      <c r="B2003" s="1171"/>
      <c r="C2003" s="1171"/>
      <c r="D2003" s="1171"/>
      <c r="E2003" s="1171"/>
      <c r="F2003" s="1172"/>
      <c r="G2003" s="1173"/>
    </row>
    <row r="2004" spans="1:7" x14ac:dyDescent="0.2">
      <c r="A2004" s="413"/>
      <c r="B2004" s="414"/>
      <c r="C2004" s="414"/>
      <c r="D2004" s="414"/>
      <c r="E2004" s="414"/>
      <c r="F2004" s="193"/>
      <c r="G2004" s="260"/>
    </row>
    <row r="2005" spans="1:7" ht="15" thickBot="1" x14ac:dyDescent="0.25">
      <c r="A2005" s="261" t="s">
        <v>681</v>
      </c>
      <c r="B2005" s="262"/>
      <c r="C2005" s="262" t="s">
        <v>682</v>
      </c>
      <c r="D2005" s="262"/>
      <c r="E2005" s="262"/>
      <c r="F2005" s="262" t="s">
        <v>683</v>
      </c>
      <c r="G2005" s="263"/>
    </row>
    <row r="2006" spans="1:7" ht="15" thickBot="1" x14ac:dyDescent="0.25">
      <c r="A2006" s="1174" t="str">
        <f>+LIST_ACTIVIDADES!D75</f>
        <v>Puerta Vatiente Izq (P13) en aluminio y vidrio 3+3 de 2,10 x 0,7mts, según diseños</v>
      </c>
      <c r="B2006" s="1175"/>
      <c r="C2006" s="1175"/>
      <c r="D2006" s="1175"/>
      <c r="E2006" s="1175"/>
      <c r="F2006" s="241" t="s">
        <v>24</v>
      </c>
      <c r="G2006" s="264" t="str">
        <f>+LIST_ACTIVIDADES!E75</f>
        <v>und</v>
      </c>
    </row>
    <row r="2007" spans="1:7" ht="15" thickBot="1" x14ac:dyDescent="0.25">
      <c r="A2007" s="1176" t="s">
        <v>1642</v>
      </c>
      <c r="B2007" s="1177"/>
      <c r="C2007" s="1177"/>
      <c r="D2007" s="1177"/>
      <c r="E2007" s="1177"/>
      <c r="F2007" s="1177"/>
      <c r="G2007" s="1178"/>
    </row>
    <row r="2008" spans="1:7" x14ac:dyDescent="0.2">
      <c r="A2008" s="242" t="s">
        <v>1643</v>
      </c>
      <c r="B2008" s="191" t="s">
        <v>1644</v>
      </c>
      <c r="C2008" s="190" t="s">
        <v>26</v>
      </c>
      <c r="D2008" s="190" t="s">
        <v>27</v>
      </c>
      <c r="E2008" s="190" t="s">
        <v>28</v>
      </c>
      <c r="F2008" s="190" t="s">
        <v>29</v>
      </c>
      <c r="G2008" s="243"/>
    </row>
    <row r="2009" spans="1:7" x14ac:dyDescent="0.2">
      <c r="A2009" s="362" t="str">
        <f>VLOOKUP(B2009,PRECIOS!$A$309:$E$485,2,FALSE)</f>
        <v>EQUIPO158</v>
      </c>
      <c r="B2009" s="363" t="s">
        <v>1699</v>
      </c>
      <c r="C2009" s="99" t="str">
        <f>VLOOKUP(B2009,PRECIOS!$A$309:$E$485,3,FALSE)</f>
        <v>Electrica</v>
      </c>
      <c r="D2009" s="364">
        <f>VLOOKUP(B2009,PRECIOS!$A$309:$E$485,5,FALSE)</f>
        <v>6250</v>
      </c>
      <c r="E2009" s="365">
        <v>0.9</v>
      </c>
      <c r="F2009" s="366">
        <f>+D2009*E2009</f>
        <v>5625</v>
      </c>
      <c r="G2009" s="245"/>
    </row>
    <row r="2010" spans="1:7" x14ac:dyDescent="0.2">
      <c r="A2010" s="362" t="str">
        <f>VLOOKUP(B2010,PRECIOS!$A$309:$E$485,2,FALSE)</f>
        <v>EQUIPO169</v>
      </c>
      <c r="B2010" s="363" t="s">
        <v>449</v>
      </c>
      <c r="C2010" s="99" t="str">
        <f>VLOOKUP(B2010,PRECIOS!$A$309:$E$485,3,FALSE)</f>
        <v>Estructura</v>
      </c>
      <c r="D2010" s="364">
        <f>VLOOKUP(B2010,PRECIOS!$A$309:$E$485,5,FALSE)</f>
        <v>1500</v>
      </c>
      <c r="E2010" s="365">
        <v>1</v>
      </c>
      <c r="F2010" s="366">
        <f>+D2010*E2010</f>
        <v>1500</v>
      </c>
      <c r="G2010" s="245"/>
    </row>
    <row r="2011" spans="1:7" x14ac:dyDescent="0.2">
      <c r="A2011" s="1179" t="s">
        <v>1650</v>
      </c>
      <c r="B2011" s="1180"/>
      <c r="C2011" s="214">
        <v>0.05</v>
      </c>
      <c r="D2011" s="213"/>
      <c r="E2011" s="418"/>
      <c r="F2011" s="212">
        <f>+G2030*C2011</f>
        <v>6807.9750000000004</v>
      </c>
      <c r="G2011" s="246"/>
    </row>
    <row r="2012" spans="1:7" x14ac:dyDescent="0.2">
      <c r="A2012" s="247" t="s">
        <v>25</v>
      </c>
      <c r="B2012" s="416"/>
      <c r="C2012" s="416"/>
      <c r="D2012" s="416"/>
      <c r="E2012" s="416"/>
      <c r="F2012" s="416"/>
      <c r="G2012" s="246" t="s">
        <v>31</v>
      </c>
    </row>
    <row r="2013" spans="1:7" ht="15" thickBot="1" x14ac:dyDescent="0.25">
      <c r="A2013" s="248"/>
      <c r="B2013" s="420"/>
      <c r="C2013" s="420"/>
      <c r="D2013" s="420"/>
      <c r="E2013" s="420"/>
      <c r="F2013" s="420"/>
      <c r="G2013" s="249">
        <f>SUM(F2009:F2011)</f>
        <v>13932.975</v>
      </c>
    </row>
    <row r="2014" spans="1:7" ht="15" thickBot="1" x14ac:dyDescent="0.25">
      <c r="A2014" s="1176" t="s">
        <v>1645</v>
      </c>
      <c r="B2014" s="1177"/>
      <c r="C2014" s="1177"/>
      <c r="D2014" s="1177"/>
      <c r="E2014" s="1177"/>
      <c r="F2014" s="1177"/>
      <c r="G2014" s="1178"/>
    </row>
    <row r="2015" spans="1:7" x14ac:dyDescent="0.2">
      <c r="A2015" s="242" t="s">
        <v>1643</v>
      </c>
      <c r="B2015" s="191" t="s">
        <v>1644</v>
      </c>
      <c r="C2015" s="190" t="s">
        <v>32</v>
      </c>
      <c r="D2015" s="190" t="s">
        <v>33</v>
      </c>
      <c r="E2015" s="190" t="s">
        <v>34</v>
      </c>
      <c r="F2015" s="190" t="s">
        <v>35</v>
      </c>
      <c r="G2015" s="243"/>
    </row>
    <row r="2016" spans="1:7" ht="36" x14ac:dyDescent="0.2">
      <c r="A2016" s="352" t="str">
        <f>VLOOKUP(B2016,PRECIOS!$A$5:$D$303,2,FALSE)</f>
        <v>CARPMETAL13</v>
      </c>
      <c r="B2016" s="105" t="s">
        <v>1807</v>
      </c>
      <c r="C2016" s="105" t="str">
        <f>VLOOKUP(B2016,PRECIOS!$A$5:$D$303,3,FALSE)</f>
        <v>und</v>
      </c>
      <c r="D2016" s="353">
        <f>VLOOKUP(B2016,PRECIOS!$A$5:$D$303,4,FALSE)</f>
        <v>1000000</v>
      </c>
      <c r="E2016" s="354">
        <v>1</v>
      </c>
      <c r="F2016" s="355">
        <f>+D2016*E2016</f>
        <v>1000000</v>
      </c>
      <c r="G2016" s="370"/>
    </row>
    <row r="2017" spans="1:7" x14ac:dyDescent="0.2">
      <c r="A2017" s="1179" t="s">
        <v>1649</v>
      </c>
      <c r="B2017" s="1180"/>
      <c r="C2017" s="214">
        <v>0.03</v>
      </c>
      <c r="D2017" s="417"/>
      <c r="E2017" s="418"/>
      <c r="F2017" s="276">
        <f>SUM(F2016:F2016)*C2017</f>
        <v>30000</v>
      </c>
      <c r="G2017" s="246"/>
    </row>
    <row r="2018" spans="1:7" x14ac:dyDescent="0.2">
      <c r="A2018" s="247"/>
      <c r="B2018" s="416"/>
      <c r="C2018" s="104"/>
      <c r="D2018" s="104"/>
      <c r="E2018" s="104"/>
      <c r="F2018" s="104"/>
      <c r="G2018" s="246" t="s">
        <v>31</v>
      </c>
    </row>
    <row r="2019" spans="1:7" ht="15" thickBot="1" x14ac:dyDescent="0.25">
      <c r="A2019" s="248"/>
      <c r="B2019" s="420"/>
      <c r="C2019" s="420"/>
      <c r="D2019" s="420"/>
      <c r="E2019" s="420"/>
      <c r="F2019" s="420"/>
      <c r="G2019" s="250">
        <f>SUM(F2016:F2017)</f>
        <v>1030000</v>
      </c>
    </row>
    <row r="2020" spans="1:7" ht="15" thickBot="1" x14ac:dyDescent="0.25">
      <c r="A2020" s="1176" t="s">
        <v>1646</v>
      </c>
      <c r="B2020" s="1177"/>
      <c r="C2020" s="1177"/>
      <c r="D2020" s="1177"/>
      <c r="E2020" s="1177"/>
      <c r="F2020" s="1177"/>
      <c r="G2020" s="1178"/>
    </row>
    <row r="2021" spans="1:7" x14ac:dyDescent="0.2">
      <c r="A2021" s="251" t="s">
        <v>305</v>
      </c>
      <c r="B2021" s="190" t="s">
        <v>38</v>
      </c>
      <c r="C2021" s="190" t="s">
        <v>39</v>
      </c>
      <c r="D2021" s="190" t="s">
        <v>40</v>
      </c>
      <c r="E2021" s="190" t="s">
        <v>34</v>
      </c>
      <c r="F2021" s="190" t="s">
        <v>35</v>
      </c>
      <c r="G2021" s="243"/>
    </row>
    <row r="2022" spans="1:7" x14ac:dyDescent="0.2">
      <c r="A2022" s="369"/>
      <c r="B2022" s="89"/>
      <c r="C2022" s="209"/>
      <c r="D2022" s="199"/>
      <c r="E2022" s="367"/>
      <c r="F2022" s="234"/>
      <c r="G2022" s="253"/>
    </row>
    <row r="2023" spans="1:7" x14ac:dyDescent="0.2">
      <c r="A2023" s="252"/>
      <c r="B2023" s="235"/>
      <c r="C2023" s="238"/>
      <c r="D2023" s="236"/>
      <c r="E2023" s="237"/>
      <c r="F2023" s="239"/>
      <c r="G2023" s="253"/>
    </row>
    <row r="2024" spans="1:7" x14ac:dyDescent="0.2">
      <c r="A2024" s="247" t="s">
        <v>25</v>
      </c>
      <c r="B2024" s="104" t="s">
        <v>25</v>
      </c>
      <c r="C2024" s="104" t="s">
        <v>25</v>
      </c>
      <c r="D2024" s="188" t="s">
        <v>25</v>
      </c>
      <c r="E2024" s="189" t="s">
        <v>25</v>
      </c>
      <c r="F2024" s="187" t="s">
        <v>25</v>
      </c>
      <c r="G2024" s="246" t="s">
        <v>31</v>
      </c>
    </row>
    <row r="2025" spans="1:7" ht="15" thickBot="1" x14ac:dyDescent="0.25">
      <c r="A2025" s="248"/>
      <c r="B2025" s="420"/>
      <c r="C2025" s="420"/>
      <c r="D2025" s="420"/>
      <c r="E2025" s="420"/>
      <c r="F2025" s="420"/>
      <c r="G2025" s="250">
        <f>SUM(F2022:F2023)</f>
        <v>0</v>
      </c>
    </row>
    <row r="2026" spans="1:7" ht="15" thickBot="1" x14ac:dyDescent="0.25">
      <c r="A2026" s="1176" t="s">
        <v>1647</v>
      </c>
      <c r="B2026" s="1177"/>
      <c r="C2026" s="1177"/>
      <c r="D2026" s="1177"/>
      <c r="E2026" s="1177"/>
      <c r="F2026" s="1177"/>
      <c r="G2026" s="1178"/>
    </row>
    <row r="2027" spans="1:7" ht="24" x14ac:dyDescent="0.2">
      <c r="A2027" s="254" t="s">
        <v>1681</v>
      </c>
      <c r="B2027" s="190" t="s">
        <v>42</v>
      </c>
      <c r="C2027" s="190" t="s">
        <v>43</v>
      </c>
      <c r="D2027" s="190" t="s">
        <v>44</v>
      </c>
      <c r="E2027" s="190" t="s">
        <v>306</v>
      </c>
      <c r="F2027" s="190" t="s">
        <v>29</v>
      </c>
      <c r="G2027" s="243"/>
    </row>
    <row r="2028" spans="1:7" ht="36" x14ac:dyDescent="0.2">
      <c r="A2028" s="255" t="s">
        <v>1674</v>
      </c>
      <c r="B2028" s="202">
        <f>VLOOKUP(A2028,JORNALES!$A$5:$B$28,2,FALSE)</f>
        <v>215000</v>
      </c>
      <c r="C2028" s="233">
        <f>+PRESTACIONES!$C$20/100</f>
        <v>0.89990000000000014</v>
      </c>
      <c r="D2028" s="234">
        <f>+(B2028*C2028)+B2028</f>
        <v>408478.5</v>
      </c>
      <c r="E2028" s="421">
        <v>3</v>
      </c>
      <c r="F2028" s="199">
        <f>+D2028/E2028</f>
        <v>136159.5</v>
      </c>
      <c r="G2028" s="246"/>
    </row>
    <row r="2029" spans="1:7" x14ac:dyDescent="0.2">
      <c r="A2029" s="247"/>
      <c r="B2029" s="416"/>
      <c r="C2029" s="416"/>
      <c r="D2029" s="416"/>
      <c r="E2029" s="416"/>
      <c r="F2029" s="416"/>
      <c r="G2029" s="246" t="s">
        <v>31</v>
      </c>
    </row>
    <row r="2030" spans="1:7" x14ac:dyDescent="0.2">
      <c r="A2030" s="247"/>
      <c r="B2030" s="416"/>
      <c r="C2030" s="416"/>
      <c r="D2030" s="416"/>
      <c r="E2030" s="416"/>
      <c r="F2030" s="416"/>
      <c r="G2030" s="256">
        <f>SUM(F2028:F2028)</f>
        <v>136159.5</v>
      </c>
    </row>
    <row r="2031" spans="1:7" ht="15" thickBot="1" x14ac:dyDescent="0.25">
      <c r="A2031" s="1181" t="s">
        <v>25</v>
      </c>
      <c r="B2031" s="1182"/>
      <c r="C2031" s="1182"/>
      <c r="D2031" s="1182"/>
      <c r="E2031" s="1182"/>
      <c r="F2031" s="1182"/>
      <c r="G2031" s="1183"/>
    </row>
    <row r="2032" spans="1:7" ht="15" thickBot="1" x14ac:dyDescent="0.25">
      <c r="A2032" s="1184" t="s">
        <v>45</v>
      </c>
      <c r="B2032" s="1185"/>
      <c r="C2032" s="1185"/>
      <c r="D2032" s="1185"/>
      <c r="E2032" s="1185"/>
      <c r="F2032" s="192"/>
      <c r="G2032" s="277">
        <f xml:space="preserve"> ROUND(G2030+G2025+G2019+G2013,0)</f>
        <v>1180092</v>
      </c>
    </row>
    <row r="2033" spans="1:7" x14ac:dyDescent="0.2">
      <c r="A2033" s="1186" t="s">
        <v>476</v>
      </c>
      <c r="B2033" s="1187"/>
      <c r="C2033" s="1187"/>
      <c r="D2033" s="1187"/>
      <c r="E2033" s="1187"/>
      <c r="F2033" s="193" t="s">
        <v>51</v>
      </c>
      <c r="G2033" s="257" t="s">
        <v>307</v>
      </c>
    </row>
    <row r="2034" spans="1:7" x14ac:dyDescent="0.2">
      <c r="A2034" s="1166" t="s">
        <v>17</v>
      </c>
      <c r="B2034" s="1167"/>
      <c r="C2034" s="1167"/>
      <c r="D2034" s="1167"/>
      <c r="E2034" s="1167"/>
      <c r="F2034" s="240"/>
      <c r="G2034" s="196"/>
    </row>
    <row r="2035" spans="1:7" x14ac:dyDescent="0.2">
      <c r="A2035" s="1166" t="s">
        <v>308</v>
      </c>
      <c r="B2035" s="1167"/>
      <c r="C2035" s="1167"/>
      <c r="D2035" s="1167"/>
      <c r="E2035" s="1167"/>
      <c r="F2035" s="240"/>
      <c r="G2035" s="196"/>
    </row>
    <row r="2036" spans="1:7" x14ac:dyDescent="0.2">
      <c r="A2036" s="1166" t="s">
        <v>19</v>
      </c>
      <c r="B2036" s="1167"/>
      <c r="C2036" s="1167"/>
      <c r="D2036" s="1167"/>
      <c r="E2036" s="1167"/>
      <c r="F2036" s="240"/>
      <c r="G2036" s="196"/>
    </row>
    <row r="2037" spans="1:7" ht="15" thickBot="1" x14ac:dyDescent="0.25">
      <c r="A2037" s="1168" t="s">
        <v>309</v>
      </c>
      <c r="B2037" s="1169"/>
      <c r="C2037" s="1169"/>
      <c r="D2037" s="1169"/>
      <c r="E2037" s="1169"/>
      <c r="F2037" s="198"/>
      <c r="G2037" s="258"/>
    </row>
    <row r="2038" spans="1:7" ht="15" thickBot="1" x14ac:dyDescent="0.25">
      <c r="A2038" s="1170" t="s">
        <v>310</v>
      </c>
      <c r="B2038" s="1171"/>
      <c r="C2038" s="1171"/>
      <c r="D2038" s="1171"/>
      <c r="E2038" s="1171"/>
      <c r="F2038" s="1172"/>
      <c r="G2038" s="1173"/>
    </row>
    <row r="2039" spans="1:7" x14ac:dyDescent="0.2">
      <c r="A2039" s="413"/>
      <c r="B2039" s="414"/>
      <c r="C2039" s="414"/>
      <c r="D2039" s="414"/>
      <c r="E2039" s="414"/>
      <c r="F2039" s="193"/>
      <c r="G2039" s="260"/>
    </row>
    <row r="2040" spans="1:7" ht="15" thickBot="1" x14ac:dyDescent="0.25">
      <c r="A2040" s="261" t="s">
        <v>681</v>
      </c>
      <c r="B2040" s="262"/>
      <c r="C2040" s="262" t="s">
        <v>682</v>
      </c>
      <c r="D2040" s="262"/>
      <c r="E2040" s="262"/>
      <c r="F2040" s="262" t="s">
        <v>683</v>
      </c>
      <c r="G2040" s="263"/>
    </row>
    <row r="2041" spans="1:7" ht="15" thickBot="1" x14ac:dyDescent="0.25">
      <c r="A2041" s="1174" t="str">
        <f>+LIST_ACTIVIDADES!D76</f>
        <v>Puerta Corrediza (P14) en aluminio y vidrio 3+3 de 2,10 x 1,00mts, según diseños</v>
      </c>
      <c r="B2041" s="1175"/>
      <c r="C2041" s="1175"/>
      <c r="D2041" s="1175"/>
      <c r="E2041" s="1175"/>
      <c r="F2041" s="241" t="s">
        <v>24</v>
      </c>
      <c r="G2041" s="264" t="str">
        <f>+LIST_ACTIVIDADES!E76</f>
        <v>und</v>
      </c>
    </row>
    <row r="2042" spans="1:7" ht="15" thickBot="1" x14ac:dyDescent="0.25">
      <c r="A2042" s="1176" t="s">
        <v>1642</v>
      </c>
      <c r="B2042" s="1177"/>
      <c r="C2042" s="1177"/>
      <c r="D2042" s="1177"/>
      <c r="E2042" s="1177"/>
      <c r="F2042" s="1177"/>
      <c r="G2042" s="1178"/>
    </row>
    <row r="2043" spans="1:7" x14ac:dyDescent="0.2">
      <c r="A2043" s="242" t="s">
        <v>1643</v>
      </c>
      <c r="B2043" s="191" t="s">
        <v>1644</v>
      </c>
      <c r="C2043" s="190" t="s">
        <v>26</v>
      </c>
      <c r="D2043" s="190" t="s">
        <v>27</v>
      </c>
      <c r="E2043" s="190" t="s">
        <v>28</v>
      </c>
      <c r="F2043" s="190" t="s">
        <v>29</v>
      </c>
      <c r="G2043" s="243"/>
    </row>
    <row r="2044" spans="1:7" x14ac:dyDescent="0.2">
      <c r="A2044" s="362" t="str">
        <f>VLOOKUP(B2044,PRECIOS!$A$309:$E$485,2,FALSE)</f>
        <v>EQUIPO158</v>
      </c>
      <c r="B2044" s="363" t="s">
        <v>1699</v>
      </c>
      <c r="C2044" s="99" t="str">
        <f>VLOOKUP(B2044,PRECIOS!$A$309:$E$485,3,FALSE)</f>
        <v>Electrica</v>
      </c>
      <c r="D2044" s="364">
        <f>VLOOKUP(B2044,PRECIOS!$A$309:$E$485,5,FALSE)</f>
        <v>6250</v>
      </c>
      <c r="E2044" s="365">
        <v>0.9</v>
      </c>
      <c r="F2044" s="366">
        <f>+D2044*E2044</f>
        <v>5625</v>
      </c>
      <c r="G2044" s="245"/>
    </row>
    <row r="2045" spans="1:7" x14ac:dyDescent="0.2">
      <c r="A2045" s="362" t="str">
        <f>VLOOKUP(B2045,PRECIOS!$A$309:$E$485,2,FALSE)</f>
        <v>EQUIPO169</v>
      </c>
      <c r="B2045" s="363" t="s">
        <v>449</v>
      </c>
      <c r="C2045" s="99" t="str">
        <f>VLOOKUP(B2045,PRECIOS!$A$309:$E$485,3,FALSE)</f>
        <v>Estructura</v>
      </c>
      <c r="D2045" s="364">
        <f>VLOOKUP(B2045,PRECIOS!$A$309:$E$485,5,FALSE)</f>
        <v>1500</v>
      </c>
      <c r="E2045" s="365">
        <v>1</v>
      </c>
      <c r="F2045" s="366">
        <f>+D2045*E2045</f>
        <v>1500</v>
      </c>
      <c r="G2045" s="245"/>
    </row>
    <row r="2046" spans="1:7" x14ac:dyDescent="0.2">
      <c r="A2046" s="1179" t="s">
        <v>1650</v>
      </c>
      <c r="B2046" s="1180"/>
      <c r="C2046" s="214">
        <v>0.05</v>
      </c>
      <c r="D2046" s="213"/>
      <c r="E2046" s="418"/>
      <c r="F2046" s="212">
        <f>+G2065*C2046</f>
        <v>6807.9750000000004</v>
      </c>
      <c r="G2046" s="246"/>
    </row>
    <row r="2047" spans="1:7" x14ac:dyDescent="0.2">
      <c r="A2047" s="247" t="s">
        <v>25</v>
      </c>
      <c r="B2047" s="416"/>
      <c r="C2047" s="416"/>
      <c r="D2047" s="416"/>
      <c r="E2047" s="416"/>
      <c r="F2047" s="416"/>
      <c r="G2047" s="246" t="s">
        <v>31</v>
      </c>
    </row>
    <row r="2048" spans="1:7" ht="15" thickBot="1" x14ac:dyDescent="0.25">
      <c r="A2048" s="248"/>
      <c r="B2048" s="420"/>
      <c r="C2048" s="420"/>
      <c r="D2048" s="420"/>
      <c r="E2048" s="420"/>
      <c r="F2048" s="420"/>
      <c r="G2048" s="249">
        <f>SUM(F2044:F2046)</f>
        <v>13932.975</v>
      </c>
    </row>
    <row r="2049" spans="1:7" ht="15" thickBot="1" x14ac:dyDescent="0.25">
      <c r="A2049" s="1176" t="s">
        <v>1645</v>
      </c>
      <c r="B2049" s="1177"/>
      <c r="C2049" s="1177"/>
      <c r="D2049" s="1177"/>
      <c r="E2049" s="1177"/>
      <c r="F2049" s="1177"/>
      <c r="G2049" s="1178"/>
    </row>
    <row r="2050" spans="1:7" x14ac:dyDescent="0.2">
      <c r="A2050" s="242" t="s">
        <v>1643</v>
      </c>
      <c r="B2050" s="191" t="s">
        <v>1644</v>
      </c>
      <c r="C2050" s="190" t="s">
        <v>32</v>
      </c>
      <c r="D2050" s="190" t="s">
        <v>33</v>
      </c>
      <c r="E2050" s="190" t="s">
        <v>34</v>
      </c>
      <c r="F2050" s="190" t="s">
        <v>35</v>
      </c>
      <c r="G2050" s="243"/>
    </row>
    <row r="2051" spans="1:7" ht="36" x14ac:dyDescent="0.2">
      <c r="A2051" s="352" t="str">
        <f>VLOOKUP(B2051,PRECIOS!$A$5:$D$303,2,FALSE)</f>
        <v>CARPMETAL14</v>
      </c>
      <c r="B2051" s="105" t="s">
        <v>1808</v>
      </c>
      <c r="C2051" s="105" t="str">
        <f>VLOOKUP(B2051,PRECIOS!$A$5:$D$303,3,FALSE)</f>
        <v>und</v>
      </c>
      <c r="D2051" s="353">
        <f>VLOOKUP(B2051,PRECIOS!$A$5:$D$303,4,FALSE)</f>
        <v>1300000</v>
      </c>
      <c r="E2051" s="354">
        <v>1</v>
      </c>
      <c r="F2051" s="355">
        <f>+D2051*E2051</f>
        <v>1300000</v>
      </c>
      <c r="G2051" s="370"/>
    </row>
    <row r="2052" spans="1:7" x14ac:dyDescent="0.2">
      <c r="A2052" s="1179" t="s">
        <v>1649</v>
      </c>
      <c r="B2052" s="1180"/>
      <c r="C2052" s="214">
        <v>0.03</v>
      </c>
      <c r="D2052" s="417"/>
      <c r="E2052" s="418"/>
      <c r="F2052" s="276">
        <f>SUM(F2051:F2051)*C2052</f>
        <v>39000</v>
      </c>
      <c r="G2052" s="246"/>
    </row>
    <row r="2053" spans="1:7" x14ac:dyDescent="0.2">
      <c r="A2053" s="247"/>
      <c r="B2053" s="416"/>
      <c r="C2053" s="104"/>
      <c r="D2053" s="104"/>
      <c r="E2053" s="104"/>
      <c r="F2053" s="104"/>
      <c r="G2053" s="246" t="s">
        <v>31</v>
      </c>
    </row>
    <row r="2054" spans="1:7" ht="15" thickBot="1" x14ac:dyDescent="0.25">
      <c r="A2054" s="248"/>
      <c r="B2054" s="420"/>
      <c r="C2054" s="420"/>
      <c r="D2054" s="420"/>
      <c r="E2054" s="420"/>
      <c r="F2054" s="420"/>
      <c r="G2054" s="250">
        <f>SUM(F2051:F2052)</f>
        <v>1339000</v>
      </c>
    </row>
    <row r="2055" spans="1:7" ht="15" thickBot="1" x14ac:dyDescent="0.25">
      <c r="A2055" s="1176" t="s">
        <v>1646</v>
      </c>
      <c r="B2055" s="1177"/>
      <c r="C2055" s="1177"/>
      <c r="D2055" s="1177"/>
      <c r="E2055" s="1177"/>
      <c r="F2055" s="1177"/>
      <c r="G2055" s="1178"/>
    </row>
    <row r="2056" spans="1:7" x14ac:dyDescent="0.2">
      <c r="A2056" s="251" t="s">
        <v>305</v>
      </c>
      <c r="B2056" s="190" t="s">
        <v>38</v>
      </c>
      <c r="C2056" s="190" t="s">
        <v>39</v>
      </c>
      <c r="D2056" s="190" t="s">
        <v>40</v>
      </c>
      <c r="E2056" s="190" t="s">
        <v>34</v>
      </c>
      <c r="F2056" s="190" t="s">
        <v>35</v>
      </c>
      <c r="G2056" s="243"/>
    </row>
    <row r="2057" spans="1:7" x14ac:dyDescent="0.2">
      <c r="A2057" s="369"/>
      <c r="B2057" s="89"/>
      <c r="C2057" s="209"/>
      <c r="D2057" s="199"/>
      <c r="E2057" s="367"/>
      <c r="F2057" s="234"/>
      <c r="G2057" s="253"/>
    </row>
    <row r="2058" spans="1:7" x14ac:dyDescent="0.2">
      <c r="A2058" s="252"/>
      <c r="B2058" s="235"/>
      <c r="C2058" s="238"/>
      <c r="D2058" s="236"/>
      <c r="E2058" s="237"/>
      <c r="F2058" s="239"/>
      <c r="G2058" s="253"/>
    </row>
    <row r="2059" spans="1:7" x14ac:dyDescent="0.2">
      <c r="A2059" s="247" t="s">
        <v>25</v>
      </c>
      <c r="B2059" s="104" t="s">
        <v>25</v>
      </c>
      <c r="C2059" s="104" t="s">
        <v>25</v>
      </c>
      <c r="D2059" s="188" t="s">
        <v>25</v>
      </c>
      <c r="E2059" s="189" t="s">
        <v>25</v>
      </c>
      <c r="F2059" s="187" t="s">
        <v>25</v>
      </c>
      <c r="G2059" s="246" t="s">
        <v>31</v>
      </c>
    </row>
    <row r="2060" spans="1:7" ht="15" thickBot="1" x14ac:dyDescent="0.25">
      <c r="A2060" s="248"/>
      <c r="B2060" s="420"/>
      <c r="C2060" s="420"/>
      <c r="D2060" s="420"/>
      <c r="E2060" s="420"/>
      <c r="F2060" s="420"/>
      <c r="G2060" s="250">
        <f>SUM(F2057:F2058)</f>
        <v>0</v>
      </c>
    </row>
    <row r="2061" spans="1:7" ht="15" thickBot="1" x14ac:dyDescent="0.25">
      <c r="A2061" s="1176" t="s">
        <v>1647</v>
      </c>
      <c r="B2061" s="1177"/>
      <c r="C2061" s="1177"/>
      <c r="D2061" s="1177"/>
      <c r="E2061" s="1177"/>
      <c r="F2061" s="1177"/>
      <c r="G2061" s="1178"/>
    </row>
    <row r="2062" spans="1:7" ht="24" x14ac:dyDescent="0.2">
      <c r="A2062" s="254" t="s">
        <v>1681</v>
      </c>
      <c r="B2062" s="190" t="s">
        <v>42</v>
      </c>
      <c r="C2062" s="190" t="s">
        <v>43</v>
      </c>
      <c r="D2062" s="190" t="s">
        <v>44</v>
      </c>
      <c r="E2062" s="190" t="s">
        <v>306</v>
      </c>
      <c r="F2062" s="190" t="s">
        <v>29</v>
      </c>
      <c r="G2062" s="243"/>
    </row>
    <row r="2063" spans="1:7" ht="36" x14ac:dyDescent="0.2">
      <c r="A2063" s="255" t="s">
        <v>1674</v>
      </c>
      <c r="B2063" s="202">
        <f>VLOOKUP(A2063,JORNALES!$A$5:$B$28,2,FALSE)</f>
        <v>215000</v>
      </c>
      <c r="C2063" s="233">
        <f>+PRESTACIONES!$C$20/100</f>
        <v>0.89990000000000014</v>
      </c>
      <c r="D2063" s="234">
        <f>+(B2063*C2063)+B2063</f>
        <v>408478.5</v>
      </c>
      <c r="E2063" s="421">
        <v>3</v>
      </c>
      <c r="F2063" s="199">
        <f>+D2063/E2063</f>
        <v>136159.5</v>
      </c>
      <c r="G2063" s="246"/>
    </row>
    <row r="2064" spans="1:7" x14ac:dyDescent="0.2">
      <c r="A2064" s="247"/>
      <c r="B2064" s="416"/>
      <c r="C2064" s="416"/>
      <c r="D2064" s="416"/>
      <c r="E2064" s="416"/>
      <c r="F2064" s="416"/>
      <c r="G2064" s="246" t="s">
        <v>31</v>
      </c>
    </row>
    <row r="2065" spans="1:7" x14ac:dyDescent="0.2">
      <c r="A2065" s="247"/>
      <c r="B2065" s="416"/>
      <c r="C2065" s="416"/>
      <c r="D2065" s="416"/>
      <c r="E2065" s="416"/>
      <c r="F2065" s="416"/>
      <c r="G2065" s="256">
        <f>SUM(F2063:F2063)</f>
        <v>136159.5</v>
      </c>
    </row>
    <row r="2066" spans="1:7" ht="15" thickBot="1" x14ac:dyDescent="0.25">
      <c r="A2066" s="1181" t="s">
        <v>25</v>
      </c>
      <c r="B2066" s="1182"/>
      <c r="C2066" s="1182"/>
      <c r="D2066" s="1182"/>
      <c r="E2066" s="1182"/>
      <c r="F2066" s="1182"/>
      <c r="G2066" s="1183"/>
    </row>
    <row r="2067" spans="1:7" ht="15" thickBot="1" x14ac:dyDescent="0.25">
      <c r="A2067" s="1184" t="s">
        <v>45</v>
      </c>
      <c r="B2067" s="1185"/>
      <c r="C2067" s="1185"/>
      <c r="D2067" s="1185"/>
      <c r="E2067" s="1185"/>
      <c r="F2067" s="192"/>
      <c r="G2067" s="277">
        <f xml:space="preserve"> ROUND(G2065+G2060+G2054+G2048,0)</f>
        <v>1489092</v>
      </c>
    </row>
    <row r="2068" spans="1:7" x14ac:dyDescent="0.2">
      <c r="A2068" s="1186" t="s">
        <v>476</v>
      </c>
      <c r="B2068" s="1187"/>
      <c r="C2068" s="1187"/>
      <c r="D2068" s="1187"/>
      <c r="E2068" s="1187"/>
      <c r="F2068" s="193" t="s">
        <v>51</v>
      </c>
      <c r="G2068" s="257" t="s">
        <v>307</v>
      </c>
    </row>
    <row r="2069" spans="1:7" x14ac:dyDescent="0.2">
      <c r="A2069" s="1166" t="s">
        <v>17</v>
      </c>
      <c r="B2069" s="1167"/>
      <c r="C2069" s="1167"/>
      <c r="D2069" s="1167"/>
      <c r="E2069" s="1167"/>
      <c r="F2069" s="240"/>
      <c r="G2069" s="196"/>
    </row>
    <row r="2070" spans="1:7" x14ac:dyDescent="0.2">
      <c r="A2070" s="1166" t="s">
        <v>308</v>
      </c>
      <c r="B2070" s="1167"/>
      <c r="C2070" s="1167"/>
      <c r="D2070" s="1167"/>
      <c r="E2070" s="1167"/>
      <c r="F2070" s="240"/>
      <c r="G2070" s="196"/>
    </row>
    <row r="2071" spans="1:7" x14ac:dyDescent="0.2">
      <c r="A2071" s="1166" t="s">
        <v>19</v>
      </c>
      <c r="B2071" s="1167"/>
      <c r="C2071" s="1167"/>
      <c r="D2071" s="1167"/>
      <c r="E2071" s="1167"/>
      <c r="F2071" s="240"/>
      <c r="G2071" s="196"/>
    </row>
    <row r="2072" spans="1:7" ht="15" thickBot="1" x14ac:dyDescent="0.25">
      <c r="A2072" s="1168" t="s">
        <v>309</v>
      </c>
      <c r="B2072" s="1169"/>
      <c r="C2072" s="1169"/>
      <c r="D2072" s="1169"/>
      <c r="E2072" s="1169"/>
      <c r="F2072" s="198"/>
      <c r="G2072" s="258"/>
    </row>
    <row r="2073" spans="1:7" ht="15" thickBot="1" x14ac:dyDescent="0.25">
      <c r="A2073" s="1170" t="s">
        <v>310</v>
      </c>
      <c r="B2073" s="1171"/>
      <c r="C2073" s="1171"/>
      <c r="D2073" s="1171"/>
      <c r="E2073" s="1171"/>
      <c r="F2073" s="1172"/>
      <c r="G2073" s="1173"/>
    </row>
    <row r="2074" spans="1:7" x14ac:dyDescent="0.2">
      <c r="A2074" s="413"/>
      <c r="B2074" s="414"/>
      <c r="C2074" s="414"/>
      <c r="D2074" s="414"/>
      <c r="E2074" s="414"/>
      <c r="F2074" s="193"/>
      <c r="G2074" s="260"/>
    </row>
    <row r="2075" spans="1:7" ht="15" thickBot="1" x14ac:dyDescent="0.25">
      <c r="A2075" s="261" t="s">
        <v>681</v>
      </c>
      <c r="B2075" s="262"/>
      <c r="C2075" s="262" t="s">
        <v>682</v>
      </c>
      <c r="D2075" s="262"/>
      <c r="E2075" s="262"/>
      <c r="F2075" s="262" t="s">
        <v>683</v>
      </c>
      <c r="G2075" s="263"/>
    </row>
    <row r="2076" spans="1:7" ht="15" thickBot="1" x14ac:dyDescent="0.25">
      <c r="A2076" s="1174" t="str">
        <f>+LIST_ACTIVIDADES!D77</f>
        <v>Puerta Vatiente izq (P15) en aluminio y vidrio 3+3 de 2,10 x 1,00mts, según diseños</v>
      </c>
      <c r="B2076" s="1175"/>
      <c r="C2076" s="1175"/>
      <c r="D2076" s="1175"/>
      <c r="E2076" s="1175"/>
      <c r="F2076" s="241" t="s">
        <v>24</v>
      </c>
      <c r="G2076" s="264" t="str">
        <f>+LIST_ACTIVIDADES!E77</f>
        <v>und</v>
      </c>
    </row>
    <row r="2077" spans="1:7" ht="15" thickBot="1" x14ac:dyDescent="0.25">
      <c r="A2077" s="1176" t="s">
        <v>1642</v>
      </c>
      <c r="B2077" s="1177"/>
      <c r="C2077" s="1177"/>
      <c r="D2077" s="1177"/>
      <c r="E2077" s="1177"/>
      <c r="F2077" s="1177"/>
      <c r="G2077" s="1178"/>
    </row>
    <row r="2078" spans="1:7" x14ac:dyDescent="0.2">
      <c r="A2078" s="242" t="s">
        <v>1643</v>
      </c>
      <c r="B2078" s="191" t="s">
        <v>1644</v>
      </c>
      <c r="C2078" s="190" t="s">
        <v>26</v>
      </c>
      <c r="D2078" s="190" t="s">
        <v>27</v>
      </c>
      <c r="E2078" s="190" t="s">
        <v>28</v>
      </c>
      <c r="F2078" s="190" t="s">
        <v>29</v>
      </c>
      <c r="G2078" s="243"/>
    </row>
    <row r="2079" spans="1:7" x14ac:dyDescent="0.2">
      <c r="A2079" s="362" t="str">
        <f>VLOOKUP(B2079,PRECIOS!$A$309:$E$485,2,FALSE)</f>
        <v>EQUIPO158</v>
      </c>
      <c r="B2079" s="363" t="s">
        <v>1699</v>
      </c>
      <c r="C2079" s="99" t="str">
        <f>VLOOKUP(B2079,PRECIOS!$A$309:$E$485,3,FALSE)</f>
        <v>Electrica</v>
      </c>
      <c r="D2079" s="364">
        <f>VLOOKUP(B2079,PRECIOS!$A$309:$E$485,5,FALSE)</f>
        <v>6250</v>
      </c>
      <c r="E2079" s="365">
        <v>0.9</v>
      </c>
      <c r="F2079" s="366">
        <f>+D2079*E2079</f>
        <v>5625</v>
      </c>
      <c r="G2079" s="245"/>
    </row>
    <row r="2080" spans="1:7" x14ac:dyDescent="0.2">
      <c r="A2080" s="362" t="str">
        <f>VLOOKUP(B2080,PRECIOS!$A$309:$E$485,2,FALSE)</f>
        <v>EQUIPO169</v>
      </c>
      <c r="B2080" s="363" t="s">
        <v>449</v>
      </c>
      <c r="C2080" s="99" t="str">
        <f>VLOOKUP(B2080,PRECIOS!$A$309:$E$485,3,FALSE)</f>
        <v>Estructura</v>
      </c>
      <c r="D2080" s="364">
        <f>VLOOKUP(B2080,PRECIOS!$A$309:$E$485,5,FALSE)</f>
        <v>1500</v>
      </c>
      <c r="E2080" s="365">
        <v>1</v>
      </c>
      <c r="F2080" s="366">
        <f>+D2080*E2080</f>
        <v>1500</v>
      </c>
      <c r="G2080" s="245"/>
    </row>
    <row r="2081" spans="1:7" x14ac:dyDescent="0.2">
      <c r="A2081" s="1179" t="s">
        <v>1650</v>
      </c>
      <c r="B2081" s="1180"/>
      <c r="C2081" s="214">
        <v>0.05</v>
      </c>
      <c r="D2081" s="213"/>
      <c r="E2081" s="418"/>
      <c r="F2081" s="212">
        <f>+G2100*C2081</f>
        <v>6807.9750000000004</v>
      </c>
      <c r="G2081" s="246"/>
    </row>
    <row r="2082" spans="1:7" x14ac:dyDescent="0.2">
      <c r="A2082" s="247" t="s">
        <v>25</v>
      </c>
      <c r="B2082" s="416"/>
      <c r="C2082" s="416"/>
      <c r="D2082" s="416"/>
      <c r="E2082" s="416"/>
      <c r="F2082" s="416"/>
      <c r="G2082" s="246" t="s">
        <v>31</v>
      </c>
    </row>
    <row r="2083" spans="1:7" ht="15" thickBot="1" x14ac:dyDescent="0.25">
      <c r="A2083" s="248"/>
      <c r="B2083" s="420"/>
      <c r="C2083" s="420"/>
      <c r="D2083" s="420"/>
      <c r="E2083" s="420"/>
      <c r="F2083" s="420"/>
      <c r="G2083" s="249">
        <f>SUM(F2079:F2081)</f>
        <v>13932.975</v>
      </c>
    </row>
    <row r="2084" spans="1:7" ht="15" thickBot="1" x14ac:dyDescent="0.25">
      <c r="A2084" s="1176" t="s">
        <v>1645</v>
      </c>
      <c r="B2084" s="1177"/>
      <c r="C2084" s="1177"/>
      <c r="D2084" s="1177"/>
      <c r="E2084" s="1177"/>
      <c r="F2084" s="1177"/>
      <c r="G2084" s="1178"/>
    </row>
    <row r="2085" spans="1:7" x14ac:dyDescent="0.2">
      <c r="A2085" s="242" t="s">
        <v>1643</v>
      </c>
      <c r="B2085" s="191" t="s">
        <v>1644</v>
      </c>
      <c r="C2085" s="190" t="s">
        <v>32</v>
      </c>
      <c r="D2085" s="190" t="s">
        <v>33</v>
      </c>
      <c r="E2085" s="190" t="s">
        <v>34</v>
      </c>
      <c r="F2085" s="190" t="s">
        <v>35</v>
      </c>
      <c r="G2085" s="243"/>
    </row>
    <row r="2086" spans="1:7" ht="36" x14ac:dyDescent="0.2">
      <c r="A2086" s="352" t="str">
        <f>VLOOKUP(B2086,PRECIOS!$A$5:$D$303,2,FALSE)</f>
        <v>CARPMETAL15</v>
      </c>
      <c r="B2086" s="105" t="s">
        <v>1809</v>
      </c>
      <c r="C2086" s="105" t="str">
        <f>VLOOKUP(B2086,PRECIOS!$A$5:$D$303,3,FALSE)</f>
        <v>und</v>
      </c>
      <c r="D2086" s="353">
        <f>VLOOKUP(B2086,PRECIOS!$A$5:$D$303,4,FALSE)</f>
        <v>1300000</v>
      </c>
      <c r="E2086" s="354">
        <v>1</v>
      </c>
      <c r="F2086" s="355">
        <f>+D2086*E2086</f>
        <v>1300000</v>
      </c>
      <c r="G2086" s="370"/>
    </row>
    <row r="2087" spans="1:7" x14ac:dyDescent="0.2">
      <c r="A2087" s="1179" t="s">
        <v>1649</v>
      </c>
      <c r="B2087" s="1180"/>
      <c r="C2087" s="214">
        <v>0.03</v>
      </c>
      <c r="D2087" s="417"/>
      <c r="E2087" s="418"/>
      <c r="F2087" s="276">
        <f>SUM(F2086:F2086)*C2087</f>
        <v>39000</v>
      </c>
      <c r="G2087" s="246"/>
    </row>
    <row r="2088" spans="1:7" x14ac:dyDescent="0.2">
      <c r="A2088" s="247"/>
      <c r="B2088" s="416"/>
      <c r="C2088" s="104"/>
      <c r="D2088" s="104"/>
      <c r="E2088" s="104"/>
      <c r="F2088" s="104"/>
      <c r="G2088" s="246" t="s">
        <v>31</v>
      </c>
    </row>
    <row r="2089" spans="1:7" ht="15" thickBot="1" x14ac:dyDescent="0.25">
      <c r="A2089" s="248"/>
      <c r="B2089" s="420"/>
      <c r="C2089" s="420"/>
      <c r="D2089" s="420"/>
      <c r="E2089" s="420"/>
      <c r="F2089" s="420"/>
      <c r="G2089" s="250">
        <f>SUM(F2086:F2087)</f>
        <v>1339000</v>
      </c>
    </row>
    <row r="2090" spans="1:7" ht="15" thickBot="1" x14ac:dyDescent="0.25">
      <c r="A2090" s="1176" t="s">
        <v>1646</v>
      </c>
      <c r="B2090" s="1177"/>
      <c r="C2090" s="1177"/>
      <c r="D2090" s="1177"/>
      <c r="E2090" s="1177"/>
      <c r="F2090" s="1177"/>
      <c r="G2090" s="1178"/>
    </row>
    <row r="2091" spans="1:7" x14ac:dyDescent="0.2">
      <c r="A2091" s="251" t="s">
        <v>305</v>
      </c>
      <c r="B2091" s="190" t="s">
        <v>38</v>
      </c>
      <c r="C2091" s="190" t="s">
        <v>39</v>
      </c>
      <c r="D2091" s="190" t="s">
        <v>40</v>
      </c>
      <c r="E2091" s="190" t="s">
        <v>34</v>
      </c>
      <c r="F2091" s="190" t="s">
        <v>35</v>
      </c>
      <c r="G2091" s="243"/>
    </row>
    <row r="2092" spans="1:7" x14ac:dyDescent="0.2">
      <c r="A2092" s="369"/>
      <c r="B2092" s="89"/>
      <c r="C2092" s="209"/>
      <c r="D2092" s="199"/>
      <c r="E2092" s="367"/>
      <c r="F2092" s="234"/>
      <c r="G2092" s="253"/>
    </row>
    <row r="2093" spans="1:7" x14ac:dyDescent="0.2">
      <c r="A2093" s="252"/>
      <c r="B2093" s="235"/>
      <c r="C2093" s="238"/>
      <c r="D2093" s="236"/>
      <c r="E2093" s="237"/>
      <c r="F2093" s="239"/>
      <c r="G2093" s="253"/>
    </row>
    <row r="2094" spans="1:7" x14ac:dyDescent="0.2">
      <c r="A2094" s="247" t="s">
        <v>25</v>
      </c>
      <c r="B2094" s="104" t="s">
        <v>25</v>
      </c>
      <c r="C2094" s="104" t="s">
        <v>25</v>
      </c>
      <c r="D2094" s="188" t="s">
        <v>25</v>
      </c>
      <c r="E2094" s="189" t="s">
        <v>25</v>
      </c>
      <c r="F2094" s="187" t="s">
        <v>25</v>
      </c>
      <c r="G2094" s="246" t="s">
        <v>31</v>
      </c>
    </row>
    <row r="2095" spans="1:7" ht="15" thickBot="1" x14ac:dyDescent="0.25">
      <c r="A2095" s="248"/>
      <c r="B2095" s="420"/>
      <c r="C2095" s="420"/>
      <c r="D2095" s="420"/>
      <c r="E2095" s="420"/>
      <c r="F2095" s="420"/>
      <c r="G2095" s="250">
        <f>SUM(F2092:F2093)</f>
        <v>0</v>
      </c>
    </row>
    <row r="2096" spans="1:7" ht="15" thickBot="1" x14ac:dyDescent="0.25">
      <c r="A2096" s="1176" t="s">
        <v>1647</v>
      </c>
      <c r="B2096" s="1177"/>
      <c r="C2096" s="1177"/>
      <c r="D2096" s="1177"/>
      <c r="E2096" s="1177"/>
      <c r="F2096" s="1177"/>
      <c r="G2096" s="1178"/>
    </row>
    <row r="2097" spans="1:7" ht="24" x14ac:dyDescent="0.2">
      <c r="A2097" s="254" t="s">
        <v>1681</v>
      </c>
      <c r="B2097" s="190" t="s">
        <v>42</v>
      </c>
      <c r="C2097" s="190" t="s">
        <v>43</v>
      </c>
      <c r="D2097" s="190" t="s">
        <v>44</v>
      </c>
      <c r="E2097" s="190" t="s">
        <v>306</v>
      </c>
      <c r="F2097" s="190" t="s">
        <v>29</v>
      </c>
      <c r="G2097" s="243"/>
    </row>
    <row r="2098" spans="1:7" ht="36" x14ac:dyDescent="0.2">
      <c r="A2098" s="255" t="s">
        <v>1674</v>
      </c>
      <c r="B2098" s="202">
        <f>VLOOKUP(A2098,JORNALES!$A$5:$B$28,2,FALSE)</f>
        <v>215000</v>
      </c>
      <c r="C2098" s="233">
        <f>+PRESTACIONES!$C$20/100</f>
        <v>0.89990000000000014</v>
      </c>
      <c r="D2098" s="234">
        <f>+(B2098*C2098)+B2098</f>
        <v>408478.5</v>
      </c>
      <c r="E2098" s="421">
        <v>3</v>
      </c>
      <c r="F2098" s="199">
        <f>+D2098/E2098</f>
        <v>136159.5</v>
      </c>
      <c r="G2098" s="246"/>
    </row>
    <row r="2099" spans="1:7" x14ac:dyDescent="0.2">
      <c r="A2099" s="247"/>
      <c r="B2099" s="416"/>
      <c r="C2099" s="416"/>
      <c r="D2099" s="416"/>
      <c r="E2099" s="416"/>
      <c r="F2099" s="416"/>
      <c r="G2099" s="246" t="s">
        <v>31</v>
      </c>
    </row>
    <row r="2100" spans="1:7" x14ac:dyDescent="0.2">
      <c r="A2100" s="247"/>
      <c r="B2100" s="416"/>
      <c r="C2100" s="416"/>
      <c r="D2100" s="416"/>
      <c r="E2100" s="416"/>
      <c r="F2100" s="416"/>
      <c r="G2100" s="256">
        <f>SUM(F2098:F2098)</f>
        <v>136159.5</v>
      </c>
    </row>
    <row r="2101" spans="1:7" ht="15" thickBot="1" x14ac:dyDescent="0.25">
      <c r="A2101" s="1181" t="s">
        <v>25</v>
      </c>
      <c r="B2101" s="1182"/>
      <c r="C2101" s="1182"/>
      <c r="D2101" s="1182"/>
      <c r="E2101" s="1182"/>
      <c r="F2101" s="1182"/>
      <c r="G2101" s="1183"/>
    </row>
    <row r="2102" spans="1:7" ht="15" thickBot="1" x14ac:dyDescent="0.25">
      <c r="A2102" s="1184" t="s">
        <v>45</v>
      </c>
      <c r="B2102" s="1185"/>
      <c r="C2102" s="1185"/>
      <c r="D2102" s="1185"/>
      <c r="E2102" s="1185"/>
      <c r="F2102" s="192"/>
      <c r="G2102" s="277">
        <f xml:space="preserve"> ROUND(G2100+G2095+G2089+G2083,0)</f>
        <v>1489092</v>
      </c>
    </row>
    <row r="2103" spans="1:7" x14ac:dyDescent="0.2">
      <c r="A2103" s="1186" t="s">
        <v>476</v>
      </c>
      <c r="B2103" s="1187"/>
      <c r="C2103" s="1187"/>
      <c r="D2103" s="1187"/>
      <c r="E2103" s="1187"/>
      <c r="F2103" s="193" t="s">
        <v>51</v>
      </c>
      <c r="G2103" s="257" t="s">
        <v>307</v>
      </c>
    </row>
    <row r="2104" spans="1:7" x14ac:dyDescent="0.2">
      <c r="A2104" s="1166" t="s">
        <v>17</v>
      </c>
      <c r="B2104" s="1167"/>
      <c r="C2104" s="1167"/>
      <c r="D2104" s="1167"/>
      <c r="E2104" s="1167"/>
      <c r="F2104" s="240"/>
      <c r="G2104" s="196"/>
    </row>
    <row r="2105" spans="1:7" x14ac:dyDescent="0.2">
      <c r="A2105" s="1166" t="s">
        <v>308</v>
      </c>
      <c r="B2105" s="1167"/>
      <c r="C2105" s="1167"/>
      <c r="D2105" s="1167"/>
      <c r="E2105" s="1167"/>
      <c r="F2105" s="240"/>
      <c r="G2105" s="196"/>
    </row>
    <row r="2106" spans="1:7" x14ac:dyDescent="0.2">
      <c r="A2106" s="1166" t="s">
        <v>19</v>
      </c>
      <c r="B2106" s="1167"/>
      <c r="C2106" s="1167"/>
      <c r="D2106" s="1167"/>
      <c r="E2106" s="1167"/>
      <c r="F2106" s="240"/>
      <c r="G2106" s="196"/>
    </row>
    <row r="2107" spans="1:7" ht="15" thickBot="1" x14ac:dyDescent="0.25">
      <c r="A2107" s="1168" t="s">
        <v>309</v>
      </c>
      <c r="B2107" s="1169"/>
      <c r="C2107" s="1169"/>
      <c r="D2107" s="1169"/>
      <c r="E2107" s="1169"/>
      <c r="F2107" s="198"/>
      <c r="G2107" s="258"/>
    </row>
    <row r="2108" spans="1:7" ht="15" thickBot="1" x14ac:dyDescent="0.25">
      <c r="A2108" s="1170" t="s">
        <v>310</v>
      </c>
      <c r="B2108" s="1171"/>
      <c r="C2108" s="1171"/>
      <c r="D2108" s="1171"/>
      <c r="E2108" s="1171"/>
      <c r="F2108" s="1172"/>
      <c r="G2108" s="1173"/>
    </row>
    <row r="2109" spans="1:7" x14ac:dyDescent="0.2">
      <c r="A2109" s="413"/>
      <c r="B2109" s="414"/>
      <c r="C2109" s="414"/>
      <c r="D2109" s="414"/>
      <c r="E2109" s="414"/>
      <c r="F2109" s="193"/>
      <c r="G2109" s="260"/>
    </row>
    <row r="2110" spans="1:7" ht="15" thickBot="1" x14ac:dyDescent="0.25">
      <c r="A2110" s="261" t="s">
        <v>681</v>
      </c>
      <c r="B2110" s="262"/>
      <c r="C2110" s="262" t="s">
        <v>682</v>
      </c>
      <c r="D2110" s="262"/>
      <c r="E2110" s="262"/>
      <c r="F2110" s="262" t="s">
        <v>683</v>
      </c>
      <c r="G2110" s="263"/>
    </row>
    <row r="2111" spans="1:7" ht="15" thickBot="1" x14ac:dyDescent="0.25">
      <c r="A2111" s="1174" t="str">
        <f>+LIST_ACTIVIDADES!D78</f>
        <v>Puerta Vatiente izq (P16) en aluminio y vidrio 3+3 de 2,10 x 0,80mts, según diseños</v>
      </c>
      <c r="B2111" s="1175"/>
      <c r="C2111" s="1175"/>
      <c r="D2111" s="1175"/>
      <c r="E2111" s="1175"/>
      <c r="F2111" s="241" t="s">
        <v>24</v>
      </c>
      <c r="G2111" s="264" t="str">
        <f>+LIST_ACTIVIDADES!E78</f>
        <v>und</v>
      </c>
    </row>
    <row r="2112" spans="1:7" ht="15" thickBot="1" x14ac:dyDescent="0.25">
      <c r="A2112" s="1176" t="s">
        <v>1642</v>
      </c>
      <c r="B2112" s="1177"/>
      <c r="C2112" s="1177"/>
      <c r="D2112" s="1177"/>
      <c r="E2112" s="1177"/>
      <c r="F2112" s="1177"/>
      <c r="G2112" s="1178"/>
    </row>
    <row r="2113" spans="1:7" x14ac:dyDescent="0.2">
      <c r="A2113" s="242" t="s">
        <v>1643</v>
      </c>
      <c r="B2113" s="191" t="s">
        <v>1644</v>
      </c>
      <c r="C2113" s="190" t="s">
        <v>26</v>
      </c>
      <c r="D2113" s="190" t="s">
        <v>27</v>
      </c>
      <c r="E2113" s="190" t="s">
        <v>28</v>
      </c>
      <c r="F2113" s="190" t="s">
        <v>29</v>
      </c>
      <c r="G2113" s="243"/>
    </row>
    <row r="2114" spans="1:7" x14ac:dyDescent="0.2">
      <c r="A2114" s="362" t="str">
        <f>VLOOKUP(B2114,PRECIOS!$A$309:$E$485,2,FALSE)</f>
        <v>EQUIPO158</v>
      </c>
      <c r="B2114" s="363" t="s">
        <v>1699</v>
      </c>
      <c r="C2114" s="99" t="str">
        <f>VLOOKUP(B2114,PRECIOS!$A$309:$E$485,3,FALSE)</f>
        <v>Electrica</v>
      </c>
      <c r="D2114" s="364">
        <f>VLOOKUP(B2114,PRECIOS!$A$309:$E$485,5,FALSE)</f>
        <v>6250</v>
      </c>
      <c r="E2114" s="365">
        <v>0.9</v>
      </c>
      <c r="F2114" s="366">
        <f>+D2114*E2114</f>
        <v>5625</v>
      </c>
      <c r="G2114" s="245"/>
    </row>
    <row r="2115" spans="1:7" x14ac:dyDescent="0.2">
      <c r="A2115" s="362" t="str">
        <f>VLOOKUP(B2115,PRECIOS!$A$309:$E$485,2,FALSE)</f>
        <v>EQUIPO169</v>
      </c>
      <c r="B2115" s="363" t="s">
        <v>449</v>
      </c>
      <c r="C2115" s="99" t="str">
        <f>VLOOKUP(B2115,PRECIOS!$A$309:$E$485,3,FALSE)</f>
        <v>Estructura</v>
      </c>
      <c r="D2115" s="364">
        <f>VLOOKUP(B2115,PRECIOS!$A$309:$E$485,5,FALSE)</f>
        <v>1500</v>
      </c>
      <c r="E2115" s="365">
        <v>1</v>
      </c>
      <c r="F2115" s="366">
        <f>+D2115*E2115</f>
        <v>1500</v>
      </c>
      <c r="G2115" s="245"/>
    </row>
    <row r="2116" spans="1:7" x14ac:dyDescent="0.2">
      <c r="A2116" s="1179" t="s">
        <v>1650</v>
      </c>
      <c r="B2116" s="1180"/>
      <c r="C2116" s="214">
        <v>0.05</v>
      </c>
      <c r="D2116" s="213"/>
      <c r="E2116" s="418"/>
      <c r="F2116" s="212">
        <f>+G2135*C2116</f>
        <v>6807.9750000000004</v>
      </c>
      <c r="G2116" s="246"/>
    </row>
    <row r="2117" spans="1:7" x14ac:dyDescent="0.2">
      <c r="A2117" s="247" t="s">
        <v>25</v>
      </c>
      <c r="B2117" s="416"/>
      <c r="C2117" s="416"/>
      <c r="D2117" s="416"/>
      <c r="E2117" s="416"/>
      <c r="F2117" s="416"/>
      <c r="G2117" s="246" t="s">
        <v>31</v>
      </c>
    </row>
    <row r="2118" spans="1:7" ht="15" thickBot="1" x14ac:dyDescent="0.25">
      <c r="A2118" s="248"/>
      <c r="B2118" s="420"/>
      <c r="C2118" s="420"/>
      <c r="D2118" s="420"/>
      <c r="E2118" s="420"/>
      <c r="F2118" s="420"/>
      <c r="G2118" s="249">
        <f>SUM(F2114:F2116)</f>
        <v>13932.975</v>
      </c>
    </row>
    <row r="2119" spans="1:7" ht="15" thickBot="1" x14ac:dyDescent="0.25">
      <c r="A2119" s="1176" t="s">
        <v>1645</v>
      </c>
      <c r="B2119" s="1177"/>
      <c r="C2119" s="1177"/>
      <c r="D2119" s="1177"/>
      <c r="E2119" s="1177"/>
      <c r="F2119" s="1177"/>
      <c r="G2119" s="1178"/>
    </row>
    <row r="2120" spans="1:7" x14ac:dyDescent="0.2">
      <c r="A2120" s="242" t="s">
        <v>1643</v>
      </c>
      <c r="B2120" s="191" t="s">
        <v>1644</v>
      </c>
      <c r="C2120" s="190" t="s">
        <v>32</v>
      </c>
      <c r="D2120" s="190" t="s">
        <v>33</v>
      </c>
      <c r="E2120" s="190" t="s">
        <v>34</v>
      </c>
      <c r="F2120" s="190" t="s">
        <v>35</v>
      </c>
      <c r="G2120" s="243"/>
    </row>
    <row r="2121" spans="1:7" ht="36" x14ac:dyDescent="0.2">
      <c r="A2121" s="352" t="str">
        <f>VLOOKUP(B2121,PRECIOS!$A$5:$D$303,2,FALSE)</f>
        <v>CARPMETAL16</v>
      </c>
      <c r="B2121" s="105" t="s">
        <v>1810</v>
      </c>
      <c r="C2121" s="105" t="str">
        <f>VLOOKUP(B2121,PRECIOS!$A$5:$D$303,3,FALSE)</f>
        <v>und</v>
      </c>
      <c r="D2121" s="353">
        <f>VLOOKUP(B2121,PRECIOS!$A$5:$D$303,4,FALSE)</f>
        <v>1200000</v>
      </c>
      <c r="E2121" s="354">
        <v>1</v>
      </c>
      <c r="F2121" s="355">
        <f>+D2121*E2121</f>
        <v>1200000</v>
      </c>
      <c r="G2121" s="370"/>
    </row>
    <row r="2122" spans="1:7" x14ac:dyDescent="0.2">
      <c r="A2122" s="1179" t="s">
        <v>1649</v>
      </c>
      <c r="B2122" s="1180"/>
      <c r="C2122" s="214">
        <v>0.03</v>
      </c>
      <c r="D2122" s="417"/>
      <c r="E2122" s="418"/>
      <c r="F2122" s="276">
        <f>SUM(F2121:F2121)*C2122</f>
        <v>36000</v>
      </c>
      <c r="G2122" s="246"/>
    </row>
    <row r="2123" spans="1:7" x14ac:dyDescent="0.2">
      <c r="A2123" s="247"/>
      <c r="B2123" s="416"/>
      <c r="C2123" s="104"/>
      <c r="D2123" s="104"/>
      <c r="E2123" s="104"/>
      <c r="F2123" s="104"/>
      <c r="G2123" s="246" t="s">
        <v>31</v>
      </c>
    </row>
    <row r="2124" spans="1:7" ht="15" thickBot="1" x14ac:dyDescent="0.25">
      <c r="A2124" s="248"/>
      <c r="B2124" s="420"/>
      <c r="C2124" s="420"/>
      <c r="D2124" s="420"/>
      <c r="E2124" s="420"/>
      <c r="F2124" s="420"/>
      <c r="G2124" s="250">
        <f>SUM(F2121:F2122)</f>
        <v>1236000</v>
      </c>
    </row>
    <row r="2125" spans="1:7" ht="15" thickBot="1" x14ac:dyDescent="0.25">
      <c r="A2125" s="1176" t="s">
        <v>1646</v>
      </c>
      <c r="B2125" s="1177"/>
      <c r="C2125" s="1177"/>
      <c r="D2125" s="1177"/>
      <c r="E2125" s="1177"/>
      <c r="F2125" s="1177"/>
      <c r="G2125" s="1178"/>
    </row>
    <row r="2126" spans="1:7" x14ac:dyDescent="0.2">
      <c r="A2126" s="251" t="s">
        <v>305</v>
      </c>
      <c r="B2126" s="190" t="s">
        <v>38</v>
      </c>
      <c r="C2126" s="190" t="s">
        <v>39</v>
      </c>
      <c r="D2126" s="190" t="s">
        <v>40</v>
      </c>
      <c r="E2126" s="190" t="s">
        <v>34</v>
      </c>
      <c r="F2126" s="190" t="s">
        <v>35</v>
      </c>
      <c r="G2126" s="243"/>
    </row>
    <row r="2127" spans="1:7" x14ac:dyDescent="0.2">
      <c r="A2127" s="369"/>
      <c r="B2127" s="89"/>
      <c r="C2127" s="209"/>
      <c r="D2127" s="199"/>
      <c r="E2127" s="367"/>
      <c r="F2127" s="234"/>
      <c r="G2127" s="253"/>
    </row>
    <row r="2128" spans="1:7" x14ac:dyDescent="0.2">
      <c r="A2128" s="252"/>
      <c r="B2128" s="235"/>
      <c r="C2128" s="238"/>
      <c r="D2128" s="236"/>
      <c r="E2128" s="237"/>
      <c r="F2128" s="239"/>
      <c r="G2128" s="253"/>
    </row>
    <row r="2129" spans="1:7" x14ac:dyDescent="0.2">
      <c r="A2129" s="247" t="s">
        <v>25</v>
      </c>
      <c r="B2129" s="104" t="s">
        <v>25</v>
      </c>
      <c r="C2129" s="104" t="s">
        <v>25</v>
      </c>
      <c r="D2129" s="188" t="s">
        <v>25</v>
      </c>
      <c r="E2129" s="189" t="s">
        <v>25</v>
      </c>
      <c r="F2129" s="187" t="s">
        <v>25</v>
      </c>
      <c r="G2129" s="246" t="s">
        <v>31</v>
      </c>
    </row>
    <row r="2130" spans="1:7" ht="15" thickBot="1" x14ac:dyDescent="0.25">
      <c r="A2130" s="248"/>
      <c r="B2130" s="420"/>
      <c r="C2130" s="420"/>
      <c r="D2130" s="420"/>
      <c r="E2130" s="420"/>
      <c r="F2130" s="420"/>
      <c r="G2130" s="250">
        <f>SUM(F2127:F2128)</f>
        <v>0</v>
      </c>
    </row>
    <row r="2131" spans="1:7" ht="15" thickBot="1" x14ac:dyDescent="0.25">
      <c r="A2131" s="1176" t="s">
        <v>1647</v>
      </c>
      <c r="B2131" s="1177"/>
      <c r="C2131" s="1177"/>
      <c r="D2131" s="1177"/>
      <c r="E2131" s="1177"/>
      <c r="F2131" s="1177"/>
      <c r="G2131" s="1178"/>
    </row>
    <row r="2132" spans="1:7" ht="24" x14ac:dyDescent="0.2">
      <c r="A2132" s="254" t="s">
        <v>1681</v>
      </c>
      <c r="B2132" s="190" t="s">
        <v>42</v>
      </c>
      <c r="C2132" s="190" t="s">
        <v>43</v>
      </c>
      <c r="D2132" s="190" t="s">
        <v>44</v>
      </c>
      <c r="E2132" s="190" t="s">
        <v>306</v>
      </c>
      <c r="F2132" s="190" t="s">
        <v>29</v>
      </c>
      <c r="G2132" s="243"/>
    </row>
    <row r="2133" spans="1:7" ht="36" x14ac:dyDescent="0.2">
      <c r="A2133" s="255" t="s">
        <v>1674</v>
      </c>
      <c r="B2133" s="202">
        <f>VLOOKUP(A2133,JORNALES!$A$5:$B$28,2,FALSE)</f>
        <v>215000</v>
      </c>
      <c r="C2133" s="233">
        <f>+PRESTACIONES!$C$20/100</f>
        <v>0.89990000000000014</v>
      </c>
      <c r="D2133" s="234">
        <f>+(B2133*C2133)+B2133</f>
        <v>408478.5</v>
      </c>
      <c r="E2133" s="421">
        <v>3</v>
      </c>
      <c r="F2133" s="199">
        <f>+D2133/E2133</f>
        <v>136159.5</v>
      </c>
      <c r="G2133" s="246"/>
    </row>
    <row r="2134" spans="1:7" x14ac:dyDescent="0.2">
      <c r="A2134" s="247"/>
      <c r="B2134" s="416"/>
      <c r="C2134" s="416"/>
      <c r="D2134" s="416"/>
      <c r="E2134" s="416"/>
      <c r="F2134" s="416"/>
      <c r="G2134" s="246" t="s">
        <v>31</v>
      </c>
    </row>
    <row r="2135" spans="1:7" x14ac:dyDescent="0.2">
      <c r="A2135" s="247"/>
      <c r="B2135" s="416"/>
      <c r="C2135" s="416"/>
      <c r="D2135" s="416"/>
      <c r="E2135" s="416"/>
      <c r="F2135" s="416"/>
      <c r="G2135" s="256">
        <f>SUM(F2133:F2133)</f>
        <v>136159.5</v>
      </c>
    </row>
    <row r="2136" spans="1:7" ht="15" thickBot="1" x14ac:dyDescent="0.25">
      <c r="A2136" s="1181" t="s">
        <v>25</v>
      </c>
      <c r="B2136" s="1182"/>
      <c r="C2136" s="1182"/>
      <c r="D2136" s="1182"/>
      <c r="E2136" s="1182"/>
      <c r="F2136" s="1182"/>
      <c r="G2136" s="1183"/>
    </row>
    <row r="2137" spans="1:7" ht="15" thickBot="1" x14ac:dyDescent="0.25">
      <c r="A2137" s="1184" t="s">
        <v>45</v>
      </c>
      <c r="B2137" s="1185"/>
      <c r="C2137" s="1185"/>
      <c r="D2137" s="1185"/>
      <c r="E2137" s="1185"/>
      <c r="F2137" s="192"/>
      <c r="G2137" s="277">
        <f xml:space="preserve"> ROUND(G2135+G2130+G2124+G2118,0)</f>
        <v>1386092</v>
      </c>
    </row>
    <row r="2138" spans="1:7" x14ac:dyDescent="0.2">
      <c r="A2138" s="1186" t="s">
        <v>476</v>
      </c>
      <c r="B2138" s="1187"/>
      <c r="C2138" s="1187"/>
      <c r="D2138" s="1187"/>
      <c r="E2138" s="1187"/>
      <c r="F2138" s="193" t="s">
        <v>51</v>
      </c>
      <c r="G2138" s="257" t="s">
        <v>307</v>
      </c>
    </row>
    <row r="2139" spans="1:7" x14ac:dyDescent="0.2">
      <c r="A2139" s="1166" t="s">
        <v>17</v>
      </c>
      <c r="B2139" s="1167"/>
      <c r="C2139" s="1167"/>
      <c r="D2139" s="1167"/>
      <c r="E2139" s="1167"/>
      <c r="F2139" s="240"/>
      <c r="G2139" s="196"/>
    </row>
    <row r="2140" spans="1:7" x14ac:dyDescent="0.2">
      <c r="A2140" s="1166" t="s">
        <v>308</v>
      </c>
      <c r="B2140" s="1167"/>
      <c r="C2140" s="1167"/>
      <c r="D2140" s="1167"/>
      <c r="E2140" s="1167"/>
      <c r="F2140" s="240"/>
      <c r="G2140" s="196"/>
    </row>
    <row r="2141" spans="1:7" x14ac:dyDescent="0.2">
      <c r="A2141" s="1166" t="s">
        <v>19</v>
      </c>
      <c r="B2141" s="1167"/>
      <c r="C2141" s="1167"/>
      <c r="D2141" s="1167"/>
      <c r="E2141" s="1167"/>
      <c r="F2141" s="240"/>
      <c r="G2141" s="196"/>
    </row>
    <row r="2142" spans="1:7" ht="15" thickBot="1" x14ac:dyDescent="0.25">
      <c r="A2142" s="1168" t="s">
        <v>309</v>
      </c>
      <c r="B2142" s="1169"/>
      <c r="C2142" s="1169"/>
      <c r="D2142" s="1169"/>
      <c r="E2142" s="1169"/>
      <c r="F2142" s="198"/>
      <c r="G2142" s="258"/>
    </row>
    <row r="2143" spans="1:7" ht="15" thickBot="1" x14ac:dyDescent="0.25">
      <c r="A2143" s="1170" t="s">
        <v>310</v>
      </c>
      <c r="B2143" s="1171"/>
      <c r="C2143" s="1171"/>
      <c r="D2143" s="1171"/>
      <c r="E2143" s="1171"/>
      <c r="F2143" s="1172"/>
      <c r="G2143" s="1173"/>
    </row>
    <row r="2144" spans="1:7" x14ac:dyDescent="0.2">
      <c r="A2144" s="413"/>
      <c r="B2144" s="414"/>
      <c r="C2144" s="414"/>
      <c r="D2144" s="414"/>
      <c r="E2144" s="414"/>
      <c r="F2144" s="193"/>
      <c r="G2144" s="260"/>
    </row>
    <row r="2145" spans="1:7" ht="15" thickBot="1" x14ac:dyDescent="0.25">
      <c r="A2145" s="261" t="s">
        <v>681</v>
      </c>
      <c r="B2145" s="262"/>
      <c r="C2145" s="262" t="s">
        <v>682</v>
      </c>
      <c r="D2145" s="262"/>
      <c r="E2145" s="262"/>
      <c r="F2145" s="262" t="s">
        <v>683</v>
      </c>
      <c r="G2145" s="263"/>
    </row>
    <row r="2146" spans="1:7" ht="15" thickBot="1" x14ac:dyDescent="0.25">
      <c r="A2146" s="1174" t="str">
        <f>+LIST_ACTIVIDADES!D79</f>
        <v>Puerta Corrediza (P17) en aluminio y vidrio 3+3 de 2,10 x 0,9mts, según diseños</v>
      </c>
      <c r="B2146" s="1175"/>
      <c r="C2146" s="1175"/>
      <c r="D2146" s="1175"/>
      <c r="E2146" s="1175"/>
      <c r="F2146" s="241" t="s">
        <v>24</v>
      </c>
      <c r="G2146" s="264" t="str">
        <f>+LIST_ACTIVIDADES!E79</f>
        <v>und</v>
      </c>
    </row>
    <row r="2147" spans="1:7" ht="15" thickBot="1" x14ac:dyDescent="0.25">
      <c r="A2147" s="1176" t="s">
        <v>1642</v>
      </c>
      <c r="B2147" s="1177"/>
      <c r="C2147" s="1177"/>
      <c r="D2147" s="1177"/>
      <c r="E2147" s="1177"/>
      <c r="F2147" s="1177"/>
      <c r="G2147" s="1178"/>
    </row>
    <row r="2148" spans="1:7" x14ac:dyDescent="0.2">
      <c r="A2148" s="242" t="s">
        <v>1643</v>
      </c>
      <c r="B2148" s="191" t="s">
        <v>1644</v>
      </c>
      <c r="C2148" s="190" t="s">
        <v>26</v>
      </c>
      <c r="D2148" s="190" t="s">
        <v>27</v>
      </c>
      <c r="E2148" s="190" t="s">
        <v>28</v>
      </c>
      <c r="F2148" s="190" t="s">
        <v>29</v>
      </c>
      <c r="G2148" s="243"/>
    </row>
    <row r="2149" spans="1:7" x14ac:dyDescent="0.2">
      <c r="A2149" s="362" t="str">
        <f>VLOOKUP(B2149,PRECIOS!$A$309:$E$485,2,FALSE)</f>
        <v>EQUIPO158</v>
      </c>
      <c r="B2149" s="363" t="s">
        <v>1699</v>
      </c>
      <c r="C2149" s="99" t="str">
        <f>VLOOKUP(B2149,PRECIOS!$A$309:$E$485,3,FALSE)</f>
        <v>Electrica</v>
      </c>
      <c r="D2149" s="364">
        <f>VLOOKUP(B2149,PRECIOS!$A$309:$E$485,5,FALSE)</f>
        <v>6250</v>
      </c>
      <c r="E2149" s="365">
        <v>0.9</v>
      </c>
      <c r="F2149" s="366">
        <f>+D2149*E2149</f>
        <v>5625</v>
      </c>
      <c r="G2149" s="245"/>
    </row>
    <row r="2150" spans="1:7" x14ac:dyDescent="0.2">
      <c r="A2150" s="362" t="str">
        <f>VLOOKUP(B2150,PRECIOS!$A$309:$E$485,2,FALSE)</f>
        <v>EQUIPO169</v>
      </c>
      <c r="B2150" s="363" t="s">
        <v>449</v>
      </c>
      <c r="C2150" s="99" t="str">
        <f>VLOOKUP(B2150,PRECIOS!$A$309:$E$485,3,FALSE)</f>
        <v>Estructura</v>
      </c>
      <c r="D2150" s="364">
        <f>VLOOKUP(B2150,PRECIOS!$A$309:$E$485,5,FALSE)</f>
        <v>1500</v>
      </c>
      <c r="E2150" s="365">
        <v>1</v>
      </c>
      <c r="F2150" s="366">
        <f>+D2150*E2150</f>
        <v>1500</v>
      </c>
      <c r="G2150" s="245"/>
    </row>
    <row r="2151" spans="1:7" x14ac:dyDescent="0.2">
      <c r="A2151" s="1179" t="s">
        <v>1650</v>
      </c>
      <c r="B2151" s="1180"/>
      <c r="C2151" s="214">
        <v>0.05</v>
      </c>
      <c r="D2151" s="213"/>
      <c r="E2151" s="418"/>
      <c r="F2151" s="212">
        <f>+G2170*C2151</f>
        <v>6807.9750000000004</v>
      </c>
      <c r="G2151" s="246"/>
    </row>
    <row r="2152" spans="1:7" x14ac:dyDescent="0.2">
      <c r="A2152" s="247" t="s">
        <v>25</v>
      </c>
      <c r="B2152" s="416"/>
      <c r="C2152" s="416"/>
      <c r="D2152" s="416"/>
      <c r="E2152" s="416"/>
      <c r="F2152" s="416"/>
      <c r="G2152" s="246" t="s">
        <v>31</v>
      </c>
    </row>
    <row r="2153" spans="1:7" ht="15" thickBot="1" x14ac:dyDescent="0.25">
      <c r="A2153" s="248"/>
      <c r="B2153" s="420"/>
      <c r="C2153" s="420"/>
      <c r="D2153" s="420"/>
      <c r="E2153" s="420"/>
      <c r="F2153" s="420"/>
      <c r="G2153" s="249">
        <f>SUM(F2149:F2151)</f>
        <v>13932.975</v>
      </c>
    </row>
    <row r="2154" spans="1:7" ht="15" thickBot="1" x14ac:dyDescent="0.25">
      <c r="A2154" s="1176" t="s">
        <v>1645</v>
      </c>
      <c r="B2154" s="1177"/>
      <c r="C2154" s="1177"/>
      <c r="D2154" s="1177"/>
      <c r="E2154" s="1177"/>
      <c r="F2154" s="1177"/>
      <c r="G2154" s="1178"/>
    </row>
    <row r="2155" spans="1:7" x14ac:dyDescent="0.2">
      <c r="A2155" s="242" t="s">
        <v>1643</v>
      </c>
      <c r="B2155" s="191" t="s">
        <v>1644</v>
      </c>
      <c r="C2155" s="190" t="s">
        <v>32</v>
      </c>
      <c r="D2155" s="190" t="s">
        <v>33</v>
      </c>
      <c r="E2155" s="190" t="s">
        <v>34</v>
      </c>
      <c r="F2155" s="190" t="s">
        <v>35</v>
      </c>
      <c r="G2155" s="243"/>
    </row>
    <row r="2156" spans="1:7" ht="36" x14ac:dyDescent="0.2">
      <c r="A2156" s="352" t="str">
        <f>VLOOKUP(B2156,PRECIOS!$A$5:$D$303,2,FALSE)</f>
        <v>CARPMETAL17</v>
      </c>
      <c r="B2156" s="105" t="s">
        <v>1811</v>
      </c>
      <c r="C2156" s="105" t="str">
        <f>VLOOKUP(B2156,PRECIOS!$A$5:$D$303,3,FALSE)</f>
        <v>und</v>
      </c>
      <c r="D2156" s="353">
        <f>VLOOKUP(B2156,PRECIOS!$A$5:$D$303,4,FALSE)</f>
        <v>2200000</v>
      </c>
      <c r="E2156" s="354">
        <v>1</v>
      </c>
      <c r="F2156" s="355">
        <f>+D2156*E2156</f>
        <v>2200000</v>
      </c>
      <c r="G2156" s="370"/>
    </row>
    <row r="2157" spans="1:7" x14ac:dyDescent="0.2">
      <c r="A2157" s="1179" t="s">
        <v>1649</v>
      </c>
      <c r="B2157" s="1180"/>
      <c r="C2157" s="214">
        <v>0.03</v>
      </c>
      <c r="D2157" s="417"/>
      <c r="E2157" s="418"/>
      <c r="F2157" s="276">
        <f>SUM(F2156:F2156)*C2157</f>
        <v>66000</v>
      </c>
      <c r="G2157" s="246"/>
    </row>
    <row r="2158" spans="1:7" x14ac:dyDescent="0.2">
      <c r="A2158" s="247"/>
      <c r="B2158" s="416"/>
      <c r="C2158" s="104"/>
      <c r="D2158" s="104"/>
      <c r="E2158" s="104"/>
      <c r="F2158" s="104"/>
      <c r="G2158" s="246" t="s">
        <v>31</v>
      </c>
    </row>
    <row r="2159" spans="1:7" ht="15" thickBot="1" x14ac:dyDescent="0.25">
      <c r="A2159" s="248"/>
      <c r="B2159" s="420"/>
      <c r="C2159" s="420"/>
      <c r="D2159" s="420"/>
      <c r="E2159" s="420"/>
      <c r="F2159" s="420"/>
      <c r="G2159" s="250">
        <f>SUM(F2156:F2157)</f>
        <v>2266000</v>
      </c>
    </row>
    <row r="2160" spans="1:7" ht="15" thickBot="1" x14ac:dyDescent="0.25">
      <c r="A2160" s="1176" t="s">
        <v>1646</v>
      </c>
      <c r="B2160" s="1177"/>
      <c r="C2160" s="1177"/>
      <c r="D2160" s="1177"/>
      <c r="E2160" s="1177"/>
      <c r="F2160" s="1177"/>
      <c r="G2160" s="1178"/>
    </row>
    <row r="2161" spans="1:7" x14ac:dyDescent="0.2">
      <c r="A2161" s="251" t="s">
        <v>305</v>
      </c>
      <c r="B2161" s="190" t="s">
        <v>38</v>
      </c>
      <c r="C2161" s="190" t="s">
        <v>39</v>
      </c>
      <c r="D2161" s="190" t="s">
        <v>40</v>
      </c>
      <c r="E2161" s="190" t="s">
        <v>34</v>
      </c>
      <c r="F2161" s="190" t="s">
        <v>35</v>
      </c>
      <c r="G2161" s="243"/>
    </row>
    <row r="2162" spans="1:7" x14ac:dyDescent="0.2">
      <c r="A2162" s="369"/>
      <c r="B2162" s="89"/>
      <c r="C2162" s="209"/>
      <c r="D2162" s="199"/>
      <c r="E2162" s="367"/>
      <c r="F2162" s="234"/>
      <c r="G2162" s="253"/>
    </row>
    <row r="2163" spans="1:7" x14ac:dyDescent="0.2">
      <c r="A2163" s="252"/>
      <c r="B2163" s="235"/>
      <c r="C2163" s="238"/>
      <c r="D2163" s="236"/>
      <c r="E2163" s="237"/>
      <c r="F2163" s="239"/>
      <c r="G2163" s="253"/>
    </row>
    <row r="2164" spans="1:7" x14ac:dyDescent="0.2">
      <c r="A2164" s="247" t="s">
        <v>25</v>
      </c>
      <c r="B2164" s="104" t="s">
        <v>25</v>
      </c>
      <c r="C2164" s="104" t="s">
        <v>25</v>
      </c>
      <c r="D2164" s="188" t="s">
        <v>25</v>
      </c>
      <c r="E2164" s="189" t="s">
        <v>25</v>
      </c>
      <c r="F2164" s="187" t="s">
        <v>25</v>
      </c>
      <c r="G2164" s="246" t="s">
        <v>31</v>
      </c>
    </row>
    <row r="2165" spans="1:7" ht="15" thickBot="1" x14ac:dyDescent="0.25">
      <c r="A2165" s="248"/>
      <c r="B2165" s="420"/>
      <c r="C2165" s="420"/>
      <c r="D2165" s="420"/>
      <c r="E2165" s="420"/>
      <c r="F2165" s="420"/>
      <c r="G2165" s="250">
        <f>SUM(F2162:F2163)</f>
        <v>0</v>
      </c>
    </row>
    <row r="2166" spans="1:7" ht="15" thickBot="1" x14ac:dyDescent="0.25">
      <c r="A2166" s="1176" t="s">
        <v>1647</v>
      </c>
      <c r="B2166" s="1177"/>
      <c r="C2166" s="1177"/>
      <c r="D2166" s="1177"/>
      <c r="E2166" s="1177"/>
      <c r="F2166" s="1177"/>
      <c r="G2166" s="1178"/>
    </row>
    <row r="2167" spans="1:7" ht="24" x14ac:dyDescent="0.2">
      <c r="A2167" s="254" t="s">
        <v>1681</v>
      </c>
      <c r="B2167" s="190" t="s">
        <v>42</v>
      </c>
      <c r="C2167" s="190" t="s">
        <v>43</v>
      </c>
      <c r="D2167" s="190" t="s">
        <v>44</v>
      </c>
      <c r="E2167" s="190" t="s">
        <v>306</v>
      </c>
      <c r="F2167" s="190" t="s">
        <v>29</v>
      </c>
      <c r="G2167" s="243"/>
    </row>
    <row r="2168" spans="1:7" ht="36" x14ac:dyDescent="0.2">
      <c r="A2168" s="255" t="s">
        <v>1674</v>
      </c>
      <c r="B2168" s="202">
        <f>VLOOKUP(A2168,JORNALES!$A$5:$B$28,2,FALSE)</f>
        <v>215000</v>
      </c>
      <c r="C2168" s="233">
        <f>+PRESTACIONES!$C$20/100</f>
        <v>0.89990000000000014</v>
      </c>
      <c r="D2168" s="234">
        <f>+(B2168*C2168)+B2168</f>
        <v>408478.5</v>
      </c>
      <c r="E2168" s="421">
        <v>3</v>
      </c>
      <c r="F2168" s="199">
        <f>+D2168/E2168</f>
        <v>136159.5</v>
      </c>
      <c r="G2168" s="246"/>
    </row>
    <row r="2169" spans="1:7" x14ac:dyDescent="0.2">
      <c r="A2169" s="247"/>
      <c r="B2169" s="416"/>
      <c r="C2169" s="416"/>
      <c r="D2169" s="416"/>
      <c r="E2169" s="416"/>
      <c r="F2169" s="416"/>
      <c r="G2169" s="246" t="s">
        <v>31</v>
      </c>
    </row>
    <row r="2170" spans="1:7" x14ac:dyDescent="0.2">
      <c r="A2170" s="247"/>
      <c r="B2170" s="416"/>
      <c r="C2170" s="416"/>
      <c r="D2170" s="416"/>
      <c r="E2170" s="416"/>
      <c r="F2170" s="416"/>
      <c r="G2170" s="256">
        <f>SUM(F2168:F2168)</f>
        <v>136159.5</v>
      </c>
    </row>
    <row r="2171" spans="1:7" ht="15" thickBot="1" x14ac:dyDescent="0.25">
      <c r="A2171" s="1181" t="s">
        <v>25</v>
      </c>
      <c r="B2171" s="1182"/>
      <c r="C2171" s="1182"/>
      <c r="D2171" s="1182"/>
      <c r="E2171" s="1182"/>
      <c r="F2171" s="1182"/>
      <c r="G2171" s="1183"/>
    </row>
    <row r="2172" spans="1:7" ht="15" thickBot="1" x14ac:dyDescent="0.25">
      <c r="A2172" s="1184" t="s">
        <v>45</v>
      </c>
      <c r="B2172" s="1185"/>
      <c r="C2172" s="1185"/>
      <c r="D2172" s="1185"/>
      <c r="E2172" s="1185"/>
      <c r="F2172" s="192"/>
      <c r="G2172" s="277">
        <f xml:space="preserve"> ROUND(G2170+G2165+G2159+G2153,0)</f>
        <v>2416092</v>
      </c>
    </row>
    <row r="2173" spans="1:7" x14ac:dyDescent="0.2">
      <c r="A2173" s="1186" t="s">
        <v>476</v>
      </c>
      <c r="B2173" s="1187"/>
      <c r="C2173" s="1187"/>
      <c r="D2173" s="1187"/>
      <c r="E2173" s="1187"/>
      <c r="F2173" s="193" t="s">
        <v>51</v>
      </c>
      <c r="G2173" s="257" t="s">
        <v>307</v>
      </c>
    </row>
    <row r="2174" spans="1:7" x14ac:dyDescent="0.2">
      <c r="A2174" s="1166" t="s">
        <v>17</v>
      </c>
      <c r="B2174" s="1167"/>
      <c r="C2174" s="1167"/>
      <c r="D2174" s="1167"/>
      <c r="E2174" s="1167"/>
      <c r="F2174" s="240"/>
      <c r="G2174" s="196"/>
    </row>
    <row r="2175" spans="1:7" x14ac:dyDescent="0.2">
      <c r="A2175" s="1166" t="s">
        <v>308</v>
      </c>
      <c r="B2175" s="1167"/>
      <c r="C2175" s="1167"/>
      <c r="D2175" s="1167"/>
      <c r="E2175" s="1167"/>
      <c r="F2175" s="240"/>
      <c r="G2175" s="196"/>
    </row>
    <row r="2176" spans="1:7" x14ac:dyDescent="0.2">
      <c r="A2176" s="1166" t="s">
        <v>19</v>
      </c>
      <c r="B2176" s="1167"/>
      <c r="C2176" s="1167"/>
      <c r="D2176" s="1167"/>
      <c r="E2176" s="1167"/>
      <c r="F2176" s="240"/>
      <c r="G2176" s="196"/>
    </row>
    <row r="2177" spans="1:7" ht="15" thickBot="1" x14ac:dyDescent="0.25">
      <c r="A2177" s="1168" t="s">
        <v>309</v>
      </c>
      <c r="B2177" s="1169"/>
      <c r="C2177" s="1169"/>
      <c r="D2177" s="1169"/>
      <c r="E2177" s="1169"/>
      <c r="F2177" s="198"/>
      <c r="G2177" s="258"/>
    </row>
    <row r="2178" spans="1:7" ht="15" thickBot="1" x14ac:dyDescent="0.25">
      <c r="A2178" s="1170" t="s">
        <v>310</v>
      </c>
      <c r="B2178" s="1171"/>
      <c r="C2178" s="1171"/>
      <c r="D2178" s="1171"/>
      <c r="E2178" s="1171"/>
      <c r="F2178" s="1172"/>
      <c r="G2178" s="1173"/>
    </row>
    <row r="2179" spans="1:7" x14ac:dyDescent="0.2">
      <c r="A2179" s="413"/>
      <c r="B2179" s="414"/>
      <c r="C2179" s="414"/>
      <c r="D2179" s="414"/>
      <c r="E2179" s="414"/>
      <c r="F2179" s="193"/>
      <c r="G2179" s="260"/>
    </row>
    <row r="2180" spans="1:7" ht="15" thickBot="1" x14ac:dyDescent="0.25">
      <c r="A2180" s="261" t="s">
        <v>681</v>
      </c>
      <c r="B2180" s="262"/>
      <c r="C2180" s="262" t="s">
        <v>682</v>
      </c>
      <c r="D2180" s="262"/>
      <c r="E2180" s="262"/>
      <c r="F2180" s="262" t="s">
        <v>683</v>
      </c>
      <c r="G2180" s="263"/>
    </row>
    <row r="2181" spans="1:7" ht="15" thickBot="1" x14ac:dyDescent="0.25">
      <c r="A2181" s="1174" t="str">
        <f>+LIST_ACTIVIDADES!D80</f>
        <v>Puerta Corrediza (P18) en aluminio y vidrio 3+3 de 2,10 x 1,20mts, según diseños</v>
      </c>
      <c r="B2181" s="1175"/>
      <c r="C2181" s="1175"/>
      <c r="D2181" s="1175"/>
      <c r="E2181" s="1175"/>
      <c r="F2181" s="241" t="s">
        <v>24</v>
      </c>
      <c r="G2181" s="264" t="str">
        <f>+LIST_ACTIVIDADES!E80</f>
        <v>und</v>
      </c>
    </row>
    <row r="2182" spans="1:7" ht="15" thickBot="1" x14ac:dyDescent="0.25">
      <c r="A2182" s="1176" t="s">
        <v>1642</v>
      </c>
      <c r="B2182" s="1177"/>
      <c r="C2182" s="1177"/>
      <c r="D2182" s="1177"/>
      <c r="E2182" s="1177"/>
      <c r="F2182" s="1177"/>
      <c r="G2182" s="1178"/>
    </row>
    <row r="2183" spans="1:7" x14ac:dyDescent="0.2">
      <c r="A2183" s="242" t="s">
        <v>1643</v>
      </c>
      <c r="B2183" s="191" t="s">
        <v>1644</v>
      </c>
      <c r="C2183" s="190" t="s">
        <v>26</v>
      </c>
      <c r="D2183" s="190" t="s">
        <v>27</v>
      </c>
      <c r="E2183" s="190" t="s">
        <v>28</v>
      </c>
      <c r="F2183" s="190" t="s">
        <v>29</v>
      </c>
      <c r="G2183" s="243"/>
    </row>
    <row r="2184" spans="1:7" x14ac:dyDescent="0.2">
      <c r="A2184" s="362" t="str">
        <f>VLOOKUP(B2184,PRECIOS!$A$309:$E$485,2,FALSE)</f>
        <v>EQUIPO158</v>
      </c>
      <c r="B2184" s="363" t="s">
        <v>1699</v>
      </c>
      <c r="C2184" s="99" t="str">
        <f>VLOOKUP(B2184,PRECIOS!$A$309:$E$485,3,FALSE)</f>
        <v>Electrica</v>
      </c>
      <c r="D2184" s="364">
        <f>VLOOKUP(B2184,PRECIOS!$A$309:$E$485,5,FALSE)</f>
        <v>6250</v>
      </c>
      <c r="E2184" s="365">
        <v>0.9</v>
      </c>
      <c r="F2184" s="366">
        <f>+D2184*E2184</f>
        <v>5625</v>
      </c>
      <c r="G2184" s="245"/>
    </row>
    <row r="2185" spans="1:7" x14ac:dyDescent="0.2">
      <c r="A2185" s="362" t="str">
        <f>VLOOKUP(B2185,PRECIOS!$A$309:$E$485,2,FALSE)</f>
        <v>EQUIPO169</v>
      </c>
      <c r="B2185" s="363" t="s">
        <v>449</v>
      </c>
      <c r="C2185" s="99" t="str">
        <f>VLOOKUP(B2185,PRECIOS!$A$309:$E$485,3,FALSE)</f>
        <v>Estructura</v>
      </c>
      <c r="D2185" s="364">
        <f>VLOOKUP(B2185,PRECIOS!$A$309:$E$485,5,FALSE)</f>
        <v>1500</v>
      </c>
      <c r="E2185" s="365">
        <v>1</v>
      </c>
      <c r="F2185" s="366">
        <f>+D2185*E2185</f>
        <v>1500</v>
      </c>
      <c r="G2185" s="245"/>
    </row>
    <row r="2186" spans="1:7" x14ac:dyDescent="0.2">
      <c r="A2186" s="1179" t="s">
        <v>1650</v>
      </c>
      <c r="B2186" s="1180"/>
      <c r="C2186" s="214">
        <v>0.05</v>
      </c>
      <c r="D2186" s="213"/>
      <c r="E2186" s="418"/>
      <c r="F2186" s="212">
        <f>+G2205*C2186</f>
        <v>6807.9750000000004</v>
      </c>
      <c r="G2186" s="246"/>
    </row>
    <row r="2187" spans="1:7" x14ac:dyDescent="0.2">
      <c r="A2187" s="247" t="s">
        <v>25</v>
      </c>
      <c r="B2187" s="416"/>
      <c r="C2187" s="416"/>
      <c r="D2187" s="416"/>
      <c r="E2187" s="416"/>
      <c r="F2187" s="416"/>
      <c r="G2187" s="246" t="s">
        <v>31</v>
      </c>
    </row>
    <row r="2188" spans="1:7" ht="15" thickBot="1" x14ac:dyDescent="0.25">
      <c r="A2188" s="248"/>
      <c r="B2188" s="420"/>
      <c r="C2188" s="420"/>
      <c r="D2188" s="420"/>
      <c r="E2188" s="420"/>
      <c r="F2188" s="420"/>
      <c r="G2188" s="249">
        <f>SUM(F2184:F2186)</f>
        <v>13932.975</v>
      </c>
    </row>
    <row r="2189" spans="1:7" ht="15" thickBot="1" x14ac:dyDescent="0.25">
      <c r="A2189" s="1176" t="s">
        <v>1645</v>
      </c>
      <c r="B2189" s="1177"/>
      <c r="C2189" s="1177"/>
      <c r="D2189" s="1177"/>
      <c r="E2189" s="1177"/>
      <c r="F2189" s="1177"/>
      <c r="G2189" s="1178"/>
    </row>
    <row r="2190" spans="1:7" x14ac:dyDescent="0.2">
      <c r="A2190" s="242" t="s">
        <v>1643</v>
      </c>
      <c r="B2190" s="191" t="s">
        <v>1644</v>
      </c>
      <c r="C2190" s="190" t="s">
        <v>32</v>
      </c>
      <c r="D2190" s="190" t="s">
        <v>33</v>
      </c>
      <c r="E2190" s="190" t="s">
        <v>34</v>
      </c>
      <c r="F2190" s="190" t="s">
        <v>35</v>
      </c>
      <c r="G2190" s="243"/>
    </row>
    <row r="2191" spans="1:7" ht="36" x14ac:dyDescent="0.2">
      <c r="A2191" s="352" t="str">
        <f>VLOOKUP(B2191,PRECIOS!$A$5:$D$303,2,FALSE)</f>
        <v>CARPMETAL18</v>
      </c>
      <c r="B2191" s="105" t="s">
        <v>1812</v>
      </c>
      <c r="C2191" s="105" t="str">
        <f>VLOOKUP(B2191,PRECIOS!$A$5:$D$303,3,FALSE)</f>
        <v>und</v>
      </c>
      <c r="D2191" s="353">
        <f>VLOOKUP(B2191,PRECIOS!$A$5:$D$303,4,FALSE)</f>
        <v>2200000</v>
      </c>
      <c r="E2191" s="354">
        <v>1</v>
      </c>
      <c r="F2191" s="355">
        <f>+D2191*E2191</f>
        <v>2200000</v>
      </c>
      <c r="G2191" s="370"/>
    </row>
    <row r="2192" spans="1:7" x14ac:dyDescent="0.2">
      <c r="A2192" s="1179" t="s">
        <v>1649</v>
      </c>
      <c r="B2192" s="1180"/>
      <c r="C2192" s="214">
        <v>0.03</v>
      </c>
      <c r="D2192" s="417"/>
      <c r="E2192" s="418"/>
      <c r="F2192" s="276">
        <f>SUM(F2191:F2191)*C2192</f>
        <v>66000</v>
      </c>
      <c r="G2192" s="246"/>
    </row>
    <row r="2193" spans="1:7" x14ac:dyDescent="0.2">
      <c r="A2193" s="247"/>
      <c r="B2193" s="416"/>
      <c r="C2193" s="104"/>
      <c r="D2193" s="104"/>
      <c r="E2193" s="104"/>
      <c r="F2193" s="104"/>
      <c r="G2193" s="246" t="s">
        <v>31</v>
      </c>
    </row>
    <row r="2194" spans="1:7" ht="15" thickBot="1" x14ac:dyDescent="0.25">
      <c r="A2194" s="248"/>
      <c r="B2194" s="420"/>
      <c r="C2194" s="420"/>
      <c r="D2194" s="420"/>
      <c r="E2194" s="420"/>
      <c r="F2194" s="420"/>
      <c r="G2194" s="250">
        <f>SUM(F2191:F2192)</f>
        <v>2266000</v>
      </c>
    </row>
    <row r="2195" spans="1:7" ht="15" thickBot="1" x14ac:dyDescent="0.25">
      <c r="A2195" s="1176" t="s">
        <v>1646</v>
      </c>
      <c r="B2195" s="1177"/>
      <c r="C2195" s="1177"/>
      <c r="D2195" s="1177"/>
      <c r="E2195" s="1177"/>
      <c r="F2195" s="1177"/>
      <c r="G2195" s="1178"/>
    </row>
    <row r="2196" spans="1:7" x14ac:dyDescent="0.2">
      <c r="A2196" s="251" t="s">
        <v>305</v>
      </c>
      <c r="B2196" s="190" t="s">
        <v>38</v>
      </c>
      <c r="C2196" s="190" t="s">
        <v>39</v>
      </c>
      <c r="D2196" s="190" t="s">
        <v>40</v>
      </c>
      <c r="E2196" s="190" t="s">
        <v>34</v>
      </c>
      <c r="F2196" s="190" t="s">
        <v>35</v>
      </c>
      <c r="G2196" s="243"/>
    </row>
    <row r="2197" spans="1:7" x14ac:dyDescent="0.2">
      <c r="A2197" s="369"/>
      <c r="B2197" s="89"/>
      <c r="C2197" s="209"/>
      <c r="D2197" s="199"/>
      <c r="E2197" s="367"/>
      <c r="F2197" s="234"/>
      <c r="G2197" s="253"/>
    </row>
    <row r="2198" spans="1:7" x14ac:dyDescent="0.2">
      <c r="A2198" s="252"/>
      <c r="B2198" s="235"/>
      <c r="C2198" s="238"/>
      <c r="D2198" s="236"/>
      <c r="E2198" s="237"/>
      <c r="F2198" s="239"/>
      <c r="G2198" s="253"/>
    </row>
    <row r="2199" spans="1:7" x14ac:dyDescent="0.2">
      <c r="A2199" s="247" t="s">
        <v>25</v>
      </c>
      <c r="B2199" s="104" t="s">
        <v>25</v>
      </c>
      <c r="C2199" s="104" t="s">
        <v>25</v>
      </c>
      <c r="D2199" s="188" t="s">
        <v>25</v>
      </c>
      <c r="E2199" s="189" t="s">
        <v>25</v>
      </c>
      <c r="F2199" s="187" t="s">
        <v>25</v>
      </c>
      <c r="G2199" s="246" t="s">
        <v>31</v>
      </c>
    </row>
    <row r="2200" spans="1:7" ht="15" thickBot="1" x14ac:dyDescent="0.25">
      <c r="A2200" s="248"/>
      <c r="B2200" s="420"/>
      <c r="C2200" s="420"/>
      <c r="D2200" s="420"/>
      <c r="E2200" s="420"/>
      <c r="F2200" s="420"/>
      <c r="G2200" s="250">
        <f>SUM(F2197:F2198)</f>
        <v>0</v>
      </c>
    </row>
    <row r="2201" spans="1:7" ht="15" thickBot="1" x14ac:dyDescent="0.25">
      <c r="A2201" s="1176" t="s">
        <v>1647</v>
      </c>
      <c r="B2201" s="1177"/>
      <c r="C2201" s="1177"/>
      <c r="D2201" s="1177"/>
      <c r="E2201" s="1177"/>
      <c r="F2201" s="1177"/>
      <c r="G2201" s="1178"/>
    </row>
    <row r="2202" spans="1:7" ht="24" x14ac:dyDescent="0.2">
      <c r="A2202" s="254" t="s">
        <v>1681</v>
      </c>
      <c r="B2202" s="190" t="s">
        <v>42</v>
      </c>
      <c r="C2202" s="190" t="s">
        <v>43</v>
      </c>
      <c r="D2202" s="190" t="s">
        <v>44</v>
      </c>
      <c r="E2202" s="190" t="s">
        <v>306</v>
      </c>
      <c r="F2202" s="190" t="s">
        <v>29</v>
      </c>
      <c r="G2202" s="243"/>
    </row>
    <row r="2203" spans="1:7" ht="36" x14ac:dyDescent="0.2">
      <c r="A2203" s="255" t="s">
        <v>1674</v>
      </c>
      <c r="B2203" s="202">
        <f>VLOOKUP(A2203,JORNALES!$A$5:$B$28,2,FALSE)</f>
        <v>215000</v>
      </c>
      <c r="C2203" s="233">
        <f>+PRESTACIONES!$C$20/100</f>
        <v>0.89990000000000014</v>
      </c>
      <c r="D2203" s="234">
        <f>+(B2203*C2203)+B2203</f>
        <v>408478.5</v>
      </c>
      <c r="E2203" s="421">
        <v>3</v>
      </c>
      <c r="F2203" s="199">
        <f>+D2203/E2203</f>
        <v>136159.5</v>
      </c>
      <c r="G2203" s="246"/>
    </row>
    <row r="2204" spans="1:7" x14ac:dyDescent="0.2">
      <c r="A2204" s="247"/>
      <c r="B2204" s="416"/>
      <c r="C2204" s="416"/>
      <c r="D2204" s="416"/>
      <c r="E2204" s="416"/>
      <c r="F2204" s="416"/>
      <c r="G2204" s="246" t="s">
        <v>31</v>
      </c>
    </row>
    <row r="2205" spans="1:7" x14ac:dyDescent="0.2">
      <c r="A2205" s="247"/>
      <c r="B2205" s="416"/>
      <c r="C2205" s="416"/>
      <c r="D2205" s="416"/>
      <c r="E2205" s="416"/>
      <c r="F2205" s="416"/>
      <c r="G2205" s="256">
        <f>SUM(F2203:F2203)</f>
        <v>136159.5</v>
      </c>
    </row>
    <row r="2206" spans="1:7" ht="15" thickBot="1" x14ac:dyDescent="0.25">
      <c r="A2206" s="1181" t="s">
        <v>25</v>
      </c>
      <c r="B2206" s="1182"/>
      <c r="C2206" s="1182"/>
      <c r="D2206" s="1182"/>
      <c r="E2206" s="1182"/>
      <c r="F2206" s="1182"/>
      <c r="G2206" s="1183"/>
    </row>
    <row r="2207" spans="1:7" ht="15" thickBot="1" x14ac:dyDescent="0.25">
      <c r="A2207" s="1184" t="s">
        <v>45</v>
      </c>
      <c r="B2207" s="1185"/>
      <c r="C2207" s="1185"/>
      <c r="D2207" s="1185"/>
      <c r="E2207" s="1185"/>
      <c r="F2207" s="192"/>
      <c r="G2207" s="277">
        <f xml:space="preserve"> ROUND(G2205+G2200+G2194+G2188,0)</f>
        <v>2416092</v>
      </c>
    </row>
    <row r="2208" spans="1:7" x14ac:dyDescent="0.2">
      <c r="A2208" s="1186" t="s">
        <v>476</v>
      </c>
      <c r="B2208" s="1187"/>
      <c r="C2208" s="1187"/>
      <c r="D2208" s="1187"/>
      <c r="E2208" s="1187"/>
      <c r="F2208" s="193" t="s">
        <v>51</v>
      </c>
      <c r="G2208" s="257" t="s">
        <v>307</v>
      </c>
    </row>
    <row r="2209" spans="1:7" x14ac:dyDescent="0.2">
      <c r="A2209" s="1166" t="s">
        <v>17</v>
      </c>
      <c r="B2209" s="1167"/>
      <c r="C2209" s="1167"/>
      <c r="D2209" s="1167"/>
      <c r="E2209" s="1167"/>
      <c r="F2209" s="240"/>
      <c r="G2209" s="196"/>
    </row>
    <row r="2210" spans="1:7" x14ac:dyDescent="0.2">
      <c r="A2210" s="1166" t="s">
        <v>308</v>
      </c>
      <c r="B2210" s="1167"/>
      <c r="C2210" s="1167"/>
      <c r="D2210" s="1167"/>
      <c r="E2210" s="1167"/>
      <c r="F2210" s="240"/>
      <c r="G2210" s="196"/>
    </row>
    <row r="2211" spans="1:7" x14ac:dyDescent="0.2">
      <c r="A2211" s="1166" t="s">
        <v>19</v>
      </c>
      <c r="B2211" s="1167"/>
      <c r="C2211" s="1167"/>
      <c r="D2211" s="1167"/>
      <c r="E2211" s="1167"/>
      <c r="F2211" s="240"/>
      <c r="G2211" s="196"/>
    </row>
    <row r="2212" spans="1:7" ht="15" thickBot="1" x14ac:dyDescent="0.25">
      <c r="A2212" s="1168" t="s">
        <v>309</v>
      </c>
      <c r="B2212" s="1169"/>
      <c r="C2212" s="1169"/>
      <c r="D2212" s="1169"/>
      <c r="E2212" s="1169"/>
      <c r="F2212" s="198"/>
      <c r="G2212" s="258"/>
    </row>
    <row r="2213" spans="1:7" ht="15" thickBot="1" x14ac:dyDescent="0.25">
      <c r="A2213" s="1170" t="s">
        <v>310</v>
      </c>
      <c r="B2213" s="1171"/>
      <c r="C2213" s="1171"/>
      <c r="D2213" s="1171"/>
      <c r="E2213" s="1171"/>
      <c r="F2213" s="1172"/>
      <c r="G2213" s="1173"/>
    </row>
    <row r="2214" spans="1:7" x14ac:dyDescent="0.2">
      <c r="A2214" s="413"/>
      <c r="B2214" s="414"/>
      <c r="C2214" s="414"/>
      <c r="D2214" s="414"/>
      <c r="E2214" s="414"/>
      <c r="F2214" s="193"/>
      <c r="G2214" s="260"/>
    </row>
    <row r="2215" spans="1:7" ht="15" thickBot="1" x14ac:dyDescent="0.25">
      <c r="A2215" s="261" t="s">
        <v>681</v>
      </c>
      <c r="B2215" s="262"/>
      <c r="C2215" s="262" t="s">
        <v>682</v>
      </c>
      <c r="D2215" s="262"/>
      <c r="E2215" s="262"/>
      <c r="F2215" s="262" t="s">
        <v>683</v>
      </c>
      <c r="G2215" s="263"/>
    </row>
    <row r="2216" spans="1:7" ht="15" thickBot="1" x14ac:dyDescent="0.25">
      <c r="A2216" s="1174" t="str">
        <f>+LIST_ACTIVIDADES!D82</f>
        <v>Ventana Corrediza (V1) en aluminio y vridrio 3+3 de 4,03 x 1,10mts, según diseños</v>
      </c>
      <c r="B2216" s="1175"/>
      <c r="C2216" s="1175"/>
      <c r="D2216" s="1175"/>
      <c r="E2216" s="1175"/>
      <c r="F2216" s="241" t="s">
        <v>24</v>
      </c>
      <c r="G2216" s="264" t="str">
        <f>+LIST_ACTIVIDADES!E82</f>
        <v>und</v>
      </c>
    </row>
    <row r="2217" spans="1:7" ht="15" thickBot="1" x14ac:dyDescent="0.25">
      <c r="A2217" s="1176" t="s">
        <v>1642</v>
      </c>
      <c r="B2217" s="1177"/>
      <c r="C2217" s="1177"/>
      <c r="D2217" s="1177"/>
      <c r="E2217" s="1177"/>
      <c r="F2217" s="1177"/>
      <c r="G2217" s="1178"/>
    </row>
    <row r="2218" spans="1:7" x14ac:dyDescent="0.2">
      <c r="A2218" s="242" t="s">
        <v>1643</v>
      </c>
      <c r="B2218" s="191" t="s">
        <v>1644</v>
      </c>
      <c r="C2218" s="190" t="s">
        <v>26</v>
      </c>
      <c r="D2218" s="190" t="s">
        <v>27</v>
      </c>
      <c r="E2218" s="190" t="s">
        <v>28</v>
      </c>
      <c r="F2218" s="190" t="s">
        <v>29</v>
      </c>
      <c r="G2218" s="243"/>
    </row>
    <row r="2219" spans="1:7" x14ac:dyDescent="0.2">
      <c r="A2219" s="362" t="str">
        <f>VLOOKUP(B2219,PRECIOS!$A$309:$E$485,2,FALSE)</f>
        <v>EQUIPO158</v>
      </c>
      <c r="B2219" s="363" t="s">
        <v>1699</v>
      </c>
      <c r="C2219" s="99" t="str">
        <f>VLOOKUP(B2219,PRECIOS!$A$309:$E$485,3,FALSE)</f>
        <v>Electrica</v>
      </c>
      <c r="D2219" s="364">
        <f>VLOOKUP(B2219,PRECIOS!$A$309:$E$485,5,FALSE)</f>
        <v>6250</v>
      </c>
      <c r="E2219" s="365">
        <v>0.9</v>
      </c>
      <c r="F2219" s="366">
        <f>+D2219*E2219</f>
        <v>5625</v>
      </c>
      <c r="G2219" s="245"/>
    </row>
    <row r="2220" spans="1:7" x14ac:dyDescent="0.2">
      <c r="A2220" s="362" t="str">
        <f>VLOOKUP(B2220,PRECIOS!$A$309:$E$485,2,FALSE)</f>
        <v>EQUIPO169</v>
      </c>
      <c r="B2220" s="363" t="s">
        <v>449</v>
      </c>
      <c r="C2220" s="99" t="str">
        <f>VLOOKUP(B2220,PRECIOS!$A$309:$E$485,3,FALSE)</f>
        <v>Estructura</v>
      </c>
      <c r="D2220" s="364">
        <f>VLOOKUP(B2220,PRECIOS!$A$309:$E$485,5,FALSE)</f>
        <v>1500</v>
      </c>
      <c r="E2220" s="365">
        <v>1</v>
      </c>
      <c r="F2220" s="366">
        <f>+D2220*E2220</f>
        <v>1500</v>
      </c>
      <c r="G2220" s="245"/>
    </row>
    <row r="2221" spans="1:7" x14ac:dyDescent="0.2">
      <c r="A2221" s="1179" t="s">
        <v>1650</v>
      </c>
      <c r="B2221" s="1180"/>
      <c r="C2221" s="214">
        <v>0.05</v>
      </c>
      <c r="D2221" s="213"/>
      <c r="E2221" s="418"/>
      <c r="F2221" s="212">
        <f>+G2240*C2221</f>
        <v>6807.9750000000004</v>
      </c>
      <c r="G2221" s="246"/>
    </row>
    <row r="2222" spans="1:7" x14ac:dyDescent="0.2">
      <c r="A2222" s="247" t="s">
        <v>25</v>
      </c>
      <c r="B2222" s="416"/>
      <c r="C2222" s="416"/>
      <c r="D2222" s="416"/>
      <c r="E2222" s="416"/>
      <c r="F2222" s="416"/>
      <c r="G2222" s="246" t="s">
        <v>31</v>
      </c>
    </row>
    <row r="2223" spans="1:7" ht="15" thickBot="1" x14ac:dyDescent="0.25">
      <c r="A2223" s="248"/>
      <c r="B2223" s="420"/>
      <c r="C2223" s="420"/>
      <c r="D2223" s="420"/>
      <c r="E2223" s="420"/>
      <c r="F2223" s="420"/>
      <c r="G2223" s="249">
        <f>SUM(F2219:F2221)</f>
        <v>13932.975</v>
      </c>
    </row>
    <row r="2224" spans="1:7" ht="15" thickBot="1" x14ac:dyDescent="0.25">
      <c r="A2224" s="1176" t="s">
        <v>1645</v>
      </c>
      <c r="B2224" s="1177"/>
      <c r="C2224" s="1177"/>
      <c r="D2224" s="1177"/>
      <c r="E2224" s="1177"/>
      <c r="F2224" s="1177"/>
      <c r="G2224" s="1178"/>
    </row>
    <row r="2225" spans="1:7" x14ac:dyDescent="0.2">
      <c r="A2225" s="242" t="s">
        <v>1643</v>
      </c>
      <c r="B2225" s="191" t="s">
        <v>1644</v>
      </c>
      <c r="C2225" s="190" t="s">
        <v>32</v>
      </c>
      <c r="D2225" s="190" t="s">
        <v>33</v>
      </c>
      <c r="E2225" s="190" t="s">
        <v>34</v>
      </c>
      <c r="F2225" s="190" t="s">
        <v>35</v>
      </c>
      <c r="G2225" s="243"/>
    </row>
    <row r="2226" spans="1:7" ht="36" x14ac:dyDescent="0.2">
      <c r="A2226" s="352" t="str">
        <f>VLOOKUP(B2226,PRECIOS!$A$5:$D$303,2,FALSE)</f>
        <v>CARPMETAL19</v>
      </c>
      <c r="B2226" s="105" t="s">
        <v>1832</v>
      </c>
      <c r="C2226" s="105" t="str">
        <f>VLOOKUP(B2226,PRECIOS!$A$5:$D$303,3,FALSE)</f>
        <v>und</v>
      </c>
      <c r="D2226" s="353">
        <f>VLOOKUP(B2226,PRECIOS!$A$5:$D$303,4,FALSE)</f>
        <v>2800000</v>
      </c>
      <c r="E2226" s="354">
        <v>1</v>
      </c>
      <c r="F2226" s="355">
        <f>+D2226*E2226</f>
        <v>2800000</v>
      </c>
      <c r="G2226" s="370"/>
    </row>
    <row r="2227" spans="1:7" x14ac:dyDescent="0.2">
      <c r="A2227" s="1179" t="s">
        <v>1649</v>
      </c>
      <c r="B2227" s="1180"/>
      <c r="C2227" s="214">
        <v>0.03</v>
      </c>
      <c r="D2227" s="417"/>
      <c r="E2227" s="418"/>
      <c r="F2227" s="276">
        <f>SUM(F2226:F2226)*C2227</f>
        <v>84000</v>
      </c>
      <c r="G2227" s="246"/>
    </row>
    <row r="2228" spans="1:7" x14ac:dyDescent="0.2">
      <c r="A2228" s="247"/>
      <c r="B2228" s="416"/>
      <c r="C2228" s="104"/>
      <c r="D2228" s="104"/>
      <c r="E2228" s="104"/>
      <c r="F2228" s="104"/>
      <c r="G2228" s="246" t="s">
        <v>31</v>
      </c>
    </row>
    <row r="2229" spans="1:7" ht="15" thickBot="1" x14ac:dyDescent="0.25">
      <c r="A2229" s="248"/>
      <c r="B2229" s="420"/>
      <c r="C2229" s="420"/>
      <c r="D2229" s="420"/>
      <c r="E2229" s="420"/>
      <c r="F2229" s="420"/>
      <c r="G2229" s="250">
        <f>SUM(F2226:F2227)</f>
        <v>2884000</v>
      </c>
    </row>
    <row r="2230" spans="1:7" ht="15" thickBot="1" x14ac:dyDescent="0.25">
      <c r="A2230" s="1176" t="s">
        <v>1646</v>
      </c>
      <c r="B2230" s="1177"/>
      <c r="C2230" s="1177"/>
      <c r="D2230" s="1177"/>
      <c r="E2230" s="1177"/>
      <c r="F2230" s="1177"/>
      <c r="G2230" s="1178"/>
    </row>
    <row r="2231" spans="1:7" x14ac:dyDescent="0.2">
      <c r="A2231" s="251" t="s">
        <v>305</v>
      </c>
      <c r="B2231" s="190" t="s">
        <v>38</v>
      </c>
      <c r="C2231" s="190" t="s">
        <v>39</v>
      </c>
      <c r="D2231" s="190" t="s">
        <v>40</v>
      </c>
      <c r="E2231" s="190" t="s">
        <v>34</v>
      </c>
      <c r="F2231" s="190" t="s">
        <v>35</v>
      </c>
      <c r="G2231" s="243"/>
    </row>
    <row r="2232" spans="1:7" x14ac:dyDescent="0.2">
      <c r="A2232" s="369"/>
      <c r="B2232" s="89"/>
      <c r="C2232" s="209"/>
      <c r="D2232" s="199"/>
      <c r="E2232" s="367"/>
      <c r="F2232" s="234"/>
      <c r="G2232" s="253"/>
    </row>
    <row r="2233" spans="1:7" x14ac:dyDescent="0.2">
      <c r="A2233" s="252"/>
      <c r="B2233" s="235"/>
      <c r="C2233" s="238"/>
      <c r="D2233" s="236"/>
      <c r="E2233" s="237"/>
      <c r="F2233" s="239"/>
      <c r="G2233" s="253"/>
    </row>
    <row r="2234" spans="1:7" x14ac:dyDescent="0.2">
      <c r="A2234" s="247" t="s">
        <v>25</v>
      </c>
      <c r="B2234" s="104" t="s">
        <v>25</v>
      </c>
      <c r="C2234" s="104" t="s">
        <v>25</v>
      </c>
      <c r="D2234" s="188" t="s">
        <v>25</v>
      </c>
      <c r="E2234" s="189" t="s">
        <v>25</v>
      </c>
      <c r="F2234" s="187" t="s">
        <v>25</v>
      </c>
      <c r="G2234" s="246" t="s">
        <v>31</v>
      </c>
    </row>
    <row r="2235" spans="1:7" ht="15" thickBot="1" x14ac:dyDescent="0.25">
      <c r="A2235" s="248"/>
      <c r="B2235" s="420"/>
      <c r="C2235" s="420"/>
      <c r="D2235" s="420"/>
      <c r="E2235" s="420"/>
      <c r="F2235" s="420"/>
      <c r="G2235" s="250">
        <f>SUM(F2232:F2233)</f>
        <v>0</v>
      </c>
    </row>
    <row r="2236" spans="1:7" ht="15" thickBot="1" x14ac:dyDescent="0.25">
      <c r="A2236" s="1176" t="s">
        <v>1647</v>
      </c>
      <c r="B2236" s="1177"/>
      <c r="C2236" s="1177"/>
      <c r="D2236" s="1177"/>
      <c r="E2236" s="1177"/>
      <c r="F2236" s="1177"/>
      <c r="G2236" s="1178"/>
    </row>
    <row r="2237" spans="1:7" ht="24" x14ac:dyDescent="0.2">
      <c r="A2237" s="254" t="s">
        <v>1681</v>
      </c>
      <c r="B2237" s="190" t="s">
        <v>42</v>
      </c>
      <c r="C2237" s="190" t="s">
        <v>43</v>
      </c>
      <c r="D2237" s="190" t="s">
        <v>44</v>
      </c>
      <c r="E2237" s="190" t="s">
        <v>306</v>
      </c>
      <c r="F2237" s="190" t="s">
        <v>29</v>
      </c>
      <c r="G2237" s="243"/>
    </row>
    <row r="2238" spans="1:7" ht="36" x14ac:dyDescent="0.2">
      <c r="A2238" s="255" t="s">
        <v>1674</v>
      </c>
      <c r="B2238" s="202">
        <f>VLOOKUP(A2238,JORNALES!$A$5:$B$28,2,FALSE)</f>
        <v>215000</v>
      </c>
      <c r="C2238" s="233">
        <f>+PRESTACIONES!$C$20/100</f>
        <v>0.89990000000000014</v>
      </c>
      <c r="D2238" s="234">
        <f>+(B2238*C2238)+B2238</f>
        <v>408478.5</v>
      </c>
      <c r="E2238" s="421">
        <v>3</v>
      </c>
      <c r="F2238" s="199">
        <f>+D2238/E2238</f>
        <v>136159.5</v>
      </c>
      <c r="G2238" s="246"/>
    </row>
    <row r="2239" spans="1:7" x14ac:dyDescent="0.2">
      <c r="A2239" s="247"/>
      <c r="B2239" s="416"/>
      <c r="C2239" s="416"/>
      <c r="D2239" s="416"/>
      <c r="E2239" s="416"/>
      <c r="F2239" s="416"/>
      <c r="G2239" s="246" t="s">
        <v>31</v>
      </c>
    </row>
    <row r="2240" spans="1:7" x14ac:dyDescent="0.2">
      <c r="A2240" s="247"/>
      <c r="B2240" s="416"/>
      <c r="C2240" s="416"/>
      <c r="D2240" s="416"/>
      <c r="E2240" s="416"/>
      <c r="F2240" s="416"/>
      <c r="G2240" s="256">
        <f>SUM(F2238:F2238)</f>
        <v>136159.5</v>
      </c>
    </row>
    <row r="2241" spans="1:7" ht="15" thickBot="1" x14ac:dyDescent="0.25">
      <c r="A2241" s="1181" t="s">
        <v>25</v>
      </c>
      <c r="B2241" s="1182"/>
      <c r="C2241" s="1182"/>
      <c r="D2241" s="1182"/>
      <c r="E2241" s="1182"/>
      <c r="F2241" s="1182"/>
      <c r="G2241" s="1183"/>
    </row>
    <row r="2242" spans="1:7" ht="15" thickBot="1" x14ac:dyDescent="0.25">
      <c r="A2242" s="1184" t="s">
        <v>45</v>
      </c>
      <c r="B2242" s="1185"/>
      <c r="C2242" s="1185"/>
      <c r="D2242" s="1185"/>
      <c r="E2242" s="1185"/>
      <c r="F2242" s="192"/>
      <c r="G2242" s="277">
        <f xml:space="preserve"> ROUND(G2240+G2235+G2229+G2223,0)</f>
        <v>3034092</v>
      </c>
    </row>
    <row r="2243" spans="1:7" x14ac:dyDescent="0.2">
      <c r="A2243" s="1186" t="s">
        <v>476</v>
      </c>
      <c r="B2243" s="1187"/>
      <c r="C2243" s="1187"/>
      <c r="D2243" s="1187"/>
      <c r="E2243" s="1187"/>
      <c r="F2243" s="193" t="s">
        <v>51</v>
      </c>
      <c r="G2243" s="257" t="s">
        <v>307</v>
      </c>
    </row>
    <row r="2244" spans="1:7" x14ac:dyDescent="0.2">
      <c r="A2244" s="1166" t="s">
        <v>17</v>
      </c>
      <c r="B2244" s="1167"/>
      <c r="C2244" s="1167"/>
      <c r="D2244" s="1167"/>
      <c r="E2244" s="1167"/>
      <c r="F2244" s="240"/>
      <c r="G2244" s="196"/>
    </row>
    <row r="2245" spans="1:7" x14ac:dyDescent="0.2">
      <c r="A2245" s="1166" t="s">
        <v>308</v>
      </c>
      <c r="B2245" s="1167"/>
      <c r="C2245" s="1167"/>
      <c r="D2245" s="1167"/>
      <c r="E2245" s="1167"/>
      <c r="F2245" s="240"/>
      <c r="G2245" s="196"/>
    </row>
    <row r="2246" spans="1:7" x14ac:dyDescent="0.2">
      <c r="A2246" s="1166" t="s">
        <v>19</v>
      </c>
      <c r="B2246" s="1167"/>
      <c r="C2246" s="1167"/>
      <c r="D2246" s="1167"/>
      <c r="E2246" s="1167"/>
      <c r="F2246" s="240"/>
      <c r="G2246" s="196"/>
    </row>
    <row r="2247" spans="1:7" ht="15" thickBot="1" x14ac:dyDescent="0.25">
      <c r="A2247" s="1168" t="s">
        <v>309</v>
      </c>
      <c r="B2247" s="1169"/>
      <c r="C2247" s="1169"/>
      <c r="D2247" s="1169"/>
      <c r="E2247" s="1169"/>
      <c r="F2247" s="198"/>
      <c r="G2247" s="258"/>
    </row>
    <row r="2248" spans="1:7" ht="15" thickBot="1" x14ac:dyDescent="0.25">
      <c r="A2248" s="1170" t="s">
        <v>310</v>
      </c>
      <c r="B2248" s="1171"/>
      <c r="C2248" s="1171"/>
      <c r="D2248" s="1171"/>
      <c r="E2248" s="1171"/>
      <c r="F2248" s="1172"/>
      <c r="G2248" s="1173"/>
    </row>
    <row r="2249" spans="1:7" x14ac:dyDescent="0.2">
      <c r="A2249" s="413"/>
      <c r="B2249" s="414"/>
      <c r="C2249" s="414"/>
      <c r="D2249" s="414"/>
      <c r="E2249" s="414"/>
      <c r="F2249" s="193"/>
      <c r="G2249" s="260"/>
    </row>
    <row r="2250" spans="1:7" ht="15" thickBot="1" x14ac:dyDescent="0.25">
      <c r="A2250" s="261" t="s">
        <v>681</v>
      </c>
      <c r="B2250" s="262"/>
      <c r="C2250" s="262" t="s">
        <v>682</v>
      </c>
      <c r="D2250" s="262"/>
      <c r="E2250" s="262"/>
      <c r="F2250" s="262" t="s">
        <v>683</v>
      </c>
      <c r="G2250" s="263"/>
    </row>
    <row r="2251" spans="1:7" ht="15" thickBot="1" x14ac:dyDescent="0.25">
      <c r="A2251" s="1174" t="str">
        <f>+LIST_ACTIVIDADES!D83</f>
        <v>Ventana Corrediza (V2) en aluminio y vridrio 3+3 de 2,00 x 1,10mts, según diseños</v>
      </c>
      <c r="B2251" s="1175"/>
      <c r="C2251" s="1175"/>
      <c r="D2251" s="1175"/>
      <c r="E2251" s="1175"/>
      <c r="F2251" s="241" t="s">
        <v>24</v>
      </c>
      <c r="G2251" s="264" t="str">
        <f>+LIST_ACTIVIDADES!E83</f>
        <v>und</v>
      </c>
    </row>
    <row r="2252" spans="1:7" ht="15" thickBot="1" x14ac:dyDescent="0.25">
      <c r="A2252" s="1176" t="s">
        <v>1642</v>
      </c>
      <c r="B2252" s="1177"/>
      <c r="C2252" s="1177"/>
      <c r="D2252" s="1177"/>
      <c r="E2252" s="1177"/>
      <c r="F2252" s="1177"/>
      <c r="G2252" s="1178"/>
    </row>
    <row r="2253" spans="1:7" x14ac:dyDescent="0.2">
      <c r="A2253" s="242" t="s">
        <v>1643</v>
      </c>
      <c r="B2253" s="191" t="s">
        <v>1644</v>
      </c>
      <c r="C2253" s="190" t="s">
        <v>26</v>
      </c>
      <c r="D2253" s="190" t="s">
        <v>27</v>
      </c>
      <c r="E2253" s="190" t="s">
        <v>28</v>
      </c>
      <c r="F2253" s="190" t="s">
        <v>29</v>
      </c>
      <c r="G2253" s="243"/>
    </row>
    <row r="2254" spans="1:7" x14ac:dyDescent="0.2">
      <c r="A2254" s="362" t="str">
        <f>VLOOKUP(B2254,PRECIOS!$A$309:$E$485,2,FALSE)</f>
        <v>EQUIPO158</v>
      </c>
      <c r="B2254" s="363" t="s">
        <v>1699</v>
      </c>
      <c r="C2254" s="99" t="str">
        <f>VLOOKUP(B2254,PRECIOS!$A$309:$E$485,3,FALSE)</f>
        <v>Electrica</v>
      </c>
      <c r="D2254" s="364">
        <f>VLOOKUP(B2254,PRECIOS!$A$309:$E$485,5,FALSE)</f>
        <v>6250</v>
      </c>
      <c r="E2254" s="365">
        <v>0.9</v>
      </c>
      <c r="F2254" s="366">
        <f>+D2254*E2254</f>
        <v>5625</v>
      </c>
      <c r="G2254" s="245"/>
    </row>
    <row r="2255" spans="1:7" x14ac:dyDescent="0.2">
      <c r="A2255" s="362" t="str">
        <f>VLOOKUP(B2255,PRECIOS!$A$309:$E$485,2,FALSE)</f>
        <v>EQUIPO169</v>
      </c>
      <c r="B2255" s="363" t="s">
        <v>449</v>
      </c>
      <c r="C2255" s="99" t="str">
        <f>VLOOKUP(B2255,PRECIOS!$A$309:$E$485,3,FALSE)</f>
        <v>Estructura</v>
      </c>
      <c r="D2255" s="364">
        <f>VLOOKUP(B2255,PRECIOS!$A$309:$E$485,5,FALSE)</f>
        <v>1500</v>
      </c>
      <c r="E2255" s="365">
        <v>1</v>
      </c>
      <c r="F2255" s="366">
        <f>+D2255*E2255</f>
        <v>1500</v>
      </c>
      <c r="G2255" s="245"/>
    </row>
    <row r="2256" spans="1:7" x14ac:dyDescent="0.2">
      <c r="A2256" s="1179" t="s">
        <v>1650</v>
      </c>
      <c r="B2256" s="1180"/>
      <c r="C2256" s="214">
        <v>0.05</v>
      </c>
      <c r="D2256" s="213"/>
      <c r="E2256" s="418"/>
      <c r="F2256" s="212">
        <f>+G2275*C2256</f>
        <v>6807.9750000000004</v>
      </c>
      <c r="G2256" s="246"/>
    </row>
    <row r="2257" spans="1:7" x14ac:dyDescent="0.2">
      <c r="A2257" s="247" t="s">
        <v>25</v>
      </c>
      <c r="B2257" s="416"/>
      <c r="C2257" s="416"/>
      <c r="D2257" s="416"/>
      <c r="E2257" s="416"/>
      <c r="F2257" s="416"/>
      <c r="G2257" s="246" t="s">
        <v>31</v>
      </c>
    </row>
    <row r="2258" spans="1:7" ht="15" thickBot="1" x14ac:dyDescent="0.25">
      <c r="A2258" s="248"/>
      <c r="B2258" s="420"/>
      <c r="C2258" s="420"/>
      <c r="D2258" s="420"/>
      <c r="E2258" s="420"/>
      <c r="F2258" s="420"/>
      <c r="G2258" s="249">
        <f>SUM(F2254:F2256)</f>
        <v>13932.975</v>
      </c>
    </row>
    <row r="2259" spans="1:7" ht="15" thickBot="1" x14ac:dyDescent="0.25">
      <c r="A2259" s="1176" t="s">
        <v>1645</v>
      </c>
      <c r="B2259" s="1177"/>
      <c r="C2259" s="1177"/>
      <c r="D2259" s="1177"/>
      <c r="E2259" s="1177"/>
      <c r="F2259" s="1177"/>
      <c r="G2259" s="1178"/>
    </row>
    <row r="2260" spans="1:7" x14ac:dyDescent="0.2">
      <c r="A2260" s="242" t="s">
        <v>1643</v>
      </c>
      <c r="B2260" s="191" t="s">
        <v>1644</v>
      </c>
      <c r="C2260" s="190" t="s">
        <v>32</v>
      </c>
      <c r="D2260" s="190" t="s">
        <v>33</v>
      </c>
      <c r="E2260" s="190" t="s">
        <v>34</v>
      </c>
      <c r="F2260" s="190" t="s">
        <v>35</v>
      </c>
      <c r="G2260" s="243"/>
    </row>
    <row r="2261" spans="1:7" ht="36" x14ac:dyDescent="0.2">
      <c r="A2261" s="352" t="str">
        <f>VLOOKUP(B2261,PRECIOS!$A$5:$D$303,2,FALSE)</f>
        <v>CARPMETAL20</v>
      </c>
      <c r="B2261" s="105" t="s">
        <v>1833</v>
      </c>
      <c r="C2261" s="105" t="str">
        <f>VLOOKUP(B2261,PRECIOS!$A$5:$D$303,3,FALSE)</f>
        <v>und</v>
      </c>
      <c r="D2261" s="353">
        <f>VLOOKUP(B2261,PRECIOS!$A$5:$D$303,4,FALSE)</f>
        <v>1200000</v>
      </c>
      <c r="E2261" s="354">
        <v>1</v>
      </c>
      <c r="F2261" s="355">
        <f>+D2261*E2261</f>
        <v>1200000</v>
      </c>
      <c r="G2261" s="370"/>
    </row>
    <row r="2262" spans="1:7" x14ac:dyDescent="0.2">
      <c r="A2262" s="1179" t="s">
        <v>1649</v>
      </c>
      <c r="B2262" s="1180"/>
      <c r="C2262" s="214">
        <v>0.03</v>
      </c>
      <c r="D2262" s="417"/>
      <c r="E2262" s="418"/>
      <c r="F2262" s="276">
        <f>SUM(F2261:F2261)*C2262</f>
        <v>36000</v>
      </c>
      <c r="G2262" s="246"/>
    </row>
    <row r="2263" spans="1:7" x14ac:dyDescent="0.2">
      <c r="A2263" s="247"/>
      <c r="B2263" s="416"/>
      <c r="C2263" s="104"/>
      <c r="D2263" s="104"/>
      <c r="E2263" s="104"/>
      <c r="F2263" s="104"/>
      <c r="G2263" s="246" t="s">
        <v>31</v>
      </c>
    </row>
    <row r="2264" spans="1:7" ht="15" thickBot="1" x14ac:dyDescent="0.25">
      <c r="A2264" s="248"/>
      <c r="B2264" s="420"/>
      <c r="C2264" s="420"/>
      <c r="D2264" s="420"/>
      <c r="E2264" s="420"/>
      <c r="F2264" s="420"/>
      <c r="G2264" s="250">
        <f>SUM(F2261:F2262)</f>
        <v>1236000</v>
      </c>
    </row>
    <row r="2265" spans="1:7" ht="15" thickBot="1" x14ac:dyDescent="0.25">
      <c r="A2265" s="1176" t="s">
        <v>1646</v>
      </c>
      <c r="B2265" s="1177"/>
      <c r="C2265" s="1177"/>
      <c r="D2265" s="1177"/>
      <c r="E2265" s="1177"/>
      <c r="F2265" s="1177"/>
      <c r="G2265" s="1178"/>
    </row>
    <row r="2266" spans="1:7" x14ac:dyDescent="0.2">
      <c r="A2266" s="251" t="s">
        <v>305</v>
      </c>
      <c r="B2266" s="190" t="s">
        <v>38</v>
      </c>
      <c r="C2266" s="190" t="s">
        <v>39</v>
      </c>
      <c r="D2266" s="190" t="s">
        <v>40</v>
      </c>
      <c r="E2266" s="190" t="s">
        <v>34</v>
      </c>
      <c r="F2266" s="190" t="s">
        <v>35</v>
      </c>
      <c r="G2266" s="243"/>
    </row>
    <row r="2267" spans="1:7" x14ac:dyDescent="0.2">
      <c r="A2267" s="369"/>
      <c r="B2267" s="89"/>
      <c r="C2267" s="209"/>
      <c r="D2267" s="199"/>
      <c r="E2267" s="367"/>
      <c r="F2267" s="234"/>
      <c r="G2267" s="253"/>
    </row>
    <row r="2268" spans="1:7" x14ac:dyDescent="0.2">
      <c r="A2268" s="252"/>
      <c r="B2268" s="235"/>
      <c r="C2268" s="238"/>
      <c r="D2268" s="236"/>
      <c r="E2268" s="237"/>
      <c r="F2268" s="239"/>
      <c r="G2268" s="253"/>
    </row>
    <row r="2269" spans="1:7" x14ac:dyDescent="0.2">
      <c r="A2269" s="247" t="s">
        <v>25</v>
      </c>
      <c r="B2269" s="104" t="s">
        <v>25</v>
      </c>
      <c r="C2269" s="104" t="s">
        <v>25</v>
      </c>
      <c r="D2269" s="188" t="s">
        <v>25</v>
      </c>
      <c r="E2269" s="189" t="s">
        <v>25</v>
      </c>
      <c r="F2269" s="187" t="s">
        <v>25</v>
      </c>
      <c r="G2269" s="246" t="s">
        <v>31</v>
      </c>
    </row>
    <row r="2270" spans="1:7" ht="15" thickBot="1" x14ac:dyDescent="0.25">
      <c r="A2270" s="248"/>
      <c r="B2270" s="420"/>
      <c r="C2270" s="420"/>
      <c r="D2270" s="420"/>
      <c r="E2270" s="420"/>
      <c r="F2270" s="420"/>
      <c r="G2270" s="250">
        <f>SUM(F2267:F2268)</f>
        <v>0</v>
      </c>
    </row>
    <row r="2271" spans="1:7" ht="15" thickBot="1" x14ac:dyDescent="0.25">
      <c r="A2271" s="1176" t="s">
        <v>1647</v>
      </c>
      <c r="B2271" s="1177"/>
      <c r="C2271" s="1177"/>
      <c r="D2271" s="1177"/>
      <c r="E2271" s="1177"/>
      <c r="F2271" s="1177"/>
      <c r="G2271" s="1178"/>
    </row>
    <row r="2272" spans="1:7" ht="24" x14ac:dyDescent="0.2">
      <c r="A2272" s="254" t="s">
        <v>1681</v>
      </c>
      <c r="B2272" s="190" t="s">
        <v>42</v>
      </c>
      <c r="C2272" s="190" t="s">
        <v>43</v>
      </c>
      <c r="D2272" s="190" t="s">
        <v>44</v>
      </c>
      <c r="E2272" s="190" t="s">
        <v>306</v>
      </c>
      <c r="F2272" s="190" t="s">
        <v>29</v>
      </c>
      <c r="G2272" s="243"/>
    </row>
    <row r="2273" spans="1:7" ht="36" x14ac:dyDescent="0.2">
      <c r="A2273" s="255" t="s">
        <v>1674</v>
      </c>
      <c r="B2273" s="202">
        <f>VLOOKUP(A2273,JORNALES!$A$5:$B$28,2,FALSE)</f>
        <v>215000</v>
      </c>
      <c r="C2273" s="233">
        <f>+PRESTACIONES!$C$20/100</f>
        <v>0.89990000000000014</v>
      </c>
      <c r="D2273" s="234">
        <f>+(B2273*C2273)+B2273</f>
        <v>408478.5</v>
      </c>
      <c r="E2273" s="421">
        <v>3</v>
      </c>
      <c r="F2273" s="199">
        <f>+D2273/E2273</f>
        <v>136159.5</v>
      </c>
      <c r="G2273" s="246"/>
    </row>
    <row r="2274" spans="1:7" x14ac:dyDescent="0.2">
      <c r="A2274" s="247"/>
      <c r="B2274" s="416"/>
      <c r="C2274" s="416"/>
      <c r="D2274" s="416"/>
      <c r="E2274" s="416"/>
      <c r="F2274" s="416"/>
      <c r="G2274" s="246" t="s">
        <v>31</v>
      </c>
    </row>
    <row r="2275" spans="1:7" x14ac:dyDescent="0.2">
      <c r="A2275" s="247"/>
      <c r="B2275" s="416"/>
      <c r="C2275" s="416"/>
      <c r="D2275" s="416"/>
      <c r="E2275" s="416"/>
      <c r="F2275" s="416"/>
      <c r="G2275" s="256">
        <f>SUM(F2273:F2273)</f>
        <v>136159.5</v>
      </c>
    </row>
    <row r="2276" spans="1:7" ht="15" thickBot="1" x14ac:dyDescent="0.25">
      <c r="A2276" s="1181" t="s">
        <v>25</v>
      </c>
      <c r="B2276" s="1182"/>
      <c r="C2276" s="1182"/>
      <c r="D2276" s="1182"/>
      <c r="E2276" s="1182"/>
      <c r="F2276" s="1182"/>
      <c r="G2276" s="1183"/>
    </row>
    <row r="2277" spans="1:7" ht="15" thickBot="1" x14ac:dyDescent="0.25">
      <c r="A2277" s="1184" t="s">
        <v>45</v>
      </c>
      <c r="B2277" s="1185"/>
      <c r="C2277" s="1185"/>
      <c r="D2277" s="1185"/>
      <c r="E2277" s="1185"/>
      <c r="F2277" s="192"/>
      <c r="G2277" s="277">
        <f xml:space="preserve"> ROUND(G2275+G2270+G2264+G2258,0)</f>
        <v>1386092</v>
      </c>
    </row>
    <row r="2278" spans="1:7" x14ac:dyDescent="0.2">
      <c r="A2278" s="1186" t="s">
        <v>476</v>
      </c>
      <c r="B2278" s="1187"/>
      <c r="C2278" s="1187"/>
      <c r="D2278" s="1187"/>
      <c r="E2278" s="1187"/>
      <c r="F2278" s="193" t="s">
        <v>51</v>
      </c>
      <c r="G2278" s="257" t="s">
        <v>307</v>
      </c>
    </row>
    <row r="2279" spans="1:7" x14ac:dyDescent="0.2">
      <c r="A2279" s="1166" t="s">
        <v>17</v>
      </c>
      <c r="B2279" s="1167"/>
      <c r="C2279" s="1167"/>
      <c r="D2279" s="1167"/>
      <c r="E2279" s="1167"/>
      <c r="F2279" s="240"/>
      <c r="G2279" s="196"/>
    </row>
    <row r="2280" spans="1:7" x14ac:dyDescent="0.2">
      <c r="A2280" s="1166" t="s">
        <v>308</v>
      </c>
      <c r="B2280" s="1167"/>
      <c r="C2280" s="1167"/>
      <c r="D2280" s="1167"/>
      <c r="E2280" s="1167"/>
      <c r="F2280" s="240"/>
      <c r="G2280" s="196"/>
    </row>
    <row r="2281" spans="1:7" x14ac:dyDescent="0.2">
      <c r="A2281" s="1166" t="s">
        <v>19</v>
      </c>
      <c r="B2281" s="1167"/>
      <c r="C2281" s="1167"/>
      <c r="D2281" s="1167"/>
      <c r="E2281" s="1167"/>
      <c r="F2281" s="240"/>
      <c r="G2281" s="196"/>
    </row>
    <row r="2282" spans="1:7" ht="15" thickBot="1" x14ac:dyDescent="0.25">
      <c r="A2282" s="1168" t="s">
        <v>309</v>
      </c>
      <c r="B2282" s="1169"/>
      <c r="C2282" s="1169"/>
      <c r="D2282" s="1169"/>
      <c r="E2282" s="1169"/>
      <c r="F2282" s="198"/>
      <c r="G2282" s="258"/>
    </row>
    <row r="2283" spans="1:7" ht="15" thickBot="1" x14ac:dyDescent="0.25">
      <c r="A2283" s="1170" t="s">
        <v>310</v>
      </c>
      <c r="B2283" s="1171"/>
      <c r="C2283" s="1171"/>
      <c r="D2283" s="1171"/>
      <c r="E2283" s="1171"/>
      <c r="F2283" s="1172"/>
      <c r="G2283" s="1173"/>
    </row>
    <row r="2284" spans="1:7" x14ac:dyDescent="0.2">
      <c r="A2284" s="413"/>
      <c r="B2284" s="414"/>
      <c r="C2284" s="414"/>
      <c r="D2284" s="414"/>
      <c r="E2284" s="414"/>
      <c r="F2284" s="193"/>
      <c r="G2284" s="260"/>
    </row>
    <row r="2285" spans="1:7" ht="15" thickBot="1" x14ac:dyDescent="0.25">
      <c r="A2285" s="261" t="s">
        <v>681</v>
      </c>
      <c r="B2285" s="262"/>
      <c r="C2285" s="262" t="s">
        <v>682</v>
      </c>
      <c r="D2285" s="262"/>
      <c r="E2285" s="262"/>
      <c r="F2285" s="262" t="s">
        <v>683</v>
      </c>
      <c r="G2285" s="263"/>
    </row>
    <row r="2286" spans="1:7" ht="15" thickBot="1" x14ac:dyDescent="0.25">
      <c r="A2286" s="1174" t="str">
        <f>+LIST_ACTIVIDADES!D84</f>
        <v>Ventana Corrediza (V3) en aluminio y vridrio 3+3 de 1,20 x 1,10mts, según diseños</v>
      </c>
      <c r="B2286" s="1175"/>
      <c r="C2286" s="1175"/>
      <c r="D2286" s="1175"/>
      <c r="E2286" s="1175"/>
      <c r="F2286" s="241" t="s">
        <v>24</v>
      </c>
      <c r="G2286" s="264" t="str">
        <f>+LIST_ACTIVIDADES!E84</f>
        <v>und</v>
      </c>
    </row>
    <row r="2287" spans="1:7" ht="15" thickBot="1" x14ac:dyDescent="0.25">
      <c r="A2287" s="1176" t="s">
        <v>1642</v>
      </c>
      <c r="B2287" s="1177"/>
      <c r="C2287" s="1177"/>
      <c r="D2287" s="1177"/>
      <c r="E2287" s="1177"/>
      <c r="F2287" s="1177"/>
      <c r="G2287" s="1178"/>
    </row>
    <row r="2288" spans="1:7" x14ac:dyDescent="0.2">
      <c r="A2288" s="242" t="s">
        <v>1643</v>
      </c>
      <c r="B2288" s="191" t="s">
        <v>1644</v>
      </c>
      <c r="C2288" s="190" t="s">
        <v>26</v>
      </c>
      <c r="D2288" s="190" t="s">
        <v>27</v>
      </c>
      <c r="E2288" s="190" t="s">
        <v>28</v>
      </c>
      <c r="F2288" s="190" t="s">
        <v>29</v>
      </c>
      <c r="G2288" s="243"/>
    </row>
    <row r="2289" spans="1:7" x14ac:dyDescent="0.2">
      <c r="A2289" s="362" t="str">
        <f>VLOOKUP(B2289,PRECIOS!$A$309:$E$485,2,FALSE)</f>
        <v>EQUIPO158</v>
      </c>
      <c r="B2289" s="363" t="s">
        <v>1699</v>
      </c>
      <c r="C2289" s="99" t="str">
        <f>VLOOKUP(B2289,PRECIOS!$A$309:$E$485,3,FALSE)</f>
        <v>Electrica</v>
      </c>
      <c r="D2289" s="364">
        <f>VLOOKUP(B2289,PRECIOS!$A$309:$E$485,5,FALSE)</f>
        <v>6250</v>
      </c>
      <c r="E2289" s="365">
        <v>0.9</v>
      </c>
      <c r="F2289" s="366">
        <f>+D2289*E2289</f>
        <v>5625</v>
      </c>
      <c r="G2289" s="245"/>
    </row>
    <row r="2290" spans="1:7" x14ac:dyDescent="0.2">
      <c r="A2290" s="362" t="str">
        <f>VLOOKUP(B2290,PRECIOS!$A$309:$E$485,2,FALSE)</f>
        <v>EQUIPO169</v>
      </c>
      <c r="B2290" s="363" t="s">
        <v>449</v>
      </c>
      <c r="C2290" s="99" t="str">
        <f>VLOOKUP(B2290,PRECIOS!$A$309:$E$485,3,FALSE)</f>
        <v>Estructura</v>
      </c>
      <c r="D2290" s="364">
        <f>VLOOKUP(B2290,PRECIOS!$A$309:$E$485,5,FALSE)</f>
        <v>1500</v>
      </c>
      <c r="E2290" s="365">
        <v>1</v>
      </c>
      <c r="F2290" s="366">
        <f>+D2290*E2290</f>
        <v>1500</v>
      </c>
      <c r="G2290" s="245"/>
    </row>
    <row r="2291" spans="1:7" x14ac:dyDescent="0.2">
      <c r="A2291" s="1179" t="s">
        <v>1650</v>
      </c>
      <c r="B2291" s="1180"/>
      <c r="C2291" s="214">
        <v>0.05</v>
      </c>
      <c r="D2291" s="213"/>
      <c r="E2291" s="418"/>
      <c r="F2291" s="212">
        <f>+G2310*C2291</f>
        <v>6807.9750000000004</v>
      </c>
      <c r="G2291" s="246"/>
    </row>
    <row r="2292" spans="1:7" x14ac:dyDescent="0.2">
      <c r="A2292" s="247" t="s">
        <v>25</v>
      </c>
      <c r="B2292" s="416"/>
      <c r="C2292" s="416"/>
      <c r="D2292" s="416"/>
      <c r="E2292" s="416"/>
      <c r="F2292" s="416"/>
      <c r="G2292" s="246" t="s">
        <v>31</v>
      </c>
    </row>
    <row r="2293" spans="1:7" ht="15" thickBot="1" x14ac:dyDescent="0.25">
      <c r="A2293" s="248"/>
      <c r="B2293" s="420"/>
      <c r="C2293" s="420"/>
      <c r="D2293" s="420"/>
      <c r="E2293" s="420"/>
      <c r="F2293" s="420"/>
      <c r="G2293" s="249">
        <f>SUM(F2289:F2291)</f>
        <v>13932.975</v>
      </c>
    </row>
    <row r="2294" spans="1:7" ht="15" thickBot="1" x14ac:dyDescent="0.25">
      <c r="A2294" s="1176" t="s">
        <v>1645</v>
      </c>
      <c r="B2294" s="1177"/>
      <c r="C2294" s="1177"/>
      <c r="D2294" s="1177"/>
      <c r="E2294" s="1177"/>
      <c r="F2294" s="1177"/>
      <c r="G2294" s="1178"/>
    </row>
    <row r="2295" spans="1:7" x14ac:dyDescent="0.2">
      <c r="A2295" s="242" t="s">
        <v>1643</v>
      </c>
      <c r="B2295" s="191" t="s">
        <v>1644</v>
      </c>
      <c r="C2295" s="190" t="s">
        <v>32</v>
      </c>
      <c r="D2295" s="190" t="s">
        <v>33</v>
      </c>
      <c r="E2295" s="190" t="s">
        <v>34</v>
      </c>
      <c r="F2295" s="190" t="s">
        <v>35</v>
      </c>
      <c r="G2295" s="243"/>
    </row>
    <row r="2296" spans="1:7" ht="36" x14ac:dyDescent="0.2">
      <c r="A2296" s="352" t="str">
        <f>VLOOKUP(B2296,PRECIOS!$A$5:$D$303,2,FALSE)</f>
        <v>CARPMETAL21</v>
      </c>
      <c r="B2296" s="105" t="s">
        <v>1834</v>
      </c>
      <c r="C2296" s="105" t="str">
        <f>VLOOKUP(B2296,PRECIOS!$A$5:$D$303,3,FALSE)</f>
        <v>und</v>
      </c>
      <c r="D2296" s="353">
        <f>VLOOKUP(B2296,PRECIOS!$A$5:$D$303,4,FALSE)</f>
        <v>1000000</v>
      </c>
      <c r="E2296" s="354">
        <v>1</v>
      </c>
      <c r="F2296" s="355">
        <f>+D2296*E2296</f>
        <v>1000000</v>
      </c>
      <c r="G2296" s="370"/>
    </row>
    <row r="2297" spans="1:7" x14ac:dyDescent="0.2">
      <c r="A2297" s="1179" t="s">
        <v>1649</v>
      </c>
      <c r="B2297" s="1180"/>
      <c r="C2297" s="214">
        <v>0.03</v>
      </c>
      <c r="D2297" s="417"/>
      <c r="E2297" s="418"/>
      <c r="F2297" s="276">
        <f>SUM(F2296:F2296)*C2297</f>
        <v>30000</v>
      </c>
      <c r="G2297" s="246"/>
    </row>
    <row r="2298" spans="1:7" x14ac:dyDescent="0.2">
      <c r="A2298" s="247"/>
      <c r="B2298" s="416"/>
      <c r="C2298" s="104"/>
      <c r="D2298" s="104"/>
      <c r="E2298" s="104"/>
      <c r="F2298" s="104"/>
      <c r="G2298" s="246" t="s">
        <v>31</v>
      </c>
    </row>
    <row r="2299" spans="1:7" ht="15" thickBot="1" x14ac:dyDescent="0.25">
      <c r="A2299" s="248"/>
      <c r="B2299" s="420"/>
      <c r="C2299" s="420"/>
      <c r="D2299" s="420"/>
      <c r="E2299" s="420"/>
      <c r="F2299" s="420"/>
      <c r="G2299" s="250">
        <f>SUM(F2296:F2297)</f>
        <v>1030000</v>
      </c>
    </row>
    <row r="2300" spans="1:7" ht="15" thickBot="1" x14ac:dyDescent="0.25">
      <c r="A2300" s="1176" t="s">
        <v>1646</v>
      </c>
      <c r="B2300" s="1177"/>
      <c r="C2300" s="1177"/>
      <c r="D2300" s="1177"/>
      <c r="E2300" s="1177"/>
      <c r="F2300" s="1177"/>
      <c r="G2300" s="1178"/>
    </row>
    <row r="2301" spans="1:7" x14ac:dyDescent="0.2">
      <c r="A2301" s="251" t="s">
        <v>305</v>
      </c>
      <c r="B2301" s="190" t="s">
        <v>38</v>
      </c>
      <c r="C2301" s="190" t="s">
        <v>39</v>
      </c>
      <c r="D2301" s="190" t="s">
        <v>40</v>
      </c>
      <c r="E2301" s="190" t="s">
        <v>34</v>
      </c>
      <c r="F2301" s="190" t="s">
        <v>35</v>
      </c>
      <c r="G2301" s="243"/>
    </row>
    <row r="2302" spans="1:7" x14ac:dyDescent="0.2">
      <c r="A2302" s="369"/>
      <c r="B2302" s="89"/>
      <c r="C2302" s="209"/>
      <c r="D2302" s="199"/>
      <c r="E2302" s="367"/>
      <c r="F2302" s="234"/>
      <c r="G2302" s="253"/>
    </row>
    <row r="2303" spans="1:7" x14ac:dyDescent="0.2">
      <c r="A2303" s="252"/>
      <c r="B2303" s="235"/>
      <c r="C2303" s="238"/>
      <c r="D2303" s="236"/>
      <c r="E2303" s="237"/>
      <c r="F2303" s="239"/>
      <c r="G2303" s="253"/>
    </row>
    <row r="2304" spans="1:7" x14ac:dyDescent="0.2">
      <c r="A2304" s="247" t="s">
        <v>25</v>
      </c>
      <c r="B2304" s="104" t="s">
        <v>25</v>
      </c>
      <c r="C2304" s="104" t="s">
        <v>25</v>
      </c>
      <c r="D2304" s="188" t="s">
        <v>25</v>
      </c>
      <c r="E2304" s="189" t="s">
        <v>25</v>
      </c>
      <c r="F2304" s="187" t="s">
        <v>25</v>
      </c>
      <c r="G2304" s="246" t="s">
        <v>31</v>
      </c>
    </row>
    <row r="2305" spans="1:7" ht="15" thickBot="1" x14ac:dyDescent="0.25">
      <c r="A2305" s="248"/>
      <c r="B2305" s="420"/>
      <c r="C2305" s="420"/>
      <c r="D2305" s="420"/>
      <c r="E2305" s="420"/>
      <c r="F2305" s="420"/>
      <c r="G2305" s="250">
        <f>SUM(F2302:F2303)</f>
        <v>0</v>
      </c>
    </row>
    <row r="2306" spans="1:7" ht="15" thickBot="1" x14ac:dyDescent="0.25">
      <c r="A2306" s="1176" t="s">
        <v>1647</v>
      </c>
      <c r="B2306" s="1177"/>
      <c r="C2306" s="1177"/>
      <c r="D2306" s="1177"/>
      <c r="E2306" s="1177"/>
      <c r="F2306" s="1177"/>
      <c r="G2306" s="1178"/>
    </row>
    <row r="2307" spans="1:7" ht="24" x14ac:dyDescent="0.2">
      <c r="A2307" s="254" t="s">
        <v>1681</v>
      </c>
      <c r="B2307" s="190" t="s">
        <v>42</v>
      </c>
      <c r="C2307" s="190" t="s">
        <v>43</v>
      </c>
      <c r="D2307" s="190" t="s">
        <v>44</v>
      </c>
      <c r="E2307" s="190" t="s">
        <v>306</v>
      </c>
      <c r="F2307" s="190" t="s">
        <v>29</v>
      </c>
      <c r="G2307" s="243"/>
    </row>
    <row r="2308" spans="1:7" ht="36" x14ac:dyDescent="0.2">
      <c r="A2308" s="255" t="s">
        <v>1674</v>
      </c>
      <c r="B2308" s="202">
        <f>VLOOKUP(A2308,JORNALES!$A$5:$B$28,2,FALSE)</f>
        <v>215000</v>
      </c>
      <c r="C2308" s="233">
        <f>+PRESTACIONES!$C$20/100</f>
        <v>0.89990000000000014</v>
      </c>
      <c r="D2308" s="234">
        <f>+(B2308*C2308)+B2308</f>
        <v>408478.5</v>
      </c>
      <c r="E2308" s="421">
        <v>3</v>
      </c>
      <c r="F2308" s="199">
        <f>+D2308/E2308</f>
        <v>136159.5</v>
      </c>
      <c r="G2308" s="246"/>
    </row>
    <row r="2309" spans="1:7" x14ac:dyDescent="0.2">
      <c r="A2309" s="247"/>
      <c r="B2309" s="416"/>
      <c r="C2309" s="416"/>
      <c r="D2309" s="416"/>
      <c r="E2309" s="416"/>
      <c r="F2309" s="416"/>
      <c r="G2309" s="246" t="s">
        <v>31</v>
      </c>
    </row>
    <row r="2310" spans="1:7" x14ac:dyDescent="0.2">
      <c r="A2310" s="247"/>
      <c r="B2310" s="416"/>
      <c r="C2310" s="416"/>
      <c r="D2310" s="416"/>
      <c r="E2310" s="416"/>
      <c r="F2310" s="416"/>
      <c r="G2310" s="256">
        <f>SUM(F2308:F2308)</f>
        <v>136159.5</v>
      </c>
    </row>
    <row r="2311" spans="1:7" ht="15" thickBot="1" x14ac:dyDescent="0.25">
      <c r="A2311" s="1181" t="s">
        <v>25</v>
      </c>
      <c r="B2311" s="1182"/>
      <c r="C2311" s="1182"/>
      <c r="D2311" s="1182"/>
      <c r="E2311" s="1182"/>
      <c r="F2311" s="1182"/>
      <c r="G2311" s="1183"/>
    </row>
    <row r="2312" spans="1:7" ht="15" thickBot="1" x14ac:dyDescent="0.25">
      <c r="A2312" s="1184" t="s">
        <v>45</v>
      </c>
      <c r="B2312" s="1185"/>
      <c r="C2312" s="1185"/>
      <c r="D2312" s="1185"/>
      <c r="E2312" s="1185"/>
      <c r="F2312" s="192"/>
      <c r="G2312" s="277">
        <f xml:space="preserve"> ROUND(G2310+G2305+G2299+G2293,0)</f>
        <v>1180092</v>
      </c>
    </row>
    <row r="2313" spans="1:7" x14ac:dyDescent="0.2">
      <c r="A2313" s="1186" t="s">
        <v>476</v>
      </c>
      <c r="B2313" s="1187"/>
      <c r="C2313" s="1187"/>
      <c r="D2313" s="1187"/>
      <c r="E2313" s="1187"/>
      <c r="F2313" s="193" t="s">
        <v>51</v>
      </c>
      <c r="G2313" s="257" t="s">
        <v>307</v>
      </c>
    </row>
    <row r="2314" spans="1:7" x14ac:dyDescent="0.2">
      <c r="A2314" s="1166" t="s">
        <v>17</v>
      </c>
      <c r="B2314" s="1167"/>
      <c r="C2314" s="1167"/>
      <c r="D2314" s="1167"/>
      <c r="E2314" s="1167"/>
      <c r="F2314" s="240"/>
      <c r="G2314" s="196"/>
    </row>
    <row r="2315" spans="1:7" x14ac:dyDescent="0.2">
      <c r="A2315" s="1166" t="s">
        <v>308</v>
      </c>
      <c r="B2315" s="1167"/>
      <c r="C2315" s="1167"/>
      <c r="D2315" s="1167"/>
      <c r="E2315" s="1167"/>
      <c r="F2315" s="240"/>
      <c r="G2315" s="196"/>
    </row>
    <row r="2316" spans="1:7" x14ac:dyDescent="0.2">
      <c r="A2316" s="1166" t="s">
        <v>19</v>
      </c>
      <c r="B2316" s="1167"/>
      <c r="C2316" s="1167"/>
      <c r="D2316" s="1167"/>
      <c r="E2316" s="1167"/>
      <c r="F2316" s="240"/>
      <c r="G2316" s="196"/>
    </row>
    <row r="2317" spans="1:7" ht="15" thickBot="1" x14ac:dyDescent="0.25">
      <c r="A2317" s="1168" t="s">
        <v>309</v>
      </c>
      <c r="B2317" s="1169"/>
      <c r="C2317" s="1169"/>
      <c r="D2317" s="1169"/>
      <c r="E2317" s="1169"/>
      <c r="F2317" s="198"/>
      <c r="G2317" s="258"/>
    </row>
    <row r="2318" spans="1:7" ht="15" thickBot="1" x14ac:dyDescent="0.25">
      <c r="A2318" s="1170" t="s">
        <v>310</v>
      </c>
      <c r="B2318" s="1171"/>
      <c r="C2318" s="1171"/>
      <c r="D2318" s="1171"/>
      <c r="E2318" s="1171"/>
      <c r="F2318" s="1172"/>
      <c r="G2318" s="1173"/>
    </row>
    <row r="2319" spans="1:7" x14ac:dyDescent="0.2">
      <c r="A2319" s="413"/>
      <c r="B2319" s="414"/>
      <c r="C2319" s="414"/>
      <c r="D2319" s="414"/>
      <c r="E2319" s="414"/>
      <c r="F2319" s="193"/>
      <c r="G2319" s="260"/>
    </row>
    <row r="2320" spans="1:7" ht="15" thickBot="1" x14ac:dyDescent="0.25">
      <c r="A2320" s="261" t="s">
        <v>681</v>
      </c>
      <c r="B2320" s="262"/>
      <c r="C2320" s="262" t="s">
        <v>682</v>
      </c>
      <c r="D2320" s="262"/>
      <c r="E2320" s="262"/>
      <c r="F2320" s="262" t="s">
        <v>683</v>
      </c>
      <c r="G2320" s="263"/>
    </row>
    <row r="2321" spans="1:7" ht="15" thickBot="1" x14ac:dyDescent="0.25">
      <c r="A2321" s="1174" t="str">
        <f>+LIST_ACTIVIDADES!D85</f>
        <v>Ventana Corrediza (V4) en aluminio y vridrio 3+3 de 0,9 x 1,10mts, según diseños</v>
      </c>
      <c r="B2321" s="1175"/>
      <c r="C2321" s="1175"/>
      <c r="D2321" s="1175"/>
      <c r="E2321" s="1175"/>
      <c r="F2321" s="241" t="s">
        <v>24</v>
      </c>
      <c r="G2321" s="264" t="str">
        <f>+LIST_ACTIVIDADES!E85</f>
        <v>und</v>
      </c>
    </row>
    <row r="2322" spans="1:7" ht="15" thickBot="1" x14ac:dyDescent="0.25">
      <c r="A2322" s="1176" t="s">
        <v>1642</v>
      </c>
      <c r="B2322" s="1177"/>
      <c r="C2322" s="1177"/>
      <c r="D2322" s="1177"/>
      <c r="E2322" s="1177"/>
      <c r="F2322" s="1177"/>
      <c r="G2322" s="1178"/>
    </row>
    <row r="2323" spans="1:7" x14ac:dyDescent="0.2">
      <c r="A2323" s="242" t="s">
        <v>1643</v>
      </c>
      <c r="B2323" s="191" t="s">
        <v>1644</v>
      </c>
      <c r="C2323" s="190" t="s">
        <v>26</v>
      </c>
      <c r="D2323" s="190" t="s">
        <v>27</v>
      </c>
      <c r="E2323" s="190" t="s">
        <v>28</v>
      </c>
      <c r="F2323" s="190" t="s">
        <v>29</v>
      </c>
      <c r="G2323" s="243"/>
    </row>
    <row r="2324" spans="1:7" x14ac:dyDescent="0.2">
      <c r="A2324" s="362" t="str">
        <f>VLOOKUP(B2324,PRECIOS!$A$309:$E$485,2,FALSE)</f>
        <v>EQUIPO158</v>
      </c>
      <c r="B2324" s="363" t="s">
        <v>1699</v>
      </c>
      <c r="C2324" s="99" t="str">
        <f>VLOOKUP(B2324,PRECIOS!$A$309:$E$485,3,FALSE)</f>
        <v>Electrica</v>
      </c>
      <c r="D2324" s="364">
        <f>VLOOKUP(B2324,PRECIOS!$A$309:$E$485,5,FALSE)</f>
        <v>6250</v>
      </c>
      <c r="E2324" s="365">
        <v>0.9</v>
      </c>
      <c r="F2324" s="366">
        <f>+D2324*E2324</f>
        <v>5625</v>
      </c>
      <c r="G2324" s="245"/>
    </row>
    <row r="2325" spans="1:7" x14ac:dyDescent="0.2">
      <c r="A2325" s="362" t="str">
        <f>VLOOKUP(B2325,PRECIOS!$A$309:$E$485,2,FALSE)</f>
        <v>EQUIPO169</v>
      </c>
      <c r="B2325" s="363" t="s">
        <v>449</v>
      </c>
      <c r="C2325" s="99" t="str">
        <f>VLOOKUP(B2325,PRECIOS!$A$309:$E$485,3,FALSE)</f>
        <v>Estructura</v>
      </c>
      <c r="D2325" s="364">
        <f>VLOOKUP(B2325,PRECIOS!$A$309:$E$485,5,FALSE)</f>
        <v>1500</v>
      </c>
      <c r="E2325" s="365">
        <v>1</v>
      </c>
      <c r="F2325" s="366">
        <f>+D2325*E2325</f>
        <v>1500</v>
      </c>
      <c r="G2325" s="245"/>
    </row>
    <row r="2326" spans="1:7" x14ac:dyDescent="0.2">
      <c r="A2326" s="1179" t="s">
        <v>1650</v>
      </c>
      <c r="B2326" s="1180"/>
      <c r="C2326" s="214">
        <v>0.05</v>
      </c>
      <c r="D2326" s="213"/>
      <c r="E2326" s="418"/>
      <c r="F2326" s="212">
        <f>+G2345*C2326</f>
        <v>6807.9750000000004</v>
      </c>
      <c r="G2326" s="246"/>
    </row>
    <row r="2327" spans="1:7" x14ac:dyDescent="0.2">
      <c r="A2327" s="247" t="s">
        <v>25</v>
      </c>
      <c r="B2327" s="416"/>
      <c r="C2327" s="416"/>
      <c r="D2327" s="416"/>
      <c r="E2327" s="416"/>
      <c r="F2327" s="416"/>
      <c r="G2327" s="246" t="s">
        <v>31</v>
      </c>
    </row>
    <row r="2328" spans="1:7" ht="15" thickBot="1" x14ac:dyDescent="0.25">
      <c r="A2328" s="248"/>
      <c r="B2328" s="420"/>
      <c r="C2328" s="420"/>
      <c r="D2328" s="420"/>
      <c r="E2328" s="420"/>
      <c r="F2328" s="420"/>
      <c r="G2328" s="249">
        <f>SUM(F2324:F2326)</f>
        <v>13932.975</v>
      </c>
    </row>
    <row r="2329" spans="1:7" ht="15" thickBot="1" x14ac:dyDescent="0.25">
      <c r="A2329" s="1176" t="s">
        <v>1645</v>
      </c>
      <c r="B2329" s="1177"/>
      <c r="C2329" s="1177"/>
      <c r="D2329" s="1177"/>
      <c r="E2329" s="1177"/>
      <c r="F2329" s="1177"/>
      <c r="G2329" s="1178"/>
    </row>
    <row r="2330" spans="1:7" x14ac:dyDescent="0.2">
      <c r="A2330" s="242" t="s">
        <v>1643</v>
      </c>
      <c r="B2330" s="191" t="s">
        <v>1644</v>
      </c>
      <c r="C2330" s="190" t="s">
        <v>32</v>
      </c>
      <c r="D2330" s="190" t="s">
        <v>33</v>
      </c>
      <c r="E2330" s="190" t="s">
        <v>34</v>
      </c>
      <c r="F2330" s="190" t="s">
        <v>35</v>
      </c>
      <c r="G2330" s="243"/>
    </row>
    <row r="2331" spans="1:7" ht="36" x14ac:dyDescent="0.2">
      <c r="A2331" s="352" t="str">
        <f>VLOOKUP(B2331,PRECIOS!$A$5:$D$303,2,FALSE)</f>
        <v>CARPMETAL22</v>
      </c>
      <c r="B2331" s="105" t="s">
        <v>1835</v>
      </c>
      <c r="C2331" s="105" t="str">
        <f>VLOOKUP(B2331,PRECIOS!$A$5:$D$303,3,FALSE)</f>
        <v>und</v>
      </c>
      <c r="D2331" s="353">
        <f>VLOOKUP(B2331,PRECIOS!$A$5:$D$303,4,FALSE)</f>
        <v>1000000</v>
      </c>
      <c r="E2331" s="354">
        <v>1</v>
      </c>
      <c r="F2331" s="355">
        <f>+D2331*E2331</f>
        <v>1000000</v>
      </c>
      <c r="G2331" s="370"/>
    </row>
    <row r="2332" spans="1:7" x14ac:dyDescent="0.2">
      <c r="A2332" s="1179" t="s">
        <v>1649</v>
      </c>
      <c r="B2332" s="1180"/>
      <c r="C2332" s="214">
        <v>0.03</v>
      </c>
      <c r="D2332" s="417"/>
      <c r="E2332" s="418"/>
      <c r="F2332" s="276">
        <f>SUM(F2331:F2331)*C2332</f>
        <v>30000</v>
      </c>
      <c r="G2332" s="246"/>
    </row>
    <row r="2333" spans="1:7" x14ac:dyDescent="0.2">
      <c r="A2333" s="247"/>
      <c r="B2333" s="416"/>
      <c r="C2333" s="104"/>
      <c r="D2333" s="104"/>
      <c r="E2333" s="104"/>
      <c r="F2333" s="104"/>
      <c r="G2333" s="246" t="s">
        <v>31</v>
      </c>
    </row>
    <row r="2334" spans="1:7" ht="15" thickBot="1" x14ac:dyDescent="0.25">
      <c r="A2334" s="248"/>
      <c r="B2334" s="420"/>
      <c r="C2334" s="420"/>
      <c r="D2334" s="420"/>
      <c r="E2334" s="420"/>
      <c r="F2334" s="420"/>
      <c r="G2334" s="250">
        <f>SUM(F2331:F2332)</f>
        <v>1030000</v>
      </c>
    </row>
    <row r="2335" spans="1:7" ht="15" thickBot="1" x14ac:dyDescent="0.25">
      <c r="A2335" s="1176" t="s">
        <v>1646</v>
      </c>
      <c r="B2335" s="1177"/>
      <c r="C2335" s="1177"/>
      <c r="D2335" s="1177"/>
      <c r="E2335" s="1177"/>
      <c r="F2335" s="1177"/>
      <c r="G2335" s="1178"/>
    </row>
    <row r="2336" spans="1:7" x14ac:dyDescent="0.2">
      <c r="A2336" s="251" t="s">
        <v>305</v>
      </c>
      <c r="B2336" s="190" t="s">
        <v>38</v>
      </c>
      <c r="C2336" s="190" t="s">
        <v>39</v>
      </c>
      <c r="D2336" s="190" t="s">
        <v>40</v>
      </c>
      <c r="E2336" s="190" t="s">
        <v>34</v>
      </c>
      <c r="F2336" s="190" t="s">
        <v>35</v>
      </c>
      <c r="G2336" s="243"/>
    </row>
    <row r="2337" spans="1:7" x14ac:dyDescent="0.2">
      <c r="A2337" s="369"/>
      <c r="B2337" s="89"/>
      <c r="C2337" s="209"/>
      <c r="D2337" s="199"/>
      <c r="E2337" s="367"/>
      <c r="F2337" s="234"/>
      <c r="G2337" s="253"/>
    </row>
    <row r="2338" spans="1:7" x14ac:dyDescent="0.2">
      <c r="A2338" s="252"/>
      <c r="B2338" s="235"/>
      <c r="C2338" s="238"/>
      <c r="D2338" s="236"/>
      <c r="E2338" s="237"/>
      <c r="F2338" s="239"/>
      <c r="G2338" s="253"/>
    </row>
    <row r="2339" spans="1:7" x14ac:dyDescent="0.2">
      <c r="A2339" s="247" t="s">
        <v>25</v>
      </c>
      <c r="B2339" s="104" t="s">
        <v>25</v>
      </c>
      <c r="C2339" s="104" t="s">
        <v>25</v>
      </c>
      <c r="D2339" s="188" t="s">
        <v>25</v>
      </c>
      <c r="E2339" s="189" t="s">
        <v>25</v>
      </c>
      <c r="F2339" s="187" t="s">
        <v>25</v>
      </c>
      <c r="G2339" s="246" t="s">
        <v>31</v>
      </c>
    </row>
    <row r="2340" spans="1:7" ht="15" thickBot="1" x14ac:dyDescent="0.25">
      <c r="A2340" s="248"/>
      <c r="B2340" s="420"/>
      <c r="C2340" s="420"/>
      <c r="D2340" s="420"/>
      <c r="E2340" s="420"/>
      <c r="F2340" s="420"/>
      <c r="G2340" s="250">
        <f>SUM(F2337:F2338)</f>
        <v>0</v>
      </c>
    </row>
    <row r="2341" spans="1:7" ht="15" thickBot="1" x14ac:dyDescent="0.25">
      <c r="A2341" s="1176" t="s">
        <v>1647</v>
      </c>
      <c r="B2341" s="1177"/>
      <c r="C2341" s="1177"/>
      <c r="D2341" s="1177"/>
      <c r="E2341" s="1177"/>
      <c r="F2341" s="1177"/>
      <c r="G2341" s="1178"/>
    </row>
    <row r="2342" spans="1:7" ht="24" x14ac:dyDescent="0.2">
      <c r="A2342" s="254" t="s">
        <v>1681</v>
      </c>
      <c r="B2342" s="190" t="s">
        <v>42</v>
      </c>
      <c r="C2342" s="190" t="s">
        <v>43</v>
      </c>
      <c r="D2342" s="190" t="s">
        <v>44</v>
      </c>
      <c r="E2342" s="190" t="s">
        <v>306</v>
      </c>
      <c r="F2342" s="190" t="s">
        <v>29</v>
      </c>
      <c r="G2342" s="243"/>
    </row>
    <row r="2343" spans="1:7" ht="36" x14ac:dyDescent="0.2">
      <c r="A2343" s="255" t="s">
        <v>1674</v>
      </c>
      <c r="B2343" s="202">
        <f>VLOOKUP(A2343,JORNALES!$A$5:$B$28,2,FALSE)</f>
        <v>215000</v>
      </c>
      <c r="C2343" s="233">
        <f>+PRESTACIONES!$C$20/100</f>
        <v>0.89990000000000014</v>
      </c>
      <c r="D2343" s="234">
        <f>+(B2343*C2343)+B2343</f>
        <v>408478.5</v>
      </c>
      <c r="E2343" s="421">
        <v>3</v>
      </c>
      <c r="F2343" s="199">
        <f>+D2343/E2343</f>
        <v>136159.5</v>
      </c>
      <c r="G2343" s="246"/>
    </row>
    <row r="2344" spans="1:7" x14ac:dyDescent="0.2">
      <c r="A2344" s="247"/>
      <c r="B2344" s="416"/>
      <c r="C2344" s="416"/>
      <c r="D2344" s="416"/>
      <c r="E2344" s="416"/>
      <c r="F2344" s="416"/>
      <c r="G2344" s="246" t="s">
        <v>31</v>
      </c>
    </row>
    <row r="2345" spans="1:7" x14ac:dyDescent="0.2">
      <c r="A2345" s="247"/>
      <c r="B2345" s="416"/>
      <c r="C2345" s="416"/>
      <c r="D2345" s="416"/>
      <c r="E2345" s="416"/>
      <c r="F2345" s="416"/>
      <c r="G2345" s="256">
        <f>SUM(F2343:F2343)</f>
        <v>136159.5</v>
      </c>
    </row>
    <row r="2346" spans="1:7" ht="15" thickBot="1" x14ac:dyDescent="0.25">
      <c r="A2346" s="1181" t="s">
        <v>25</v>
      </c>
      <c r="B2346" s="1182"/>
      <c r="C2346" s="1182"/>
      <c r="D2346" s="1182"/>
      <c r="E2346" s="1182"/>
      <c r="F2346" s="1182"/>
      <c r="G2346" s="1183"/>
    </row>
    <row r="2347" spans="1:7" ht="15" thickBot="1" x14ac:dyDescent="0.25">
      <c r="A2347" s="1184" t="s">
        <v>45</v>
      </c>
      <c r="B2347" s="1185"/>
      <c r="C2347" s="1185"/>
      <c r="D2347" s="1185"/>
      <c r="E2347" s="1185"/>
      <c r="F2347" s="192"/>
      <c r="G2347" s="277">
        <f xml:space="preserve"> ROUND(G2345+G2340+G2334+G2328,0)</f>
        <v>1180092</v>
      </c>
    </row>
    <row r="2348" spans="1:7" x14ac:dyDescent="0.2">
      <c r="A2348" s="1186" t="s">
        <v>476</v>
      </c>
      <c r="B2348" s="1187"/>
      <c r="C2348" s="1187"/>
      <c r="D2348" s="1187"/>
      <c r="E2348" s="1187"/>
      <c r="F2348" s="193" t="s">
        <v>51</v>
      </c>
      <c r="G2348" s="257" t="s">
        <v>307</v>
      </c>
    </row>
    <row r="2349" spans="1:7" x14ac:dyDescent="0.2">
      <c r="A2349" s="1166" t="s">
        <v>17</v>
      </c>
      <c r="B2349" s="1167"/>
      <c r="C2349" s="1167"/>
      <c r="D2349" s="1167"/>
      <c r="E2349" s="1167"/>
      <c r="F2349" s="240"/>
      <c r="G2349" s="196"/>
    </row>
    <row r="2350" spans="1:7" x14ac:dyDescent="0.2">
      <c r="A2350" s="1166" t="s">
        <v>308</v>
      </c>
      <c r="B2350" s="1167"/>
      <c r="C2350" s="1167"/>
      <c r="D2350" s="1167"/>
      <c r="E2350" s="1167"/>
      <c r="F2350" s="240"/>
      <c r="G2350" s="196"/>
    </row>
    <row r="2351" spans="1:7" x14ac:dyDescent="0.2">
      <c r="A2351" s="1166" t="s">
        <v>19</v>
      </c>
      <c r="B2351" s="1167"/>
      <c r="C2351" s="1167"/>
      <c r="D2351" s="1167"/>
      <c r="E2351" s="1167"/>
      <c r="F2351" s="240"/>
      <c r="G2351" s="196"/>
    </row>
    <row r="2352" spans="1:7" ht="15" thickBot="1" x14ac:dyDescent="0.25">
      <c r="A2352" s="1168" t="s">
        <v>309</v>
      </c>
      <c r="B2352" s="1169"/>
      <c r="C2352" s="1169"/>
      <c r="D2352" s="1169"/>
      <c r="E2352" s="1169"/>
      <c r="F2352" s="198"/>
      <c r="G2352" s="258"/>
    </row>
    <row r="2353" spans="1:7" ht="15" thickBot="1" x14ac:dyDescent="0.25">
      <c r="A2353" s="1170" t="s">
        <v>310</v>
      </c>
      <c r="B2353" s="1171"/>
      <c r="C2353" s="1171"/>
      <c r="D2353" s="1171"/>
      <c r="E2353" s="1171"/>
      <c r="F2353" s="1172"/>
      <c r="G2353" s="1173"/>
    </row>
    <row r="2354" spans="1:7" x14ac:dyDescent="0.2">
      <c r="A2354" s="413"/>
      <c r="B2354" s="414"/>
      <c r="C2354" s="414"/>
      <c r="D2354" s="414"/>
      <c r="E2354" s="414"/>
      <c r="F2354" s="193"/>
      <c r="G2354" s="260"/>
    </row>
    <row r="2355" spans="1:7" ht="15" thickBot="1" x14ac:dyDescent="0.25">
      <c r="A2355" s="261" t="s">
        <v>681</v>
      </c>
      <c r="B2355" s="262"/>
      <c r="C2355" s="262" t="s">
        <v>682</v>
      </c>
      <c r="D2355" s="262"/>
      <c r="E2355" s="262"/>
      <c r="F2355" s="262" t="s">
        <v>683</v>
      </c>
      <c r="G2355" s="263"/>
    </row>
    <row r="2356" spans="1:7" ht="15" thickBot="1" x14ac:dyDescent="0.25">
      <c r="A2356" s="1174" t="str">
        <f>+LIST_ACTIVIDADES!D86</f>
        <v>Ventana Corrediza (V5) en aluminio y vridrio 3+3 de 0,6 x 1,10mts, según diseños</v>
      </c>
      <c r="B2356" s="1175"/>
      <c r="C2356" s="1175"/>
      <c r="D2356" s="1175"/>
      <c r="E2356" s="1175"/>
      <c r="F2356" s="241" t="s">
        <v>24</v>
      </c>
      <c r="G2356" s="264" t="str">
        <f>+LIST_ACTIVIDADES!E86</f>
        <v>und</v>
      </c>
    </row>
    <row r="2357" spans="1:7" ht="15" thickBot="1" x14ac:dyDescent="0.25">
      <c r="A2357" s="1176" t="s">
        <v>1642</v>
      </c>
      <c r="B2357" s="1177"/>
      <c r="C2357" s="1177"/>
      <c r="D2357" s="1177"/>
      <c r="E2357" s="1177"/>
      <c r="F2357" s="1177"/>
      <c r="G2357" s="1178"/>
    </row>
    <row r="2358" spans="1:7" x14ac:dyDescent="0.2">
      <c r="A2358" s="242" t="s">
        <v>1643</v>
      </c>
      <c r="B2358" s="191" t="s">
        <v>1644</v>
      </c>
      <c r="C2358" s="190" t="s">
        <v>26</v>
      </c>
      <c r="D2358" s="190" t="s">
        <v>27</v>
      </c>
      <c r="E2358" s="190" t="s">
        <v>28</v>
      </c>
      <c r="F2358" s="190" t="s">
        <v>29</v>
      </c>
      <c r="G2358" s="243"/>
    </row>
    <row r="2359" spans="1:7" x14ac:dyDescent="0.2">
      <c r="A2359" s="362" t="str">
        <f>VLOOKUP(B2359,PRECIOS!$A$309:$E$485,2,FALSE)</f>
        <v>EQUIPO158</v>
      </c>
      <c r="B2359" s="363" t="s">
        <v>1699</v>
      </c>
      <c r="C2359" s="99" t="str">
        <f>VLOOKUP(B2359,PRECIOS!$A$309:$E$485,3,FALSE)</f>
        <v>Electrica</v>
      </c>
      <c r="D2359" s="364">
        <f>VLOOKUP(B2359,PRECIOS!$A$309:$E$485,5,FALSE)</f>
        <v>6250</v>
      </c>
      <c r="E2359" s="365">
        <v>0.9</v>
      </c>
      <c r="F2359" s="366">
        <f>+D2359*E2359</f>
        <v>5625</v>
      </c>
      <c r="G2359" s="245"/>
    </row>
    <row r="2360" spans="1:7" x14ac:dyDescent="0.2">
      <c r="A2360" s="362" t="str">
        <f>VLOOKUP(B2360,PRECIOS!$A$309:$E$485,2,FALSE)</f>
        <v>EQUIPO169</v>
      </c>
      <c r="B2360" s="363" t="s">
        <v>449</v>
      </c>
      <c r="C2360" s="99" t="str">
        <f>VLOOKUP(B2360,PRECIOS!$A$309:$E$485,3,FALSE)</f>
        <v>Estructura</v>
      </c>
      <c r="D2360" s="364">
        <f>VLOOKUP(B2360,PRECIOS!$A$309:$E$485,5,FALSE)</f>
        <v>1500</v>
      </c>
      <c r="E2360" s="365">
        <v>1</v>
      </c>
      <c r="F2360" s="366">
        <f>+D2360*E2360</f>
        <v>1500</v>
      </c>
      <c r="G2360" s="245"/>
    </row>
    <row r="2361" spans="1:7" x14ac:dyDescent="0.2">
      <c r="A2361" s="1179" t="s">
        <v>1650</v>
      </c>
      <c r="B2361" s="1180"/>
      <c r="C2361" s="214">
        <v>0.05</v>
      </c>
      <c r="D2361" s="213"/>
      <c r="E2361" s="418"/>
      <c r="F2361" s="212">
        <f>+G2380*C2361</f>
        <v>6807.9750000000004</v>
      </c>
      <c r="G2361" s="246"/>
    </row>
    <row r="2362" spans="1:7" x14ac:dyDescent="0.2">
      <c r="A2362" s="247" t="s">
        <v>25</v>
      </c>
      <c r="B2362" s="416"/>
      <c r="C2362" s="416"/>
      <c r="D2362" s="416"/>
      <c r="E2362" s="416"/>
      <c r="F2362" s="416"/>
      <c r="G2362" s="246" t="s">
        <v>31</v>
      </c>
    </row>
    <row r="2363" spans="1:7" ht="15" thickBot="1" x14ac:dyDescent="0.25">
      <c r="A2363" s="248"/>
      <c r="B2363" s="420"/>
      <c r="C2363" s="420"/>
      <c r="D2363" s="420"/>
      <c r="E2363" s="420"/>
      <c r="F2363" s="420"/>
      <c r="G2363" s="249">
        <f>SUM(F2359:F2361)</f>
        <v>13932.975</v>
      </c>
    </row>
    <row r="2364" spans="1:7" ht="15" thickBot="1" x14ac:dyDescent="0.25">
      <c r="A2364" s="1176" t="s">
        <v>1645</v>
      </c>
      <c r="B2364" s="1177"/>
      <c r="C2364" s="1177"/>
      <c r="D2364" s="1177"/>
      <c r="E2364" s="1177"/>
      <c r="F2364" s="1177"/>
      <c r="G2364" s="1178"/>
    </row>
    <row r="2365" spans="1:7" x14ac:dyDescent="0.2">
      <c r="A2365" s="242" t="s">
        <v>1643</v>
      </c>
      <c r="B2365" s="191" t="s">
        <v>1644</v>
      </c>
      <c r="C2365" s="190" t="s">
        <v>32</v>
      </c>
      <c r="D2365" s="190" t="s">
        <v>33</v>
      </c>
      <c r="E2365" s="190" t="s">
        <v>34</v>
      </c>
      <c r="F2365" s="190" t="s">
        <v>35</v>
      </c>
      <c r="G2365" s="243"/>
    </row>
    <row r="2366" spans="1:7" ht="36" x14ac:dyDescent="0.2">
      <c r="A2366" s="352" t="str">
        <f>VLOOKUP(B2366,PRECIOS!$A$5:$D$303,2,FALSE)</f>
        <v>CARPMETAL23</v>
      </c>
      <c r="B2366" s="105" t="s">
        <v>1836</v>
      </c>
      <c r="C2366" s="105" t="str">
        <f>VLOOKUP(B2366,PRECIOS!$A$5:$D$303,3,FALSE)</f>
        <v>und</v>
      </c>
      <c r="D2366" s="353">
        <f>VLOOKUP(B2366,PRECIOS!$A$5:$D$303,4,FALSE)</f>
        <v>1000000</v>
      </c>
      <c r="E2366" s="354">
        <v>1</v>
      </c>
      <c r="F2366" s="355">
        <f>+D2366*E2366</f>
        <v>1000000</v>
      </c>
      <c r="G2366" s="370"/>
    </row>
    <row r="2367" spans="1:7" x14ac:dyDescent="0.2">
      <c r="A2367" s="1179" t="s">
        <v>1649</v>
      </c>
      <c r="B2367" s="1180"/>
      <c r="C2367" s="214">
        <v>0.03</v>
      </c>
      <c r="D2367" s="417"/>
      <c r="E2367" s="418"/>
      <c r="F2367" s="276">
        <f>SUM(F2366:F2366)*C2367</f>
        <v>30000</v>
      </c>
      <c r="G2367" s="246"/>
    </row>
    <row r="2368" spans="1:7" x14ac:dyDescent="0.2">
      <c r="A2368" s="247"/>
      <c r="B2368" s="416"/>
      <c r="C2368" s="104"/>
      <c r="D2368" s="104"/>
      <c r="E2368" s="104"/>
      <c r="F2368" s="104"/>
      <c r="G2368" s="246" t="s">
        <v>31</v>
      </c>
    </row>
    <row r="2369" spans="1:7" ht="15" thickBot="1" x14ac:dyDescent="0.25">
      <c r="A2369" s="248"/>
      <c r="B2369" s="420"/>
      <c r="C2369" s="420"/>
      <c r="D2369" s="420"/>
      <c r="E2369" s="420"/>
      <c r="F2369" s="420"/>
      <c r="G2369" s="250">
        <f>SUM(F2366:F2367)</f>
        <v>1030000</v>
      </c>
    </row>
    <row r="2370" spans="1:7" ht="15" thickBot="1" x14ac:dyDescent="0.25">
      <c r="A2370" s="1176" t="s">
        <v>1646</v>
      </c>
      <c r="B2370" s="1177"/>
      <c r="C2370" s="1177"/>
      <c r="D2370" s="1177"/>
      <c r="E2370" s="1177"/>
      <c r="F2370" s="1177"/>
      <c r="G2370" s="1178"/>
    </row>
    <row r="2371" spans="1:7" x14ac:dyDescent="0.2">
      <c r="A2371" s="251" t="s">
        <v>305</v>
      </c>
      <c r="B2371" s="190" t="s">
        <v>38</v>
      </c>
      <c r="C2371" s="190" t="s">
        <v>39</v>
      </c>
      <c r="D2371" s="190" t="s">
        <v>40</v>
      </c>
      <c r="E2371" s="190" t="s">
        <v>34</v>
      </c>
      <c r="F2371" s="190" t="s">
        <v>35</v>
      </c>
      <c r="G2371" s="243"/>
    </row>
    <row r="2372" spans="1:7" x14ac:dyDescent="0.2">
      <c r="A2372" s="369"/>
      <c r="B2372" s="89"/>
      <c r="C2372" s="209"/>
      <c r="D2372" s="199"/>
      <c r="E2372" s="367"/>
      <c r="F2372" s="234"/>
      <c r="G2372" s="253"/>
    </row>
    <row r="2373" spans="1:7" x14ac:dyDescent="0.2">
      <c r="A2373" s="252"/>
      <c r="B2373" s="235"/>
      <c r="C2373" s="238"/>
      <c r="D2373" s="236"/>
      <c r="E2373" s="237"/>
      <c r="F2373" s="239"/>
      <c r="G2373" s="253"/>
    </row>
    <row r="2374" spans="1:7" x14ac:dyDescent="0.2">
      <c r="A2374" s="247" t="s">
        <v>25</v>
      </c>
      <c r="B2374" s="104" t="s">
        <v>25</v>
      </c>
      <c r="C2374" s="104" t="s">
        <v>25</v>
      </c>
      <c r="D2374" s="188" t="s">
        <v>25</v>
      </c>
      <c r="E2374" s="189" t="s">
        <v>25</v>
      </c>
      <c r="F2374" s="187" t="s">
        <v>25</v>
      </c>
      <c r="G2374" s="246" t="s">
        <v>31</v>
      </c>
    </row>
    <row r="2375" spans="1:7" ht="15" thickBot="1" x14ac:dyDescent="0.25">
      <c r="A2375" s="248"/>
      <c r="B2375" s="420"/>
      <c r="C2375" s="420"/>
      <c r="D2375" s="420"/>
      <c r="E2375" s="420"/>
      <c r="F2375" s="420"/>
      <c r="G2375" s="250">
        <f>SUM(F2372:F2373)</f>
        <v>0</v>
      </c>
    </row>
    <row r="2376" spans="1:7" ht="15" thickBot="1" x14ac:dyDescent="0.25">
      <c r="A2376" s="1176" t="s">
        <v>1647</v>
      </c>
      <c r="B2376" s="1177"/>
      <c r="C2376" s="1177"/>
      <c r="D2376" s="1177"/>
      <c r="E2376" s="1177"/>
      <c r="F2376" s="1177"/>
      <c r="G2376" s="1178"/>
    </row>
    <row r="2377" spans="1:7" ht="24" x14ac:dyDescent="0.2">
      <c r="A2377" s="254" t="s">
        <v>1681</v>
      </c>
      <c r="B2377" s="190" t="s">
        <v>42</v>
      </c>
      <c r="C2377" s="190" t="s">
        <v>43</v>
      </c>
      <c r="D2377" s="190" t="s">
        <v>44</v>
      </c>
      <c r="E2377" s="190" t="s">
        <v>306</v>
      </c>
      <c r="F2377" s="190" t="s">
        <v>29</v>
      </c>
      <c r="G2377" s="243"/>
    </row>
    <row r="2378" spans="1:7" ht="36" x14ac:dyDescent="0.2">
      <c r="A2378" s="255" t="s">
        <v>1674</v>
      </c>
      <c r="B2378" s="202">
        <f>VLOOKUP(A2378,JORNALES!$A$5:$B$28,2,FALSE)</f>
        <v>215000</v>
      </c>
      <c r="C2378" s="233">
        <f>+PRESTACIONES!$C$20/100</f>
        <v>0.89990000000000014</v>
      </c>
      <c r="D2378" s="234">
        <f>+(B2378*C2378)+B2378</f>
        <v>408478.5</v>
      </c>
      <c r="E2378" s="421">
        <v>3</v>
      </c>
      <c r="F2378" s="199">
        <f>+D2378/E2378</f>
        <v>136159.5</v>
      </c>
      <c r="G2378" s="246"/>
    </row>
    <row r="2379" spans="1:7" x14ac:dyDescent="0.2">
      <c r="A2379" s="247"/>
      <c r="B2379" s="416"/>
      <c r="C2379" s="416"/>
      <c r="D2379" s="416"/>
      <c r="E2379" s="416"/>
      <c r="F2379" s="416"/>
      <c r="G2379" s="246" t="s">
        <v>31</v>
      </c>
    </row>
    <row r="2380" spans="1:7" x14ac:dyDescent="0.2">
      <c r="A2380" s="247"/>
      <c r="B2380" s="416"/>
      <c r="C2380" s="416"/>
      <c r="D2380" s="416"/>
      <c r="E2380" s="416"/>
      <c r="F2380" s="416"/>
      <c r="G2380" s="256">
        <f>SUM(F2378:F2378)</f>
        <v>136159.5</v>
      </c>
    </row>
    <row r="2381" spans="1:7" ht="15" thickBot="1" x14ac:dyDescent="0.25">
      <c r="A2381" s="1181" t="s">
        <v>25</v>
      </c>
      <c r="B2381" s="1182"/>
      <c r="C2381" s="1182"/>
      <c r="D2381" s="1182"/>
      <c r="E2381" s="1182"/>
      <c r="F2381" s="1182"/>
      <c r="G2381" s="1183"/>
    </row>
    <row r="2382" spans="1:7" ht="15" thickBot="1" x14ac:dyDescent="0.25">
      <c r="A2382" s="1184" t="s">
        <v>45</v>
      </c>
      <c r="B2382" s="1185"/>
      <c r="C2382" s="1185"/>
      <c r="D2382" s="1185"/>
      <c r="E2382" s="1185"/>
      <c r="F2382" s="192"/>
      <c r="G2382" s="277">
        <f xml:space="preserve"> ROUND(G2380+G2375+G2369+G2363,0)</f>
        <v>1180092</v>
      </c>
    </row>
    <row r="2383" spans="1:7" x14ac:dyDescent="0.2">
      <c r="A2383" s="1186" t="s">
        <v>476</v>
      </c>
      <c r="B2383" s="1187"/>
      <c r="C2383" s="1187"/>
      <c r="D2383" s="1187"/>
      <c r="E2383" s="1187"/>
      <c r="F2383" s="193" t="s">
        <v>51</v>
      </c>
      <c r="G2383" s="257" t="s">
        <v>307</v>
      </c>
    </row>
    <row r="2384" spans="1:7" x14ac:dyDescent="0.2">
      <c r="A2384" s="1166" t="s">
        <v>17</v>
      </c>
      <c r="B2384" s="1167"/>
      <c r="C2384" s="1167"/>
      <c r="D2384" s="1167"/>
      <c r="E2384" s="1167"/>
      <c r="F2384" s="240"/>
      <c r="G2384" s="196"/>
    </row>
    <row r="2385" spans="1:7" x14ac:dyDescent="0.2">
      <c r="A2385" s="1166" t="s">
        <v>308</v>
      </c>
      <c r="B2385" s="1167"/>
      <c r="C2385" s="1167"/>
      <c r="D2385" s="1167"/>
      <c r="E2385" s="1167"/>
      <c r="F2385" s="240"/>
      <c r="G2385" s="196"/>
    </row>
    <row r="2386" spans="1:7" x14ac:dyDescent="0.2">
      <c r="A2386" s="1166" t="s">
        <v>19</v>
      </c>
      <c r="B2386" s="1167"/>
      <c r="C2386" s="1167"/>
      <c r="D2386" s="1167"/>
      <c r="E2386" s="1167"/>
      <c r="F2386" s="240"/>
      <c r="G2386" s="196"/>
    </row>
    <row r="2387" spans="1:7" ht="15" thickBot="1" x14ac:dyDescent="0.25">
      <c r="A2387" s="1168" t="s">
        <v>309</v>
      </c>
      <c r="B2387" s="1169"/>
      <c r="C2387" s="1169"/>
      <c r="D2387" s="1169"/>
      <c r="E2387" s="1169"/>
      <c r="F2387" s="198"/>
      <c r="G2387" s="258"/>
    </row>
    <row r="2388" spans="1:7" ht="15" thickBot="1" x14ac:dyDescent="0.25">
      <c r="A2388" s="1170" t="s">
        <v>310</v>
      </c>
      <c r="B2388" s="1171"/>
      <c r="C2388" s="1171"/>
      <c r="D2388" s="1171"/>
      <c r="E2388" s="1171"/>
      <c r="F2388" s="1172"/>
      <c r="G2388" s="1173"/>
    </row>
    <row r="2389" spans="1:7" x14ac:dyDescent="0.2">
      <c r="A2389" s="413"/>
      <c r="B2389" s="414"/>
      <c r="C2389" s="414"/>
      <c r="D2389" s="414"/>
      <c r="E2389" s="414"/>
      <c r="F2389" s="193"/>
      <c r="G2389" s="260"/>
    </row>
    <row r="2390" spans="1:7" ht="15" thickBot="1" x14ac:dyDescent="0.25">
      <c r="A2390" s="261" t="s">
        <v>681</v>
      </c>
      <c r="B2390" s="262"/>
      <c r="C2390" s="262" t="s">
        <v>682</v>
      </c>
      <c r="D2390" s="262"/>
      <c r="E2390" s="262"/>
      <c r="F2390" s="262" t="s">
        <v>683</v>
      </c>
      <c r="G2390" s="263"/>
    </row>
    <row r="2391" spans="1:7" ht="15" thickBot="1" x14ac:dyDescent="0.25">
      <c r="A2391" s="1174" t="str">
        <f>+LIST_ACTIVIDADES!D87</f>
        <v>Ventana Corrediza (V6) en aluminio y vridrio 3+3 de 1,00 x 1,10mts, según diseños</v>
      </c>
      <c r="B2391" s="1175"/>
      <c r="C2391" s="1175"/>
      <c r="D2391" s="1175"/>
      <c r="E2391" s="1175"/>
      <c r="F2391" s="241" t="s">
        <v>24</v>
      </c>
      <c r="G2391" s="264" t="str">
        <f>+LIST_ACTIVIDADES!E87</f>
        <v>und</v>
      </c>
    </row>
    <row r="2392" spans="1:7" ht="15" thickBot="1" x14ac:dyDescent="0.25">
      <c r="A2392" s="1176" t="s">
        <v>1642</v>
      </c>
      <c r="B2392" s="1177"/>
      <c r="C2392" s="1177"/>
      <c r="D2392" s="1177"/>
      <c r="E2392" s="1177"/>
      <c r="F2392" s="1177"/>
      <c r="G2392" s="1178"/>
    </row>
    <row r="2393" spans="1:7" x14ac:dyDescent="0.2">
      <c r="A2393" s="242" t="s">
        <v>1643</v>
      </c>
      <c r="B2393" s="191" t="s">
        <v>1644</v>
      </c>
      <c r="C2393" s="190" t="s">
        <v>26</v>
      </c>
      <c r="D2393" s="190" t="s">
        <v>27</v>
      </c>
      <c r="E2393" s="190" t="s">
        <v>28</v>
      </c>
      <c r="F2393" s="190" t="s">
        <v>29</v>
      </c>
      <c r="G2393" s="243"/>
    </row>
    <row r="2394" spans="1:7" x14ac:dyDescent="0.2">
      <c r="A2394" s="362" t="str">
        <f>VLOOKUP(B2394,PRECIOS!$A$309:$E$485,2,FALSE)</f>
        <v>EQUIPO158</v>
      </c>
      <c r="B2394" s="363" t="s">
        <v>1699</v>
      </c>
      <c r="C2394" s="99" t="str">
        <f>VLOOKUP(B2394,PRECIOS!$A$309:$E$485,3,FALSE)</f>
        <v>Electrica</v>
      </c>
      <c r="D2394" s="364">
        <f>VLOOKUP(B2394,PRECIOS!$A$309:$E$485,5,FALSE)</f>
        <v>6250</v>
      </c>
      <c r="E2394" s="365">
        <v>0.9</v>
      </c>
      <c r="F2394" s="366">
        <f>+D2394*E2394</f>
        <v>5625</v>
      </c>
      <c r="G2394" s="245"/>
    </row>
    <row r="2395" spans="1:7" x14ac:dyDescent="0.2">
      <c r="A2395" s="362" t="str">
        <f>VLOOKUP(B2395,PRECIOS!$A$309:$E$485,2,FALSE)</f>
        <v>EQUIPO169</v>
      </c>
      <c r="B2395" s="363" t="s">
        <v>449</v>
      </c>
      <c r="C2395" s="99" t="str">
        <f>VLOOKUP(B2395,PRECIOS!$A$309:$E$485,3,FALSE)</f>
        <v>Estructura</v>
      </c>
      <c r="D2395" s="364">
        <f>VLOOKUP(B2395,PRECIOS!$A$309:$E$485,5,FALSE)</f>
        <v>1500</v>
      </c>
      <c r="E2395" s="365">
        <v>1</v>
      </c>
      <c r="F2395" s="366">
        <f>+D2395*E2395</f>
        <v>1500</v>
      </c>
      <c r="G2395" s="245"/>
    </row>
    <row r="2396" spans="1:7" x14ac:dyDescent="0.2">
      <c r="A2396" s="1179" t="s">
        <v>1650</v>
      </c>
      <c r="B2396" s="1180"/>
      <c r="C2396" s="214">
        <v>0.05</v>
      </c>
      <c r="D2396" s="213"/>
      <c r="E2396" s="418"/>
      <c r="F2396" s="212">
        <f>+G2415*C2396</f>
        <v>6807.9750000000004</v>
      </c>
      <c r="G2396" s="246"/>
    </row>
    <row r="2397" spans="1:7" x14ac:dyDescent="0.2">
      <c r="A2397" s="247" t="s">
        <v>25</v>
      </c>
      <c r="B2397" s="416"/>
      <c r="C2397" s="416"/>
      <c r="D2397" s="416"/>
      <c r="E2397" s="416"/>
      <c r="F2397" s="416"/>
      <c r="G2397" s="246" t="s">
        <v>31</v>
      </c>
    </row>
    <row r="2398" spans="1:7" ht="15" thickBot="1" x14ac:dyDescent="0.25">
      <c r="A2398" s="248"/>
      <c r="B2398" s="420"/>
      <c r="C2398" s="420"/>
      <c r="D2398" s="420"/>
      <c r="E2398" s="420"/>
      <c r="F2398" s="420"/>
      <c r="G2398" s="249">
        <f>SUM(F2394:F2396)</f>
        <v>13932.975</v>
      </c>
    </row>
    <row r="2399" spans="1:7" ht="15" thickBot="1" x14ac:dyDescent="0.25">
      <c r="A2399" s="1176" t="s">
        <v>1645</v>
      </c>
      <c r="B2399" s="1177"/>
      <c r="C2399" s="1177"/>
      <c r="D2399" s="1177"/>
      <c r="E2399" s="1177"/>
      <c r="F2399" s="1177"/>
      <c r="G2399" s="1178"/>
    </row>
    <row r="2400" spans="1:7" x14ac:dyDescent="0.2">
      <c r="A2400" s="242" t="s">
        <v>1643</v>
      </c>
      <c r="B2400" s="191" t="s">
        <v>1644</v>
      </c>
      <c r="C2400" s="190" t="s">
        <v>32</v>
      </c>
      <c r="D2400" s="190" t="s">
        <v>33</v>
      </c>
      <c r="E2400" s="190" t="s">
        <v>34</v>
      </c>
      <c r="F2400" s="190" t="s">
        <v>35</v>
      </c>
      <c r="G2400" s="243"/>
    </row>
    <row r="2401" spans="1:7" ht="36" x14ac:dyDescent="0.2">
      <c r="A2401" s="352" t="str">
        <f>VLOOKUP(B2401,PRECIOS!$A$5:$D$303,2,FALSE)</f>
        <v>CARPMETAL24</v>
      </c>
      <c r="B2401" s="105" t="s">
        <v>1837</v>
      </c>
      <c r="C2401" s="105" t="str">
        <f>VLOOKUP(B2401,PRECIOS!$A$5:$D$303,3,FALSE)</f>
        <v>und</v>
      </c>
      <c r="D2401" s="353">
        <f>VLOOKUP(B2401,PRECIOS!$A$5:$D$303,4,FALSE)</f>
        <v>1200000</v>
      </c>
      <c r="E2401" s="354">
        <v>1</v>
      </c>
      <c r="F2401" s="355">
        <f>+D2401*E2401</f>
        <v>1200000</v>
      </c>
      <c r="G2401" s="370"/>
    </row>
    <row r="2402" spans="1:7" x14ac:dyDescent="0.2">
      <c r="A2402" s="1179" t="s">
        <v>1649</v>
      </c>
      <c r="B2402" s="1180"/>
      <c r="C2402" s="214">
        <v>0.03</v>
      </c>
      <c r="D2402" s="417"/>
      <c r="E2402" s="418"/>
      <c r="F2402" s="276">
        <f>SUM(F2401:F2401)*C2402</f>
        <v>36000</v>
      </c>
      <c r="G2402" s="246"/>
    </row>
    <row r="2403" spans="1:7" x14ac:dyDescent="0.2">
      <c r="A2403" s="247"/>
      <c r="B2403" s="416"/>
      <c r="C2403" s="104"/>
      <c r="D2403" s="104"/>
      <c r="E2403" s="104"/>
      <c r="F2403" s="104"/>
      <c r="G2403" s="246" t="s">
        <v>31</v>
      </c>
    </row>
    <row r="2404" spans="1:7" ht="15" thickBot="1" x14ac:dyDescent="0.25">
      <c r="A2404" s="248"/>
      <c r="B2404" s="420"/>
      <c r="C2404" s="420"/>
      <c r="D2404" s="420"/>
      <c r="E2404" s="420"/>
      <c r="F2404" s="420"/>
      <c r="G2404" s="250">
        <f>SUM(F2401:F2402)</f>
        <v>1236000</v>
      </c>
    </row>
    <row r="2405" spans="1:7" ht="15" thickBot="1" x14ac:dyDescent="0.25">
      <c r="A2405" s="1176" t="s">
        <v>1646</v>
      </c>
      <c r="B2405" s="1177"/>
      <c r="C2405" s="1177"/>
      <c r="D2405" s="1177"/>
      <c r="E2405" s="1177"/>
      <c r="F2405" s="1177"/>
      <c r="G2405" s="1178"/>
    </row>
    <row r="2406" spans="1:7" x14ac:dyDescent="0.2">
      <c r="A2406" s="251" t="s">
        <v>305</v>
      </c>
      <c r="B2406" s="190" t="s">
        <v>38</v>
      </c>
      <c r="C2406" s="190" t="s">
        <v>39</v>
      </c>
      <c r="D2406" s="190" t="s">
        <v>40</v>
      </c>
      <c r="E2406" s="190" t="s">
        <v>34</v>
      </c>
      <c r="F2406" s="190" t="s">
        <v>35</v>
      </c>
      <c r="G2406" s="243"/>
    </row>
    <row r="2407" spans="1:7" x14ac:dyDescent="0.2">
      <c r="A2407" s="369"/>
      <c r="B2407" s="89"/>
      <c r="C2407" s="209"/>
      <c r="D2407" s="199"/>
      <c r="E2407" s="367"/>
      <c r="F2407" s="234"/>
      <c r="G2407" s="253"/>
    </row>
    <row r="2408" spans="1:7" x14ac:dyDescent="0.2">
      <c r="A2408" s="252"/>
      <c r="B2408" s="235"/>
      <c r="C2408" s="238"/>
      <c r="D2408" s="236"/>
      <c r="E2408" s="237"/>
      <c r="F2408" s="239"/>
      <c r="G2408" s="253"/>
    </row>
    <row r="2409" spans="1:7" x14ac:dyDescent="0.2">
      <c r="A2409" s="247" t="s">
        <v>25</v>
      </c>
      <c r="B2409" s="104" t="s">
        <v>25</v>
      </c>
      <c r="C2409" s="104" t="s">
        <v>25</v>
      </c>
      <c r="D2409" s="188" t="s">
        <v>25</v>
      </c>
      <c r="E2409" s="189" t="s">
        <v>25</v>
      </c>
      <c r="F2409" s="187" t="s">
        <v>25</v>
      </c>
      <c r="G2409" s="246" t="s">
        <v>31</v>
      </c>
    </row>
    <row r="2410" spans="1:7" ht="15" thickBot="1" x14ac:dyDescent="0.25">
      <c r="A2410" s="248"/>
      <c r="B2410" s="420"/>
      <c r="C2410" s="420"/>
      <c r="D2410" s="420"/>
      <c r="E2410" s="420"/>
      <c r="F2410" s="420"/>
      <c r="G2410" s="250">
        <f>SUM(F2407:F2408)</f>
        <v>0</v>
      </c>
    </row>
    <row r="2411" spans="1:7" ht="15" thickBot="1" x14ac:dyDescent="0.25">
      <c r="A2411" s="1176" t="s">
        <v>1647</v>
      </c>
      <c r="B2411" s="1177"/>
      <c r="C2411" s="1177"/>
      <c r="D2411" s="1177"/>
      <c r="E2411" s="1177"/>
      <c r="F2411" s="1177"/>
      <c r="G2411" s="1178"/>
    </row>
    <row r="2412" spans="1:7" ht="24" x14ac:dyDescent="0.2">
      <c r="A2412" s="254" t="s">
        <v>1681</v>
      </c>
      <c r="B2412" s="190" t="s">
        <v>42</v>
      </c>
      <c r="C2412" s="190" t="s">
        <v>43</v>
      </c>
      <c r="D2412" s="190" t="s">
        <v>44</v>
      </c>
      <c r="E2412" s="190" t="s">
        <v>306</v>
      </c>
      <c r="F2412" s="190" t="s">
        <v>29</v>
      </c>
      <c r="G2412" s="243"/>
    </row>
    <row r="2413" spans="1:7" ht="36" x14ac:dyDescent="0.2">
      <c r="A2413" s="255" t="s">
        <v>1674</v>
      </c>
      <c r="B2413" s="202">
        <f>VLOOKUP(A2413,JORNALES!$A$5:$B$28,2,FALSE)</f>
        <v>215000</v>
      </c>
      <c r="C2413" s="233">
        <f>+PRESTACIONES!$C$20/100</f>
        <v>0.89990000000000014</v>
      </c>
      <c r="D2413" s="234">
        <f>+(B2413*C2413)+B2413</f>
        <v>408478.5</v>
      </c>
      <c r="E2413" s="421">
        <v>3</v>
      </c>
      <c r="F2413" s="199">
        <f>+D2413/E2413</f>
        <v>136159.5</v>
      </c>
      <c r="G2413" s="246"/>
    </row>
    <row r="2414" spans="1:7" x14ac:dyDescent="0.2">
      <c r="A2414" s="247"/>
      <c r="B2414" s="416"/>
      <c r="C2414" s="416"/>
      <c r="D2414" s="416"/>
      <c r="E2414" s="416"/>
      <c r="F2414" s="416"/>
      <c r="G2414" s="246" t="s">
        <v>31</v>
      </c>
    </row>
    <row r="2415" spans="1:7" x14ac:dyDescent="0.2">
      <c r="A2415" s="247"/>
      <c r="B2415" s="416"/>
      <c r="C2415" s="416"/>
      <c r="D2415" s="416"/>
      <c r="E2415" s="416"/>
      <c r="F2415" s="416"/>
      <c r="G2415" s="256">
        <f>SUM(F2413:F2413)</f>
        <v>136159.5</v>
      </c>
    </row>
    <row r="2416" spans="1:7" ht="15" thickBot="1" x14ac:dyDescent="0.25">
      <c r="A2416" s="1181" t="s">
        <v>25</v>
      </c>
      <c r="B2416" s="1182"/>
      <c r="C2416" s="1182"/>
      <c r="D2416" s="1182"/>
      <c r="E2416" s="1182"/>
      <c r="F2416" s="1182"/>
      <c r="G2416" s="1183"/>
    </row>
    <row r="2417" spans="1:7" ht="15" thickBot="1" x14ac:dyDescent="0.25">
      <c r="A2417" s="1184" t="s">
        <v>45</v>
      </c>
      <c r="B2417" s="1185"/>
      <c r="C2417" s="1185"/>
      <c r="D2417" s="1185"/>
      <c r="E2417" s="1185"/>
      <c r="F2417" s="192"/>
      <c r="G2417" s="277">
        <f xml:space="preserve"> ROUND(G2415+G2410+G2404+G2398,0)</f>
        <v>1386092</v>
      </c>
    </row>
    <row r="2418" spans="1:7" x14ac:dyDescent="0.2">
      <c r="A2418" s="1186" t="s">
        <v>476</v>
      </c>
      <c r="B2418" s="1187"/>
      <c r="C2418" s="1187"/>
      <c r="D2418" s="1187"/>
      <c r="E2418" s="1187"/>
      <c r="F2418" s="193" t="s">
        <v>51</v>
      </c>
      <c r="G2418" s="257" t="s">
        <v>307</v>
      </c>
    </row>
    <row r="2419" spans="1:7" x14ac:dyDescent="0.2">
      <c r="A2419" s="1166" t="s">
        <v>17</v>
      </c>
      <c r="B2419" s="1167"/>
      <c r="C2419" s="1167"/>
      <c r="D2419" s="1167"/>
      <c r="E2419" s="1167"/>
      <c r="F2419" s="240"/>
      <c r="G2419" s="196"/>
    </row>
    <row r="2420" spans="1:7" x14ac:dyDescent="0.2">
      <c r="A2420" s="1166" t="s">
        <v>308</v>
      </c>
      <c r="B2420" s="1167"/>
      <c r="C2420" s="1167"/>
      <c r="D2420" s="1167"/>
      <c r="E2420" s="1167"/>
      <c r="F2420" s="240"/>
      <c r="G2420" s="196"/>
    </row>
    <row r="2421" spans="1:7" x14ac:dyDescent="0.2">
      <c r="A2421" s="1166" t="s">
        <v>19</v>
      </c>
      <c r="B2421" s="1167"/>
      <c r="C2421" s="1167"/>
      <c r="D2421" s="1167"/>
      <c r="E2421" s="1167"/>
      <c r="F2421" s="240"/>
      <c r="G2421" s="196"/>
    </row>
    <row r="2422" spans="1:7" ht="15" thickBot="1" x14ac:dyDescent="0.25">
      <c r="A2422" s="1168" t="s">
        <v>309</v>
      </c>
      <c r="B2422" s="1169"/>
      <c r="C2422" s="1169"/>
      <c r="D2422" s="1169"/>
      <c r="E2422" s="1169"/>
      <c r="F2422" s="198"/>
      <c r="G2422" s="258"/>
    </row>
    <row r="2423" spans="1:7" ht="15" thickBot="1" x14ac:dyDescent="0.25">
      <c r="A2423" s="1170" t="s">
        <v>310</v>
      </c>
      <c r="B2423" s="1171"/>
      <c r="C2423" s="1171"/>
      <c r="D2423" s="1171"/>
      <c r="E2423" s="1171"/>
      <c r="F2423" s="1172"/>
      <c r="G2423" s="1173"/>
    </row>
    <row r="2424" spans="1:7" x14ac:dyDescent="0.2">
      <c r="A2424" s="413"/>
      <c r="B2424" s="414"/>
      <c r="C2424" s="414"/>
      <c r="D2424" s="414"/>
      <c r="E2424" s="414"/>
      <c r="F2424" s="193"/>
      <c r="G2424" s="260"/>
    </row>
    <row r="2425" spans="1:7" ht="15" thickBot="1" x14ac:dyDescent="0.25">
      <c r="A2425" s="261" t="s">
        <v>681</v>
      </c>
      <c r="B2425" s="262"/>
      <c r="C2425" s="262" t="s">
        <v>682</v>
      </c>
      <c r="D2425" s="262"/>
      <c r="E2425" s="262"/>
      <c r="F2425" s="262" t="s">
        <v>683</v>
      </c>
      <c r="G2425" s="263"/>
    </row>
    <row r="2426" spans="1:7" ht="15" thickBot="1" x14ac:dyDescent="0.25">
      <c r="A2426" s="1174" t="str">
        <f>+LIST_ACTIVIDADES!D88</f>
        <v>Ventana Corrediza (V7) en aluminio y vridrio 3+3 de 3,00 x 0,40mts, según diseños</v>
      </c>
      <c r="B2426" s="1175"/>
      <c r="C2426" s="1175"/>
      <c r="D2426" s="1175"/>
      <c r="E2426" s="1175"/>
      <c r="F2426" s="241" t="s">
        <v>24</v>
      </c>
      <c r="G2426" s="264" t="str">
        <f>+LIST_ACTIVIDADES!E88</f>
        <v>und</v>
      </c>
    </row>
    <row r="2427" spans="1:7" ht="15" thickBot="1" x14ac:dyDescent="0.25">
      <c r="A2427" s="1176" t="s">
        <v>1642</v>
      </c>
      <c r="B2427" s="1177"/>
      <c r="C2427" s="1177"/>
      <c r="D2427" s="1177"/>
      <c r="E2427" s="1177"/>
      <c r="F2427" s="1177"/>
      <c r="G2427" s="1178"/>
    </row>
    <row r="2428" spans="1:7" x14ac:dyDescent="0.2">
      <c r="A2428" s="242" t="s">
        <v>1643</v>
      </c>
      <c r="B2428" s="191" t="s">
        <v>1644</v>
      </c>
      <c r="C2428" s="190" t="s">
        <v>26</v>
      </c>
      <c r="D2428" s="190" t="s">
        <v>27</v>
      </c>
      <c r="E2428" s="190" t="s">
        <v>28</v>
      </c>
      <c r="F2428" s="190" t="s">
        <v>29</v>
      </c>
      <c r="G2428" s="243"/>
    </row>
    <row r="2429" spans="1:7" x14ac:dyDescent="0.2">
      <c r="A2429" s="362" t="str">
        <f>VLOOKUP(B2429,PRECIOS!$A$309:$E$485,2,FALSE)</f>
        <v>EQUIPO158</v>
      </c>
      <c r="B2429" s="363" t="s">
        <v>1699</v>
      </c>
      <c r="C2429" s="99" t="str">
        <f>VLOOKUP(B2429,PRECIOS!$A$309:$E$485,3,FALSE)</f>
        <v>Electrica</v>
      </c>
      <c r="D2429" s="364">
        <f>VLOOKUP(B2429,PRECIOS!$A$309:$E$485,5,FALSE)</f>
        <v>6250</v>
      </c>
      <c r="E2429" s="365">
        <v>0.9</v>
      </c>
      <c r="F2429" s="366">
        <f>+D2429*E2429</f>
        <v>5625</v>
      </c>
      <c r="G2429" s="245"/>
    </row>
    <row r="2430" spans="1:7" x14ac:dyDescent="0.2">
      <c r="A2430" s="362" t="str">
        <f>VLOOKUP(B2430,PRECIOS!$A$309:$E$485,2,FALSE)</f>
        <v>EQUIPO169</v>
      </c>
      <c r="B2430" s="363" t="s">
        <v>449</v>
      </c>
      <c r="C2430" s="99" t="str">
        <f>VLOOKUP(B2430,PRECIOS!$A$309:$E$485,3,FALSE)</f>
        <v>Estructura</v>
      </c>
      <c r="D2430" s="364">
        <f>VLOOKUP(B2430,PRECIOS!$A$309:$E$485,5,FALSE)</f>
        <v>1500</v>
      </c>
      <c r="E2430" s="365">
        <v>1</v>
      </c>
      <c r="F2430" s="366">
        <f>+D2430*E2430</f>
        <v>1500</v>
      </c>
      <c r="G2430" s="245"/>
    </row>
    <row r="2431" spans="1:7" x14ac:dyDescent="0.2">
      <c r="A2431" s="1179" t="s">
        <v>1650</v>
      </c>
      <c r="B2431" s="1180"/>
      <c r="C2431" s="214">
        <v>0.05</v>
      </c>
      <c r="D2431" s="213"/>
      <c r="E2431" s="418"/>
      <c r="F2431" s="212">
        <f>+G2450*C2431</f>
        <v>6807.9750000000004</v>
      </c>
      <c r="G2431" s="246"/>
    </row>
    <row r="2432" spans="1:7" x14ac:dyDescent="0.2">
      <c r="A2432" s="247" t="s">
        <v>25</v>
      </c>
      <c r="B2432" s="416"/>
      <c r="C2432" s="416"/>
      <c r="D2432" s="416"/>
      <c r="E2432" s="416"/>
      <c r="F2432" s="416"/>
      <c r="G2432" s="246" t="s">
        <v>31</v>
      </c>
    </row>
    <row r="2433" spans="1:7" ht="15" thickBot="1" x14ac:dyDescent="0.25">
      <c r="A2433" s="248"/>
      <c r="B2433" s="420"/>
      <c r="C2433" s="420"/>
      <c r="D2433" s="420"/>
      <c r="E2433" s="420"/>
      <c r="F2433" s="420"/>
      <c r="G2433" s="249">
        <f>SUM(F2429:F2431)</f>
        <v>13932.975</v>
      </c>
    </row>
    <row r="2434" spans="1:7" ht="15" thickBot="1" x14ac:dyDescent="0.25">
      <c r="A2434" s="1176" t="s">
        <v>1645</v>
      </c>
      <c r="B2434" s="1177"/>
      <c r="C2434" s="1177"/>
      <c r="D2434" s="1177"/>
      <c r="E2434" s="1177"/>
      <c r="F2434" s="1177"/>
      <c r="G2434" s="1178"/>
    </row>
    <row r="2435" spans="1:7" x14ac:dyDescent="0.2">
      <c r="A2435" s="242" t="s">
        <v>1643</v>
      </c>
      <c r="B2435" s="191" t="s">
        <v>1644</v>
      </c>
      <c r="C2435" s="190" t="s">
        <v>32</v>
      </c>
      <c r="D2435" s="190" t="s">
        <v>33</v>
      </c>
      <c r="E2435" s="190" t="s">
        <v>34</v>
      </c>
      <c r="F2435" s="190" t="s">
        <v>35</v>
      </c>
      <c r="G2435" s="243"/>
    </row>
    <row r="2436" spans="1:7" ht="36" x14ac:dyDescent="0.2">
      <c r="A2436" s="352" t="str">
        <f>VLOOKUP(B2436,PRECIOS!$A$5:$D$303,2,FALSE)</f>
        <v>CARPMETAL25</v>
      </c>
      <c r="B2436" s="105" t="s">
        <v>1838</v>
      </c>
      <c r="C2436" s="105" t="str">
        <f>VLOOKUP(B2436,PRECIOS!$A$5:$D$303,3,FALSE)</f>
        <v>und</v>
      </c>
      <c r="D2436" s="353">
        <f>VLOOKUP(B2436,PRECIOS!$A$5:$D$303,4,FALSE)</f>
        <v>2500000</v>
      </c>
      <c r="E2436" s="354">
        <v>1</v>
      </c>
      <c r="F2436" s="355">
        <f>+D2436*E2436</f>
        <v>2500000</v>
      </c>
      <c r="G2436" s="370"/>
    </row>
    <row r="2437" spans="1:7" x14ac:dyDescent="0.2">
      <c r="A2437" s="1179" t="s">
        <v>1649</v>
      </c>
      <c r="B2437" s="1180"/>
      <c r="C2437" s="214">
        <v>0.03</v>
      </c>
      <c r="D2437" s="417"/>
      <c r="E2437" s="418"/>
      <c r="F2437" s="276">
        <f>SUM(F2436:F2436)*C2437</f>
        <v>75000</v>
      </c>
      <c r="G2437" s="246"/>
    </row>
    <row r="2438" spans="1:7" x14ac:dyDescent="0.2">
      <c r="A2438" s="247"/>
      <c r="B2438" s="416"/>
      <c r="C2438" s="104"/>
      <c r="D2438" s="104"/>
      <c r="E2438" s="104"/>
      <c r="F2438" s="104"/>
      <c r="G2438" s="246" t="s">
        <v>31</v>
      </c>
    </row>
    <row r="2439" spans="1:7" ht="15" thickBot="1" x14ac:dyDescent="0.25">
      <c r="A2439" s="248"/>
      <c r="B2439" s="420"/>
      <c r="C2439" s="420"/>
      <c r="D2439" s="420"/>
      <c r="E2439" s="420"/>
      <c r="F2439" s="420"/>
      <c r="G2439" s="250">
        <f>SUM(F2436:F2437)</f>
        <v>2575000</v>
      </c>
    </row>
    <row r="2440" spans="1:7" ht="15" thickBot="1" x14ac:dyDescent="0.25">
      <c r="A2440" s="1176" t="s">
        <v>1646</v>
      </c>
      <c r="B2440" s="1177"/>
      <c r="C2440" s="1177"/>
      <c r="D2440" s="1177"/>
      <c r="E2440" s="1177"/>
      <c r="F2440" s="1177"/>
      <c r="G2440" s="1178"/>
    </row>
    <row r="2441" spans="1:7" x14ac:dyDescent="0.2">
      <c r="A2441" s="251" t="s">
        <v>305</v>
      </c>
      <c r="B2441" s="190" t="s">
        <v>38</v>
      </c>
      <c r="C2441" s="190" t="s">
        <v>39</v>
      </c>
      <c r="D2441" s="190" t="s">
        <v>40</v>
      </c>
      <c r="E2441" s="190" t="s">
        <v>34</v>
      </c>
      <c r="F2441" s="190" t="s">
        <v>35</v>
      </c>
      <c r="G2441" s="243"/>
    </row>
    <row r="2442" spans="1:7" x14ac:dyDescent="0.2">
      <c r="A2442" s="369"/>
      <c r="B2442" s="89"/>
      <c r="C2442" s="209"/>
      <c r="D2442" s="199"/>
      <c r="E2442" s="367"/>
      <c r="F2442" s="234"/>
      <c r="G2442" s="253"/>
    </row>
    <row r="2443" spans="1:7" x14ac:dyDescent="0.2">
      <c r="A2443" s="252"/>
      <c r="B2443" s="235"/>
      <c r="C2443" s="238"/>
      <c r="D2443" s="236"/>
      <c r="E2443" s="237"/>
      <c r="F2443" s="239"/>
      <c r="G2443" s="253"/>
    </row>
    <row r="2444" spans="1:7" x14ac:dyDescent="0.2">
      <c r="A2444" s="247" t="s">
        <v>25</v>
      </c>
      <c r="B2444" s="104" t="s">
        <v>25</v>
      </c>
      <c r="C2444" s="104" t="s">
        <v>25</v>
      </c>
      <c r="D2444" s="188" t="s">
        <v>25</v>
      </c>
      <c r="E2444" s="189" t="s">
        <v>25</v>
      </c>
      <c r="F2444" s="187" t="s">
        <v>25</v>
      </c>
      <c r="G2444" s="246" t="s">
        <v>31</v>
      </c>
    </row>
    <row r="2445" spans="1:7" ht="15" thickBot="1" x14ac:dyDescent="0.25">
      <c r="A2445" s="248"/>
      <c r="B2445" s="420"/>
      <c r="C2445" s="420"/>
      <c r="D2445" s="420"/>
      <c r="E2445" s="420"/>
      <c r="F2445" s="420"/>
      <c r="G2445" s="250">
        <f>SUM(F2442:F2443)</f>
        <v>0</v>
      </c>
    </row>
    <row r="2446" spans="1:7" ht="15" thickBot="1" x14ac:dyDescent="0.25">
      <c r="A2446" s="1176" t="s">
        <v>1647</v>
      </c>
      <c r="B2446" s="1177"/>
      <c r="C2446" s="1177"/>
      <c r="D2446" s="1177"/>
      <c r="E2446" s="1177"/>
      <c r="F2446" s="1177"/>
      <c r="G2446" s="1178"/>
    </row>
    <row r="2447" spans="1:7" ht="24" x14ac:dyDescent="0.2">
      <c r="A2447" s="254" t="s">
        <v>1681</v>
      </c>
      <c r="B2447" s="190" t="s">
        <v>42</v>
      </c>
      <c r="C2447" s="190" t="s">
        <v>43</v>
      </c>
      <c r="D2447" s="190" t="s">
        <v>44</v>
      </c>
      <c r="E2447" s="190" t="s">
        <v>306</v>
      </c>
      <c r="F2447" s="190" t="s">
        <v>29</v>
      </c>
      <c r="G2447" s="243"/>
    </row>
    <row r="2448" spans="1:7" ht="36" x14ac:dyDescent="0.2">
      <c r="A2448" s="255" t="s">
        <v>1674</v>
      </c>
      <c r="B2448" s="202">
        <f>VLOOKUP(A2448,JORNALES!$A$5:$B$28,2,FALSE)</f>
        <v>215000</v>
      </c>
      <c r="C2448" s="233">
        <f>+PRESTACIONES!$C$20/100</f>
        <v>0.89990000000000014</v>
      </c>
      <c r="D2448" s="234">
        <f>+(B2448*C2448)+B2448</f>
        <v>408478.5</v>
      </c>
      <c r="E2448" s="421">
        <v>3</v>
      </c>
      <c r="F2448" s="199">
        <f>+D2448/E2448</f>
        <v>136159.5</v>
      </c>
      <c r="G2448" s="246"/>
    </row>
    <row r="2449" spans="1:7" x14ac:dyDescent="0.2">
      <c r="A2449" s="247"/>
      <c r="B2449" s="416"/>
      <c r="C2449" s="416"/>
      <c r="D2449" s="416"/>
      <c r="E2449" s="416"/>
      <c r="F2449" s="416"/>
      <c r="G2449" s="246" t="s">
        <v>31</v>
      </c>
    </row>
    <row r="2450" spans="1:7" x14ac:dyDescent="0.2">
      <c r="A2450" s="247"/>
      <c r="B2450" s="416"/>
      <c r="C2450" s="416"/>
      <c r="D2450" s="416"/>
      <c r="E2450" s="416"/>
      <c r="F2450" s="416"/>
      <c r="G2450" s="256">
        <f>SUM(F2448:F2448)</f>
        <v>136159.5</v>
      </c>
    </row>
    <row r="2451" spans="1:7" ht="15" thickBot="1" x14ac:dyDescent="0.25">
      <c r="A2451" s="1181" t="s">
        <v>25</v>
      </c>
      <c r="B2451" s="1182"/>
      <c r="C2451" s="1182"/>
      <c r="D2451" s="1182"/>
      <c r="E2451" s="1182"/>
      <c r="F2451" s="1182"/>
      <c r="G2451" s="1183"/>
    </row>
    <row r="2452" spans="1:7" ht="15" thickBot="1" x14ac:dyDescent="0.25">
      <c r="A2452" s="1184" t="s">
        <v>45</v>
      </c>
      <c r="B2452" s="1185"/>
      <c r="C2452" s="1185"/>
      <c r="D2452" s="1185"/>
      <c r="E2452" s="1185"/>
      <c r="F2452" s="192"/>
      <c r="G2452" s="277">
        <f xml:space="preserve"> ROUND(G2450+G2445+G2439+G2433,0)</f>
        <v>2725092</v>
      </c>
    </row>
    <row r="2453" spans="1:7" x14ac:dyDescent="0.2">
      <c r="A2453" s="1186" t="s">
        <v>476</v>
      </c>
      <c r="B2453" s="1187"/>
      <c r="C2453" s="1187"/>
      <c r="D2453" s="1187"/>
      <c r="E2453" s="1187"/>
      <c r="F2453" s="193" t="s">
        <v>51</v>
      </c>
      <c r="G2453" s="257" t="s">
        <v>307</v>
      </c>
    </row>
    <row r="2454" spans="1:7" x14ac:dyDescent="0.2">
      <c r="A2454" s="1166" t="s">
        <v>17</v>
      </c>
      <c r="B2454" s="1167"/>
      <c r="C2454" s="1167"/>
      <c r="D2454" s="1167"/>
      <c r="E2454" s="1167"/>
      <c r="F2454" s="240"/>
      <c r="G2454" s="196"/>
    </row>
    <row r="2455" spans="1:7" x14ac:dyDescent="0.2">
      <c r="A2455" s="1166" t="s">
        <v>308</v>
      </c>
      <c r="B2455" s="1167"/>
      <c r="C2455" s="1167"/>
      <c r="D2455" s="1167"/>
      <c r="E2455" s="1167"/>
      <c r="F2455" s="240"/>
      <c r="G2455" s="196"/>
    </row>
    <row r="2456" spans="1:7" x14ac:dyDescent="0.2">
      <c r="A2456" s="1166" t="s">
        <v>19</v>
      </c>
      <c r="B2456" s="1167"/>
      <c r="C2456" s="1167"/>
      <c r="D2456" s="1167"/>
      <c r="E2456" s="1167"/>
      <c r="F2456" s="240"/>
      <c r="G2456" s="196"/>
    </row>
    <row r="2457" spans="1:7" ht="15" thickBot="1" x14ac:dyDescent="0.25">
      <c r="A2457" s="1168" t="s">
        <v>309</v>
      </c>
      <c r="B2457" s="1169"/>
      <c r="C2457" s="1169"/>
      <c r="D2457" s="1169"/>
      <c r="E2457" s="1169"/>
      <c r="F2457" s="198"/>
      <c r="G2457" s="258"/>
    </row>
    <row r="2458" spans="1:7" ht="15" thickBot="1" x14ac:dyDescent="0.25">
      <c r="A2458" s="1170" t="s">
        <v>310</v>
      </c>
      <c r="B2458" s="1171"/>
      <c r="C2458" s="1171"/>
      <c r="D2458" s="1171"/>
      <c r="E2458" s="1171"/>
      <c r="F2458" s="1172"/>
      <c r="G2458" s="1173"/>
    </row>
    <row r="2459" spans="1:7" x14ac:dyDescent="0.2">
      <c r="A2459" s="413"/>
      <c r="B2459" s="414"/>
      <c r="C2459" s="414"/>
      <c r="D2459" s="414"/>
      <c r="E2459" s="414"/>
      <c r="F2459" s="193"/>
      <c r="G2459" s="260"/>
    </row>
    <row r="2460" spans="1:7" ht="15" thickBot="1" x14ac:dyDescent="0.25">
      <c r="A2460" s="261" t="s">
        <v>681</v>
      </c>
      <c r="B2460" s="262"/>
      <c r="C2460" s="262" t="s">
        <v>682</v>
      </c>
      <c r="D2460" s="262"/>
      <c r="E2460" s="262"/>
      <c r="F2460" s="262" t="s">
        <v>683</v>
      </c>
      <c r="G2460" s="263"/>
    </row>
    <row r="2461" spans="1:7" ht="15" thickBot="1" x14ac:dyDescent="0.25">
      <c r="A2461" s="1174" t="str">
        <f>+LIST_ACTIVIDADES!D89</f>
        <v>Ventana Corrediza (V8) en aluminio y vridrio 3+3 de 1,00 x 0,40mts, según diseños</v>
      </c>
      <c r="B2461" s="1175"/>
      <c r="C2461" s="1175"/>
      <c r="D2461" s="1175"/>
      <c r="E2461" s="1175"/>
      <c r="F2461" s="241" t="s">
        <v>24</v>
      </c>
      <c r="G2461" s="264" t="str">
        <f>+LIST_ACTIVIDADES!E89</f>
        <v>und</v>
      </c>
    </row>
    <row r="2462" spans="1:7" ht="15" thickBot="1" x14ac:dyDescent="0.25">
      <c r="A2462" s="1176" t="s">
        <v>1642</v>
      </c>
      <c r="B2462" s="1177"/>
      <c r="C2462" s="1177"/>
      <c r="D2462" s="1177"/>
      <c r="E2462" s="1177"/>
      <c r="F2462" s="1177"/>
      <c r="G2462" s="1178"/>
    </row>
    <row r="2463" spans="1:7" x14ac:dyDescent="0.2">
      <c r="A2463" s="242" t="s">
        <v>1643</v>
      </c>
      <c r="B2463" s="191" t="s">
        <v>1644</v>
      </c>
      <c r="C2463" s="190" t="s">
        <v>26</v>
      </c>
      <c r="D2463" s="190" t="s">
        <v>27</v>
      </c>
      <c r="E2463" s="190" t="s">
        <v>28</v>
      </c>
      <c r="F2463" s="190" t="s">
        <v>29</v>
      </c>
      <c r="G2463" s="243"/>
    </row>
    <row r="2464" spans="1:7" x14ac:dyDescent="0.2">
      <c r="A2464" s="362" t="str">
        <f>VLOOKUP(B2464,PRECIOS!$A$309:$E$485,2,FALSE)</f>
        <v>EQUIPO158</v>
      </c>
      <c r="B2464" s="363" t="s">
        <v>1699</v>
      </c>
      <c r="C2464" s="99" t="str">
        <f>VLOOKUP(B2464,PRECIOS!$A$309:$E$485,3,FALSE)</f>
        <v>Electrica</v>
      </c>
      <c r="D2464" s="364">
        <f>VLOOKUP(B2464,PRECIOS!$A$309:$E$485,5,FALSE)</f>
        <v>6250</v>
      </c>
      <c r="E2464" s="365">
        <v>0.9</v>
      </c>
      <c r="F2464" s="366">
        <f>+D2464*E2464</f>
        <v>5625</v>
      </c>
      <c r="G2464" s="245"/>
    </row>
    <row r="2465" spans="1:7" x14ac:dyDescent="0.2">
      <c r="A2465" s="362" t="str">
        <f>VLOOKUP(B2465,PRECIOS!$A$309:$E$485,2,FALSE)</f>
        <v>EQUIPO169</v>
      </c>
      <c r="B2465" s="363" t="s">
        <v>449</v>
      </c>
      <c r="C2465" s="99" t="str">
        <f>VLOOKUP(B2465,PRECIOS!$A$309:$E$485,3,FALSE)</f>
        <v>Estructura</v>
      </c>
      <c r="D2465" s="364">
        <f>VLOOKUP(B2465,PRECIOS!$A$309:$E$485,5,FALSE)</f>
        <v>1500</v>
      </c>
      <c r="E2465" s="365">
        <v>1</v>
      </c>
      <c r="F2465" s="366">
        <f>+D2465*E2465</f>
        <v>1500</v>
      </c>
      <c r="G2465" s="245"/>
    </row>
    <row r="2466" spans="1:7" x14ac:dyDescent="0.2">
      <c r="A2466" s="1179" t="s">
        <v>1650</v>
      </c>
      <c r="B2466" s="1180"/>
      <c r="C2466" s="214">
        <v>0.05</v>
      </c>
      <c r="D2466" s="213"/>
      <c r="E2466" s="418"/>
      <c r="F2466" s="212">
        <f>+G2485*C2466</f>
        <v>6807.9750000000004</v>
      </c>
      <c r="G2466" s="246"/>
    </row>
    <row r="2467" spans="1:7" x14ac:dyDescent="0.2">
      <c r="A2467" s="247" t="s">
        <v>25</v>
      </c>
      <c r="B2467" s="416"/>
      <c r="C2467" s="416"/>
      <c r="D2467" s="416"/>
      <c r="E2467" s="416"/>
      <c r="F2467" s="416"/>
      <c r="G2467" s="246" t="s">
        <v>31</v>
      </c>
    </row>
    <row r="2468" spans="1:7" ht="15" thickBot="1" x14ac:dyDescent="0.25">
      <c r="A2468" s="248"/>
      <c r="B2468" s="420"/>
      <c r="C2468" s="420"/>
      <c r="D2468" s="420"/>
      <c r="E2468" s="420"/>
      <c r="F2468" s="420"/>
      <c r="G2468" s="249">
        <f>SUM(F2464:F2466)</f>
        <v>13932.975</v>
      </c>
    </row>
    <row r="2469" spans="1:7" ht="15" thickBot="1" x14ac:dyDescent="0.25">
      <c r="A2469" s="1176" t="s">
        <v>1645</v>
      </c>
      <c r="B2469" s="1177"/>
      <c r="C2469" s="1177"/>
      <c r="D2469" s="1177"/>
      <c r="E2469" s="1177"/>
      <c r="F2469" s="1177"/>
      <c r="G2469" s="1178"/>
    </row>
    <row r="2470" spans="1:7" x14ac:dyDescent="0.2">
      <c r="A2470" s="242" t="s">
        <v>1643</v>
      </c>
      <c r="B2470" s="191" t="s">
        <v>1644</v>
      </c>
      <c r="C2470" s="190" t="s">
        <v>32</v>
      </c>
      <c r="D2470" s="190" t="s">
        <v>33</v>
      </c>
      <c r="E2470" s="190" t="s">
        <v>34</v>
      </c>
      <c r="F2470" s="190" t="s">
        <v>35</v>
      </c>
      <c r="G2470" s="243"/>
    </row>
    <row r="2471" spans="1:7" ht="36" x14ac:dyDescent="0.2">
      <c r="A2471" s="352" t="str">
        <f>VLOOKUP(B2471,PRECIOS!$A$5:$D$303,2,FALSE)</f>
        <v>CARPMETAL26</v>
      </c>
      <c r="B2471" s="105" t="s">
        <v>1839</v>
      </c>
      <c r="C2471" s="105" t="str">
        <f>VLOOKUP(B2471,PRECIOS!$A$5:$D$303,3,FALSE)</f>
        <v>und</v>
      </c>
      <c r="D2471" s="353">
        <f>VLOOKUP(B2471,PRECIOS!$A$5:$D$303,4,FALSE)</f>
        <v>1000000</v>
      </c>
      <c r="E2471" s="354">
        <v>1</v>
      </c>
      <c r="F2471" s="355">
        <f>+D2471*E2471</f>
        <v>1000000</v>
      </c>
      <c r="G2471" s="370"/>
    </row>
    <row r="2472" spans="1:7" x14ac:dyDescent="0.2">
      <c r="A2472" s="1179" t="s">
        <v>1649</v>
      </c>
      <c r="B2472" s="1180"/>
      <c r="C2472" s="214">
        <v>0.03</v>
      </c>
      <c r="D2472" s="417"/>
      <c r="E2472" s="418"/>
      <c r="F2472" s="276">
        <f>SUM(F2471:F2471)*C2472</f>
        <v>30000</v>
      </c>
      <c r="G2472" s="246"/>
    </row>
    <row r="2473" spans="1:7" x14ac:dyDescent="0.2">
      <c r="A2473" s="247"/>
      <c r="B2473" s="416"/>
      <c r="C2473" s="104"/>
      <c r="D2473" s="104"/>
      <c r="E2473" s="104"/>
      <c r="F2473" s="104"/>
      <c r="G2473" s="246" t="s">
        <v>31</v>
      </c>
    </row>
    <row r="2474" spans="1:7" ht="15" thickBot="1" x14ac:dyDescent="0.25">
      <c r="A2474" s="248"/>
      <c r="B2474" s="420"/>
      <c r="C2474" s="420"/>
      <c r="D2474" s="420"/>
      <c r="E2474" s="420"/>
      <c r="F2474" s="420"/>
      <c r="G2474" s="250">
        <f>SUM(F2471:F2472)</f>
        <v>1030000</v>
      </c>
    </row>
    <row r="2475" spans="1:7" ht="15" thickBot="1" x14ac:dyDescent="0.25">
      <c r="A2475" s="1176" t="s">
        <v>1646</v>
      </c>
      <c r="B2475" s="1177"/>
      <c r="C2475" s="1177"/>
      <c r="D2475" s="1177"/>
      <c r="E2475" s="1177"/>
      <c r="F2475" s="1177"/>
      <c r="G2475" s="1178"/>
    </row>
    <row r="2476" spans="1:7" x14ac:dyDescent="0.2">
      <c r="A2476" s="251" t="s">
        <v>305</v>
      </c>
      <c r="B2476" s="190" t="s">
        <v>38</v>
      </c>
      <c r="C2476" s="190" t="s">
        <v>39</v>
      </c>
      <c r="D2476" s="190" t="s">
        <v>40</v>
      </c>
      <c r="E2476" s="190" t="s">
        <v>34</v>
      </c>
      <c r="F2476" s="190" t="s">
        <v>35</v>
      </c>
      <c r="G2476" s="243"/>
    </row>
    <row r="2477" spans="1:7" x14ac:dyDescent="0.2">
      <c r="A2477" s="369"/>
      <c r="B2477" s="89"/>
      <c r="C2477" s="209"/>
      <c r="D2477" s="199"/>
      <c r="E2477" s="367"/>
      <c r="F2477" s="234"/>
      <c r="G2477" s="253"/>
    </row>
    <row r="2478" spans="1:7" x14ac:dyDescent="0.2">
      <c r="A2478" s="252"/>
      <c r="B2478" s="235"/>
      <c r="C2478" s="238"/>
      <c r="D2478" s="236"/>
      <c r="E2478" s="237"/>
      <c r="F2478" s="239"/>
      <c r="G2478" s="253"/>
    </row>
    <row r="2479" spans="1:7" x14ac:dyDescent="0.2">
      <c r="A2479" s="247" t="s">
        <v>25</v>
      </c>
      <c r="B2479" s="104" t="s">
        <v>25</v>
      </c>
      <c r="C2479" s="104" t="s">
        <v>25</v>
      </c>
      <c r="D2479" s="188" t="s">
        <v>25</v>
      </c>
      <c r="E2479" s="189" t="s">
        <v>25</v>
      </c>
      <c r="F2479" s="187" t="s">
        <v>25</v>
      </c>
      <c r="G2479" s="246" t="s">
        <v>31</v>
      </c>
    </row>
    <row r="2480" spans="1:7" ht="15" thickBot="1" x14ac:dyDescent="0.25">
      <c r="A2480" s="248"/>
      <c r="B2480" s="420"/>
      <c r="C2480" s="420"/>
      <c r="D2480" s="420"/>
      <c r="E2480" s="420"/>
      <c r="F2480" s="420"/>
      <c r="G2480" s="250">
        <f>SUM(F2477:F2478)</f>
        <v>0</v>
      </c>
    </row>
    <row r="2481" spans="1:7" ht="15" thickBot="1" x14ac:dyDescent="0.25">
      <c r="A2481" s="1176" t="s">
        <v>1647</v>
      </c>
      <c r="B2481" s="1177"/>
      <c r="C2481" s="1177"/>
      <c r="D2481" s="1177"/>
      <c r="E2481" s="1177"/>
      <c r="F2481" s="1177"/>
      <c r="G2481" s="1178"/>
    </row>
    <row r="2482" spans="1:7" ht="24" x14ac:dyDescent="0.2">
      <c r="A2482" s="254" t="s">
        <v>1681</v>
      </c>
      <c r="B2482" s="190" t="s">
        <v>42</v>
      </c>
      <c r="C2482" s="190" t="s">
        <v>43</v>
      </c>
      <c r="D2482" s="190" t="s">
        <v>44</v>
      </c>
      <c r="E2482" s="190" t="s">
        <v>306</v>
      </c>
      <c r="F2482" s="190" t="s">
        <v>29</v>
      </c>
      <c r="G2482" s="243"/>
    </row>
    <row r="2483" spans="1:7" ht="36" x14ac:dyDescent="0.2">
      <c r="A2483" s="255" t="s">
        <v>1674</v>
      </c>
      <c r="B2483" s="202">
        <f>VLOOKUP(A2483,JORNALES!$A$5:$B$28,2,FALSE)</f>
        <v>215000</v>
      </c>
      <c r="C2483" s="233">
        <f>+PRESTACIONES!$C$20/100</f>
        <v>0.89990000000000014</v>
      </c>
      <c r="D2483" s="234">
        <f>+(B2483*C2483)+B2483</f>
        <v>408478.5</v>
      </c>
      <c r="E2483" s="421">
        <v>3</v>
      </c>
      <c r="F2483" s="199">
        <f>+D2483/E2483</f>
        <v>136159.5</v>
      </c>
      <c r="G2483" s="246"/>
    </row>
    <row r="2484" spans="1:7" x14ac:dyDescent="0.2">
      <c r="A2484" s="247"/>
      <c r="B2484" s="416"/>
      <c r="C2484" s="416"/>
      <c r="D2484" s="416"/>
      <c r="E2484" s="416"/>
      <c r="F2484" s="416"/>
      <c r="G2484" s="246" t="s">
        <v>31</v>
      </c>
    </row>
    <row r="2485" spans="1:7" x14ac:dyDescent="0.2">
      <c r="A2485" s="247"/>
      <c r="B2485" s="416"/>
      <c r="C2485" s="416"/>
      <c r="D2485" s="416"/>
      <c r="E2485" s="416"/>
      <c r="F2485" s="416"/>
      <c r="G2485" s="256">
        <f>SUM(F2483:F2483)</f>
        <v>136159.5</v>
      </c>
    </row>
    <row r="2486" spans="1:7" ht="15" thickBot="1" x14ac:dyDescent="0.25">
      <c r="A2486" s="1181" t="s">
        <v>25</v>
      </c>
      <c r="B2486" s="1182"/>
      <c r="C2486" s="1182"/>
      <c r="D2486" s="1182"/>
      <c r="E2486" s="1182"/>
      <c r="F2486" s="1182"/>
      <c r="G2486" s="1183"/>
    </row>
    <row r="2487" spans="1:7" ht="15" thickBot="1" x14ac:dyDescent="0.25">
      <c r="A2487" s="1184" t="s">
        <v>45</v>
      </c>
      <c r="B2487" s="1185"/>
      <c r="C2487" s="1185"/>
      <c r="D2487" s="1185"/>
      <c r="E2487" s="1185"/>
      <c r="F2487" s="192"/>
      <c r="G2487" s="277">
        <f xml:space="preserve"> ROUND(G2485+G2480+G2474+G2468,0)</f>
        <v>1180092</v>
      </c>
    </row>
    <row r="2488" spans="1:7" x14ac:dyDescent="0.2">
      <c r="A2488" s="1186" t="s">
        <v>476</v>
      </c>
      <c r="B2488" s="1187"/>
      <c r="C2488" s="1187"/>
      <c r="D2488" s="1187"/>
      <c r="E2488" s="1187"/>
      <c r="F2488" s="193" t="s">
        <v>51</v>
      </c>
      <c r="G2488" s="257" t="s">
        <v>307</v>
      </c>
    </row>
    <row r="2489" spans="1:7" x14ac:dyDescent="0.2">
      <c r="A2489" s="1166" t="s">
        <v>17</v>
      </c>
      <c r="B2489" s="1167"/>
      <c r="C2489" s="1167"/>
      <c r="D2489" s="1167"/>
      <c r="E2489" s="1167"/>
      <c r="F2489" s="240"/>
      <c r="G2489" s="196"/>
    </row>
    <row r="2490" spans="1:7" x14ac:dyDescent="0.2">
      <c r="A2490" s="1166" t="s">
        <v>308</v>
      </c>
      <c r="B2490" s="1167"/>
      <c r="C2490" s="1167"/>
      <c r="D2490" s="1167"/>
      <c r="E2490" s="1167"/>
      <c r="F2490" s="240"/>
      <c r="G2490" s="196"/>
    </row>
    <row r="2491" spans="1:7" x14ac:dyDescent="0.2">
      <c r="A2491" s="1166" t="s">
        <v>19</v>
      </c>
      <c r="B2491" s="1167"/>
      <c r="C2491" s="1167"/>
      <c r="D2491" s="1167"/>
      <c r="E2491" s="1167"/>
      <c r="F2491" s="240"/>
      <c r="G2491" s="196"/>
    </row>
    <row r="2492" spans="1:7" ht="15" thickBot="1" x14ac:dyDescent="0.25">
      <c r="A2492" s="1168" t="s">
        <v>309</v>
      </c>
      <c r="B2492" s="1169"/>
      <c r="C2492" s="1169"/>
      <c r="D2492" s="1169"/>
      <c r="E2492" s="1169"/>
      <c r="F2492" s="198"/>
      <c r="G2492" s="258"/>
    </row>
    <row r="2493" spans="1:7" ht="15" thickBot="1" x14ac:dyDescent="0.25">
      <c r="A2493" s="1170" t="s">
        <v>310</v>
      </c>
      <c r="B2493" s="1171"/>
      <c r="C2493" s="1171"/>
      <c r="D2493" s="1171"/>
      <c r="E2493" s="1171"/>
      <c r="F2493" s="1172"/>
      <c r="G2493" s="1173"/>
    </row>
    <row r="2494" spans="1:7" x14ac:dyDescent="0.2">
      <c r="A2494" s="413"/>
      <c r="B2494" s="414"/>
      <c r="C2494" s="414"/>
      <c r="D2494" s="414"/>
      <c r="E2494" s="414"/>
      <c r="F2494" s="193"/>
      <c r="G2494" s="260"/>
    </row>
    <row r="2495" spans="1:7" ht="15" thickBot="1" x14ac:dyDescent="0.25">
      <c r="A2495" s="261" t="s">
        <v>681</v>
      </c>
      <c r="B2495" s="262"/>
      <c r="C2495" s="262" t="s">
        <v>682</v>
      </c>
      <c r="D2495" s="262"/>
      <c r="E2495" s="262"/>
      <c r="F2495" s="262" t="s">
        <v>683</v>
      </c>
      <c r="G2495" s="263"/>
    </row>
    <row r="2496" spans="1:7" ht="15" thickBot="1" x14ac:dyDescent="0.25">
      <c r="A2496" s="1174" t="str">
        <f>+LIST_ACTIVIDADES!D90</f>
        <v>Ventana Corrediza (V9) en aluminio y vridrio 3+3 de 0,90 x 0,40mts, según diseños</v>
      </c>
      <c r="B2496" s="1175"/>
      <c r="C2496" s="1175"/>
      <c r="D2496" s="1175"/>
      <c r="E2496" s="1175"/>
      <c r="F2496" s="241" t="s">
        <v>24</v>
      </c>
      <c r="G2496" s="264" t="str">
        <f>+LIST_ACTIVIDADES!E90</f>
        <v>und</v>
      </c>
    </row>
    <row r="2497" spans="1:7" ht="15" thickBot="1" x14ac:dyDescent="0.25">
      <c r="A2497" s="1176" t="s">
        <v>1642</v>
      </c>
      <c r="B2497" s="1177"/>
      <c r="C2497" s="1177"/>
      <c r="D2497" s="1177"/>
      <c r="E2497" s="1177"/>
      <c r="F2497" s="1177"/>
      <c r="G2497" s="1178"/>
    </row>
    <row r="2498" spans="1:7" x14ac:dyDescent="0.2">
      <c r="A2498" s="242" t="s">
        <v>1643</v>
      </c>
      <c r="B2498" s="191" t="s">
        <v>1644</v>
      </c>
      <c r="C2498" s="190" t="s">
        <v>26</v>
      </c>
      <c r="D2498" s="190" t="s">
        <v>27</v>
      </c>
      <c r="E2498" s="190" t="s">
        <v>28</v>
      </c>
      <c r="F2498" s="190" t="s">
        <v>29</v>
      </c>
      <c r="G2498" s="243"/>
    </row>
    <row r="2499" spans="1:7" x14ac:dyDescent="0.2">
      <c r="A2499" s="362" t="str">
        <f>VLOOKUP(B2499,PRECIOS!$A$309:$E$485,2,FALSE)</f>
        <v>EQUIPO158</v>
      </c>
      <c r="B2499" s="363" t="s">
        <v>1699</v>
      </c>
      <c r="C2499" s="99" t="str">
        <f>VLOOKUP(B2499,PRECIOS!$A$309:$E$485,3,FALSE)</f>
        <v>Electrica</v>
      </c>
      <c r="D2499" s="364">
        <f>VLOOKUP(B2499,PRECIOS!$A$309:$E$485,5,FALSE)</f>
        <v>6250</v>
      </c>
      <c r="E2499" s="365">
        <v>0.9</v>
      </c>
      <c r="F2499" s="366">
        <f>+D2499*E2499</f>
        <v>5625</v>
      </c>
      <c r="G2499" s="245"/>
    </row>
    <row r="2500" spans="1:7" x14ac:dyDescent="0.2">
      <c r="A2500" s="362" t="str">
        <f>VLOOKUP(B2500,PRECIOS!$A$309:$E$485,2,FALSE)</f>
        <v>EQUIPO169</v>
      </c>
      <c r="B2500" s="363" t="s">
        <v>449</v>
      </c>
      <c r="C2500" s="99" t="str">
        <f>VLOOKUP(B2500,PRECIOS!$A$309:$E$485,3,FALSE)</f>
        <v>Estructura</v>
      </c>
      <c r="D2500" s="364">
        <f>VLOOKUP(B2500,PRECIOS!$A$309:$E$485,5,FALSE)</f>
        <v>1500</v>
      </c>
      <c r="E2500" s="365">
        <v>1</v>
      </c>
      <c r="F2500" s="366">
        <f>+D2500*E2500</f>
        <v>1500</v>
      </c>
      <c r="G2500" s="245"/>
    </row>
    <row r="2501" spans="1:7" x14ac:dyDescent="0.2">
      <c r="A2501" s="1179" t="s">
        <v>1650</v>
      </c>
      <c r="B2501" s="1180"/>
      <c r="C2501" s="214">
        <v>0.05</v>
      </c>
      <c r="D2501" s="213"/>
      <c r="E2501" s="418"/>
      <c r="F2501" s="212">
        <f>+G2520*C2501</f>
        <v>6807.9750000000004</v>
      </c>
      <c r="G2501" s="246"/>
    </row>
    <row r="2502" spans="1:7" x14ac:dyDescent="0.2">
      <c r="A2502" s="247" t="s">
        <v>25</v>
      </c>
      <c r="B2502" s="416"/>
      <c r="C2502" s="416"/>
      <c r="D2502" s="416"/>
      <c r="E2502" s="416"/>
      <c r="F2502" s="416"/>
      <c r="G2502" s="246" t="s">
        <v>31</v>
      </c>
    </row>
    <row r="2503" spans="1:7" ht="15" thickBot="1" x14ac:dyDescent="0.25">
      <c r="A2503" s="248"/>
      <c r="B2503" s="420"/>
      <c r="C2503" s="420"/>
      <c r="D2503" s="420"/>
      <c r="E2503" s="420"/>
      <c r="F2503" s="420"/>
      <c r="G2503" s="249">
        <f>SUM(F2499:F2501)</f>
        <v>13932.975</v>
      </c>
    </row>
    <row r="2504" spans="1:7" ht="15" thickBot="1" x14ac:dyDescent="0.25">
      <c r="A2504" s="1176" t="s">
        <v>1645</v>
      </c>
      <c r="B2504" s="1177"/>
      <c r="C2504" s="1177"/>
      <c r="D2504" s="1177"/>
      <c r="E2504" s="1177"/>
      <c r="F2504" s="1177"/>
      <c r="G2504" s="1178"/>
    </row>
    <row r="2505" spans="1:7" x14ac:dyDescent="0.2">
      <c r="A2505" s="242" t="s">
        <v>1643</v>
      </c>
      <c r="B2505" s="191" t="s">
        <v>1644</v>
      </c>
      <c r="C2505" s="190" t="s">
        <v>32</v>
      </c>
      <c r="D2505" s="190" t="s">
        <v>33</v>
      </c>
      <c r="E2505" s="190" t="s">
        <v>34</v>
      </c>
      <c r="F2505" s="190" t="s">
        <v>35</v>
      </c>
      <c r="G2505" s="243"/>
    </row>
    <row r="2506" spans="1:7" ht="36" x14ac:dyDescent="0.2">
      <c r="A2506" s="352" t="str">
        <f>VLOOKUP(B2506,PRECIOS!$A$5:$D$303,2,FALSE)</f>
        <v>CARPMETAL27</v>
      </c>
      <c r="B2506" s="105" t="s">
        <v>1840</v>
      </c>
      <c r="C2506" s="105" t="str">
        <f>VLOOKUP(B2506,PRECIOS!$A$5:$D$303,3,FALSE)</f>
        <v>und</v>
      </c>
      <c r="D2506" s="353">
        <f>VLOOKUP(B2506,PRECIOS!$A$5:$D$303,4,FALSE)</f>
        <v>1000000</v>
      </c>
      <c r="E2506" s="354">
        <v>1</v>
      </c>
      <c r="F2506" s="355">
        <f>+D2506*E2506</f>
        <v>1000000</v>
      </c>
      <c r="G2506" s="370"/>
    </row>
    <row r="2507" spans="1:7" x14ac:dyDescent="0.2">
      <c r="A2507" s="1179" t="s">
        <v>1649</v>
      </c>
      <c r="B2507" s="1180"/>
      <c r="C2507" s="214">
        <v>0.03</v>
      </c>
      <c r="D2507" s="417"/>
      <c r="E2507" s="418"/>
      <c r="F2507" s="276">
        <f>SUM(F2506:F2506)*C2507</f>
        <v>30000</v>
      </c>
      <c r="G2507" s="246"/>
    </row>
    <row r="2508" spans="1:7" x14ac:dyDescent="0.2">
      <c r="A2508" s="247"/>
      <c r="B2508" s="416"/>
      <c r="C2508" s="104"/>
      <c r="D2508" s="104"/>
      <c r="E2508" s="104"/>
      <c r="F2508" s="104"/>
      <c r="G2508" s="246" t="s">
        <v>31</v>
      </c>
    </row>
    <row r="2509" spans="1:7" ht="15" thickBot="1" x14ac:dyDescent="0.25">
      <c r="A2509" s="248"/>
      <c r="B2509" s="420"/>
      <c r="C2509" s="420"/>
      <c r="D2509" s="420"/>
      <c r="E2509" s="420"/>
      <c r="F2509" s="420"/>
      <c r="G2509" s="250">
        <f>SUM(F2506:F2507)</f>
        <v>1030000</v>
      </c>
    </row>
    <row r="2510" spans="1:7" ht="15" thickBot="1" x14ac:dyDescent="0.25">
      <c r="A2510" s="1176" t="s">
        <v>1646</v>
      </c>
      <c r="B2510" s="1177"/>
      <c r="C2510" s="1177"/>
      <c r="D2510" s="1177"/>
      <c r="E2510" s="1177"/>
      <c r="F2510" s="1177"/>
      <c r="G2510" s="1178"/>
    </row>
    <row r="2511" spans="1:7" x14ac:dyDescent="0.2">
      <c r="A2511" s="251" t="s">
        <v>305</v>
      </c>
      <c r="B2511" s="190" t="s">
        <v>38</v>
      </c>
      <c r="C2511" s="190" t="s">
        <v>39</v>
      </c>
      <c r="D2511" s="190" t="s">
        <v>40</v>
      </c>
      <c r="E2511" s="190" t="s">
        <v>34</v>
      </c>
      <c r="F2511" s="190" t="s">
        <v>35</v>
      </c>
      <c r="G2511" s="243"/>
    </row>
    <row r="2512" spans="1:7" x14ac:dyDescent="0.2">
      <c r="A2512" s="369"/>
      <c r="B2512" s="89"/>
      <c r="C2512" s="209"/>
      <c r="D2512" s="199"/>
      <c r="E2512" s="367"/>
      <c r="F2512" s="234"/>
      <c r="G2512" s="253"/>
    </row>
    <row r="2513" spans="1:7" x14ac:dyDescent="0.2">
      <c r="A2513" s="252"/>
      <c r="B2513" s="235"/>
      <c r="C2513" s="238"/>
      <c r="D2513" s="236"/>
      <c r="E2513" s="237"/>
      <c r="F2513" s="239"/>
      <c r="G2513" s="253"/>
    </row>
    <row r="2514" spans="1:7" x14ac:dyDescent="0.2">
      <c r="A2514" s="247" t="s">
        <v>25</v>
      </c>
      <c r="B2514" s="104" t="s">
        <v>25</v>
      </c>
      <c r="C2514" s="104" t="s">
        <v>25</v>
      </c>
      <c r="D2514" s="188" t="s">
        <v>25</v>
      </c>
      <c r="E2514" s="189" t="s">
        <v>25</v>
      </c>
      <c r="F2514" s="187" t="s">
        <v>25</v>
      </c>
      <c r="G2514" s="246" t="s">
        <v>31</v>
      </c>
    </row>
    <row r="2515" spans="1:7" ht="15" thickBot="1" x14ac:dyDescent="0.25">
      <c r="A2515" s="248"/>
      <c r="B2515" s="420"/>
      <c r="C2515" s="420"/>
      <c r="D2515" s="420"/>
      <c r="E2515" s="420"/>
      <c r="F2515" s="420"/>
      <c r="G2515" s="250">
        <f>SUM(F2512:F2513)</f>
        <v>0</v>
      </c>
    </row>
    <row r="2516" spans="1:7" ht="15" thickBot="1" x14ac:dyDescent="0.25">
      <c r="A2516" s="1176" t="s">
        <v>1647</v>
      </c>
      <c r="B2516" s="1177"/>
      <c r="C2516" s="1177"/>
      <c r="D2516" s="1177"/>
      <c r="E2516" s="1177"/>
      <c r="F2516" s="1177"/>
      <c r="G2516" s="1178"/>
    </row>
    <row r="2517" spans="1:7" ht="24" x14ac:dyDescent="0.2">
      <c r="A2517" s="254" t="s">
        <v>1681</v>
      </c>
      <c r="B2517" s="190" t="s">
        <v>42</v>
      </c>
      <c r="C2517" s="190" t="s">
        <v>43</v>
      </c>
      <c r="D2517" s="190" t="s">
        <v>44</v>
      </c>
      <c r="E2517" s="190" t="s">
        <v>306</v>
      </c>
      <c r="F2517" s="190" t="s">
        <v>29</v>
      </c>
      <c r="G2517" s="243"/>
    </row>
    <row r="2518" spans="1:7" ht="36" x14ac:dyDescent="0.2">
      <c r="A2518" s="255" t="s">
        <v>1674</v>
      </c>
      <c r="B2518" s="202">
        <f>VLOOKUP(A2518,JORNALES!$A$5:$B$28,2,FALSE)</f>
        <v>215000</v>
      </c>
      <c r="C2518" s="233">
        <f>+PRESTACIONES!$C$20/100</f>
        <v>0.89990000000000014</v>
      </c>
      <c r="D2518" s="234">
        <f>+(B2518*C2518)+B2518</f>
        <v>408478.5</v>
      </c>
      <c r="E2518" s="421">
        <v>3</v>
      </c>
      <c r="F2518" s="199">
        <f>+D2518/E2518</f>
        <v>136159.5</v>
      </c>
      <c r="G2518" s="246"/>
    </row>
    <row r="2519" spans="1:7" x14ac:dyDescent="0.2">
      <c r="A2519" s="247"/>
      <c r="B2519" s="416"/>
      <c r="C2519" s="416"/>
      <c r="D2519" s="416"/>
      <c r="E2519" s="416"/>
      <c r="F2519" s="416"/>
      <c r="G2519" s="246" t="s">
        <v>31</v>
      </c>
    </row>
    <row r="2520" spans="1:7" x14ac:dyDescent="0.2">
      <c r="A2520" s="247"/>
      <c r="B2520" s="416"/>
      <c r="C2520" s="416"/>
      <c r="D2520" s="416"/>
      <c r="E2520" s="416"/>
      <c r="F2520" s="416"/>
      <c r="G2520" s="256">
        <f>SUM(F2518:F2518)</f>
        <v>136159.5</v>
      </c>
    </row>
    <row r="2521" spans="1:7" ht="15" thickBot="1" x14ac:dyDescent="0.25">
      <c r="A2521" s="1181" t="s">
        <v>25</v>
      </c>
      <c r="B2521" s="1182"/>
      <c r="C2521" s="1182"/>
      <c r="D2521" s="1182"/>
      <c r="E2521" s="1182"/>
      <c r="F2521" s="1182"/>
      <c r="G2521" s="1183"/>
    </row>
    <row r="2522" spans="1:7" ht="15" thickBot="1" x14ac:dyDescent="0.25">
      <c r="A2522" s="1184" t="s">
        <v>45</v>
      </c>
      <c r="B2522" s="1185"/>
      <c r="C2522" s="1185"/>
      <c r="D2522" s="1185"/>
      <c r="E2522" s="1185"/>
      <c r="F2522" s="192"/>
      <c r="G2522" s="277">
        <f xml:space="preserve"> ROUND(G2520+G2515+G2509+G2503,0)</f>
        <v>1180092</v>
      </c>
    </row>
    <row r="2523" spans="1:7" x14ac:dyDescent="0.2">
      <c r="A2523" s="1186" t="s">
        <v>476</v>
      </c>
      <c r="B2523" s="1187"/>
      <c r="C2523" s="1187"/>
      <c r="D2523" s="1187"/>
      <c r="E2523" s="1187"/>
      <c r="F2523" s="193" t="s">
        <v>51</v>
      </c>
      <c r="G2523" s="257" t="s">
        <v>307</v>
      </c>
    </row>
    <row r="2524" spans="1:7" x14ac:dyDescent="0.2">
      <c r="A2524" s="1166" t="s">
        <v>17</v>
      </c>
      <c r="B2524" s="1167"/>
      <c r="C2524" s="1167"/>
      <c r="D2524" s="1167"/>
      <c r="E2524" s="1167"/>
      <c r="F2524" s="240"/>
      <c r="G2524" s="196"/>
    </row>
    <row r="2525" spans="1:7" x14ac:dyDescent="0.2">
      <c r="A2525" s="1166" t="s">
        <v>308</v>
      </c>
      <c r="B2525" s="1167"/>
      <c r="C2525" s="1167"/>
      <c r="D2525" s="1167"/>
      <c r="E2525" s="1167"/>
      <c r="F2525" s="240"/>
      <c r="G2525" s="196"/>
    </row>
    <row r="2526" spans="1:7" x14ac:dyDescent="0.2">
      <c r="A2526" s="1166" t="s">
        <v>19</v>
      </c>
      <c r="B2526" s="1167"/>
      <c r="C2526" s="1167"/>
      <c r="D2526" s="1167"/>
      <c r="E2526" s="1167"/>
      <c r="F2526" s="240"/>
      <c r="G2526" s="196"/>
    </row>
    <row r="2527" spans="1:7" ht="15" thickBot="1" x14ac:dyDescent="0.25">
      <c r="A2527" s="1168" t="s">
        <v>309</v>
      </c>
      <c r="B2527" s="1169"/>
      <c r="C2527" s="1169"/>
      <c r="D2527" s="1169"/>
      <c r="E2527" s="1169"/>
      <c r="F2527" s="198"/>
      <c r="G2527" s="258"/>
    </row>
    <row r="2528" spans="1:7" ht="15" thickBot="1" x14ac:dyDescent="0.25">
      <c r="A2528" s="1170" t="s">
        <v>310</v>
      </c>
      <c r="B2528" s="1171"/>
      <c r="C2528" s="1171"/>
      <c r="D2528" s="1171"/>
      <c r="E2528" s="1171"/>
      <c r="F2528" s="1172"/>
      <c r="G2528" s="1173"/>
    </row>
    <row r="2529" spans="1:7" x14ac:dyDescent="0.2">
      <c r="A2529" s="413"/>
      <c r="B2529" s="414"/>
      <c r="C2529" s="414"/>
      <c r="D2529" s="414"/>
      <c r="E2529" s="414"/>
      <c r="F2529" s="193"/>
      <c r="G2529" s="260"/>
    </row>
    <row r="2530" spans="1:7" ht="15" thickBot="1" x14ac:dyDescent="0.25">
      <c r="A2530" s="261" t="s">
        <v>681</v>
      </c>
      <c r="B2530" s="262"/>
      <c r="C2530" s="262" t="s">
        <v>682</v>
      </c>
      <c r="D2530" s="262"/>
      <c r="E2530" s="262"/>
      <c r="F2530" s="262" t="s">
        <v>683</v>
      </c>
      <c r="G2530" s="263"/>
    </row>
    <row r="2531" spans="1:7" ht="15" thickBot="1" x14ac:dyDescent="0.25">
      <c r="A2531" s="1174" t="str">
        <f>+LIST_ACTIVIDADES!D91</f>
        <v>Ventana Corrediza (V10) en aluminio y PLOMO 3+3 de 0,90 x 0,40mts, según diseños</v>
      </c>
      <c r="B2531" s="1175"/>
      <c r="C2531" s="1175"/>
      <c r="D2531" s="1175"/>
      <c r="E2531" s="1175"/>
      <c r="F2531" s="241" t="s">
        <v>24</v>
      </c>
      <c r="G2531" s="264" t="str">
        <f>+LIST_ACTIVIDADES!E91</f>
        <v>und</v>
      </c>
    </row>
    <row r="2532" spans="1:7" ht="15" thickBot="1" x14ac:dyDescent="0.25">
      <c r="A2532" s="1176" t="s">
        <v>1642</v>
      </c>
      <c r="B2532" s="1177"/>
      <c r="C2532" s="1177"/>
      <c r="D2532" s="1177"/>
      <c r="E2532" s="1177"/>
      <c r="F2532" s="1177"/>
      <c r="G2532" s="1178"/>
    </row>
    <row r="2533" spans="1:7" x14ac:dyDescent="0.2">
      <c r="A2533" s="242" t="s">
        <v>1643</v>
      </c>
      <c r="B2533" s="191" t="s">
        <v>1644</v>
      </c>
      <c r="C2533" s="190" t="s">
        <v>26</v>
      </c>
      <c r="D2533" s="190" t="s">
        <v>27</v>
      </c>
      <c r="E2533" s="190" t="s">
        <v>28</v>
      </c>
      <c r="F2533" s="190" t="s">
        <v>29</v>
      </c>
      <c r="G2533" s="243"/>
    </row>
    <row r="2534" spans="1:7" x14ac:dyDescent="0.2">
      <c r="A2534" s="362" t="str">
        <f>VLOOKUP(B2534,PRECIOS!$A$309:$E$485,2,FALSE)</f>
        <v>EQUIPO158</v>
      </c>
      <c r="B2534" s="363" t="s">
        <v>1699</v>
      </c>
      <c r="C2534" s="99" t="str">
        <f>VLOOKUP(B2534,PRECIOS!$A$309:$E$485,3,FALSE)</f>
        <v>Electrica</v>
      </c>
      <c r="D2534" s="364">
        <f>VLOOKUP(B2534,PRECIOS!$A$309:$E$485,5,FALSE)</f>
        <v>6250</v>
      </c>
      <c r="E2534" s="365">
        <v>0.9</v>
      </c>
      <c r="F2534" s="366">
        <f>+D2534*E2534</f>
        <v>5625</v>
      </c>
      <c r="G2534" s="245"/>
    </row>
    <row r="2535" spans="1:7" x14ac:dyDescent="0.2">
      <c r="A2535" s="362" t="str">
        <f>VLOOKUP(B2535,PRECIOS!$A$309:$E$485,2,FALSE)</f>
        <v>EQUIPO169</v>
      </c>
      <c r="B2535" s="363" t="s">
        <v>449</v>
      </c>
      <c r="C2535" s="99" t="str">
        <f>VLOOKUP(B2535,PRECIOS!$A$309:$E$485,3,FALSE)</f>
        <v>Estructura</v>
      </c>
      <c r="D2535" s="364">
        <f>VLOOKUP(B2535,PRECIOS!$A$309:$E$485,5,FALSE)</f>
        <v>1500</v>
      </c>
      <c r="E2535" s="365">
        <v>1</v>
      </c>
      <c r="F2535" s="366">
        <f>+D2535*E2535</f>
        <v>1500</v>
      </c>
      <c r="G2535" s="245"/>
    </row>
    <row r="2536" spans="1:7" x14ac:dyDescent="0.2">
      <c r="A2536" s="1179" t="s">
        <v>1650</v>
      </c>
      <c r="B2536" s="1180"/>
      <c r="C2536" s="214">
        <v>0.05</v>
      </c>
      <c r="D2536" s="213"/>
      <c r="E2536" s="418"/>
      <c r="F2536" s="212">
        <f>+G2555*C2536</f>
        <v>6807.9750000000004</v>
      </c>
      <c r="G2536" s="246"/>
    </row>
    <row r="2537" spans="1:7" x14ac:dyDescent="0.2">
      <c r="A2537" s="247" t="s">
        <v>25</v>
      </c>
      <c r="B2537" s="416"/>
      <c r="C2537" s="416"/>
      <c r="D2537" s="416"/>
      <c r="E2537" s="416"/>
      <c r="F2537" s="416"/>
      <c r="G2537" s="246" t="s">
        <v>31</v>
      </c>
    </row>
    <row r="2538" spans="1:7" ht="15" thickBot="1" x14ac:dyDescent="0.25">
      <c r="A2538" s="248"/>
      <c r="B2538" s="420"/>
      <c r="C2538" s="420"/>
      <c r="D2538" s="420"/>
      <c r="E2538" s="420"/>
      <c r="F2538" s="420"/>
      <c r="G2538" s="249">
        <f>SUM(F2534:F2536)</f>
        <v>13932.975</v>
      </c>
    </row>
    <row r="2539" spans="1:7" ht="15" thickBot="1" x14ac:dyDescent="0.25">
      <c r="A2539" s="1176" t="s">
        <v>1645</v>
      </c>
      <c r="B2539" s="1177"/>
      <c r="C2539" s="1177"/>
      <c r="D2539" s="1177"/>
      <c r="E2539" s="1177"/>
      <c r="F2539" s="1177"/>
      <c r="G2539" s="1178"/>
    </row>
    <row r="2540" spans="1:7" x14ac:dyDescent="0.2">
      <c r="A2540" s="242" t="s">
        <v>1643</v>
      </c>
      <c r="B2540" s="191" t="s">
        <v>1644</v>
      </c>
      <c r="C2540" s="190" t="s">
        <v>32</v>
      </c>
      <c r="D2540" s="190" t="s">
        <v>33</v>
      </c>
      <c r="E2540" s="190" t="s">
        <v>34</v>
      </c>
      <c r="F2540" s="190" t="s">
        <v>35</v>
      </c>
      <c r="G2540" s="243"/>
    </row>
    <row r="2541" spans="1:7" ht="36" x14ac:dyDescent="0.2">
      <c r="A2541" s="352" t="str">
        <f>VLOOKUP(B2541,PRECIOS!$A$5:$D$303,2,FALSE)</f>
        <v>CARPMETAL28</v>
      </c>
      <c r="B2541" s="105" t="s">
        <v>1841</v>
      </c>
      <c r="C2541" s="105" t="str">
        <f>VLOOKUP(B2541,PRECIOS!$A$5:$D$303,3,FALSE)</f>
        <v>und</v>
      </c>
      <c r="D2541" s="353">
        <f>VLOOKUP(B2541,PRECIOS!$A$5:$D$303,4,FALSE)</f>
        <v>3000000</v>
      </c>
      <c r="E2541" s="354">
        <v>1</v>
      </c>
      <c r="F2541" s="355">
        <f>+D2541*E2541</f>
        <v>3000000</v>
      </c>
      <c r="G2541" s="370"/>
    </row>
    <row r="2542" spans="1:7" x14ac:dyDescent="0.2">
      <c r="A2542" s="1179" t="s">
        <v>1649</v>
      </c>
      <c r="B2542" s="1180"/>
      <c r="C2542" s="214">
        <v>0.03</v>
      </c>
      <c r="D2542" s="417"/>
      <c r="E2542" s="418"/>
      <c r="F2542" s="276">
        <f>SUM(F2541:F2541)*C2542</f>
        <v>90000</v>
      </c>
      <c r="G2542" s="246"/>
    </row>
    <row r="2543" spans="1:7" x14ac:dyDescent="0.2">
      <c r="A2543" s="247"/>
      <c r="B2543" s="416"/>
      <c r="C2543" s="104"/>
      <c r="D2543" s="104"/>
      <c r="E2543" s="104"/>
      <c r="F2543" s="104"/>
      <c r="G2543" s="246" t="s">
        <v>31</v>
      </c>
    </row>
    <row r="2544" spans="1:7" ht="15" thickBot="1" x14ac:dyDescent="0.25">
      <c r="A2544" s="248"/>
      <c r="B2544" s="420"/>
      <c r="C2544" s="420"/>
      <c r="D2544" s="420"/>
      <c r="E2544" s="420"/>
      <c r="F2544" s="420"/>
      <c r="G2544" s="250">
        <f>SUM(F2541:F2542)</f>
        <v>3090000</v>
      </c>
    </row>
    <row r="2545" spans="1:7" ht="15" thickBot="1" x14ac:dyDescent="0.25">
      <c r="A2545" s="1176" t="s">
        <v>1646</v>
      </c>
      <c r="B2545" s="1177"/>
      <c r="C2545" s="1177"/>
      <c r="D2545" s="1177"/>
      <c r="E2545" s="1177"/>
      <c r="F2545" s="1177"/>
      <c r="G2545" s="1178"/>
    </row>
    <row r="2546" spans="1:7" x14ac:dyDescent="0.2">
      <c r="A2546" s="251" t="s">
        <v>305</v>
      </c>
      <c r="B2546" s="190" t="s">
        <v>38</v>
      </c>
      <c r="C2546" s="190" t="s">
        <v>39</v>
      </c>
      <c r="D2546" s="190" t="s">
        <v>40</v>
      </c>
      <c r="E2546" s="190" t="s">
        <v>34</v>
      </c>
      <c r="F2546" s="190" t="s">
        <v>35</v>
      </c>
      <c r="G2546" s="243"/>
    </row>
    <row r="2547" spans="1:7" x14ac:dyDescent="0.2">
      <c r="A2547" s="369"/>
      <c r="B2547" s="89"/>
      <c r="C2547" s="209"/>
      <c r="D2547" s="199"/>
      <c r="E2547" s="367"/>
      <c r="F2547" s="234"/>
      <c r="G2547" s="253"/>
    </row>
    <row r="2548" spans="1:7" x14ac:dyDescent="0.2">
      <c r="A2548" s="252"/>
      <c r="B2548" s="235"/>
      <c r="C2548" s="238"/>
      <c r="D2548" s="236"/>
      <c r="E2548" s="237"/>
      <c r="F2548" s="239"/>
      <c r="G2548" s="253"/>
    </row>
    <row r="2549" spans="1:7" x14ac:dyDescent="0.2">
      <c r="A2549" s="247" t="s">
        <v>25</v>
      </c>
      <c r="B2549" s="104" t="s">
        <v>25</v>
      </c>
      <c r="C2549" s="104" t="s">
        <v>25</v>
      </c>
      <c r="D2549" s="188" t="s">
        <v>25</v>
      </c>
      <c r="E2549" s="189" t="s">
        <v>25</v>
      </c>
      <c r="F2549" s="187" t="s">
        <v>25</v>
      </c>
      <c r="G2549" s="246" t="s">
        <v>31</v>
      </c>
    </row>
    <row r="2550" spans="1:7" ht="15" thickBot="1" x14ac:dyDescent="0.25">
      <c r="A2550" s="248"/>
      <c r="B2550" s="420"/>
      <c r="C2550" s="420"/>
      <c r="D2550" s="420"/>
      <c r="E2550" s="420"/>
      <c r="F2550" s="420"/>
      <c r="G2550" s="250">
        <f>SUM(F2547:F2548)</f>
        <v>0</v>
      </c>
    </row>
    <row r="2551" spans="1:7" ht="15" thickBot="1" x14ac:dyDescent="0.25">
      <c r="A2551" s="1176" t="s">
        <v>1647</v>
      </c>
      <c r="B2551" s="1177"/>
      <c r="C2551" s="1177"/>
      <c r="D2551" s="1177"/>
      <c r="E2551" s="1177"/>
      <c r="F2551" s="1177"/>
      <c r="G2551" s="1178"/>
    </row>
    <row r="2552" spans="1:7" ht="24" x14ac:dyDescent="0.2">
      <c r="A2552" s="254" t="s">
        <v>1681</v>
      </c>
      <c r="B2552" s="190" t="s">
        <v>42</v>
      </c>
      <c r="C2552" s="190" t="s">
        <v>43</v>
      </c>
      <c r="D2552" s="190" t="s">
        <v>44</v>
      </c>
      <c r="E2552" s="190" t="s">
        <v>306</v>
      </c>
      <c r="F2552" s="190" t="s">
        <v>29</v>
      </c>
      <c r="G2552" s="243"/>
    </row>
    <row r="2553" spans="1:7" ht="36" x14ac:dyDescent="0.2">
      <c r="A2553" s="255" t="s">
        <v>1674</v>
      </c>
      <c r="B2553" s="202">
        <f>VLOOKUP(A2553,JORNALES!$A$5:$B$28,2,FALSE)</f>
        <v>215000</v>
      </c>
      <c r="C2553" s="233">
        <f>+PRESTACIONES!$C$20/100</f>
        <v>0.89990000000000014</v>
      </c>
      <c r="D2553" s="234">
        <f>+(B2553*C2553)+B2553</f>
        <v>408478.5</v>
      </c>
      <c r="E2553" s="421">
        <v>3</v>
      </c>
      <c r="F2553" s="199">
        <f>+D2553/E2553</f>
        <v>136159.5</v>
      </c>
      <c r="G2553" s="246"/>
    </row>
    <row r="2554" spans="1:7" x14ac:dyDescent="0.2">
      <c r="A2554" s="247"/>
      <c r="B2554" s="416"/>
      <c r="C2554" s="416"/>
      <c r="D2554" s="416"/>
      <c r="E2554" s="416"/>
      <c r="F2554" s="416"/>
      <c r="G2554" s="246" t="s">
        <v>31</v>
      </c>
    </row>
    <row r="2555" spans="1:7" x14ac:dyDescent="0.2">
      <c r="A2555" s="247"/>
      <c r="B2555" s="416"/>
      <c r="C2555" s="416"/>
      <c r="D2555" s="416"/>
      <c r="E2555" s="416"/>
      <c r="F2555" s="416"/>
      <c r="G2555" s="256">
        <f>SUM(F2553:F2553)</f>
        <v>136159.5</v>
      </c>
    </row>
    <row r="2556" spans="1:7" ht="15" thickBot="1" x14ac:dyDescent="0.25">
      <c r="A2556" s="1181" t="s">
        <v>25</v>
      </c>
      <c r="B2556" s="1182"/>
      <c r="C2556" s="1182"/>
      <c r="D2556" s="1182"/>
      <c r="E2556" s="1182"/>
      <c r="F2556" s="1182"/>
      <c r="G2556" s="1183"/>
    </row>
    <row r="2557" spans="1:7" ht="15" thickBot="1" x14ac:dyDescent="0.25">
      <c r="A2557" s="1184" t="s">
        <v>45</v>
      </c>
      <c r="B2557" s="1185"/>
      <c r="C2557" s="1185"/>
      <c r="D2557" s="1185"/>
      <c r="E2557" s="1185"/>
      <c r="F2557" s="192"/>
      <c r="G2557" s="277">
        <f xml:space="preserve"> ROUND(G2555+G2550+G2544+G2538,0)</f>
        <v>3240092</v>
      </c>
    </row>
    <row r="2558" spans="1:7" x14ac:dyDescent="0.2">
      <c r="A2558" s="1186" t="s">
        <v>476</v>
      </c>
      <c r="B2558" s="1187"/>
      <c r="C2558" s="1187"/>
      <c r="D2558" s="1187"/>
      <c r="E2558" s="1187"/>
      <c r="F2558" s="193" t="s">
        <v>51</v>
      </c>
      <c r="G2558" s="257" t="s">
        <v>307</v>
      </c>
    </row>
    <row r="2559" spans="1:7" x14ac:dyDescent="0.2">
      <c r="A2559" s="1166" t="s">
        <v>17</v>
      </c>
      <c r="B2559" s="1167"/>
      <c r="C2559" s="1167"/>
      <c r="D2559" s="1167"/>
      <c r="E2559" s="1167"/>
      <c r="F2559" s="240"/>
      <c r="G2559" s="196"/>
    </row>
    <row r="2560" spans="1:7" x14ac:dyDescent="0.2">
      <c r="A2560" s="1166" t="s">
        <v>308</v>
      </c>
      <c r="B2560" s="1167"/>
      <c r="C2560" s="1167"/>
      <c r="D2560" s="1167"/>
      <c r="E2560" s="1167"/>
      <c r="F2560" s="240"/>
      <c r="G2560" s="196"/>
    </row>
    <row r="2561" spans="1:7" x14ac:dyDescent="0.2">
      <c r="A2561" s="1166" t="s">
        <v>19</v>
      </c>
      <c r="B2561" s="1167"/>
      <c r="C2561" s="1167"/>
      <c r="D2561" s="1167"/>
      <c r="E2561" s="1167"/>
      <c r="F2561" s="240"/>
      <c r="G2561" s="196"/>
    </row>
    <row r="2562" spans="1:7" ht="15" thickBot="1" x14ac:dyDescent="0.25">
      <c r="A2562" s="1168" t="s">
        <v>309</v>
      </c>
      <c r="B2562" s="1169"/>
      <c r="C2562" s="1169"/>
      <c r="D2562" s="1169"/>
      <c r="E2562" s="1169"/>
      <c r="F2562" s="198"/>
      <c r="G2562" s="258"/>
    </row>
    <row r="2563" spans="1:7" ht="15" thickBot="1" x14ac:dyDescent="0.25">
      <c r="A2563" s="1170" t="s">
        <v>310</v>
      </c>
      <c r="B2563" s="1171"/>
      <c r="C2563" s="1171"/>
      <c r="D2563" s="1171"/>
      <c r="E2563" s="1171"/>
      <c r="F2563" s="1172"/>
      <c r="G2563" s="1173"/>
    </row>
    <row r="2564" spans="1:7" x14ac:dyDescent="0.2">
      <c r="A2564" s="413"/>
      <c r="B2564" s="414"/>
      <c r="C2564" s="414"/>
      <c r="D2564" s="414"/>
      <c r="E2564" s="414"/>
      <c r="F2564" s="193"/>
      <c r="G2564" s="260"/>
    </row>
    <row r="2565" spans="1:7" ht="15" thickBot="1" x14ac:dyDescent="0.25">
      <c r="A2565" s="261" t="s">
        <v>681</v>
      </c>
      <c r="B2565" s="262"/>
      <c r="C2565" s="262" t="s">
        <v>682</v>
      </c>
      <c r="D2565" s="262"/>
      <c r="E2565" s="262"/>
      <c r="F2565" s="262" t="s">
        <v>683</v>
      </c>
      <c r="G2565" s="263"/>
    </row>
    <row r="2566" spans="1:7" ht="15" thickBot="1" x14ac:dyDescent="0.25">
      <c r="A2566" s="1174" t="str">
        <f>+LIST_ACTIVIDADES!D92</f>
        <v>Ventana Corrediza (V11) en aluminio de 3,70 x 0,60mts, según diseños</v>
      </c>
      <c r="B2566" s="1175"/>
      <c r="C2566" s="1175"/>
      <c r="D2566" s="1175"/>
      <c r="E2566" s="1175"/>
      <c r="F2566" s="241" t="s">
        <v>24</v>
      </c>
      <c r="G2566" s="264" t="str">
        <f>+LIST_ACTIVIDADES!E92</f>
        <v>und</v>
      </c>
    </row>
    <row r="2567" spans="1:7" ht="15" thickBot="1" x14ac:dyDescent="0.25">
      <c r="A2567" s="1176" t="s">
        <v>1642</v>
      </c>
      <c r="B2567" s="1177"/>
      <c r="C2567" s="1177"/>
      <c r="D2567" s="1177"/>
      <c r="E2567" s="1177"/>
      <c r="F2567" s="1177"/>
      <c r="G2567" s="1178"/>
    </row>
    <row r="2568" spans="1:7" x14ac:dyDescent="0.2">
      <c r="A2568" s="242" t="s">
        <v>1643</v>
      </c>
      <c r="B2568" s="191" t="s">
        <v>1644</v>
      </c>
      <c r="C2568" s="190" t="s">
        <v>26</v>
      </c>
      <c r="D2568" s="190" t="s">
        <v>27</v>
      </c>
      <c r="E2568" s="190" t="s">
        <v>28</v>
      </c>
      <c r="F2568" s="190" t="s">
        <v>29</v>
      </c>
      <c r="G2568" s="243"/>
    </row>
    <row r="2569" spans="1:7" x14ac:dyDescent="0.2">
      <c r="A2569" s="362" t="str">
        <f>VLOOKUP(B2569,PRECIOS!$A$309:$E$485,2,FALSE)</f>
        <v>EQUIPO158</v>
      </c>
      <c r="B2569" s="363" t="s">
        <v>1699</v>
      </c>
      <c r="C2569" s="99" t="str">
        <f>VLOOKUP(B2569,PRECIOS!$A$309:$E$485,3,FALSE)</f>
        <v>Electrica</v>
      </c>
      <c r="D2569" s="364">
        <f>VLOOKUP(B2569,PRECIOS!$A$309:$E$485,5,FALSE)</f>
        <v>6250</v>
      </c>
      <c r="E2569" s="365">
        <v>0.9</v>
      </c>
      <c r="F2569" s="366">
        <f>+D2569*E2569</f>
        <v>5625</v>
      </c>
      <c r="G2569" s="245"/>
    </row>
    <row r="2570" spans="1:7" x14ac:dyDescent="0.2">
      <c r="A2570" s="362" t="str">
        <f>VLOOKUP(B2570,PRECIOS!$A$309:$E$485,2,FALSE)</f>
        <v>EQUIPO169</v>
      </c>
      <c r="B2570" s="363" t="s">
        <v>449</v>
      </c>
      <c r="C2570" s="99" t="str">
        <f>VLOOKUP(B2570,PRECIOS!$A$309:$E$485,3,FALSE)</f>
        <v>Estructura</v>
      </c>
      <c r="D2570" s="364">
        <f>VLOOKUP(B2570,PRECIOS!$A$309:$E$485,5,FALSE)</f>
        <v>1500</v>
      </c>
      <c r="E2570" s="365">
        <v>1</v>
      </c>
      <c r="F2570" s="366">
        <f>+D2570*E2570</f>
        <v>1500</v>
      </c>
      <c r="G2570" s="245"/>
    </row>
    <row r="2571" spans="1:7" x14ac:dyDescent="0.2">
      <c r="A2571" s="1179" t="s">
        <v>1650</v>
      </c>
      <c r="B2571" s="1180"/>
      <c r="C2571" s="214">
        <v>0.05</v>
      </c>
      <c r="D2571" s="213"/>
      <c r="E2571" s="418"/>
      <c r="F2571" s="212">
        <f>+G2590*C2571</f>
        <v>6807.9750000000004</v>
      </c>
      <c r="G2571" s="246"/>
    </row>
    <row r="2572" spans="1:7" x14ac:dyDescent="0.2">
      <c r="A2572" s="247" t="s">
        <v>25</v>
      </c>
      <c r="B2572" s="416"/>
      <c r="C2572" s="416"/>
      <c r="D2572" s="416"/>
      <c r="E2572" s="416"/>
      <c r="F2572" s="416"/>
      <c r="G2572" s="246" t="s">
        <v>31</v>
      </c>
    </row>
    <row r="2573" spans="1:7" ht="15" thickBot="1" x14ac:dyDescent="0.25">
      <c r="A2573" s="248"/>
      <c r="B2573" s="420"/>
      <c r="C2573" s="420"/>
      <c r="D2573" s="420"/>
      <c r="E2573" s="420"/>
      <c r="F2573" s="420"/>
      <c r="G2573" s="249">
        <f>SUM(F2569:F2571)</f>
        <v>13932.975</v>
      </c>
    </row>
    <row r="2574" spans="1:7" ht="15" thickBot="1" x14ac:dyDescent="0.25">
      <c r="A2574" s="1176" t="s">
        <v>1645</v>
      </c>
      <c r="B2574" s="1177"/>
      <c r="C2574" s="1177"/>
      <c r="D2574" s="1177"/>
      <c r="E2574" s="1177"/>
      <c r="F2574" s="1177"/>
      <c r="G2574" s="1178"/>
    </row>
    <row r="2575" spans="1:7" x14ac:dyDescent="0.2">
      <c r="A2575" s="242" t="s">
        <v>1643</v>
      </c>
      <c r="B2575" s="191" t="s">
        <v>1644</v>
      </c>
      <c r="C2575" s="190" t="s">
        <v>32</v>
      </c>
      <c r="D2575" s="190" t="s">
        <v>33</v>
      </c>
      <c r="E2575" s="190" t="s">
        <v>34</v>
      </c>
      <c r="F2575" s="190" t="s">
        <v>35</v>
      </c>
      <c r="G2575" s="243"/>
    </row>
    <row r="2576" spans="1:7" ht="36" x14ac:dyDescent="0.2">
      <c r="A2576" s="352" t="str">
        <f>VLOOKUP(B2576,PRECIOS!$A$5:$D$303,2,FALSE)</f>
        <v>CARPMETAL29</v>
      </c>
      <c r="B2576" s="105" t="s">
        <v>1842</v>
      </c>
      <c r="C2576" s="105" t="str">
        <f>VLOOKUP(B2576,PRECIOS!$A$5:$D$303,3,FALSE)</f>
        <v>und</v>
      </c>
      <c r="D2576" s="353">
        <f>VLOOKUP(B2576,PRECIOS!$A$5:$D$303,4,FALSE)</f>
        <v>1500000</v>
      </c>
      <c r="E2576" s="354">
        <v>1</v>
      </c>
      <c r="F2576" s="355">
        <f>+D2576*E2576</f>
        <v>1500000</v>
      </c>
      <c r="G2576" s="370"/>
    </row>
    <row r="2577" spans="1:7" x14ac:dyDescent="0.2">
      <c r="A2577" s="1179" t="s">
        <v>1649</v>
      </c>
      <c r="B2577" s="1180"/>
      <c r="C2577" s="214">
        <v>0.03</v>
      </c>
      <c r="D2577" s="417"/>
      <c r="E2577" s="418"/>
      <c r="F2577" s="276">
        <f>SUM(F2576:F2576)*C2577</f>
        <v>45000</v>
      </c>
      <c r="G2577" s="246"/>
    </row>
    <row r="2578" spans="1:7" x14ac:dyDescent="0.2">
      <c r="A2578" s="247"/>
      <c r="B2578" s="416"/>
      <c r="C2578" s="104"/>
      <c r="D2578" s="104"/>
      <c r="E2578" s="104"/>
      <c r="F2578" s="104"/>
      <c r="G2578" s="246" t="s">
        <v>31</v>
      </c>
    </row>
    <row r="2579" spans="1:7" ht="15" thickBot="1" x14ac:dyDescent="0.25">
      <c r="A2579" s="248"/>
      <c r="B2579" s="420"/>
      <c r="C2579" s="420"/>
      <c r="D2579" s="420"/>
      <c r="E2579" s="420"/>
      <c r="F2579" s="420"/>
      <c r="G2579" s="250">
        <f>SUM(F2576:F2577)</f>
        <v>1545000</v>
      </c>
    </row>
    <row r="2580" spans="1:7" ht="15" thickBot="1" x14ac:dyDescent="0.25">
      <c r="A2580" s="1176" t="s">
        <v>1646</v>
      </c>
      <c r="B2580" s="1177"/>
      <c r="C2580" s="1177"/>
      <c r="D2580" s="1177"/>
      <c r="E2580" s="1177"/>
      <c r="F2580" s="1177"/>
      <c r="G2580" s="1178"/>
    </row>
    <row r="2581" spans="1:7" x14ac:dyDescent="0.2">
      <c r="A2581" s="251" t="s">
        <v>305</v>
      </c>
      <c r="B2581" s="190" t="s">
        <v>38</v>
      </c>
      <c r="C2581" s="190" t="s">
        <v>39</v>
      </c>
      <c r="D2581" s="190" t="s">
        <v>40</v>
      </c>
      <c r="E2581" s="190" t="s">
        <v>34</v>
      </c>
      <c r="F2581" s="190" t="s">
        <v>35</v>
      </c>
      <c r="G2581" s="243"/>
    </row>
    <row r="2582" spans="1:7" x14ac:dyDescent="0.2">
      <c r="A2582" s="369"/>
      <c r="B2582" s="89"/>
      <c r="C2582" s="209"/>
      <c r="D2582" s="199"/>
      <c r="E2582" s="367"/>
      <c r="F2582" s="234"/>
      <c r="G2582" s="253"/>
    </row>
    <row r="2583" spans="1:7" x14ac:dyDescent="0.2">
      <c r="A2583" s="252"/>
      <c r="B2583" s="235"/>
      <c r="C2583" s="238"/>
      <c r="D2583" s="236"/>
      <c r="E2583" s="237"/>
      <c r="F2583" s="239"/>
      <c r="G2583" s="253"/>
    </row>
    <row r="2584" spans="1:7" x14ac:dyDescent="0.2">
      <c r="A2584" s="247" t="s">
        <v>25</v>
      </c>
      <c r="B2584" s="104" t="s">
        <v>25</v>
      </c>
      <c r="C2584" s="104" t="s">
        <v>25</v>
      </c>
      <c r="D2584" s="188" t="s">
        <v>25</v>
      </c>
      <c r="E2584" s="189" t="s">
        <v>25</v>
      </c>
      <c r="F2584" s="187" t="s">
        <v>25</v>
      </c>
      <c r="G2584" s="246" t="s">
        <v>31</v>
      </c>
    </row>
    <row r="2585" spans="1:7" ht="15" thickBot="1" x14ac:dyDescent="0.25">
      <c r="A2585" s="248"/>
      <c r="B2585" s="420"/>
      <c r="C2585" s="420"/>
      <c r="D2585" s="420"/>
      <c r="E2585" s="420"/>
      <c r="F2585" s="420"/>
      <c r="G2585" s="250">
        <f>SUM(F2582:F2583)</f>
        <v>0</v>
      </c>
    </row>
    <row r="2586" spans="1:7" ht="15" thickBot="1" x14ac:dyDescent="0.25">
      <c r="A2586" s="1176" t="s">
        <v>1647</v>
      </c>
      <c r="B2586" s="1177"/>
      <c r="C2586" s="1177"/>
      <c r="D2586" s="1177"/>
      <c r="E2586" s="1177"/>
      <c r="F2586" s="1177"/>
      <c r="G2586" s="1178"/>
    </row>
    <row r="2587" spans="1:7" ht="24" x14ac:dyDescent="0.2">
      <c r="A2587" s="254" t="s">
        <v>1681</v>
      </c>
      <c r="B2587" s="190" t="s">
        <v>42</v>
      </c>
      <c r="C2587" s="190" t="s">
        <v>43</v>
      </c>
      <c r="D2587" s="190" t="s">
        <v>44</v>
      </c>
      <c r="E2587" s="190" t="s">
        <v>306</v>
      </c>
      <c r="F2587" s="190" t="s">
        <v>29</v>
      </c>
      <c r="G2587" s="243"/>
    </row>
    <row r="2588" spans="1:7" ht="36" x14ac:dyDescent="0.2">
      <c r="A2588" s="255" t="s">
        <v>1674</v>
      </c>
      <c r="B2588" s="202">
        <f>VLOOKUP(A2588,JORNALES!$A$5:$B$28,2,FALSE)</f>
        <v>215000</v>
      </c>
      <c r="C2588" s="233">
        <f>+PRESTACIONES!$C$20/100</f>
        <v>0.89990000000000014</v>
      </c>
      <c r="D2588" s="234">
        <f>+(B2588*C2588)+B2588</f>
        <v>408478.5</v>
      </c>
      <c r="E2588" s="421">
        <v>3</v>
      </c>
      <c r="F2588" s="199">
        <f>+D2588/E2588</f>
        <v>136159.5</v>
      </c>
      <c r="G2588" s="246"/>
    </row>
    <row r="2589" spans="1:7" x14ac:dyDescent="0.2">
      <c r="A2589" s="247"/>
      <c r="B2589" s="416"/>
      <c r="C2589" s="416"/>
      <c r="D2589" s="416"/>
      <c r="E2589" s="416"/>
      <c r="F2589" s="416"/>
      <c r="G2589" s="246" t="s">
        <v>31</v>
      </c>
    </row>
    <row r="2590" spans="1:7" x14ac:dyDescent="0.2">
      <c r="A2590" s="247"/>
      <c r="B2590" s="416"/>
      <c r="C2590" s="416"/>
      <c r="D2590" s="416"/>
      <c r="E2590" s="416"/>
      <c r="F2590" s="416"/>
      <c r="G2590" s="256">
        <f>SUM(F2588:F2588)</f>
        <v>136159.5</v>
      </c>
    </row>
    <row r="2591" spans="1:7" ht="15" thickBot="1" x14ac:dyDescent="0.25">
      <c r="A2591" s="1181" t="s">
        <v>25</v>
      </c>
      <c r="B2591" s="1182"/>
      <c r="C2591" s="1182"/>
      <c r="D2591" s="1182"/>
      <c r="E2591" s="1182"/>
      <c r="F2591" s="1182"/>
      <c r="G2591" s="1183"/>
    </row>
    <row r="2592" spans="1:7" ht="15" thickBot="1" x14ac:dyDescent="0.25">
      <c r="A2592" s="1184" t="s">
        <v>45</v>
      </c>
      <c r="B2592" s="1185"/>
      <c r="C2592" s="1185"/>
      <c r="D2592" s="1185"/>
      <c r="E2592" s="1185"/>
      <c r="F2592" s="192"/>
      <c r="G2592" s="277">
        <f xml:space="preserve"> ROUND(G2590+G2585+G2579+G2573,0)</f>
        <v>1695092</v>
      </c>
    </row>
    <row r="2593" spans="1:7" x14ac:dyDescent="0.2">
      <c r="A2593" s="1186" t="s">
        <v>476</v>
      </c>
      <c r="B2593" s="1187"/>
      <c r="C2593" s="1187"/>
      <c r="D2593" s="1187"/>
      <c r="E2593" s="1187"/>
      <c r="F2593" s="193" t="s">
        <v>51</v>
      </c>
      <c r="G2593" s="257" t="s">
        <v>307</v>
      </c>
    </row>
    <row r="2594" spans="1:7" x14ac:dyDescent="0.2">
      <c r="A2594" s="1166" t="s">
        <v>17</v>
      </c>
      <c r="B2594" s="1167"/>
      <c r="C2594" s="1167"/>
      <c r="D2594" s="1167"/>
      <c r="E2594" s="1167"/>
      <c r="F2594" s="240"/>
      <c r="G2594" s="196"/>
    </row>
    <row r="2595" spans="1:7" x14ac:dyDescent="0.2">
      <c r="A2595" s="1166" t="s">
        <v>308</v>
      </c>
      <c r="B2595" s="1167"/>
      <c r="C2595" s="1167"/>
      <c r="D2595" s="1167"/>
      <c r="E2595" s="1167"/>
      <c r="F2595" s="240"/>
      <c r="G2595" s="196"/>
    </row>
    <row r="2596" spans="1:7" x14ac:dyDescent="0.2">
      <c r="A2596" s="1166" t="s">
        <v>19</v>
      </c>
      <c r="B2596" s="1167"/>
      <c r="C2596" s="1167"/>
      <c r="D2596" s="1167"/>
      <c r="E2596" s="1167"/>
      <c r="F2596" s="240"/>
      <c r="G2596" s="196"/>
    </row>
    <row r="2597" spans="1:7" ht="15" thickBot="1" x14ac:dyDescent="0.25">
      <c r="A2597" s="1168" t="s">
        <v>309</v>
      </c>
      <c r="B2597" s="1169"/>
      <c r="C2597" s="1169"/>
      <c r="D2597" s="1169"/>
      <c r="E2597" s="1169"/>
      <c r="F2597" s="198"/>
      <c r="G2597" s="258"/>
    </row>
    <row r="2598" spans="1:7" ht="15" thickBot="1" x14ac:dyDescent="0.25">
      <c r="A2598" s="1170" t="s">
        <v>310</v>
      </c>
      <c r="B2598" s="1171"/>
      <c r="C2598" s="1171"/>
      <c r="D2598" s="1171"/>
      <c r="E2598" s="1171"/>
      <c r="F2598" s="1172"/>
      <c r="G2598" s="1173"/>
    </row>
    <row r="2599" spans="1:7" x14ac:dyDescent="0.2">
      <c r="A2599" s="413"/>
      <c r="B2599" s="414"/>
      <c r="C2599" s="414"/>
      <c r="D2599" s="414"/>
      <c r="E2599" s="414"/>
      <c r="F2599" s="193"/>
      <c r="G2599" s="260"/>
    </row>
    <row r="2600" spans="1:7" ht="15" thickBot="1" x14ac:dyDescent="0.25">
      <c r="A2600" s="261" t="s">
        <v>681</v>
      </c>
      <c r="B2600" s="262"/>
      <c r="C2600" s="262" t="s">
        <v>682</v>
      </c>
      <c r="D2600" s="262"/>
      <c r="E2600" s="262"/>
      <c r="F2600" s="262" t="s">
        <v>683</v>
      </c>
      <c r="G2600" s="263"/>
    </row>
    <row r="2601" spans="1:7" ht="15" thickBot="1" x14ac:dyDescent="0.25">
      <c r="A2601" s="1174" t="str">
        <f>+LIST_ACTIVIDADES!D94</f>
        <v>Division para baño en acero inoxidable anclada con perno expansivo, de 1.56 * 1.8 m.</v>
      </c>
      <c r="B2601" s="1175"/>
      <c r="C2601" s="1175"/>
      <c r="D2601" s="1175"/>
      <c r="E2601" s="1175"/>
      <c r="F2601" s="241" t="s">
        <v>24</v>
      </c>
      <c r="G2601" s="264" t="str">
        <f>+LIST_ACTIVIDADES!E94</f>
        <v>und</v>
      </c>
    </row>
    <row r="2602" spans="1:7" ht="15" thickBot="1" x14ac:dyDescent="0.25">
      <c r="A2602" s="1176" t="s">
        <v>1642</v>
      </c>
      <c r="B2602" s="1177"/>
      <c r="C2602" s="1177"/>
      <c r="D2602" s="1177"/>
      <c r="E2602" s="1177"/>
      <c r="F2602" s="1177"/>
      <c r="G2602" s="1178"/>
    </row>
    <row r="2603" spans="1:7" x14ac:dyDescent="0.2">
      <c r="A2603" s="242" t="s">
        <v>1643</v>
      </c>
      <c r="B2603" s="191" t="s">
        <v>1644</v>
      </c>
      <c r="C2603" s="190" t="s">
        <v>26</v>
      </c>
      <c r="D2603" s="190" t="s">
        <v>27</v>
      </c>
      <c r="E2603" s="190" t="s">
        <v>28</v>
      </c>
      <c r="F2603" s="190" t="s">
        <v>29</v>
      </c>
      <c r="G2603" s="243"/>
    </row>
    <row r="2604" spans="1:7" x14ac:dyDescent="0.2">
      <c r="A2604" s="362" t="str">
        <f>VLOOKUP(B2604,PRECIOS!$A$309:$E$485,2,FALSE)</f>
        <v>EQUIPO158</v>
      </c>
      <c r="B2604" s="363" t="s">
        <v>1699</v>
      </c>
      <c r="C2604" s="99" t="str">
        <f>VLOOKUP(B2604,PRECIOS!$A$309:$E$485,3,FALSE)</f>
        <v>Electrica</v>
      </c>
      <c r="D2604" s="364">
        <f>VLOOKUP(B2604,PRECIOS!$A$309:$E$485,5,FALSE)</f>
        <v>6250</v>
      </c>
      <c r="E2604" s="365">
        <v>0.9</v>
      </c>
      <c r="F2604" s="366">
        <f>+D2604*E2604</f>
        <v>5625</v>
      </c>
      <c r="G2604" s="245"/>
    </row>
    <row r="2605" spans="1:7" x14ac:dyDescent="0.2">
      <c r="A2605" s="1179" t="s">
        <v>1650</v>
      </c>
      <c r="B2605" s="1180"/>
      <c r="C2605" s="214">
        <v>0.05</v>
      </c>
      <c r="D2605" s="213"/>
      <c r="E2605" s="418"/>
      <c r="F2605" s="212">
        <f>+G2625*C2605</f>
        <v>6807.9750000000004</v>
      </c>
      <c r="G2605" s="246"/>
    </row>
    <row r="2606" spans="1:7" x14ac:dyDescent="0.2">
      <c r="A2606" s="247" t="s">
        <v>25</v>
      </c>
      <c r="B2606" s="416"/>
      <c r="C2606" s="416"/>
      <c r="D2606" s="416"/>
      <c r="E2606" s="416"/>
      <c r="F2606" s="416"/>
      <c r="G2606" s="246" t="s">
        <v>31</v>
      </c>
    </row>
    <row r="2607" spans="1:7" ht="15" thickBot="1" x14ac:dyDescent="0.25">
      <c r="A2607" s="248"/>
      <c r="B2607" s="420"/>
      <c r="C2607" s="420"/>
      <c r="D2607" s="420"/>
      <c r="E2607" s="420"/>
      <c r="F2607" s="420"/>
      <c r="G2607" s="249">
        <f>SUM(F2604:F2605)</f>
        <v>12432.975</v>
      </c>
    </row>
    <row r="2608" spans="1:7" ht="15" thickBot="1" x14ac:dyDescent="0.25">
      <c r="A2608" s="1176" t="s">
        <v>1645</v>
      </c>
      <c r="B2608" s="1177"/>
      <c r="C2608" s="1177"/>
      <c r="D2608" s="1177"/>
      <c r="E2608" s="1177"/>
      <c r="F2608" s="1177"/>
      <c r="G2608" s="1178"/>
    </row>
    <row r="2609" spans="1:7" x14ac:dyDescent="0.2">
      <c r="A2609" s="242" t="s">
        <v>1643</v>
      </c>
      <c r="B2609" s="191" t="s">
        <v>1644</v>
      </c>
      <c r="C2609" s="190" t="s">
        <v>32</v>
      </c>
      <c r="D2609" s="190" t="s">
        <v>33</v>
      </c>
      <c r="E2609" s="190" t="s">
        <v>34</v>
      </c>
      <c r="F2609" s="190" t="s">
        <v>35</v>
      </c>
      <c r="G2609" s="243"/>
    </row>
    <row r="2610" spans="1:7" ht="24" x14ac:dyDescent="0.2">
      <c r="A2610" s="247"/>
      <c r="B2610" s="416" t="s">
        <v>1895</v>
      </c>
      <c r="C2610" s="104" t="s">
        <v>13</v>
      </c>
      <c r="D2610" s="361">
        <v>385000</v>
      </c>
      <c r="E2610" s="104">
        <v>1</v>
      </c>
      <c r="F2610" s="361">
        <f>+D2610*E2610</f>
        <v>385000</v>
      </c>
      <c r="G2610" s="370"/>
    </row>
    <row r="2611" spans="1:7" x14ac:dyDescent="0.2">
      <c r="A2611" s="247"/>
      <c r="B2611" s="416" t="s">
        <v>1896</v>
      </c>
      <c r="C2611" s="104" t="s">
        <v>13</v>
      </c>
      <c r="D2611" s="361">
        <v>18500</v>
      </c>
      <c r="E2611" s="104">
        <v>0.2</v>
      </c>
      <c r="F2611" s="361">
        <f>+D2611*E2611</f>
        <v>3700</v>
      </c>
      <c r="G2611" s="370"/>
    </row>
    <row r="2612" spans="1:7" x14ac:dyDescent="0.2">
      <c r="A2612" s="1179" t="s">
        <v>1649</v>
      </c>
      <c r="B2612" s="1180"/>
      <c r="C2612" s="214">
        <v>0.03</v>
      </c>
      <c r="D2612" s="417"/>
      <c r="E2612" s="418"/>
      <c r="F2612" s="276">
        <f>SUM(F2610:F2610)*C2612</f>
        <v>11550</v>
      </c>
      <c r="G2612" s="246"/>
    </row>
    <row r="2613" spans="1:7" x14ac:dyDescent="0.2">
      <c r="A2613" s="247"/>
      <c r="B2613" s="416"/>
      <c r="C2613" s="104"/>
      <c r="D2613" s="104"/>
      <c r="E2613" s="104"/>
      <c r="F2613" s="104"/>
      <c r="G2613" s="246" t="s">
        <v>31</v>
      </c>
    </row>
    <row r="2614" spans="1:7" ht="15" thickBot="1" x14ac:dyDescent="0.25">
      <c r="A2614" s="248"/>
      <c r="B2614" s="420"/>
      <c r="C2614" s="420"/>
      <c r="D2614" s="420"/>
      <c r="E2614" s="420"/>
      <c r="F2614" s="420"/>
      <c r="G2614" s="250">
        <f>SUM(F2610:F2612)</f>
        <v>400250</v>
      </c>
    </row>
    <row r="2615" spans="1:7" ht="15" thickBot="1" x14ac:dyDescent="0.25">
      <c r="A2615" s="1176" t="s">
        <v>1646</v>
      </c>
      <c r="B2615" s="1177"/>
      <c r="C2615" s="1177"/>
      <c r="D2615" s="1177"/>
      <c r="E2615" s="1177"/>
      <c r="F2615" s="1177"/>
      <c r="G2615" s="1178"/>
    </row>
    <row r="2616" spans="1:7" x14ac:dyDescent="0.2">
      <c r="A2616" s="251" t="s">
        <v>305</v>
      </c>
      <c r="B2616" s="190" t="s">
        <v>38</v>
      </c>
      <c r="C2616" s="190" t="s">
        <v>39</v>
      </c>
      <c r="D2616" s="190" t="s">
        <v>40</v>
      </c>
      <c r="E2616" s="190" t="s">
        <v>34</v>
      </c>
      <c r="F2616" s="190" t="s">
        <v>35</v>
      </c>
      <c r="G2616" s="243"/>
    </row>
    <row r="2617" spans="1:7" x14ac:dyDescent="0.2">
      <c r="A2617" s="369"/>
      <c r="B2617" s="89"/>
      <c r="C2617" s="209"/>
      <c r="D2617" s="199"/>
      <c r="E2617" s="367"/>
      <c r="F2617" s="234"/>
      <c r="G2617" s="253"/>
    </row>
    <row r="2618" spans="1:7" x14ac:dyDescent="0.2">
      <c r="A2618" s="252"/>
      <c r="B2618" s="235"/>
      <c r="C2618" s="238"/>
      <c r="D2618" s="236"/>
      <c r="E2618" s="237"/>
      <c r="F2618" s="239"/>
      <c r="G2618" s="253"/>
    </row>
    <row r="2619" spans="1:7" x14ac:dyDescent="0.2">
      <c r="A2619" s="247" t="s">
        <v>25</v>
      </c>
      <c r="B2619" s="104" t="s">
        <v>25</v>
      </c>
      <c r="C2619" s="104" t="s">
        <v>25</v>
      </c>
      <c r="D2619" s="188" t="s">
        <v>25</v>
      </c>
      <c r="E2619" s="189" t="s">
        <v>25</v>
      </c>
      <c r="F2619" s="187" t="s">
        <v>25</v>
      </c>
      <c r="G2619" s="246" t="s">
        <v>31</v>
      </c>
    </row>
    <row r="2620" spans="1:7" ht="15" thickBot="1" x14ac:dyDescent="0.25">
      <c r="A2620" s="248"/>
      <c r="B2620" s="420"/>
      <c r="C2620" s="420"/>
      <c r="D2620" s="420"/>
      <c r="E2620" s="420"/>
      <c r="F2620" s="420"/>
      <c r="G2620" s="250">
        <f>SUM(F2617:F2618)</f>
        <v>0</v>
      </c>
    </row>
    <row r="2621" spans="1:7" ht="15" thickBot="1" x14ac:dyDescent="0.25">
      <c r="A2621" s="1176" t="s">
        <v>1647</v>
      </c>
      <c r="B2621" s="1177"/>
      <c r="C2621" s="1177"/>
      <c r="D2621" s="1177"/>
      <c r="E2621" s="1177"/>
      <c r="F2621" s="1177"/>
      <c r="G2621" s="1178"/>
    </row>
    <row r="2622" spans="1:7" ht="24" x14ac:dyDescent="0.2">
      <c r="A2622" s="254" t="s">
        <v>1681</v>
      </c>
      <c r="B2622" s="190" t="s">
        <v>42</v>
      </c>
      <c r="C2622" s="190" t="s">
        <v>43</v>
      </c>
      <c r="D2622" s="190" t="s">
        <v>44</v>
      </c>
      <c r="E2622" s="190" t="s">
        <v>306</v>
      </c>
      <c r="F2622" s="190" t="s">
        <v>29</v>
      </c>
      <c r="G2622" s="243"/>
    </row>
    <row r="2623" spans="1:7" ht="36" x14ac:dyDescent="0.2">
      <c r="A2623" s="255" t="s">
        <v>1674</v>
      </c>
      <c r="B2623" s="202">
        <f>VLOOKUP(A2623,JORNALES!$A$5:$B$28,2,FALSE)</f>
        <v>215000</v>
      </c>
      <c r="C2623" s="233">
        <f>+PRESTACIONES!$C$20/100</f>
        <v>0.89990000000000014</v>
      </c>
      <c r="D2623" s="234">
        <f>+(B2623*C2623)+B2623</f>
        <v>408478.5</v>
      </c>
      <c r="E2623" s="421">
        <v>3</v>
      </c>
      <c r="F2623" s="199">
        <f>+D2623/E2623</f>
        <v>136159.5</v>
      </c>
      <c r="G2623" s="246"/>
    </row>
    <row r="2624" spans="1:7" x14ac:dyDescent="0.2">
      <c r="A2624" s="247"/>
      <c r="B2624" s="416"/>
      <c r="C2624" s="416"/>
      <c r="D2624" s="416"/>
      <c r="E2624" s="416"/>
      <c r="F2624" s="416"/>
      <c r="G2624" s="246" t="s">
        <v>31</v>
      </c>
    </row>
    <row r="2625" spans="1:7" x14ac:dyDescent="0.2">
      <c r="A2625" s="247"/>
      <c r="B2625" s="416"/>
      <c r="C2625" s="416"/>
      <c r="D2625" s="416"/>
      <c r="E2625" s="416"/>
      <c r="F2625" s="416"/>
      <c r="G2625" s="256">
        <f>SUM(F2623:F2623)</f>
        <v>136159.5</v>
      </c>
    </row>
    <row r="2626" spans="1:7" ht="15" thickBot="1" x14ac:dyDescent="0.25">
      <c r="A2626" s="1181" t="s">
        <v>25</v>
      </c>
      <c r="B2626" s="1182"/>
      <c r="C2626" s="1182"/>
      <c r="D2626" s="1182"/>
      <c r="E2626" s="1182"/>
      <c r="F2626" s="1182"/>
      <c r="G2626" s="1183"/>
    </row>
    <row r="2627" spans="1:7" ht="15" thickBot="1" x14ac:dyDescent="0.25">
      <c r="A2627" s="1184" t="s">
        <v>45</v>
      </c>
      <c r="B2627" s="1185"/>
      <c r="C2627" s="1185"/>
      <c r="D2627" s="1185"/>
      <c r="E2627" s="1185"/>
      <c r="F2627" s="192"/>
      <c r="G2627" s="277">
        <f xml:space="preserve"> ROUND(G2625+G2620+G2614+G2607,0)</f>
        <v>548842</v>
      </c>
    </row>
    <row r="2628" spans="1:7" x14ac:dyDescent="0.2">
      <c r="A2628" s="1186" t="s">
        <v>476</v>
      </c>
      <c r="B2628" s="1187"/>
      <c r="C2628" s="1187"/>
      <c r="D2628" s="1187"/>
      <c r="E2628" s="1187"/>
      <c r="F2628" s="193" t="s">
        <v>51</v>
      </c>
      <c r="G2628" s="257" t="s">
        <v>307</v>
      </c>
    </row>
    <row r="2629" spans="1:7" x14ac:dyDescent="0.2">
      <c r="A2629" s="1166" t="s">
        <v>17</v>
      </c>
      <c r="B2629" s="1167"/>
      <c r="C2629" s="1167"/>
      <c r="D2629" s="1167"/>
      <c r="E2629" s="1167"/>
      <c r="F2629" s="240"/>
      <c r="G2629" s="196"/>
    </row>
    <row r="2630" spans="1:7" x14ac:dyDescent="0.2">
      <c r="A2630" s="1166" t="s">
        <v>308</v>
      </c>
      <c r="B2630" s="1167"/>
      <c r="C2630" s="1167"/>
      <c r="D2630" s="1167"/>
      <c r="E2630" s="1167"/>
      <c r="F2630" s="240"/>
      <c r="G2630" s="196"/>
    </row>
    <row r="2631" spans="1:7" x14ac:dyDescent="0.2">
      <c r="A2631" s="1166" t="s">
        <v>19</v>
      </c>
      <c r="B2631" s="1167"/>
      <c r="C2631" s="1167"/>
      <c r="D2631" s="1167"/>
      <c r="E2631" s="1167"/>
      <c r="F2631" s="240"/>
      <c r="G2631" s="196"/>
    </row>
    <row r="2632" spans="1:7" ht="15" thickBot="1" x14ac:dyDescent="0.25">
      <c r="A2632" s="1168" t="s">
        <v>309</v>
      </c>
      <c r="B2632" s="1169"/>
      <c r="C2632" s="1169"/>
      <c r="D2632" s="1169"/>
      <c r="E2632" s="1169"/>
      <c r="F2632" s="198"/>
      <c r="G2632" s="258"/>
    </row>
    <row r="2633" spans="1:7" ht="15" thickBot="1" x14ac:dyDescent="0.25">
      <c r="A2633" s="1170" t="s">
        <v>310</v>
      </c>
      <c r="B2633" s="1171"/>
      <c r="C2633" s="1171"/>
      <c r="D2633" s="1171"/>
      <c r="E2633" s="1171"/>
      <c r="F2633" s="1172"/>
      <c r="G2633" s="1173"/>
    </row>
    <row r="2634" spans="1:7" x14ac:dyDescent="0.2">
      <c r="A2634" s="413"/>
      <c r="B2634" s="414"/>
      <c r="C2634" s="414"/>
      <c r="D2634" s="414"/>
      <c r="E2634" s="414"/>
      <c r="F2634" s="193"/>
      <c r="G2634" s="260"/>
    </row>
    <row r="2635" spans="1:7" ht="15" thickBot="1" x14ac:dyDescent="0.25">
      <c r="A2635" s="261" t="s">
        <v>681</v>
      </c>
      <c r="B2635" s="262"/>
      <c r="C2635" s="262" t="s">
        <v>682</v>
      </c>
      <c r="D2635" s="262"/>
      <c r="E2635" s="262"/>
      <c r="F2635" s="262" t="s">
        <v>683</v>
      </c>
      <c r="G2635" s="263"/>
    </row>
    <row r="2636" spans="1:7" ht="15" thickBot="1" x14ac:dyDescent="0.25">
      <c r="A2636" s="1174" t="str">
        <f>+LIST_ACTIVIDADES!D95</f>
        <v>Puerta para baño en acero inoxidable anclada con perno expansivo, de 0.9 * 1.8 m.</v>
      </c>
      <c r="B2636" s="1175"/>
      <c r="C2636" s="1175"/>
      <c r="D2636" s="1175"/>
      <c r="E2636" s="1175"/>
      <c r="F2636" s="241" t="s">
        <v>24</v>
      </c>
      <c r="G2636" s="264" t="str">
        <f>+LIST_ACTIVIDADES!E95</f>
        <v>und</v>
      </c>
    </row>
    <row r="2637" spans="1:7" ht="15" thickBot="1" x14ac:dyDescent="0.25">
      <c r="A2637" s="1176" t="s">
        <v>1642</v>
      </c>
      <c r="B2637" s="1177"/>
      <c r="C2637" s="1177"/>
      <c r="D2637" s="1177"/>
      <c r="E2637" s="1177"/>
      <c r="F2637" s="1177"/>
      <c r="G2637" s="1178"/>
    </row>
    <row r="2638" spans="1:7" x14ac:dyDescent="0.2">
      <c r="A2638" s="242" t="s">
        <v>1643</v>
      </c>
      <c r="B2638" s="191" t="s">
        <v>1644</v>
      </c>
      <c r="C2638" s="190" t="s">
        <v>26</v>
      </c>
      <c r="D2638" s="190" t="s">
        <v>27</v>
      </c>
      <c r="E2638" s="190" t="s">
        <v>28</v>
      </c>
      <c r="F2638" s="190" t="s">
        <v>29</v>
      </c>
      <c r="G2638" s="243"/>
    </row>
    <row r="2639" spans="1:7" x14ac:dyDescent="0.2">
      <c r="A2639" s="362" t="str">
        <f>VLOOKUP(B2639,PRECIOS!$A$309:$E$485,2,FALSE)</f>
        <v>EQUIPO158</v>
      </c>
      <c r="B2639" s="363" t="s">
        <v>1699</v>
      </c>
      <c r="C2639" s="99" t="str">
        <f>VLOOKUP(B2639,PRECIOS!$A$309:$E$485,3,FALSE)</f>
        <v>Electrica</v>
      </c>
      <c r="D2639" s="364">
        <f>VLOOKUP(B2639,PRECIOS!$A$309:$E$485,5,FALSE)</f>
        <v>6250</v>
      </c>
      <c r="E2639" s="365">
        <v>0.9</v>
      </c>
      <c r="F2639" s="366">
        <f>+D2639*E2639</f>
        <v>5625</v>
      </c>
      <c r="G2639" s="245"/>
    </row>
    <row r="2640" spans="1:7" x14ac:dyDescent="0.2">
      <c r="A2640" s="1179" t="s">
        <v>1650</v>
      </c>
      <c r="B2640" s="1180"/>
      <c r="C2640" s="214">
        <v>0.05</v>
      </c>
      <c r="D2640" s="213"/>
      <c r="E2640" s="418"/>
      <c r="F2640" s="212">
        <f>+G2660*C2640</f>
        <v>6807.9750000000004</v>
      </c>
      <c r="G2640" s="246"/>
    </row>
    <row r="2641" spans="1:7" x14ac:dyDescent="0.2">
      <c r="A2641" s="247" t="s">
        <v>25</v>
      </c>
      <c r="B2641" s="416"/>
      <c r="C2641" s="416"/>
      <c r="D2641" s="416"/>
      <c r="E2641" s="416"/>
      <c r="F2641" s="416"/>
      <c r="G2641" s="246" t="s">
        <v>31</v>
      </c>
    </row>
    <row r="2642" spans="1:7" ht="15" thickBot="1" x14ac:dyDescent="0.25">
      <c r="A2642" s="248"/>
      <c r="B2642" s="420"/>
      <c r="C2642" s="420"/>
      <c r="D2642" s="420"/>
      <c r="E2642" s="420"/>
      <c r="F2642" s="420"/>
      <c r="G2642" s="249">
        <f>SUM(F2639:F2640)</f>
        <v>12432.975</v>
      </c>
    </row>
    <row r="2643" spans="1:7" ht="15" thickBot="1" x14ac:dyDescent="0.25">
      <c r="A2643" s="1176" t="s">
        <v>1645</v>
      </c>
      <c r="B2643" s="1177"/>
      <c r="C2643" s="1177"/>
      <c r="D2643" s="1177"/>
      <c r="E2643" s="1177"/>
      <c r="F2643" s="1177"/>
      <c r="G2643" s="1178"/>
    </row>
    <row r="2644" spans="1:7" x14ac:dyDescent="0.2">
      <c r="A2644" s="242" t="s">
        <v>1643</v>
      </c>
      <c r="B2644" s="191" t="s">
        <v>1644</v>
      </c>
      <c r="C2644" s="190" t="s">
        <v>32</v>
      </c>
      <c r="D2644" s="190" t="s">
        <v>33</v>
      </c>
      <c r="E2644" s="190" t="s">
        <v>34</v>
      </c>
      <c r="F2644" s="190" t="s">
        <v>35</v>
      </c>
      <c r="G2644" s="243"/>
    </row>
    <row r="2645" spans="1:7" ht="24" x14ac:dyDescent="0.2">
      <c r="A2645" s="247"/>
      <c r="B2645" s="416" t="s">
        <v>1897</v>
      </c>
      <c r="C2645" s="104" t="s">
        <v>13</v>
      </c>
      <c r="D2645" s="361">
        <v>960000</v>
      </c>
      <c r="E2645" s="104">
        <v>1</v>
      </c>
      <c r="F2645" s="361">
        <f>+D2645*E2645</f>
        <v>960000</v>
      </c>
      <c r="G2645" s="370"/>
    </row>
    <row r="2646" spans="1:7" x14ac:dyDescent="0.2">
      <c r="A2646" s="247"/>
      <c r="B2646" s="416" t="s">
        <v>1896</v>
      </c>
      <c r="C2646" s="104" t="s">
        <v>13</v>
      </c>
      <c r="D2646" s="361">
        <v>18500</v>
      </c>
      <c r="E2646" s="104">
        <v>0.2</v>
      </c>
      <c r="F2646" s="361">
        <f>+D2646*E2646</f>
        <v>3700</v>
      </c>
      <c r="G2646" s="370"/>
    </row>
    <row r="2647" spans="1:7" x14ac:dyDescent="0.2">
      <c r="A2647" s="1179" t="s">
        <v>1649</v>
      </c>
      <c r="B2647" s="1180"/>
      <c r="C2647" s="214">
        <v>0.03</v>
      </c>
      <c r="D2647" s="417"/>
      <c r="E2647" s="418"/>
      <c r="F2647" s="276">
        <f>SUM(F2645:F2645)*C2647</f>
        <v>28800</v>
      </c>
      <c r="G2647" s="246"/>
    </row>
    <row r="2648" spans="1:7" x14ac:dyDescent="0.2">
      <c r="A2648" s="247"/>
      <c r="B2648" s="416"/>
      <c r="C2648" s="104"/>
      <c r="D2648" s="104"/>
      <c r="E2648" s="104"/>
      <c r="F2648" s="104"/>
      <c r="G2648" s="246" t="s">
        <v>31</v>
      </c>
    </row>
    <row r="2649" spans="1:7" ht="15" thickBot="1" x14ac:dyDescent="0.25">
      <c r="A2649" s="248"/>
      <c r="B2649" s="420"/>
      <c r="C2649" s="420"/>
      <c r="D2649" s="420"/>
      <c r="E2649" s="420"/>
      <c r="F2649" s="420"/>
      <c r="G2649" s="250">
        <f>SUM(F2645:F2647)</f>
        <v>992500</v>
      </c>
    </row>
    <row r="2650" spans="1:7" ht="15" thickBot="1" x14ac:dyDescent="0.25">
      <c r="A2650" s="1176" t="s">
        <v>1646</v>
      </c>
      <c r="B2650" s="1177"/>
      <c r="C2650" s="1177"/>
      <c r="D2650" s="1177"/>
      <c r="E2650" s="1177"/>
      <c r="F2650" s="1177"/>
      <c r="G2650" s="1178"/>
    </row>
    <row r="2651" spans="1:7" x14ac:dyDescent="0.2">
      <c r="A2651" s="251" t="s">
        <v>305</v>
      </c>
      <c r="B2651" s="190" t="s">
        <v>38</v>
      </c>
      <c r="C2651" s="190" t="s">
        <v>39</v>
      </c>
      <c r="D2651" s="190" t="s">
        <v>40</v>
      </c>
      <c r="E2651" s="190" t="s">
        <v>34</v>
      </c>
      <c r="F2651" s="190" t="s">
        <v>35</v>
      </c>
      <c r="G2651" s="243"/>
    </row>
    <row r="2652" spans="1:7" x14ac:dyDescent="0.2">
      <c r="A2652" s="369"/>
      <c r="B2652" s="89"/>
      <c r="C2652" s="209"/>
      <c r="D2652" s="199"/>
      <c r="E2652" s="367"/>
      <c r="F2652" s="234"/>
      <c r="G2652" s="253"/>
    </row>
    <row r="2653" spans="1:7" x14ac:dyDescent="0.2">
      <c r="A2653" s="252"/>
      <c r="B2653" s="235"/>
      <c r="C2653" s="238"/>
      <c r="D2653" s="236"/>
      <c r="E2653" s="237"/>
      <c r="F2653" s="239"/>
      <c r="G2653" s="253"/>
    </row>
    <row r="2654" spans="1:7" x14ac:dyDescent="0.2">
      <c r="A2654" s="247" t="s">
        <v>25</v>
      </c>
      <c r="B2654" s="104" t="s">
        <v>25</v>
      </c>
      <c r="C2654" s="104" t="s">
        <v>25</v>
      </c>
      <c r="D2654" s="188" t="s">
        <v>25</v>
      </c>
      <c r="E2654" s="189" t="s">
        <v>25</v>
      </c>
      <c r="F2654" s="187" t="s">
        <v>25</v>
      </c>
      <c r="G2654" s="246" t="s">
        <v>31</v>
      </c>
    </row>
    <row r="2655" spans="1:7" ht="15" thickBot="1" x14ac:dyDescent="0.25">
      <c r="A2655" s="248"/>
      <c r="B2655" s="420"/>
      <c r="C2655" s="420"/>
      <c r="D2655" s="420"/>
      <c r="E2655" s="420"/>
      <c r="F2655" s="420"/>
      <c r="G2655" s="250">
        <f>SUM(F2652:F2653)</f>
        <v>0</v>
      </c>
    </row>
    <row r="2656" spans="1:7" ht="15" thickBot="1" x14ac:dyDescent="0.25">
      <c r="A2656" s="1176" t="s">
        <v>1647</v>
      </c>
      <c r="B2656" s="1177"/>
      <c r="C2656" s="1177"/>
      <c r="D2656" s="1177"/>
      <c r="E2656" s="1177"/>
      <c r="F2656" s="1177"/>
      <c r="G2656" s="1178"/>
    </row>
    <row r="2657" spans="1:7" ht="24" x14ac:dyDescent="0.2">
      <c r="A2657" s="254" t="s">
        <v>1681</v>
      </c>
      <c r="B2657" s="190" t="s">
        <v>42</v>
      </c>
      <c r="C2657" s="190" t="s">
        <v>43</v>
      </c>
      <c r="D2657" s="190" t="s">
        <v>44</v>
      </c>
      <c r="E2657" s="190" t="s">
        <v>306</v>
      </c>
      <c r="F2657" s="190" t="s">
        <v>29</v>
      </c>
      <c r="G2657" s="243"/>
    </row>
    <row r="2658" spans="1:7" ht="36" x14ac:dyDescent="0.2">
      <c r="A2658" s="255" t="s">
        <v>1674</v>
      </c>
      <c r="B2658" s="202">
        <f>VLOOKUP(A2658,JORNALES!$A$5:$B$28,2,FALSE)</f>
        <v>215000</v>
      </c>
      <c r="C2658" s="233">
        <f>+PRESTACIONES!$C$20/100</f>
        <v>0.89990000000000014</v>
      </c>
      <c r="D2658" s="234">
        <f>+(B2658*C2658)+B2658</f>
        <v>408478.5</v>
      </c>
      <c r="E2658" s="421">
        <v>3</v>
      </c>
      <c r="F2658" s="199">
        <f>+D2658/E2658</f>
        <v>136159.5</v>
      </c>
      <c r="G2658" s="246"/>
    </row>
    <row r="2659" spans="1:7" x14ac:dyDescent="0.2">
      <c r="A2659" s="247"/>
      <c r="B2659" s="416"/>
      <c r="C2659" s="416"/>
      <c r="D2659" s="416"/>
      <c r="E2659" s="416"/>
      <c r="F2659" s="416"/>
      <c r="G2659" s="246" t="s">
        <v>31</v>
      </c>
    </row>
    <row r="2660" spans="1:7" x14ac:dyDescent="0.2">
      <c r="A2660" s="247"/>
      <c r="B2660" s="416"/>
      <c r="C2660" s="416"/>
      <c r="D2660" s="416"/>
      <c r="E2660" s="416"/>
      <c r="F2660" s="416"/>
      <c r="G2660" s="256">
        <f>SUM(F2658:F2658)</f>
        <v>136159.5</v>
      </c>
    </row>
    <row r="2661" spans="1:7" ht="15" thickBot="1" x14ac:dyDescent="0.25">
      <c r="A2661" s="1181" t="s">
        <v>25</v>
      </c>
      <c r="B2661" s="1182"/>
      <c r="C2661" s="1182"/>
      <c r="D2661" s="1182"/>
      <c r="E2661" s="1182"/>
      <c r="F2661" s="1182"/>
      <c r="G2661" s="1183"/>
    </row>
    <row r="2662" spans="1:7" ht="15" thickBot="1" x14ac:dyDescent="0.25">
      <c r="A2662" s="1184" t="s">
        <v>45</v>
      </c>
      <c r="B2662" s="1185"/>
      <c r="C2662" s="1185"/>
      <c r="D2662" s="1185"/>
      <c r="E2662" s="1185"/>
      <c r="F2662" s="192"/>
      <c r="G2662" s="277">
        <f xml:space="preserve"> ROUND(G2660+G2655+G2649+G2642,0)</f>
        <v>1141092</v>
      </c>
    </row>
    <row r="2663" spans="1:7" x14ac:dyDescent="0.2">
      <c r="A2663" s="1186" t="s">
        <v>476</v>
      </c>
      <c r="B2663" s="1187"/>
      <c r="C2663" s="1187"/>
      <c r="D2663" s="1187"/>
      <c r="E2663" s="1187"/>
      <c r="F2663" s="193" t="s">
        <v>51</v>
      </c>
      <c r="G2663" s="257" t="s">
        <v>307</v>
      </c>
    </row>
    <row r="2664" spans="1:7" x14ac:dyDescent="0.2">
      <c r="A2664" s="1166" t="s">
        <v>17</v>
      </c>
      <c r="B2664" s="1167"/>
      <c r="C2664" s="1167"/>
      <c r="D2664" s="1167"/>
      <c r="E2664" s="1167"/>
      <c r="F2664" s="240"/>
      <c r="G2664" s="196"/>
    </row>
    <row r="2665" spans="1:7" x14ac:dyDescent="0.2">
      <c r="A2665" s="1166" t="s">
        <v>308</v>
      </c>
      <c r="B2665" s="1167"/>
      <c r="C2665" s="1167"/>
      <c r="D2665" s="1167"/>
      <c r="E2665" s="1167"/>
      <c r="F2665" s="240"/>
      <c r="G2665" s="196"/>
    </row>
    <row r="2666" spans="1:7" x14ac:dyDescent="0.2">
      <c r="A2666" s="1166" t="s">
        <v>19</v>
      </c>
      <c r="B2666" s="1167"/>
      <c r="C2666" s="1167"/>
      <c r="D2666" s="1167"/>
      <c r="E2666" s="1167"/>
      <c r="F2666" s="240"/>
      <c r="G2666" s="196"/>
    </row>
    <row r="2667" spans="1:7" ht="15" thickBot="1" x14ac:dyDescent="0.25">
      <c r="A2667" s="1168" t="s">
        <v>309</v>
      </c>
      <c r="B2667" s="1169"/>
      <c r="C2667" s="1169"/>
      <c r="D2667" s="1169"/>
      <c r="E2667" s="1169"/>
      <c r="F2667" s="198"/>
      <c r="G2667" s="258"/>
    </row>
    <row r="2668" spans="1:7" ht="15" thickBot="1" x14ac:dyDescent="0.25">
      <c r="A2668" s="1170" t="s">
        <v>310</v>
      </c>
      <c r="B2668" s="1171"/>
      <c r="C2668" s="1171"/>
      <c r="D2668" s="1171"/>
      <c r="E2668" s="1171"/>
      <c r="F2668" s="1172"/>
      <c r="G2668" s="1173"/>
    </row>
    <row r="2669" spans="1:7" x14ac:dyDescent="0.2">
      <c r="A2669" s="413"/>
      <c r="B2669" s="414"/>
      <c r="C2669" s="414"/>
      <c r="D2669" s="414"/>
      <c r="E2669" s="414"/>
      <c r="F2669" s="193"/>
      <c r="G2669" s="260"/>
    </row>
    <row r="2670" spans="1:7" ht="15" thickBot="1" x14ac:dyDescent="0.25">
      <c r="A2670" s="261" t="s">
        <v>681</v>
      </c>
      <c r="B2670" s="262"/>
      <c r="C2670" s="262" t="s">
        <v>682</v>
      </c>
      <c r="D2670" s="262"/>
      <c r="E2670" s="262"/>
      <c r="F2670" s="262" t="s">
        <v>683</v>
      </c>
      <c r="G2670" s="263"/>
    </row>
    <row r="2671" spans="1:7" ht="75" customHeight="1" thickBot="1" x14ac:dyDescent="0.25">
      <c r="A2671" s="1174" t="str">
        <f>+LIST_ACTIVIDADES!D99</f>
        <v xml:space="preserve">Fabricacion e instalacion de malla eslabonada para cerramiento perimetral, incluye excavacion manual en material heterogeneo, zapata de 80x80cm, columnas de 30x30cm, viga de 25cmx25cm todo en concreto reforzado de 3000 psi,  mamposteria de concreto de 12x20x40 a la vista prensado, postes verticales longitudinales diagonales y riostras en tuberia en hierro galvanizado de 2" exterior calibre 16 - separados cada 2,3mts, malla eslabonada galvanizada 5cm, pintura para acabado final y todos los elementos necesarios para su correcta instalacion. </v>
      </c>
      <c r="B2671" s="1175"/>
      <c r="C2671" s="1175"/>
      <c r="D2671" s="1175"/>
      <c r="E2671" s="1175"/>
      <c r="F2671" s="241" t="s">
        <v>24</v>
      </c>
      <c r="G2671" s="368" t="str">
        <f>+LIST_ACTIVIDADES!E99</f>
        <v>m²</v>
      </c>
    </row>
    <row r="2672" spans="1:7" ht="15" thickBot="1" x14ac:dyDescent="0.25">
      <c r="A2672" s="1176" t="s">
        <v>1642</v>
      </c>
      <c r="B2672" s="1177"/>
      <c r="C2672" s="1177"/>
      <c r="D2672" s="1177"/>
      <c r="E2672" s="1177"/>
      <c r="F2672" s="1177"/>
      <c r="G2672" s="1178"/>
    </row>
    <row r="2673" spans="1:7" x14ac:dyDescent="0.2">
      <c r="A2673" s="242" t="s">
        <v>1643</v>
      </c>
      <c r="B2673" s="191" t="s">
        <v>1644</v>
      </c>
      <c r="C2673" s="190" t="s">
        <v>26</v>
      </c>
      <c r="D2673" s="190" t="s">
        <v>27</v>
      </c>
      <c r="E2673" s="190" t="s">
        <v>28</v>
      </c>
      <c r="F2673" s="190" t="s">
        <v>29</v>
      </c>
      <c r="G2673" s="243"/>
    </row>
    <row r="2674" spans="1:7" x14ac:dyDescent="0.2">
      <c r="A2674" s="362" t="str">
        <f>VLOOKUP(B2674,PRECIOS!$A$309:$E$485,2,FALSE)</f>
        <v>EQUIPO56</v>
      </c>
      <c r="B2674" s="363" t="s">
        <v>523</v>
      </c>
      <c r="C2674" s="99" t="str">
        <f>VLOOKUP(B2674,PRECIOS!$A$309:$E$485,3,FALSE)</f>
        <v>Electrica</v>
      </c>
      <c r="D2674" s="364">
        <f>VLOOKUP(B2674,PRECIOS!$A$309:$E$485,5,FALSE)</f>
        <v>24202.418999999998</v>
      </c>
      <c r="E2674" s="365">
        <v>0.1</v>
      </c>
      <c r="F2674" s="366">
        <f>+D2674*E2674</f>
        <v>2420.2419</v>
      </c>
      <c r="G2674" s="441"/>
    </row>
    <row r="2675" spans="1:7" x14ac:dyDescent="0.2">
      <c r="A2675" s="362" t="str">
        <f>VLOOKUP(B2675,PRECIOS!$A$309:$E$485,2,FALSE)</f>
        <v>EQUIPO158</v>
      </c>
      <c r="B2675" s="363" t="s">
        <v>1699</v>
      </c>
      <c r="C2675" s="99" t="str">
        <f>VLOOKUP(B2675,PRECIOS!$A$309:$E$485,3,FALSE)</f>
        <v>Electrica</v>
      </c>
      <c r="D2675" s="364">
        <f>VLOOKUP(B2675,PRECIOS!$A$309:$E$485,5,FALSE)</f>
        <v>6250</v>
      </c>
      <c r="E2675" s="365">
        <v>0.15</v>
      </c>
      <c r="F2675" s="366">
        <f t="shared" ref="F2675:F2676" si="10">+D2675*E2675</f>
        <v>937.5</v>
      </c>
      <c r="G2675" s="441"/>
    </row>
    <row r="2676" spans="1:7" ht="24" x14ac:dyDescent="0.2">
      <c r="A2676" s="362" t="str">
        <f>VLOOKUP(B2676,PRECIOS!$A$309:$E$485,2,FALSE)</f>
        <v>EQUIPO166</v>
      </c>
      <c r="B2676" s="363" t="s">
        <v>447</v>
      </c>
      <c r="C2676" s="99" t="str">
        <f>VLOOKUP(B2676,PRECIOS!$A$309:$E$485,3,FALSE)</f>
        <v>Estructura</v>
      </c>
      <c r="D2676" s="364">
        <f>VLOOKUP(B2676,PRECIOS!$A$309:$E$485,5,FALSE)</f>
        <v>125</v>
      </c>
      <c r="E2676" s="365">
        <v>6</v>
      </c>
      <c r="F2676" s="366">
        <f t="shared" si="10"/>
        <v>750</v>
      </c>
      <c r="G2676" s="441"/>
    </row>
    <row r="2677" spans="1:7" x14ac:dyDescent="0.2">
      <c r="A2677" s="362" t="str">
        <f>VLOOKUP(B2677,PRECIOS!$A$309:$E$485,2,FALSE)</f>
        <v>EQUIPO169</v>
      </c>
      <c r="B2677" s="363" t="s">
        <v>449</v>
      </c>
      <c r="C2677" s="99" t="str">
        <f>VLOOKUP(B2677,PRECIOS!$A$309:$E$485,3,FALSE)</f>
        <v>Estructura</v>
      </c>
      <c r="D2677" s="364">
        <f>VLOOKUP(B2677,PRECIOS!$A$309:$E$485,5,FALSE)</f>
        <v>1500</v>
      </c>
      <c r="E2677" s="365">
        <v>0.2</v>
      </c>
      <c r="F2677" s="366">
        <f t="shared" ref="F2677:F2678" si="11">+D2677*E2677</f>
        <v>300</v>
      </c>
      <c r="G2677" s="441"/>
    </row>
    <row r="2678" spans="1:7" ht="24" x14ac:dyDescent="0.2">
      <c r="A2678" s="362" t="str">
        <f>VLOOKUP(B2678,PRECIOS!$A$309:$E$485,2,FALSE)</f>
        <v>EQUIPO142</v>
      </c>
      <c r="B2678" s="363" t="s">
        <v>621</v>
      </c>
      <c r="C2678" s="99" t="str">
        <f>VLOOKUP(B2678,PRECIOS!$A$309:$E$485,3,FALSE)</f>
        <v>Electrica</v>
      </c>
      <c r="D2678" s="364">
        <f>VLOOKUP(B2678,PRECIOS!$A$309:$E$485,5,FALSE)</f>
        <v>9306.9869999999992</v>
      </c>
      <c r="E2678" s="365">
        <v>0.1</v>
      </c>
      <c r="F2678" s="366">
        <f t="shared" si="11"/>
        <v>930.69869999999992</v>
      </c>
      <c r="G2678" s="441"/>
    </row>
    <row r="2679" spans="1:7" x14ac:dyDescent="0.2">
      <c r="A2679" s="362" t="str">
        <f>VLOOKUP(B2679,PRECIOS!$A$309:$E$485,2,FALSE)</f>
        <v>EQUIPO64</v>
      </c>
      <c r="B2679" s="363" t="s">
        <v>530</v>
      </c>
      <c r="C2679" s="99" t="str">
        <f>VLOOKUP(B2679,PRECIOS!$A$309:$E$485,3,FALSE)</f>
        <v>Estructura</v>
      </c>
      <c r="D2679" s="364">
        <f>VLOOKUP(B2679,PRECIOS!$A$309:$E$485,5,FALSE)</f>
        <v>5633.6309999999994</v>
      </c>
      <c r="E2679" s="365">
        <v>0.2</v>
      </c>
      <c r="F2679" s="366">
        <f t="shared" ref="F2679" si="12">+D2679*E2679</f>
        <v>1126.7261999999998</v>
      </c>
      <c r="G2679" s="441"/>
    </row>
    <row r="2680" spans="1:7" x14ac:dyDescent="0.2">
      <c r="A2680" s="1179" t="s">
        <v>1650</v>
      </c>
      <c r="B2680" s="1180"/>
      <c r="C2680" s="214">
        <v>0.05</v>
      </c>
      <c r="D2680" s="213"/>
      <c r="E2680" s="418"/>
      <c r="F2680" s="212">
        <f>+G2704*C2680</f>
        <v>4084.7849999999999</v>
      </c>
      <c r="G2680" s="246"/>
    </row>
    <row r="2681" spans="1:7" x14ac:dyDescent="0.2">
      <c r="A2681" s="247" t="s">
        <v>25</v>
      </c>
      <c r="B2681" s="416"/>
      <c r="C2681" s="416"/>
      <c r="D2681" s="416"/>
      <c r="E2681" s="416"/>
      <c r="F2681" s="416"/>
      <c r="G2681" s="246" t="s">
        <v>31</v>
      </c>
    </row>
    <row r="2682" spans="1:7" ht="15" thickBot="1" x14ac:dyDescent="0.25">
      <c r="A2682" s="248"/>
      <c r="B2682" s="420"/>
      <c r="C2682" s="420"/>
      <c r="D2682" s="420"/>
      <c r="E2682" s="420"/>
      <c r="F2682" s="420"/>
      <c r="G2682" s="249">
        <f>SUM(F2674:F2680)</f>
        <v>10549.951799999999</v>
      </c>
    </row>
    <row r="2683" spans="1:7" ht="15" thickBot="1" x14ac:dyDescent="0.25">
      <c r="A2683" s="1176" t="s">
        <v>1645</v>
      </c>
      <c r="B2683" s="1177"/>
      <c r="C2683" s="1177"/>
      <c r="D2683" s="1177"/>
      <c r="E2683" s="1177"/>
      <c r="F2683" s="1177"/>
      <c r="G2683" s="1178"/>
    </row>
    <row r="2684" spans="1:7" x14ac:dyDescent="0.2">
      <c r="A2684" s="242" t="s">
        <v>1643</v>
      </c>
      <c r="B2684" s="191" t="s">
        <v>1644</v>
      </c>
      <c r="C2684" s="190" t="s">
        <v>32</v>
      </c>
      <c r="D2684" s="190" t="s">
        <v>33</v>
      </c>
      <c r="E2684" s="190" t="s">
        <v>34</v>
      </c>
      <c r="F2684" s="190" t="s">
        <v>35</v>
      </c>
      <c r="G2684" s="243"/>
    </row>
    <row r="2685" spans="1:7" ht="39.75" customHeight="1" x14ac:dyDescent="0.2">
      <c r="A2685" s="352" t="str">
        <f>VLOOKUP(B2685,PRECIOS!$A$5:$D$303,2,FALSE)</f>
        <v>VARIOS33</v>
      </c>
      <c r="B2685" s="105" t="s">
        <v>1898</v>
      </c>
      <c r="C2685" s="105" t="str">
        <f>VLOOKUP(B2685,PRECIOS!$A$5:$D$303,3,FALSE)</f>
        <v>m2</v>
      </c>
      <c r="D2685" s="450">
        <f>VLOOKUP(B2685,PRECIOS!$A$5:$D$303,4,FALSE)</f>
        <v>12580</v>
      </c>
      <c r="E2685" s="439">
        <v>1</v>
      </c>
      <c r="F2685" s="450">
        <f t="shared" ref="F2685:F2690" si="13">+D2685*E2685</f>
        <v>12580</v>
      </c>
      <c r="G2685" s="370"/>
    </row>
    <row r="2686" spans="1:7" ht="24" x14ac:dyDescent="0.2">
      <c r="A2686" s="352" t="str">
        <f>VLOOKUP(B2686,PRECIOS!$A$5:$D$303,2,FALSE)</f>
        <v>ACEROVAR05</v>
      </c>
      <c r="B2686" s="105" t="s">
        <v>630</v>
      </c>
      <c r="C2686" s="105" t="str">
        <f>VLOOKUP(B2686,PRECIOS!$A$5:$D$303,3,FALSE)</f>
        <v>Und.</v>
      </c>
      <c r="D2686" s="450">
        <f>VLOOKUP(B2686,PRECIOS!$A$5:$D$303,4,FALSE)</f>
        <v>78085</v>
      </c>
      <c r="E2686" s="440">
        <v>0.5</v>
      </c>
      <c r="F2686" s="450">
        <f t="shared" si="13"/>
        <v>39042.5</v>
      </c>
      <c r="G2686" s="370"/>
    </row>
    <row r="2687" spans="1:7" x14ac:dyDescent="0.2">
      <c r="A2687" s="352" t="str">
        <f>VLOOKUP(B2687,PRECIOS!$A$5:$D$303,2,FALSE)</f>
        <v>VARIOS06</v>
      </c>
      <c r="B2687" s="105" t="s">
        <v>105</v>
      </c>
      <c r="C2687" s="105" t="str">
        <f>VLOOKUP(B2687,PRECIOS!$A$5:$D$303,3,FALSE)</f>
        <v>Und.</v>
      </c>
      <c r="D2687" s="450">
        <f>VLOOKUP(B2687,PRECIOS!$A$5:$D$303,4,FALSE)</f>
        <v>2210</v>
      </c>
      <c r="E2687" s="440">
        <v>6</v>
      </c>
      <c r="F2687" s="450">
        <f t="shared" si="13"/>
        <v>13260</v>
      </c>
      <c r="G2687" s="370"/>
    </row>
    <row r="2688" spans="1:7" x14ac:dyDescent="0.2">
      <c r="A2688" s="247"/>
      <c r="B2688" s="216" t="str">
        <f>+LIST_APUS_AUX!$A$92</f>
        <v>Concreto de 3000 PSI</v>
      </c>
      <c r="C2688" s="187" t="str">
        <f>+LIST_APUS_AUX!$G$92</f>
        <v>m³</v>
      </c>
      <c r="D2688" s="449">
        <f>+LIST_APUS_AUX!$G$120</f>
        <v>841990</v>
      </c>
      <c r="E2688" s="187">
        <v>0.1</v>
      </c>
      <c r="F2688" s="449">
        <f t="shared" si="13"/>
        <v>84199</v>
      </c>
      <c r="G2688" s="370"/>
    </row>
    <row r="2689" spans="1:7" ht="12.75" customHeight="1" x14ac:dyDescent="0.2">
      <c r="A2689" s="430"/>
      <c r="B2689" s="431" t="str">
        <f>+LIST_APUS_AUX!A203</f>
        <v>Acero de refuerzo de 60000 PSI</v>
      </c>
      <c r="C2689" s="357" t="str">
        <f>+LIST_APUS_AUX!G203</f>
        <v>Kg</v>
      </c>
      <c r="D2689" s="448">
        <f>+LIST_APUS_AUX!G229</f>
        <v>7479</v>
      </c>
      <c r="E2689" s="419">
        <v>0.8</v>
      </c>
      <c r="F2689" s="449">
        <f t="shared" si="13"/>
        <v>5983.2000000000007</v>
      </c>
      <c r="G2689" s="370"/>
    </row>
    <row r="2690" spans="1:7" ht="26.25" customHeight="1" x14ac:dyDescent="0.2">
      <c r="A2690" s="430"/>
      <c r="B2690" s="431" t="str">
        <f>+LIST_APUS_AUX!A273</f>
        <v xml:space="preserve">Formaleta en madera fina, para concreto columnas y vigas </v>
      </c>
      <c r="C2690" s="357" t="str">
        <f>+LIST_APUS_AUX!G273</f>
        <v>m²</v>
      </c>
      <c r="D2690" s="448">
        <f>+LIST_APUS_AUX!G304</f>
        <v>43143</v>
      </c>
      <c r="E2690" s="419">
        <v>0.2</v>
      </c>
      <c r="F2690" s="215">
        <f t="shared" si="13"/>
        <v>8628.6</v>
      </c>
      <c r="G2690" s="370"/>
    </row>
    <row r="2691" spans="1:7" x14ac:dyDescent="0.2">
      <c r="A2691" s="1179" t="s">
        <v>1649</v>
      </c>
      <c r="B2691" s="1180"/>
      <c r="C2691" s="214">
        <v>0.03</v>
      </c>
      <c r="D2691" s="417"/>
      <c r="E2691" s="418"/>
      <c r="F2691" s="276">
        <f>SUM(F2685:F2685)*C2691</f>
        <v>377.4</v>
      </c>
      <c r="G2691" s="246"/>
    </row>
    <row r="2692" spans="1:7" x14ac:dyDescent="0.2">
      <c r="A2692" s="247"/>
      <c r="B2692" s="416"/>
      <c r="C2692" s="104"/>
      <c r="D2692" s="104"/>
      <c r="E2692" s="104"/>
      <c r="F2692" s="104"/>
      <c r="G2692" s="246" t="s">
        <v>31</v>
      </c>
    </row>
    <row r="2693" spans="1:7" ht="15" thickBot="1" x14ac:dyDescent="0.25">
      <c r="A2693" s="248"/>
      <c r="B2693" s="420"/>
      <c r="C2693" s="420"/>
      <c r="D2693" s="420"/>
      <c r="E2693" s="420"/>
      <c r="F2693" s="420"/>
      <c r="G2693" s="250">
        <f>SUM(F2685:F2691)</f>
        <v>164070.70000000001</v>
      </c>
    </row>
    <row r="2694" spans="1:7" ht="15" thickBot="1" x14ac:dyDescent="0.25">
      <c r="A2694" s="1176" t="s">
        <v>1646</v>
      </c>
      <c r="B2694" s="1177"/>
      <c r="C2694" s="1177"/>
      <c r="D2694" s="1177"/>
      <c r="E2694" s="1177"/>
      <c r="F2694" s="1177"/>
      <c r="G2694" s="1178"/>
    </row>
    <row r="2695" spans="1:7" x14ac:dyDescent="0.2">
      <c r="A2695" s="251" t="s">
        <v>305</v>
      </c>
      <c r="B2695" s="190" t="s">
        <v>38</v>
      </c>
      <c r="C2695" s="190" t="s">
        <v>39</v>
      </c>
      <c r="D2695" s="190" t="s">
        <v>40</v>
      </c>
      <c r="E2695" s="190" t="s">
        <v>34</v>
      </c>
      <c r="F2695" s="190" t="s">
        <v>35</v>
      </c>
      <c r="G2695" s="243"/>
    </row>
    <row r="2696" spans="1:7" x14ac:dyDescent="0.2">
      <c r="A2696" s="369"/>
      <c r="B2696" s="89"/>
      <c r="C2696" s="209"/>
      <c r="D2696" s="199"/>
      <c r="E2696" s="367"/>
      <c r="F2696" s="234"/>
      <c r="G2696" s="253"/>
    </row>
    <row r="2697" spans="1:7" x14ac:dyDescent="0.2">
      <c r="A2697" s="252"/>
      <c r="B2697" s="235"/>
      <c r="C2697" s="238"/>
      <c r="D2697" s="236"/>
      <c r="E2697" s="237"/>
      <c r="F2697" s="239"/>
      <c r="G2697" s="253"/>
    </row>
    <row r="2698" spans="1:7" x14ac:dyDescent="0.2">
      <c r="A2698" s="247" t="s">
        <v>25</v>
      </c>
      <c r="B2698" s="104" t="s">
        <v>25</v>
      </c>
      <c r="C2698" s="104" t="s">
        <v>25</v>
      </c>
      <c r="D2698" s="188" t="s">
        <v>25</v>
      </c>
      <c r="E2698" s="189" t="s">
        <v>25</v>
      </c>
      <c r="F2698" s="187" t="s">
        <v>25</v>
      </c>
      <c r="G2698" s="246" t="s">
        <v>31</v>
      </c>
    </row>
    <row r="2699" spans="1:7" ht="15" thickBot="1" x14ac:dyDescent="0.25">
      <c r="A2699" s="248"/>
      <c r="B2699" s="420"/>
      <c r="C2699" s="420"/>
      <c r="D2699" s="420"/>
      <c r="E2699" s="420"/>
      <c r="F2699" s="420"/>
      <c r="G2699" s="250">
        <f>SUM(F2696:F2697)</f>
        <v>0</v>
      </c>
    </row>
    <row r="2700" spans="1:7" ht="15" thickBot="1" x14ac:dyDescent="0.25">
      <c r="A2700" s="1176" t="s">
        <v>1647</v>
      </c>
      <c r="B2700" s="1177"/>
      <c r="C2700" s="1177"/>
      <c r="D2700" s="1177"/>
      <c r="E2700" s="1177"/>
      <c r="F2700" s="1177"/>
      <c r="G2700" s="1178"/>
    </row>
    <row r="2701" spans="1:7" ht="24" x14ac:dyDescent="0.2">
      <c r="A2701" s="254" t="s">
        <v>1681</v>
      </c>
      <c r="B2701" s="190" t="s">
        <v>42</v>
      </c>
      <c r="C2701" s="190" t="s">
        <v>43</v>
      </c>
      <c r="D2701" s="190" t="s">
        <v>44</v>
      </c>
      <c r="E2701" s="190" t="s">
        <v>306</v>
      </c>
      <c r="F2701" s="190" t="s">
        <v>29</v>
      </c>
      <c r="G2701" s="243"/>
    </row>
    <row r="2702" spans="1:7" ht="36" x14ac:dyDescent="0.2">
      <c r="A2702" s="255" t="s">
        <v>1674</v>
      </c>
      <c r="B2702" s="202">
        <f>VLOOKUP(A2702,JORNALES!$A$5:$B$28,2,FALSE)</f>
        <v>215000</v>
      </c>
      <c r="C2702" s="233">
        <f>+PRESTACIONES!$C$20/100</f>
        <v>0.89990000000000014</v>
      </c>
      <c r="D2702" s="234">
        <f>+(B2702*C2702)+B2702</f>
        <v>408478.5</v>
      </c>
      <c r="E2702" s="421">
        <v>5</v>
      </c>
      <c r="F2702" s="199">
        <f>+D2702/E2702</f>
        <v>81695.7</v>
      </c>
      <c r="G2702" s="246"/>
    </row>
    <row r="2703" spans="1:7" x14ac:dyDescent="0.2">
      <c r="A2703" s="247"/>
      <c r="B2703" s="416"/>
      <c r="C2703" s="416"/>
      <c r="D2703" s="416"/>
      <c r="E2703" s="416"/>
      <c r="F2703" s="416"/>
      <c r="G2703" s="246" t="s">
        <v>31</v>
      </c>
    </row>
    <row r="2704" spans="1:7" x14ac:dyDescent="0.2">
      <c r="A2704" s="247"/>
      <c r="B2704" s="416"/>
      <c r="C2704" s="416"/>
      <c r="D2704" s="416"/>
      <c r="E2704" s="416"/>
      <c r="F2704" s="416"/>
      <c r="G2704" s="256">
        <f>SUM(F2702:F2702)</f>
        <v>81695.7</v>
      </c>
    </row>
    <row r="2705" spans="1:7" ht="15" thickBot="1" x14ac:dyDescent="0.25">
      <c r="A2705" s="1181" t="s">
        <v>25</v>
      </c>
      <c r="B2705" s="1182"/>
      <c r="C2705" s="1182"/>
      <c r="D2705" s="1182"/>
      <c r="E2705" s="1182"/>
      <c r="F2705" s="1182"/>
      <c r="G2705" s="1183"/>
    </row>
    <row r="2706" spans="1:7" ht="15" thickBot="1" x14ac:dyDescent="0.25">
      <c r="A2706" s="1184" t="s">
        <v>45</v>
      </c>
      <c r="B2706" s="1185"/>
      <c r="C2706" s="1185"/>
      <c r="D2706" s="1185"/>
      <c r="E2706" s="1185"/>
      <c r="F2706" s="192"/>
      <c r="G2706" s="277">
        <f xml:space="preserve"> ROUND(G2704+G2699+G2693+G2682,0)</f>
        <v>256316</v>
      </c>
    </row>
    <row r="2707" spans="1:7" x14ac:dyDescent="0.2">
      <c r="A2707" s="1186" t="s">
        <v>476</v>
      </c>
      <c r="B2707" s="1187"/>
      <c r="C2707" s="1187"/>
      <c r="D2707" s="1187"/>
      <c r="E2707" s="1187"/>
      <c r="F2707" s="193" t="s">
        <v>51</v>
      </c>
      <c r="G2707" s="257" t="s">
        <v>307</v>
      </c>
    </row>
    <row r="2708" spans="1:7" x14ac:dyDescent="0.2">
      <c r="A2708" s="1166" t="s">
        <v>17</v>
      </c>
      <c r="B2708" s="1167"/>
      <c r="C2708" s="1167"/>
      <c r="D2708" s="1167"/>
      <c r="E2708" s="1167"/>
      <c r="F2708" s="240"/>
      <c r="G2708" s="196"/>
    </row>
    <row r="2709" spans="1:7" x14ac:dyDescent="0.2">
      <c r="A2709" s="1166" t="s">
        <v>308</v>
      </c>
      <c r="B2709" s="1167"/>
      <c r="C2709" s="1167"/>
      <c r="D2709" s="1167"/>
      <c r="E2709" s="1167"/>
      <c r="F2709" s="240"/>
      <c r="G2709" s="196"/>
    </row>
    <row r="2710" spans="1:7" x14ac:dyDescent="0.2">
      <c r="A2710" s="1166" t="s">
        <v>19</v>
      </c>
      <c r="B2710" s="1167"/>
      <c r="C2710" s="1167"/>
      <c r="D2710" s="1167"/>
      <c r="E2710" s="1167"/>
      <c r="F2710" s="240"/>
      <c r="G2710" s="196"/>
    </row>
    <row r="2711" spans="1:7" ht="15" thickBot="1" x14ac:dyDescent="0.25">
      <c r="A2711" s="1168" t="s">
        <v>309</v>
      </c>
      <c r="B2711" s="1169"/>
      <c r="C2711" s="1169"/>
      <c r="D2711" s="1169"/>
      <c r="E2711" s="1169"/>
      <c r="F2711" s="198"/>
      <c r="G2711" s="258"/>
    </row>
    <row r="2712" spans="1:7" ht="15" thickBot="1" x14ac:dyDescent="0.25">
      <c r="A2712" s="1170" t="s">
        <v>310</v>
      </c>
      <c r="B2712" s="1171"/>
      <c r="C2712" s="1171"/>
      <c r="D2712" s="1171"/>
      <c r="E2712" s="1171"/>
      <c r="F2712" s="1172"/>
      <c r="G2712" s="1173"/>
    </row>
    <row r="2713" spans="1:7" x14ac:dyDescent="0.2">
      <c r="A2713" s="413"/>
      <c r="B2713" s="414"/>
      <c r="C2713" s="414"/>
      <c r="D2713" s="414"/>
      <c r="E2713" s="414"/>
      <c r="F2713" s="193"/>
      <c r="G2713" s="260"/>
    </row>
    <row r="2714" spans="1:7" ht="15" thickBot="1" x14ac:dyDescent="0.25">
      <c r="A2714" s="261" t="s">
        <v>681</v>
      </c>
      <c r="B2714" s="262"/>
      <c r="C2714" s="262" t="s">
        <v>682</v>
      </c>
      <c r="D2714" s="262"/>
      <c r="E2714" s="262"/>
      <c r="F2714" s="262" t="s">
        <v>683</v>
      </c>
      <c r="G2714" s="263"/>
    </row>
  </sheetData>
  <dataConsolidate/>
  <mergeCells count="1212">
    <mergeCell ref="A2711:E2711"/>
    <mergeCell ref="A2712:E2712"/>
    <mergeCell ref="F2712:G2712"/>
    <mergeCell ref="A2691:B2691"/>
    <mergeCell ref="A2694:G2694"/>
    <mergeCell ref="A2700:G2700"/>
    <mergeCell ref="A2705:G2705"/>
    <mergeCell ref="A2706:E2706"/>
    <mergeCell ref="A2707:E2707"/>
    <mergeCell ref="A2708:E2708"/>
    <mergeCell ref="A2709:E2709"/>
    <mergeCell ref="A2710:E2710"/>
    <mergeCell ref="A2665:E2665"/>
    <mergeCell ref="A2666:E2666"/>
    <mergeCell ref="A2667:E2667"/>
    <mergeCell ref="A2668:E2668"/>
    <mergeCell ref="F2668:G2668"/>
    <mergeCell ref="A2671:E2671"/>
    <mergeCell ref="A2672:G2672"/>
    <mergeCell ref="A2680:B2680"/>
    <mergeCell ref="A2683:G2683"/>
    <mergeCell ref="A2640:B2640"/>
    <mergeCell ref="A2643:G2643"/>
    <mergeCell ref="A2647:B2647"/>
    <mergeCell ref="A2650:G2650"/>
    <mergeCell ref="A2656:G2656"/>
    <mergeCell ref="A2661:G2661"/>
    <mergeCell ref="A2662:E2662"/>
    <mergeCell ref="A2663:E2663"/>
    <mergeCell ref="A2664:E2664"/>
    <mergeCell ref="A2628:E2628"/>
    <mergeCell ref="A2629:E2629"/>
    <mergeCell ref="A2630:E2630"/>
    <mergeCell ref="A2631:E2631"/>
    <mergeCell ref="A2632:E2632"/>
    <mergeCell ref="A2633:E2633"/>
    <mergeCell ref="F2633:G2633"/>
    <mergeCell ref="A2636:E2636"/>
    <mergeCell ref="A2637:G2637"/>
    <mergeCell ref="A2601:E2601"/>
    <mergeCell ref="A2602:G2602"/>
    <mergeCell ref="A2605:B2605"/>
    <mergeCell ref="A2608:G2608"/>
    <mergeCell ref="A2612:B2612"/>
    <mergeCell ref="A2615:G2615"/>
    <mergeCell ref="A2621:G2621"/>
    <mergeCell ref="A2626:G2626"/>
    <mergeCell ref="A2627:E2627"/>
    <mergeCell ref="A2586:G2586"/>
    <mergeCell ref="A2591:G2591"/>
    <mergeCell ref="A2592:E2592"/>
    <mergeCell ref="A2593:E2593"/>
    <mergeCell ref="A2594:E2594"/>
    <mergeCell ref="A2595:E2595"/>
    <mergeCell ref="A2596:E2596"/>
    <mergeCell ref="A2597:E2597"/>
    <mergeCell ref="A2598:E2598"/>
    <mergeCell ref="F2598:G2598"/>
    <mergeCell ref="A2562:E2562"/>
    <mergeCell ref="A2563:E2563"/>
    <mergeCell ref="F2563:G2563"/>
    <mergeCell ref="A2566:E2566"/>
    <mergeCell ref="A2567:G2567"/>
    <mergeCell ref="A2571:B2571"/>
    <mergeCell ref="A2574:G2574"/>
    <mergeCell ref="A2577:B2577"/>
    <mergeCell ref="A2580:G2580"/>
    <mergeCell ref="A2542:B2542"/>
    <mergeCell ref="A2545:G2545"/>
    <mergeCell ref="A2551:G2551"/>
    <mergeCell ref="A2556:G2556"/>
    <mergeCell ref="A2557:E2557"/>
    <mergeCell ref="A2558:E2558"/>
    <mergeCell ref="A2559:E2559"/>
    <mergeCell ref="A2560:E2560"/>
    <mergeCell ref="A2561:E2561"/>
    <mergeCell ref="A2525:E2525"/>
    <mergeCell ref="A2526:E2526"/>
    <mergeCell ref="A2527:E2527"/>
    <mergeCell ref="A2528:E2528"/>
    <mergeCell ref="F2528:G2528"/>
    <mergeCell ref="A2531:E2531"/>
    <mergeCell ref="A2532:G2532"/>
    <mergeCell ref="A2536:B2536"/>
    <mergeCell ref="A2539:G2539"/>
    <mergeCell ref="A2501:B2501"/>
    <mergeCell ref="A2504:G2504"/>
    <mergeCell ref="A2507:B2507"/>
    <mergeCell ref="A2510:G2510"/>
    <mergeCell ref="A2516:G2516"/>
    <mergeCell ref="A2521:G2521"/>
    <mergeCell ref="A2522:E2522"/>
    <mergeCell ref="A2523:E2523"/>
    <mergeCell ref="A2524:E2524"/>
    <mergeCell ref="A2488:E2488"/>
    <mergeCell ref="A2489:E2489"/>
    <mergeCell ref="A2490:E2490"/>
    <mergeCell ref="A2491:E2491"/>
    <mergeCell ref="A2492:E2492"/>
    <mergeCell ref="A2493:E2493"/>
    <mergeCell ref="F2493:G2493"/>
    <mergeCell ref="A2496:E2496"/>
    <mergeCell ref="A2497:G2497"/>
    <mergeCell ref="A2461:E2461"/>
    <mergeCell ref="A2462:G2462"/>
    <mergeCell ref="A2466:B2466"/>
    <mergeCell ref="A2469:G2469"/>
    <mergeCell ref="A2472:B2472"/>
    <mergeCell ref="A2475:G2475"/>
    <mergeCell ref="A2481:G2481"/>
    <mergeCell ref="A2486:G2486"/>
    <mergeCell ref="A2487:E2487"/>
    <mergeCell ref="A2446:G2446"/>
    <mergeCell ref="A2451:G2451"/>
    <mergeCell ref="A2452:E2452"/>
    <mergeCell ref="A2453:E2453"/>
    <mergeCell ref="A2454:E2454"/>
    <mergeCell ref="A2455:E2455"/>
    <mergeCell ref="A2456:E2456"/>
    <mergeCell ref="A2457:E2457"/>
    <mergeCell ref="A2458:E2458"/>
    <mergeCell ref="F2458:G2458"/>
    <mergeCell ref="A2422:E2422"/>
    <mergeCell ref="A2423:E2423"/>
    <mergeCell ref="F2423:G2423"/>
    <mergeCell ref="A2426:E2426"/>
    <mergeCell ref="A2427:G2427"/>
    <mergeCell ref="A2431:B2431"/>
    <mergeCell ref="A2434:G2434"/>
    <mergeCell ref="A2437:B2437"/>
    <mergeCell ref="A2440:G2440"/>
    <mergeCell ref="A2402:B2402"/>
    <mergeCell ref="A2405:G2405"/>
    <mergeCell ref="A2411:G2411"/>
    <mergeCell ref="A2416:G2416"/>
    <mergeCell ref="A2417:E2417"/>
    <mergeCell ref="A2418:E2418"/>
    <mergeCell ref="A2419:E2419"/>
    <mergeCell ref="A2420:E2420"/>
    <mergeCell ref="A2421:E2421"/>
    <mergeCell ref="A2385:E2385"/>
    <mergeCell ref="A2386:E2386"/>
    <mergeCell ref="A2387:E2387"/>
    <mergeCell ref="A2388:E2388"/>
    <mergeCell ref="F2388:G2388"/>
    <mergeCell ref="A2391:E2391"/>
    <mergeCell ref="A2392:G2392"/>
    <mergeCell ref="A2396:B2396"/>
    <mergeCell ref="A2399:G2399"/>
    <mergeCell ref="A2361:B2361"/>
    <mergeCell ref="A2364:G2364"/>
    <mergeCell ref="A2367:B2367"/>
    <mergeCell ref="A2370:G2370"/>
    <mergeCell ref="A2376:G2376"/>
    <mergeCell ref="A2381:G2381"/>
    <mergeCell ref="A2382:E2382"/>
    <mergeCell ref="A2383:E2383"/>
    <mergeCell ref="A2384:E2384"/>
    <mergeCell ref="A2348:E2348"/>
    <mergeCell ref="A2349:E2349"/>
    <mergeCell ref="A2350:E2350"/>
    <mergeCell ref="A2351:E2351"/>
    <mergeCell ref="A2352:E2352"/>
    <mergeCell ref="A2353:E2353"/>
    <mergeCell ref="F2353:G2353"/>
    <mergeCell ref="A2356:E2356"/>
    <mergeCell ref="A2357:G2357"/>
    <mergeCell ref="A2321:E2321"/>
    <mergeCell ref="A2322:G2322"/>
    <mergeCell ref="A2326:B2326"/>
    <mergeCell ref="A2329:G2329"/>
    <mergeCell ref="A2332:B2332"/>
    <mergeCell ref="A2335:G2335"/>
    <mergeCell ref="A2341:G2341"/>
    <mergeCell ref="A2346:G2346"/>
    <mergeCell ref="A2347:E2347"/>
    <mergeCell ref="A2306:G2306"/>
    <mergeCell ref="A2311:G2311"/>
    <mergeCell ref="A2312:E2312"/>
    <mergeCell ref="A2313:E2313"/>
    <mergeCell ref="A2314:E2314"/>
    <mergeCell ref="A2315:E2315"/>
    <mergeCell ref="A2316:E2316"/>
    <mergeCell ref="A2317:E2317"/>
    <mergeCell ref="A2318:E2318"/>
    <mergeCell ref="F2318:G2318"/>
    <mergeCell ref="A2282:E2282"/>
    <mergeCell ref="A2283:E2283"/>
    <mergeCell ref="F2283:G2283"/>
    <mergeCell ref="A2286:E2286"/>
    <mergeCell ref="A2287:G2287"/>
    <mergeCell ref="A2291:B2291"/>
    <mergeCell ref="A2294:G2294"/>
    <mergeCell ref="A2297:B2297"/>
    <mergeCell ref="A2300:G2300"/>
    <mergeCell ref="A2262:B2262"/>
    <mergeCell ref="A2265:G2265"/>
    <mergeCell ref="A2271:G2271"/>
    <mergeCell ref="A2276:G2276"/>
    <mergeCell ref="A2277:E2277"/>
    <mergeCell ref="A2278:E2278"/>
    <mergeCell ref="A2279:E2279"/>
    <mergeCell ref="A2280:E2280"/>
    <mergeCell ref="A2281:E2281"/>
    <mergeCell ref="A2245:E2245"/>
    <mergeCell ref="A2246:E2246"/>
    <mergeCell ref="A2247:E2247"/>
    <mergeCell ref="A2248:E2248"/>
    <mergeCell ref="F2248:G2248"/>
    <mergeCell ref="A2251:E2251"/>
    <mergeCell ref="A2252:G2252"/>
    <mergeCell ref="A2256:B2256"/>
    <mergeCell ref="A2259:G2259"/>
    <mergeCell ref="A2221:B2221"/>
    <mergeCell ref="A2224:G2224"/>
    <mergeCell ref="A2227:B2227"/>
    <mergeCell ref="A2230:G2230"/>
    <mergeCell ref="A2236:G2236"/>
    <mergeCell ref="A2241:G2241"/>
    <mergeCell ref="A2242:E2242"/>
    <mergeCell ref="A2243:E2243"/>
    <mergeCell ref="A2244:E2244"/>
    <mergeCell ref="A2208:E2208"/>
    <mergeCell ref="A2209:E2209"/>
    <mergeCell ref="A2210:E2210"/>
    <mergeCell ref="A2211:E2211"/>
    <mergeCell ref="A2212:E2212"/>
    <mergeCell ref="A2213:E2213"/>
    <mergeCell ref="F2213:G2213"/>
    <mergeCell ref="A2216:E2216"/>
    <mergeCell ref="A2217:G2217"/>
    <mergeCell ref="A2181:E2181"/>
    <mergeCell ref="A2182:G2182"/>
    <mergeCell ref="A2186:B2186"/>
    <mergeCell ref="A2189:G2189"/>
    <mergeCell ref="A2192:B2192"/>
    <mergeCell ref="A2195:G2195"/>
    <mergeCell ref="A2201:G2201"/>
    <mergeCell ref="A2206:G2206"/>
    <mergeCell ref="A2207:E2207"/>
    <mergeCell ref="A2166:G2166"/>
    <mergeCell ref="A2171:G2171"/>
    <mergeCell ref="A2172:E2172"/>
    <mergeCell ref="A2173:E2173"/>
    <mergeCell ref="A2174:E2174"/>
    <mergeCell ref="A2175:E2175"/>
    <mergeCell ref="A2176:E2176"/>
    <mergeCell ref="A2177:E2177"/>
    <mergeCell ref="A2178:E2178"/>
    <mergeCell ref="F2178:G2178"/>
    <mergeCell ref="A2142:E2142"/>
    <mergeCell ref="A2143:E2143"/>
    <mergeCell ref="F2143:G2143"/>
    <mergeCell ref="A2146:E2146"/>
    <mergeCell ref="A2147:G2147"/>
    <mergeCell ref="A2151:B2151"/>
    <mergeCell ref="A2154:G2154"/>
    <mergeCell ref="A2157:B2157"/>
    <mergeCell ref="A2160:G2160"/>
    <mergeCell ref="A2122:B2122"/>
    <mergeCell ref="A2125:G2125"/>
    <mergeCell ref="A2131:G2131"/>
    <mergeCell ref="A2136:G2136"/>
    <mergeCell ref="A2137:E2137"/>
    <mergeCell ref="A2138:E2138"/>
    <mergeCell ref="A2139:E2139"/>
    <mergeCell ref="A2140:E2140"/>
    <mergeCell ref="A2141:E2141"/>
    <mergeCell ref="A2105:E2105"/>
    <mergeCell ref="A2106:E2106"/>
    <mergeCell ref="A2107:E2107"/>
    <mergeCell ref="A2108:E2108"/>
    <mergeCell ref="F2108:G2108"/>
    <mergeCell ref="A2111:E2111"/>
    <mergeCell ref="A2112:G2112"/>
    <mergeCell ref="A2116:B2116"/>
    <mergeCell ref="A2119:G2119"/>
    <mergeCell ref="A2081:B2081"/>
    <mergeCell ref="A2084:G2084"/>
    <mergeCell ref="A2087:B2087"/>
    <mergeCell ref="A2090:G2090"/>
    <mergeCell ref="A2096:G2096"/>
    <mergeCell ref="A2101:G2101"/>
    <mergeCell ref="A2102:E2102"/>
    <mergeCell ref="A2103:E2103"/>
    <mergeCell ref="A2104:E2104"/>
    <mergeCell ref="A2068:E2068"/>
    <mergeCell ref="A2069:E2069"/>
    <mergeCell ref="A2070:E2070"/>
    <mergeCell ref="A2071:E2071"/>
    <mergeCell ref="A2072:E2072"/>
    <mergeCell ref="A2073:E2073"/>
    <mergeCell ref="F2073:G2073"/>
    <mergeCell ref="A2076:E2076"/>
    <mergeCell ref="A2077:G2077"/>
    <mergeCell ref="A2041:E2041"/>
    <mergeCell ref="A2042:G2042"/>
    <mergeCell ref="A2046:B2046"/>
    <mergeCell ref="A2049:G2049"/>
    <mergeCell ref="A2052:B2052"/>
    <mergeCell ref="A2055:G2055"/>
    <mergeCell ref="A2061:G2061"/>
    <mergeCell ref="A2066:G2066"/>
    <mergeCell ref="A2067:E2067"/>
    <mergeCell ref="A2026:G2026"/>
    <mergeCell ref="A2031:G2031"/>
    <mergeCell ref="A2032:E2032"/>
    <mergeCell ref="A2033:E2033"/>
    <mergeCell ref="A2034:E2034"/>
    <mergeCell ref="A2035:E2035"/>
    <mergeCell ref="A2036:E2036"/>
    <mergeCell ref="A2037:E2037"/>
    <mergeCell ref="A2038:E2038"/>
    <mergeCell ref="F2038:G2038"/>
    <mergeCell ref="A2002:E2002"/>
    <mergeCell ref="A2003:E2003"/>
    <mergeCell ref="F2003:G2003"/>
    <mergeCell ref="A2006:E2006"/>
    <mergeCell ref="A2007:G2007"/>
    <mergeCell ref="A2011:B2011"/>
    <mergeCell ref="A2014:G2014"/>
    <mergeCell ref="A2017:B2017"/>
    <mergeCell ref="A2020:G2020"/>
    <mergeCell ref="A1982:B1982"/>
    <mergeCell ref="A1985:G1985"/>
    <mergeCell ref="A1991:G1991"/>
    <mergeCell ref="A1996:G1996"/>
    <mergeCell ref="A1997:E1997"/>
    <mergeCell ref="A1998:E1998"/>
    <mergeCell ref="A1999:E1999"/>
    <mergeCell ref="A2000:E2000"/>
    <mergeCell ref="A2001:E2001"/>
    <mergeCell ref="A1965:E1965"/>
    <mergeCell ref="A1966:E1966"/>
    <mergeCell ref="A1967:E1967"/>
    <mergeCell ref="A1968:E1968"/>
    <mergeCell ref="F1968:G1968"/>
    <mergeCell ref="A1971:E1971"/>
    <mergeCell ref="A1972:G1972"/>
    <mergeCell ref="A1976:B1976"/>
    <mergeCell ref="A1979:G1979"/>
    <mergeCell ref="A1941:B1941"/>
    <mergeCell ref="A1944:G1944"/>
    <mergeCell ref="A1947:B1947"/>
    <mergeCell ref="A1950:G1950"/>
    <mergeCell ref="A1956:G1956"/>
    <mergeCell ref="A1961:G1961"/>
    <mergeCell ref="A1962:E1962"/>
    <mergeCell ref="A1963:E1963"/>
    <mergeCell ref="A1964:E1964"/>
    <mergeCell ref="A1928:E1928"/>
    <mergeCell ref="A1929:E1929"/>
    <mergeCell ref="A1930:E1930"/>
    <mergeCell ref="A1931:E1931"/>
    <mergeCell ref="A1932:E1932"/>
    <mergeCell ref="A1933:E1933"/>
    <mergeCell ref="F1933:G1933"/>
    <mergeCell ref="A1936:E1936"/>
    <mergeCell ref="A1937:G1937"/>
    <mergeCell ref="A1901:E1901"/>
    <mergeCell ref="A1902:G1902"/>
    <mergeCell ref="A1906:B1906"/>
    <mergeCell ref="A1909:G1909"/>
    <mergeCell ref="A1912:B1912"/>
    <mergeCell ref="A1915:G1915"/>
    <mergeCell ref="A1921:G1921"/>
    <mergeCell ref="A1926:G1926"/>
    <mergeCell ref="A1927:E1927"/>
    <mergeCell ref="A1886:G1886"/>
    <mergeCell ref="A1891:G1891"/>
    <mergeCell ref="A1892:E1892"/>
    <mergeCell ref="A1893:E1893"/>
    <mergeCell ref="A1894:E1894"/>
    <mergeCell ref="A1895:E1895"/>
    <mergeCell ref="A1896:E1896"/>
    <mergeCell ref="A1897:E1897"/>
    <mergeCell ref="A1898:E1898"/>
    <mergeCell ref="F1898:G1898"/>
    <mergeCell ref="A1862:E1862"/>
    <mergeCell ref="A1863:E1863"/>
    <mergeCell ref="F1863:G1863"/>
    <mergeCell ref="A1866:E1866"/>
    <mergeCell ref="A1867:G1867"/>
    <mergeCell ref="A1871:B1871"/>
    <mergeCell ref="A1874:G1874"/>
    <mergeCell ref="A1877:B1877"/>
    <mergeCell ref="A1880:G1880"/>
    <mergeCell ref="A1842:B1842"/>
    <mergeCell ref="A1845:G1845"/>
    <mergeCell ref="A1851:G1851"/>
    <mergeCell ref="A1856:G1856"/>
    <mergeCell ref="A1857:E1857"/>
    <mergeCell ref="A1858:E1858"/>
    <mergeCell ref="A1859:E1859"/>
    <mergeCell ref="A1860:E1860"/>
    <mergeCell ref="A1861:E1861"/>
    <mergeCell ref="A1825:E1825"/>
    <mergeCell ref="A1826:E1826"/>
    <mergeCell ref="A1827:E1827"/>
    <mergeCell ref="A1828:E1828"/>
    <mergeCell ref="F1828:G1828"/>
    <mergeCell ref="A1831:E1831"/>
    <mergeCell ref="A1832:G1832"/>
    <mergeCell ref="A1836:B1836"/>
    <mergeCell ref="A1839:G1839"/>
    <mergeCell ref="A1801:B1801"/>
    <mergeCell ref="A1804:G1804"/>
    <mergeCell ref="A1807:B1807"/>
    <mergeCell ref="A1810:G1810"/>
    <mergeCell ref="A1816:G1816"/>
    <mergeCell ref="A1821:G1821"/>
    <mergeCell ref="A1822:E1822"/>
    <mergeCell ref="A1823:E1823"/>
    <mergeCell ref="A1824:E1824"/>
    <mergeCell ref="A1788:E1788"/>
    <mergeCell ref="A1789:E1789"/>
    <mergeCell ref="A1790:E1790"/>
    <mergeCell ref="A1791:E1791"/>
    <mergeCell ref="A1792:E1792"/>
    <mergeCell ref="A1793:E1793"/>
    <mergeCell ref="F1793:G1793"/>
    <mergeCell ref="A1796:E1796"/>
    <mergeCell ref="A1797:G1797"/>
    <mergeCell ref="A1761:E1761"/>
    <mergeCell ref="A1762:G1762"/>
    <mergeCell ref="A1766:B1766"/>
    <mergeCell ref="A1769:G1769"/>
    <mergeCell ref="A1772:B1772"/>
    <mergeCell ref="A1775:G1775"/>
    <mergeCell ref="A1781:G1781"/>
    <mergeCell ref="A1786:G1786"/>
    <mergeCell ref="A1787:E1787"/>
    <mergeCell ref="A1746:G1746"/>
    <mergeCell ref="A1751:G1751"/>
    <mergeCell ref="A1752:E1752"/>
    <mergeCell ref="A1753:E1753"/>
    <mergeCell ref="A1754:E1754"/>
    <mergeCell ref="A1755:E1755"/>
    <mergeCell ref="A1756:E1756"/>
    <mergeCell ref="A1757:E1757"/>
    <mergeCell ref="A1758:E1758"/>
    <mergeCell ref="F1758:G1758"/>
    <mergeCell ref="A1722:E1722"/>
    <mergeCell ref="A1723:E1723"/>
    <mergeCell ref="F1723:G1723"/>
    <mergeCell ref="A1726:E1726"/>
    <mergeCell ref="A1727:G1727"/>
    <mergeCell ref="A1731:B1731"/>
    <mergeCell ref="A1734:G1734"/>
    <mergeCell ref="A1737:B1737"/>
    <mergeCell ref="A1740:G1740"/>
    <mergeCell ref="A1702:B1702"/>
    <mergeCell ref="A1705:G1705"/>
    <mergeCell ref="A1711:G1711"/>
    <mergeCell ref="A1716:G1716"/>
    <mergeCell ref="A1717:E1717"/>
    <mergeCell ref="A1718:E1718"/>
    <mergeCell ref="A1719:E1719"/>
    <mergeCell ref="A1720:E1720"/>
    <mergeCell ref="A1721:E1721"/>
    <mergeCell ref="A1685:E1685"/>
    <mergeCell ref="A1686:E1686"/>
    <mergeCell ref="A1687:E1687"/>
    <mergeCell ref="A1688:E1688"/>
    <mergeCell ref="F1688:G1688"/>
    <mergeCell ref="A1691:E1691"/>
    <mergeCell ref="A1692:G1692"/>
    <mergeCell ref="A1696:B1696"/>
    <mergeCell ref="A1699:G1699"/>
    <mergeCell ref="A1661:B1661"/>
    <mergeCell ref="A1664:G1664"/>
    <mergeCell ref="A1667:B1667"/>
    <mergeCell ref="A1670:G1670"/>
    <mergeCell ref="A1676:G1676"/>
    <mergeCell ref="A1681:G1681"/>
    <mergeCell ref="A1682:E1682"/>
    <mergeCell ref="A1683:E1683"/>
    <mergeCell ref="A1684:E1684"/>
    <mergeCell ref="A1648:E1648"/>
    <mergeCell ref="A1649:E1649"/>
    <mergeCell ref="A1650:E1650"/>
    <mergeCell ref="A1651:E1651"/>
    <mergeCell ref="A1652:E1652"/>
    <mergeCell ref="A1653:E1653"/>
    <mergeCell ref="F1653:G1653"/>
    <mergeCell ref="A1656:E1656"/>
    <mergeCell ref="A1657:G1657"/>
    <mergeCell ref="A1621:E1621"/>
    <mergeCell ref="A1622:G1622"/>
    <mergeCell ref="A1626:B1626"/>
    <mergeCell ref="A1629:G1629"/>
    <mergeCell ref="A1632:B1632"/>
    <mergeCell ref="A1635:G1635"/>
    <mergeCell ref="A1641:G1641"/>
    <mergeCell ref="A1646:G1646"/>
    <mergeCell ref="A1647:E1647"/>
    <mergeCell ref="A1606:G1606"/>
    <mergeCell ref="A1611:G1611"/>
    <mergeCell ref="A1612:E1612"/>
    <mergeCell ref="A1613:E1613"/>
    <mergeCell ref="A1614:E1614"/>
    <mergeCell ref="A1615:E1615"/>
    <mergeCell ref="A1616:E1616"/>
    <mergeCell ref="A1617:E1617"/>
    <mergeCell ref="A1618:E1618"/>
    <mergeCell ref="F1618:G1618"/>
    <mergeCell ref="A1582:E1582"/>
    <mergeCell ref="A1583:E1583"/>
    <mergeCell ref="F1583:G1583"/>
    <mergeCell ref="A1586:E1586"/>
    <mergeCell ref="A1587:G1587"/>
    <mergeCell ref="A1591:B1591"/>
    <mergeCell ref="A1594:G1594"/>
    <mergeCell ref="A1597:B1597"/>
    <mergeCell ref="A1600:G1600"/>
    <mergeCell ref="A1562:B1562"/>
    <mergeCell ref="A1565:G1565"/>
    <mergeCell ref="A1571:G1571"/>
    <mergeCell ref="A1576:G1576"/>
    <mergeCell ref="A1577:E1577"/>
    <mergeCell ref="A1578:E1578"/>
    <mergeCell ref="A1579:E1579"/>
    <mergeCell ref="A1580:E1580"/>
    <mergeCell ref="A1581:E1581"/>
    <mergeCell ref="A1545:E1545"/>
    <mergeCell ref="A1546:E1546"/>
    <mergeCell ref="A1547:E1547"/>
    <mergeCell ref="A1548:E1548"/>
    <mergeCell ref="F1548:G1548"/>
    <mergeCell ref="A1551:E1551"/>
    <mergeCell ref="A1552:G1552"/>
    <mergeCell ref="A1556:B1556"/>
    <mergeCell ref="A1559:G1559"/>
    <mergeCell ref="A1520:B1520"/>
    <mergeCell ref="A1523:G1523"/>
    <mergeCell ref="A1527:B1527"/>
    <mergeCell ref="A1530:G1530"/>
    <mergeCell ref="A1536:G1536"/>
    <mergeCell ref="A1541:G1541"/>
    <mergeCell ref="A1542:E1542"/>
    <mergeCell ref="A1543:E1543"/>
    <mergeCell ref="A1544:E1544"/>
    <mergeCell ref="A1506:E1506"/>
    <mergeCell ref="A1507:E1507"/>
    <mergeCell ref="A1508:E1508"/>
    <mergeCell ref="A1509:E1509"/>
    <mergeCell ref="A1510:E1510"/>
    <mergeCell ref="A1511:E1511"/>
    <mergeCell ref="F1511:G1511"/>
    <mergeCell ref="A1514:E1514"/>
    <mergeCell ref="A1515:G1515"/>
    <mergeCell ref="A1478:E1478"/>
    <mergeCell ref="A1479:G1479"/>
    <mergeCell ref="A1484:B1484"/>
    <mergeCell ref="A1487:G1487"/>
    <mergeCell ref="A1490:B1490"/>
    <mergeCell ref="A1493:G1493"/>
    <mergeCell ref="A1499:G1499"/>
    <mergeCell ref="A1504:G1504"/>
    <mergeCell ref="A1505:E1505"/>
    <mergeCell ref="A1463:G1463"/>
    <mergeCell ref="A1468:G1468"/>
    <mergeCell ref="A1469:E1469"/>
    <mergeCell ref="A1470:E1470"/>
    <mergeCell ref="A1471:E1471"/>
    <mergeCell ref="A1472:E1472"/>
    <mergeCell ref="A1473:E1473"/>
    <mergeCell ref="A1474:E1474"/>
    <mergeCell ref="A1475:E1475"/>
    <mergeCell ref="F1475:G1475"/>
    <mergeCell ref="A1438:E1438"/>
    <mergeCell ref="A1439:E1439"/>
    <mergeCell ref="F1439:G1439"/>
    <mergeCell ref="A1442:E1442"/>
    <mergeCell ref="A1443:G1443"/>
    <mergeCell ref="A1448:B1448"/>
    <mergeCell ref="A1451:G1451"/>
    <mergeCell ref="A1454:B1454"/>
    <mergeCell ref="A1457:G1457"/>
    <mergeCell ref="A1418:B1418"/>
    <mergeCell ref="A1421:G1421"/>
    <mergeCell ref="A1427:G1427"/>
    <mergeCell ref="A1432:G1432"/>
    <mergeCell ref="A1433:E1433"/>
    <mergeCell ref="A1434:E1434"/>
    <mergeCell ref="A1435:E1435"/>
    <mergeCell ref="A1436:E1436"/>
    <mergeCell ref="A1437:E1437"/>
    <mergeCell ref="A1402:E1402"/>
    <mergeCell ref="A1403:E1403"/>
    <mergeCell ref="A1404:E1404"/>
    <mergeCell ref="A1405:E1405"/>
    <mergeCell ref="F1405:G1405"/>
    <mergeCell ref="A1408:E1408"/>
    <mergeCell ref="A1409:G1409"/>
    <mergeCell ref="A1412:B1412"/>
    <mergeCell ref="A1415:G1415"/>
    <mergeCell ref="A1376:B1376"/>
    <mergeCell ref="A1379:G1379"/>
    <mergeCell ref="A1384:B1384"/>
    <mergeCell ref="A1387:G1387"/>
    <mergeCell ref="A1393:G1393"/>
    <mergeCell ref="A1398:G1398"/>
    <mergeCell ref="A1399:E1399"/>
    <mergeCell ref="A1400:E1400"/>
    <mergeCell ref="A1401:E1401"/>
    <mergeCell ref="A1364:E1364"/>
    <mergeCell ref="A1365:E1365"/>
    <mergeCell ref="A1366:E1366"/>
    <mergeCell ref="A1367:E1367"/>
    <mergeCell ref="A1368:E1368"/>
    <mergeCell ref="A1369:E1369"/>
    <mergeCell ref="F1369:G1369"/>
    <mergeCell ref="A1372:E1372"/>
    <mergeCell ref="A1373:G1373"/>
    <mergeCell ref="A1338:E1338"/>
    <mergeCell ref="A1339:G1339"/>
    <mergeCell ref="A1342:B1342"/>
    <mergeCell ref="A1345:G1345"/>
    <mergeCell ref="A1348:B1348"/>
    <mergeCell ref="A1351:G1351"/>
    <mergeCell ref="A1357:G1357"/>
    <mergeCell ref="A1362:G1362"/>
    <mergeCell ref="A1363:E1363"/>
    <mergeCell ref="A1300:E1300"/>
    <mergeCell ref="A1301:E1301"/>
    <mergeCell ref="F1301:G1301"/>
    <mergeCell ref="A1280:B1280"/>
    <mergeCell ref="A1283:G1283"/>
    <mergeCell ref="A1289:G1289"/>
    <mergeCell ref="A1294:G1294"/>
    <mergeCell ref="A1295:E1295"/>
    <mergeCell ref="A1296:E1296"/>
    <mergeCell ref="A1297:E1297"/>
    <mergeCell ref="A1298:E1298"/>
    <mergeCell ref="A1299:E1299"/>
    <mergeCell ref="A1262:E1262"/>
    <mergeCell ref="A1263:E1263"/>
    <mergeCell ref="A1264:E1264"/>
    <mergeCell ref="A1265:E1265"/>
    <mergeCell ref="F1265:G1265"/>
    <mergeCell ref="A1268:E1268"/>
    <mergeCell ref="A1269:G1269"/>
    <mergeCell ref="A1274:B1274"/>
    <mergeCell ref="A1277:G1277"/>
    <mergeCell ref="A1238:B1238"/>
    <mergeCell ref="A1241:G1241"/>
    <mergeCell ref="A1244:B1244"/>
    <mergeCell ref="A1247:G1247"/>
    <mergeCell ref="A1253:G1253"/>
    <mergeCell ref="A1258:G1258"/>
    <mergeCell ref="A1259:E1259"/>
    <mergeCell ref="A1260:E1260"/>
    <mergeCell ref="A1261:E1261"/>
    <mergeCell ref="A1224:E1224"/>
    <mergeCell ref="A1225:E1225"/>
    <mergeCell ref="A1226:E1226"/>
    <mergeCell ref="A1227:E1227"/>
    <mergeCell ref="A1228:E1228"/>
    <mergeCell ref="A1229:E1229"/>
    <mergeCell ref="F1229:G1229"/>
    <mergeCell ref="A1232:E1232"/>
    <mergeCell ref="A1233:G1233"/>
    <mergeCell ref="A1196:E1196"/>
    <mergeCell ref="A1197:G1197"/>
    <mergeCell ref="A1202:B1202"/>
    <mergeCell ref="A1205:G1205"/>
    <mergeCell ref="A1208:B1208"/>
    <mergeCell ref="A1211:G1211"/>
    <mergeCell ref="A1217:G1217"/>
    <mergeCell ref="A1222:G1222"/>
    <mergeCell ref="A1223:E1223"/>
    <mergeCell ref="A1181:G1181"/>
    <mergeCell ref="A1186:G1186"/>
    <mergeCell ref="A1187:E1187"/>
    <mergeCell ref="A1188:E1188"/>
    <mergeCell ref="A1189:E1189"/>
    <mergeCell ref="A1190:E1190"/>
    <mergeCell ref="A1191:E1191"/>
    <mergeCell ref="A1192:E1192"/>
    <mergeCell ref="A1193:E1193"/>
    <mergeCell ref="F1193:G1193"/>
    <mergeCell ref="A1155:E1155"/>
    <mergeCell ref="A1156:E1156"/>
    <mergeCell ref="F1156:G1156"/>
    <mergeCell ref="A1159:E1159"/>
    <mergeCell ref="A1160:G1160"/>
    <mergeCell ref="A1165:B1165"/>
    <mergeCell ref="A1168:G1168"/>
    <mergeCell ref="A1172:B1172"/>
    <mergeCell ref="A1175:G1175"/>
    <mergeCell ref="A1135:B1135"/>
    <mergeCell ref="A1138:G1138"/>
    <mergeCell ref="A1144:G1144"/>
    <mergeCell ref="A1149:G1149"/>
    <mergeCell ref="A1150:E1150"/>
    <mergeCell ref="A1151:E1151"/>
    <mergeCell ref="A1152:E1152"/>
    <mergeCell ref="A1153:E1153"/>
    <mergeCell ref="A1154:E1154"/>
    <mergeCell ref="A1116:E1116"/>
    <mergeCell ref="A1117:E1117"/>
    <mergeCell ref="A1118:E1118"/>
    <mergeCell ref="A1119:E1119"/>
    <mergeCell ref="F1119:G1119"/>
    <mergeCell ref="A1122:E1122"/>
    <mergeCell ref="A1123:G1123"/>
    <mergeCell ref="A1128:B1128"/>
    <mergeCell ref="A1131:G1131"/>
    <mergeCell ref="A1090:B1090"/>
    <mergeCell ref="A1093:G1093"/>
    <mergeCell ref="A1098:B1098"/>
    <mergeCell ref="A1101:G1101"/>
    <mergeCell ref="A1107:G1107"/>
    <mergeCell ref="A1112:G1112"/>
    <mergeCell ref="A1113:E1113"/>
    <mergeCell ref="A1114:E1114"/>
    <mergeCell ref="A1115:E1115"/>
    <mergeCell ref="A1046:E1046"/>
    <mergeCell ref="F1046:G1046"/>
    <mergeCell ref="A1084:E1084"/>
    <mergeCell ref="A1085:G1085"/>
    <mergeCell ref="A1075:E1075"/>
    <mergeCell ref="A1076:E1076"/>
    <mergeCell ref="A1077:E1077"/>
    <mergeCell ref="A1078:E1078"/>
    <mergeCell ref="A1079:E1079"/>
    <mergeCell ref="A1080:E1080"/>
    <mergeCell ref="A1081:E1081"/>
    <mergeCell ref="F1081:G1081"/>
    <mergeCell ref="A1028:G1028"/>
    <mergeCell ref="A1034:G1034"/>
    <mergeCell ref="A1039:G1039"/>
    <mergeCell ref="A1040:E1040"/>
    <mergeCell ref="A1041:E1041"/>
    <mergeCell ref="A1042:E1042"/>
    <mergeCell ref="A1043:E1043"/>
    <mergeCell ref="A1044:E1044"/>
    <mergeCell ref="A1045:E1045"/>
    <mergeCell ref="A1049:E1049"/>
    <mergeCell ref="A1050:G1050"/>
    <mergeCell ref="A1053:B1053"/>
    <mergeCell ref="A1056:G1056"/>
    <mergeCell ref="A1060:B1060"/>
    <mergeCell ref="A1063:G1063"/>
    <mergeCell ref="A1069:G1069"/>
    <mergeCell ref="A1074:G1074"/>
    <mergeCell ref="A1007:E1007"/>
    <mergeCell ref="A1008:E1008"/>
    <mergeCell ref="F1008:G1008"/>
    <mergeCell ref="A1011:E1011"/>
    <mergeCell ref="A1012:G1012"/>
    <mergeCell ref="A1017:B1017"/>
    <mergeCell ref="A1020:G1020"/>
    <mergeCell ref="A1025:B1025"/>
    <mergeCell ref="A982:G982"/>
    <mergeCell ref="A987:B987"/>
    <mergeCell ref="A990:G990"/>
    <mergeCell ref="A996:G996"/>
    <mergeCell ref="A1001:G1001"/>
    <mergeCell ref="A1002:E1002"/>
    <mergeCell ref="A1003:E1003"/>
    <mergeCell ref="A1004:E1004"/>
    <mergeCell ref="A1005:E1005"/>
    <mergeCell ref="A887:E887"/>
    <mergeCell ref="A888:E888"/>
    <mergeCell ref="A889:E889"/>
    <mergeCell ref="A890:E890"/>
    <mergeCell ref="F890:G890"/>
    <mergeCell ref="A935:E935"/>
    <mergeCell ref="A936:G936"/>
    <mergeCell ref="A941:B941"/>
    <mergeCell ref="A944:G944"/>
    <mergeCell ref="A893:E893"/>
    <mergeCell ref="A894:G894"/>
    <mergeCell ref="A902:B902"/>
    <mergeCell ref="A905:G905"/>
    <mergeCell ref="A911:B911"/>
    <mergeCell ref="A914:G914"/>
    <mergeCell ref="A920:G920"/>
    <mergeCell ref="A925:G925"/>
    <mergeCell ref="A926:E926"/>
    <mergeCell ref="A927:E927"/>
    <mergeCell ref="A928:E928"/>
    <mergeCell ref="A929:E929"/>
    <mergeCell ref="A930:E930"/>
    <mergeCell ref="A931:E931"/>
    <mergeCell ref="A932:E932"/>
    <mergeCell ref="F932:G932"/>
    <mergeCell ref="A860:B860"/>
    <mergeCell ref="A863:G863"/>
    <mergeCell ref="A869:B869"/>
    <mergeCell ref="A872:G872"/>
    <mergeCell ref="A878:G878"/>
    <mergeCell ref="A883:G883"/>
    <mergeCell ref="A884:E884"/>
    <mergeCell ref="A885:E885"/>
    <mergeCell ref="A886:E886"/>
    <mergeCell ref="A843:E843"/>
    <mergeCell ref="A844:E844"/>
    <mergeCell ref="A845:E845"/>
    <mergeCell ref="A846:E846"/>
    <mergeCell ref="A847:E847"/>
    <mergeCell ref="A848:E848"/>
    <mergeCell ref="F848:G848"/>
    <mergeCell ref="A851:E851"/>
    <mergeCell ref="A852:G852"/>
    <mergeCell ref="A816:E816"/>
    <mergeCell ref="A817:G817"/>
    <mergeCell ref="A820:B820"/>
    <mergeCell ref="A823:G823"/>
    <mergeCell ref="A827:B827"/>
    <mergeCell ref="A830:G830"/>
    <mergeCell ref="A836:G836"/>
    <mergeCell ref="A841:G841"/>
    <mergeCell ref="A842:E842"/>
    <mergeCell ref="A801:G801"/>
    <mergeCell ref="A806:G806"/>
    <mergeCell ref="A807:E807"/>
    <mergeCell ref="A808:E808"/>
    <mergeCell ref="A809:E809"/>
    <mergeCell ref="A810:E810"/>
    <mergeCell ref="A811:E811"/>
    <mergeCell ref="A812:E812"/>
    <mergeCell ref="A813:E813"/>
    <mergeCell ref="F813:G813"/>
    <mergeCell ref="A777:E777"/>
    <mergeCell ref="A778:E778"/>
    <mergeCell ref="F778:G778"/>
    <mergeCell ref="A781:E781"/>
    <mergeCell ref="A782:G782"/>
    <mergeCell ref="A785:B785"/>
    <mergeCell ref="A788:G788"/>
    <mergeCell ref="A792:B792"/>
    <mergeCell ref="A795:G795"/>
    <mergeCell ref="A757:B757"/>
    <mergeCell ref="A760:G760"/>
    <mergeCell ref="A766:G766"/>
    <mergeCell ref="A771:G771"/>
    <mergeCell ref="A772:E772"/>
    <mergeCell ref="A773:E773"/>
    <mergeCell ref="A774:E774"/>
    <mergeCell ref="A775:E775"/>
    <mergeCell ref="A776:E776"/>
    <mergeCell ref="A740:E740"/>
    <mergeCell ref="A741:E741"/>
    <mergeCell ref="A742:E742"/>
    <mergeCell ref="A743:E743"/>
    <mergeCell ref="F743:G743"/>
    <mergeCell ref="A746:E746"/>
    <mergeCell ref="A747:G747"/>
    <mergeCell ref="A750:B750"/>
    <mergeCell ref="A753:G753"/>
    <mergeCell ref="A715:B715"/>
    <mergeCell ref="A718:G718"/>
    <mergeCell ref="A722:B722"/>
    <mergeCell ref="A725:G725"/>
    <mergeCell ref="A731:G731"/>
    <mergeCell ref="A736:G736"/>
    <mergeCell ref="A737:E737"/>
    <mergeCell ref="A738:E738"/>
    <mergeCell ref="A739:E739"/>
    <mergeCell ref="A702:E702"/>
    <mergeCell ref="A703:E703"/>
    <mergeCell ref="A704:E704"/>
    <mergeCell ref="A705:E705"/>
    <mergeCell ref="A706:E706"/>
    <mergeCell ref="A707:E707"/>
    <mergeCell ref="F707:G707"/>
    <mergeCell ref="A710:E710"/>
    <mergeCell ref="A711:G711"/>
    <mergeCell ref="A674:E674"/>
    <mergeCell ref="A675:G675"/>
    <mergeCell ref="A679:B679"/>
    <mergeCell ref="A682:G682"/>
    <mergeCell ref="A686:B686"/>
    <mergeCell ref="A689:G689"/>
    <mergeCell ref="A695:G695"/>
    <mergeCell ref="A700:G700"/>
    <mergeCell ref="A701:E701"/>
    <mergeCell ref="A27:B27"/>
    <mergeCell ref="A6:E6"/>
    <mergeCell ref="A15:B15"/>
    <mergeCell ref="A7:G7"/>
    <mergeCell ref="A18:G18"/>
    <mergeCell ref="A1:E1"/>
    <mergeCell ref="A2:E2"/>
    <mergeCell ref="A3:E3"/>
    <mergeCell ref="A5:G5"/>
    <mergeCell ref="A4:G4"/>
    <mergeCell ref="A30:G30"/>
    <mergeCell ref="A36:G36"/>
    <mergeCell ref="A50:E50"/>
    <mergeCell ref="F50:G50"/>
    <mergeCell ref="A45:E45"/>
    <mergeCell ref="A46:E46"/>
    <mergeCell ref="A47:E47"/>
    <mergeCell ref="A48:E48"/>
    <mergeCell ref="A49:E49"/>
    <mergeCell ref="A53:E53"/>
    <mergeCell ref="A54:G54"/>
    <mergeCell ref="A83:G83"/>
    <mergeCell ref="A57:B57"/>
    <mergeCell ref="A60:G60"/>
    <mergeCell ref="A74:B74"/>
    <mergeCell ref="A77:G77"/>
    <mergeCell ref="A43:G43"/>
    <mergeCell ref="A44:E44"/>
    <mergeCell ref="A98:E98"/>
    <mergeCell ref="A99:G99"/>
    <mergeCell ref="A102:B102"/>
    <mergeCell ref="A105:G105"/>
    <mergeCell ref="A93:E93"/>
    <mergeCell ref="A94:E94"/>
    <mergeCell ref="A95:E95"/>
    <mergeCell ref="F95:G95"/>
    <mergeCell ref="A88:G88"/>
    <mergeCell ref="A89:E89"/>
    <mergeCell ref="A90:E90"/>
    <mergeCell ref="A91:E91"/>
    <mergeCell ref="A92:E92"/>
    <mergeCell ref="F140:G140"/>
    <mergeCell ref="A111:B111"/>
    <mergeCell ref="A114:G114"/>
    <mergeCell ref="A120:G120"/>
    <mergeCell ref="A125:G125"/>
    <mergeCell ref="A126:E126"/>
    <mergeCell ref="A127:E127"/>
    <mergeCell ref="A128:E128"/>
    <mergeCell ref="A129:E129"/>
    <mergeCell ref="A130:E130"/>
    <mergeCell ref="A131:E131"/>
    <mergeCell ref="A132:E132"/>
    <mergeCell ref="F132:G132"/>
    <mergeCell ref="A136:E136"/>
    <mergeCell ref="A137:E137"/>
    <mergeCell ref="A138:E138"/>
    <mergeCell ref="A139:E139"/>
    <mergeCell ref="A140:E140"/>
    <mergeCell ref="A135:E135"/>
    <mergeCell ref="A157:G157"/>
    <mergeCell ref="A163:G163"/>
    <mergeCell ref="A168:G168"/>
    <mergeCell ref="A169:E169"/>
    <mergeCell ref="A170:E170"/>
    <mergeCell ref="A143:E143"/>
    <mergeCell ref="A144:G144"/>
    <mergeCell ref="A147:B147"/>
    <mergeCell ref="A150:G150"/>
    <mergeCell ref="A154:B154"/>
    <mergeCell ref="F175:G175"/>
    <mergeCell ref="A178:E178"/>
    <mergeCell ref="A179:G179"/>
    <mergeCell ref="A183:B183"/>
    <mergeCell ref="A186:G186"/>
    <mergeCell ref="A171:E171"/>
    <mergeCell ref="A172:E172"/>
    <mergeCell ref="A173:E173"/>
    <mergeCell ref="A174:E174"/>
    <mergeCell ref="A175:E175"/>
    <mergeCell ref="A206:E206"/>
    <mergeCell ref="A207:E207"/>
    <mergeCell ref="A208:E208"/>
    <mergeCell ref="A209:E209"/>
    <mergeCell ref="A210:E210"/>
    <mergeCell ref="A190:B190"/>
    <mergeCell ref="A193:G193"/>
    <mergeCell ref="A199:G199"/>
    <mergeCell ref="A204:G204"/>
    <mergeCell ref="A205:E205"/>
    <mergeCell ref="A221:G221"/>
    <mergeCell ref="A225:B225"/>
    <mergeCell ref="A228:G228"/>
    <mergeCell ref="A234:G234"/>
    <mergeCell ref="A239:G239"/>
    <mergeCell ref="A211:E211"/>
    <mergeCell ref="F211:G211"/>
    <mergeCell ref="A214:E214"/>
    <mergeCell ref="A215:G215"/>
    <mergeCell ref="A218:B218"/>
    <mergeCell ref="A245:E245"/>
    <mergeCell ref="A246:E246"/>
    <mergeCell ref="F246:G246"/>
    <mergeCell ref="A249:E249"/>
    <mergeCell ref="A250:G250"/>
    <mergeCell ref="A240:E240"/>
    <mergeCell ref="A241:E241"/>
    <mergeCell ref="A242:E242"/>
    <mergeCell ref="A243:E243"/>
    <mergeCell ref="A244:E244"/>
    <mergeCell ref="A274:G274"/>
    <mergeCell ref="A275:E275"/>
    <mergeCell ref="A276:E276"/>
    <mergeCell ref="A277:E277"/>
    <mergeCell ref="A278:E278"/>
    <mergeCell ref="A253:B253"/>
    <mergeCell ref="A256:G256"/>
    <mergeCell ref="A260:B260"/>
    <mergeCell ref="A263:G263"/>
    <mergeCell ref="A269:G269"/>
    <mergeCell ref="A285:G285"/>
    <mergeCell ref="A289:B289"/>
    <mergeCell ref="A292:G292"/>
    <mergeCell ref="A296:B296"/>
    <mergeCell ref="A299:G299"/>
    <mergeCell ref="A279:E279"/>
    <mergeCell ref="A280:E280"/>
    <mergeCell ref="A281:E281"/>
    <mergeCell ref="F281:G281"/>
    <mergeCell ref="A284:E284"/>
    <mergeCell ref="A314:E314"/>
    <mergeCell ref="A315:E315"/>
    <mergeCell ref="A316:E316"/>
    <mergeCell ref="A317:E317"/>
    <mergeCell ref="F317:G317"/>
    <mergeCell ref="A305:G305"/>
    <mergeCell ref="A310:G310"/>
    <mergeCell ref="A311:E311"/>
    <mergeCell ref="A312:E312"/>
    <mergeCell ref="A313:E313"/>
    <mergeCell ref="A334:G334"/>
    <mergeCell ref="A340:G340"/>
    <mergeCell ref="A345:G345"/>
    <mergeCell ref="A346:E346"/>
    <mergeCell ref="A347:E347"/>
    <mergeCell ref="A320:E320"/>
    <mergeCell ref="A321:G321"/>
    <mergeCell ref="A324:B324"/>
    <mergeCell ref="A327:G327"/>
    <mergeCell ref="A331:B331"/>
    <mergeCell ref="F352:G352"/>
    <mergeCell ref="A355:E355"/>
    <mergeCell ref="A356:G356"/>
    <mergeCell ref="A360:B360"/>
    <mergeCell ref="A363:G363"/>
    <mergeCell ref="A348:E348"/>
    <mergeCell ref="A349:E349"/>
    <mergeCell ref="A350:E350"/>
    <mergeCell ref="A351:E351"/>
    <mergeCell ref="A352:E352"/>
    <mergeCell ref="A383:E383"/>
    <mergeCell ref="A384:E384"/>
    <mergeCell ref="A385:E385"/>
    <mergeCell ref="A386:E386"/>
    <mergeCell ref="A387:E387"/>
    <mergeCell ref="A367:B367"/>
    <mergeCell ref="A370:G370"/>
    <mergeCell ref="A376:G376"/>
    <mergeCell ref="A381:G381"/>
    <mergeCell ref="A382:E382"/>
    <mergeCell ref="A399:G399"/>
    <mergeCell ref="A403:B403"/>
    <mergeCell ref="A406:G406"/>
    <mergeCell ref="A412:G412"/>
    <mergeCell ref="A417:G417"/>
    <mergeCell ref="A388:E388"/>
    <mergeCell ref="F388:G388"/>
    <mergeCell ref="A391:E391"/>
    <mergeCell ref="A392:G392"/>
    <mergeCell ref="A396:B396"/>
    <mergeCell ref="A423:E423"/>
    <mergeCell ref="A424:E424"/>
    <mergeCell ref="F424:G424"/>
    <mergeCell ref="A427:E427"/>
    <mergeCell ref="A428:G428"/>
    <mergeCell ref="A418:E418"/>
    <mergeCell ref="A419:E419"/>
    <mergeCell ref="A420:E420"/>
    <mergeCell ref="A421:E421"/>
    <mergeCell ref="A422:E422"/>
    <mergeCell ref="A452:G452"/>
    <mergeCell ref="A453:E453"/>
    <mergeCell ref="A454:E454"/>
    <mergeCell ref="A455:E455"/>
    <mergeCell ref="A456:E456"/>
    <mergeCell ref="A431:B431"/>
    <mergeCell ref="A434:G434"/>
    <mergeCell ref="A438:B438"/>
    <mergeCell ref="A441:G441"/>
    <mergeCell ref="A447:G447"/>
    <mergeCell ref="A463:G463"/>
    <mergeCell ref="A466:B466"/>
    <mergeCell ref="A469:G469"/>
    <mergeCell ref="A473:B473"/>
    <mergeCell ref="A476:G476"/>
    <mergeCell ref="A457:E457"/>
    <mergeCell ref="A458:E458"/>
    <mergeCell ref="A459:E459"/>
    <mergeCell ref="F459:G459"/>
    <mergeCell ref="A462:E462"/>
    <mergeCell ref="A491:E491"/>
    <mergeCell ref="A492:E492"/>
    <mergeCell ref="A493:E493"/>
    <mergeCell ref="A494:E494"/>
    <mergeCell ref="F494:G494"/>
    <mergeCell ref="A482:G482"/>
    <mergeCell ref="A487:G487"/>
    <mergeCell ref="A488:E488"/>
    <mergeCell ref="A489:E489"/>
    <mergeCell ref="A490:E490"/>
    <mergeCell ref="A511:G511"/>
    <mergeCell ref="A517:G517"/>
    <mergeCell ref="A522:G522"/>
    <mergeCell ref="A523:E523"/>
    <mergeCell ref="A524:E524"/>
    <mergeCell ref="A497:E497"/>
    <mergeCell ref="A498:G498"/>
    <mergeCell ref="A501:B501"/>
    <mergeCell ref="A504:G504"/>
    <mergeCell ref="A508:B508"/>
    <mergeCell ref="F529:G529"/>
    <mergeCell ref="A532:E532"/>
    <mergeCell ref="A533:G533"/>
    <mergeCell ref="A536:B536"/>
    <mergeCell ref="A539:G539"/>
    <mergeCell ref="A525:E525"/>
    <mergeCell ref="A526:E526"/>
    <mergeCell ref="A527:E527"/>
    <mergeCell ref="A528:E528"/>
    <mergeCell ref="A529:E529"/>
    <mergeCell ref="A559:E559"/>
    <mergeCell ref="A560:E560"/>
    <mergeCell ref="A561:E561"/>
    <mergeCell ref="A562:E562"/>
    <mergeCell ref="A563:E563"/>
    <mergeCell ref="A543:B543"/>
    <mergeCell ref="A546:G546"/>
    <mergeCell ref="A552:G552"/>
    <mergeCell ref="A557:G557"/>
    <mergeCell ref="A558:E558"/>
    <mergeCell ref="A574:G574"/>
    <mergeCell ref="A578:B578"/>
    <mergeCell ref="A581:G581"/>
    <mergeCell ref="A587:G587"/>
    <mergeCell ref="A592:G592"/>
    <mergeCell ref="A564:E564"/>
    <mergeCell ref="F564:G564"/>
    <mergeCell ref="A567:E567"/>
    <mergeCell ref="A568:G568"/>
    <mergeCell ref="A571:B571"/>
    <mergeCell ref="A598:E598"/>
    <mergeCell ref="A599:E599"/>
    <mergeCell ref="F599:G599"/>
    <mergeCell ref="A602:E602"/>
    <mergeCell ref="A603:G603"/>
    <mergeCell ref="A593:E593"/>
    <mergeCell ref="A594:E594"/>
    <mergeCell ref="A595:E595"/>
    <mergeCell ref="A596:E596"/>
    <mergeCell ref="A597:E597"/>
    <mergeCell ref="A627:G627"/>
    <mergeCell ref="A628:E628"/>
    <mergeCell ref="A629:E629"/>
    <mergeCell ref="A630:E630"/>
    <mergeCell ref="A631:E631"/>
    <mergeCell ref="A606:B606"/>
    <mergeCell ref="A609:G609"/>
    <mergeCell ref="A613:B613"/>
    <mergeCell ref="A616:G616"/>
    <mergeCell ref="A622:G622"/>
    <mergeCell ref="A638:G638"/>
    <mergeCell ref="A642:B642"/>
    <mergeCell ref="A645:G645"/>
    <mergeCell ref="A650:B650"/>
    <mergeCell ref="A653:G653"/>
    <mergeCell ref="A632:E632"/>
    <mergeCell ref="A633:E633"/>
    <mergeCell ref="A634:E634"/>
    <mergeCell ref="F634:G634"/>
    <mergeCell ref="A637:E637"/>
    <mergeCell ref="A668:E668"/>
    <mergeCell ref="A669:E669"/>
    <mergeCell ref="A670:E670"/>
    <mergeCell ref="A671:E671"/>
    <mergeCell ref="F671:G671"/>
    <mergeCell ref="A659:G659"/>
    <mergeCell ref="A664:G664"/>
    <mergeCell ref="A665:E665"/>
    <mergeCell ref="A666:E666"/>
    <mergeCell ref="A667:E667"/>
    <mergeCell ref="A1332:E1332"/>
    <mergeCell ref="A1333:E1333"/>
    <mergeCell ref="A1334:E1334"/>
    <mergeCell ref="A1335:E1335"/>
    <mergeCell ref="F1335:G1335"/>
    <mergeCell ref="A1304:E1304"/>
    <mergeCell ref="A1305:G1305"/>
    <mergeCell ref="A1307:B1307"/>
    <mergeCell ref="A1310:G1310"/>
    <mergeCell ref="A1314:B1314"/>
    <mergeCell ref="A1317:G1317"/>
    <mergeCell ref="A1323:G1323"/>
    <mergeCell ref="A1328:G1328"/>
    <mergeCell ref="A1329:E1329"/>
    <mergeCell ref="A949:B949"/>
    <mergeCell ref="A952:G952"/>
    <mergeCell ref="A958:G958"/>
    <mergeCell ref="A963:G963"/>
    <mergeCell ref="A964:E964"/>
    <mergeCell ref="A965:E965"/>
    <mergeCell ref="A966:E966"/>
    <mergeCell ref="A967:E967"/>
    <mergeCell ref="A968:E968"/>
    <mergeCell ref="A969:E969"/>
    <mergeCell ref="A970:E970"/>
    <mergeCell ref="F970:G970"/>
    <mergeCell ref="A973:E973"/>
    <mergeCell ref="A974:G974"/>
    <mergeCell ref="A979:B979"/>
    <mergeCell ref="A1330:E1330"/>
    <mergeCell ref="A1331:E1331"/>
    <mergeCell ref="A1006:E1006"/>
  </mergeCells>
  <dataValidations count="8">
    <dataValidation type="list" allowBlank="1" showDropDown="1" showInputMessage="1" showErrorMessage="1" sqref="B56 B101">
      <formula1>$A$264:$A$441</formula1>
    </dataValidation>
    <dataValidation type="list" allowBlank="1" showDropDown="1" showInputMessage="1" showErrorMessage="1" sqref="B62:B64 B1453 B1382:B1383 B1313 B909:B910 B1279 B1243 B1207 B1171 B1134 B1097 B1095 B1024 B986 B948 B867:B868 B648 B471:B472 B436:B437 B401:B402 B365:B366 B329:B330 B294:B295 B258:B259 B223:B224 B188:B189 B152:B153 B66:B69 B107:B109">
      <formula1>$A$5:$A$269</formula1>
    </dataValidation>
    <dataValidation type="list" allowBlank="1" showDropDown="1" showInputMessage="1" showErrorMessage="1" sqref="B146 B1445:B1447 B1411 B1375 B1341 B1052 B896:B901 B1271:B1273 B1235:B1237 B1199:B1201 B1162:B1164 B1125:B1127 B1087:B1089 B1014:B1016 B976:B978 B938:B940 B854:B859 B819 B784 B749 B713:B714 B677:B678 B640:B641 B605 B570 B535 B500 B465 B430 B394:B395 B358:B359 B323 B287:B288 B252 B217 B181:B182 B1481:B1483 B1517:B1519 B1554:B1555 B1589:B1590 B1624:B1625 B1659:B1660 B1694:B1695 B1729:B1730 B1764:B1765 B1799:B1800 B1834:B1835 B1869:B1870 B1904:B1905 B1939:B1940 B1974:B1975 B2009:B2010 B2044:B2045 B2079:B2080 B2114:B2115 B2149:B2150 B2184:B2185 B2219:B2220 B2254:B2255 B2289:B2290 B2324:B2325 B2359:B2360 B2394:B2395 B2429:B2430 B2464:B2465 B2499:B2500 B2534:B2535 B2569:B2570 B2604 B2639">
      <formula1>$A$275:$A$451</formula1>
    </dataValidation>
    <dataValidation type="list" allowBlank="1" showDropDown="1" showInputMessage="1" showErrorMessage="1" sqref="B1489">
      <formula1>$A$5:$A$271</formula1>
    </dataValidation>
    <dataValidation type="list" allowBlank="1" showDropDown="1" showInputMessage="1" showErrorMessage="1" sqref="B1525:B1526">
      <formula1>$A$5:$A$272</formula1>
    </dataValidation>
    <dataValidation type="list" allowBlank="1" showDropDown="1" showInputMessage="1" showErrorMessage="1" sqref="B1561">
      <formula1>$A$5:$A$284</formula1>
    </dataValidation>
    <dataValidation type="list" allowBlank="1" showDropDown="1" showInputMessage="1" showErrorMessage="1" sqref="B2674:B2679">
      <formula1>$A$309:$A$485</formula1>
    </dataValidation>
    <dataValidation type="list" allowBlank="1" showDropDown="1" showInputMessage="1" showErrorMessage="1" sqref="B1596 B1631 B2576 B2541 B2506 B2471 B2436 B2401 B2366 B2331 B2296 B2261 B2226 B2191 B2156 B2121 B2086 B2051 B2016 B1981 B1946 B1911 B1876 B1841 B1806 B1771 B1736 B1701 B1666 B2686:B2687">
      <formula1>$A$5:$A$303</formula1>
    </dataValidation>
  </dataValidations>
  <printOptions horizontalCentered="1"/>
  <pageMargins left="0.70866141732283472" right="0.70866141732283472" top="0.74803149606299213" bottom="0.74803149606299213" header="0.31496062992125984" footer="0.31496062992125984"/>
  <pageSetup paperSize="9" scale="75" orientation="portrait" r:id="rId1"/>
  <rowBreaks count="71" manualBreakCount="71">
    <brk id="52" max="6" man="1"/>
    <brk id="97" max="6" man="1"/>
    <brk id="142" max="6" man="1"/>
    <brk id="177" max="6" man="1"/>
    <brk id="213" max="6" man="1"/>
    <brk id="248" max="6" man="1"/>
    <brk id="283" max="6" man="1"/>
    <brk id="319" max="6" man="1"/>
    <brk id="354" max="6" man="1"/>
    <brk id="390" max="6" man="1"/>
    <brk id="426" max="6" man="1"/>
    <brk id="461" max="6" man="1"/>
    <brk id="496" max="6" man="1"/>
    <brk id="531" max="6" man="1"/>
    <brk id="566" max="6" man="1"/>
    <brk id="601" max="6" man="1"/>
    <brk id="636" max="6" man="1"/>
    <brk id="673" max="6" man="1"/>
    <brk id="709" max="6" man="1"/>
    <brk id="745" max="6" man="1"/>
    <brk id="780" max="6" man="1"/>
    <brk id="815" max="6" man="1"/>
    <brk id="850" max="6" man="1"/>
    <brk id="892" max="6" man="1"/>
    <brk id="934" max="6" man="1"/>
    <brk id="972" max="6" man="1"/>
    <brk id="1010" max="6" man="1"/>
    <brk id="1048" max="6" man="1"/>
    <brk id="1083" max="6" man="1"/>
    <brk id="1121" max="6" man="1"/>
    <brk id="1158" max="6" man="1"/>
    <brk id="1195" max="6" man="1"/>
    <brk id="1231" max="6" man="1"/>
    <brk id="1267" max="6" man="1"/>
    <brk id="1303" max="6" man="1"/>
    <brk id="1337" max="6" man="1"/>
    <brk id="1371" max="6" man="1"/>
    <brk id="1407" max="6" man="1"/>
    <brk id="1441" max="6" man="1"/>
    <brk id="1477" max="6" man="1"/>
    <brk id="1513" max="6" man="1"/>
    <brk id="1550" max="6" man="1"/>
    <brk id="1585" max="6" man="1"/>
    <brk id="1690" max="6" man="1"/>
    <brk id="1725" max="6" man="1"/>
    <brk id="1760" max="6" man="1"/>
    <brk id="1795" max="6" man="1"/>
    <brk id="1830" max="6" man="1"/>
    <brk id="1865" max="6" man="1"/>
    <brk id="1900" max="6" man="1"/>
    <brk id="1935" max="6" man="1"/>
    <brk id="1970" max="6" man="1"/>
    <brk id="2005" max="6" man="1"/>
    <brk id="2040" max="6" man="1"/>
    <brk id="2075" max="6" man="1"/>
    <brk id="2110" max="6" man="1"/>
    <brk id="2145" max="6" man="1"/>
    <brk id="2180" max="6" man="1"/>
    <brk id="2215" max="6" man="1"/>
    <brk id="2250" max="6" man="1"/>
    <brk id="2285" max="6" man="1"/>
    <brk id="2320" max="6" man="1"/>
    <brk id="2355" max="6" man="1"/>
    <brk id="2390" max="6" man="1"/>
    <brk id="2425" max="6" man="1"/>
    <brk id="2460" max="6" man="1"/>
    <brk id="2495" max="6" man="1"/>
    <brk id="2530" max="6" man="1"/>
    <brk id="2565" max="6" man="1"/>
    <brk id="2600" max="6" man="1"/>
    <brk id="2635" max="6" man="1"/>
  </rowBreaks>
  <drawing r:id="rId2"/>
  <extLst>
    <ext xmlns:x14="http://schemas.microsoft.com/office/spreadsheetml/2009/9/main" uri="{CCE6A557-97BC-4b89-ADB6-D9C93CAAB3DF}">
      <x14:dataValidations xmlns:xm="http://schemas.microsoft.com/office/excel/2006/main" count="3">
        <x14:dataValidation type="list" allowBlank="1" showDropDown="1" showInputMessage="1" showErrorMessage="1">
          <x14:formula1>
            <xm:f>PRECIOS!$A$309:$A$485</xm:f>
          </x14:formula1>
          <xm:sqref>B9:B14</xm:sqref>
        </x14:dataValidation>
        <x14:dataValidation type="list" allowBlank="1" showDropDown="1" showInputMessage="1" showErrorMessage="1">
          <x14:formula1>
            <xm:f>JORNALES!$A$5:$A$28</xm:f>
          </x14:formula1>
          <xm:sqref>A38:A40 A85 A122 A165 A201 A236 A271 A307 A342 A378 A414 A449 A484 A519 A554 A589 A624 A661 A697 A733 A768 A803 A838 A880 A960 A998 A1036 A1109 A1146 A1183 A1219 A1255 A1291 A922 A1071 A1325 A1359 A1395 A1429 A1465 A1501 A1538 A1573 A1608 A1643 A1678 A1713 A1748 A1783 A1818 A1853 A1888 A1923 A1958 A1993 A2028 A2063 A2098 A2133 A2168 A2203 A2238 A2273 A2308 A2343 A2378 A2413 A2448 A2483 A2518 A2553 A2588 A2623 A2658 A2702</xm:sqref>
        </x14:dataValidation>
        <x14:dataValidation type="list" allowBlank="1" showDropDown="1" showInputMessage="1" showErrorMessage="1">
          <x14:formula1>
            <xm:f>PRECIOS!$A$5:$A$303</xm:f>
          </x14:formula1>
          <xm:sqref>B20:B26 B2685</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dimension ref="A1:G620"/>
  <sheetViews>
    <sheetView view="pageLayout" topLeftCell="A381" zoomScaleNormal="100" workbookViewId="0">
      <selection activeCell="A358" sqref="A358:G397"/>
    </sheetView>
  </sheetViews>
  <sheetFormatPr baseColWidth="10" defaultRowHeight="15" x14ac:dyDescent="0.25"/>
  <cols>
    <col min="1" max="1" width="18.85546875" customWidth="1"/>
    <col min="3" max="3" width="12.42578125" customWidth="1"/>
    <col min="6" max="6" width="12.42578125" customWidth="1"/>
  </cols>
  <sheetData>
    <row r="1" spans="1:7" ht="24" customHeight="1" x14ac:dyDescent="0.25">
      <c r="A1" s="95"/>
      <c r="B1" s="94"/>
      <c r="C1" s="94"/>
      <c r="D1" s="94"/>
      <c r="E1" s="94"/>
      <c r="F1" s="882" t="s">
        <v>300</v>
      </c>
      <c r="G1" s="882" t="s">
        <v>2374</v>
      </c>
    </row>
    <row r="2" spans="1:7" ht="40.5" customHeight="1" x14ac:dyDescent="0.25">
      <c r="A2" s="1238" t="s">
        <v>2234</v>
      </c>
      <c r="B2" s="1246"/>
      <c r="C2" s="1246"/>
      <c r="D2" s="1246"/>
      <c r="E2" s="1247"/>
      <c r="F2" s="880" t="s">
        <v>24</v>
      </c>
      <c r="G2" s="880" t="s">
        <v>48</v>
      </c>
    </row>
    <row r="3" spans="1:7" x14ac:dyDescent="0.25">
      <c r="A3" s="1229" t="s">
        <v>25</v>
      </c>
      <c r="B3" s="1229"/>
      <c r="C3" s="1229"/>
      <c r="D3" s="1229"/>
      <c r="E3" s="1229"/>
      <c r="F3" s="1229"/>
      <c r="G3" s="1229"/>
    </row>
    <row r="4" spans="1:7" x14ac:dyDescent="0.25">
      <c r="A4" s="1234" t="s">
        <v>469</v>
      </c>
      <c r="B4" s="1235"/>
      <c r="C4" s="80" t="s">
        <v>26</v>
      </c>
      <c r="D4" s="80" t="s">
        <v>27</v>
      </c>
      <c r="E4" s="80" t="s">
        <v>28</v>
      </c>
      <c r="F4" s="80" t="s">
        <v>35</v>
      </c>
      <c r="G4" s="67"/>
    </row>
    <row r="5" spans="1:7" x14ac:dyDescent="0.25">
      <c r="A5" s="1236"/>
      <c r="B5" s="1236"/>
      <c r="C5" s="69"/>
      <c r="D5" s="62"/>
      <c r="E5" s="62"/>
      <c r="F5" s="62"/>
      <c r="G5" s="81"/>
    </row>
    <row r="6" spans="1:7" x14ac:dyDescent="0.25">
      <c r="A6" s="1236"/>
      <c r="B6" s="1236"/>
      <c r="C6" s="69"/>
      <c r="D6" s="62"/>
      <c r="E6" s="62"/>
      <c r="F6" s="62"/>
      <c r="G6" s="69"/>
    </row>
    <row r="7" spans="1:7" x14ac:dyDescent="0.25">
      <c r="A7" s="1236" t="s">
        <v>30</v>
      </c>
      <c r="B7" s="1236"/>
      <c r="C7" s="69"/>
      <c r="D7" s="69"/>
      <c r="E7" s="69"/>
      <c r="F7" s="62">
        <v>1135</v>
      </c>
      <c r="G7" s="69"/>
    </row>
    <row r="8" spans="1:7" x14ac:dyDescent="0.25">
      <c r="A8" s="1236"/>
      <c r="B8" s="1236"/>
      <c r="C8" s="69"/>
      <c r="D8" s="69"/>
      <c r="E8" s="69"/>
      <c r="F8" s="69"/>
      <c r="G8" s="69"/>
    </row>
    <row r="9" spans="1:7" x14ac:dyDescent="0.25">
      <c r="A9" s="1236" t="s">
        <v>25</v>
      </c>
      <c r="B9" s="1236"/>
      <c r="C9" s="69"/>
      <c r="D9" s="69"/>
      <c r="E9" s="69"/>
      <c r="F9" s="69"/>
      <c r="G9" s="83" t="s">
        <v>31</v>
      </c>
    </row>
    <row r="10" spans="1:7" x14ac:dyDescent="0.25">
      <c r="A10" s="1237"/>
      <c r="B10" s="1237"/>
      <c r="C10" s="82"/>
      <c r="D10" s="82"/>
      <c r="E10" s="82"/>
      <c r="F10" s="82"/>
      <c r="G10" s="64">
        <f>F7+F6+F5</f>
        <v>1135</v>
      </c>
    </row>
    <row r="11" spans="1:7" x14ac:dyDescent="0.25">
      <c r="A11" s="1234" t="s">
        <v>475</v>
      </c>
      <c r="B11" s="1235"/>
      <c r="C11" s="80" t="s">
        <v>32</v>
      </c>
      <c r="D11" s="80" t="s">
        <v>33</v>
      </c>
      <c r="E11" s="80" t="s">
        <v>34</v>
      </c>
      <c r="F11" s="80" t="s">
        <v>35</v>
      </c>
      <c r="G11" s="67"/>
    </row>
    <row r="12" spans="1:7" x14ac:dyDescent="0.25">
      <c r="A12" s="1226"/>
      <c r="B12" s="1227"/>
      <c r="C12" s="43"/>
      <c r="D12" s="97"/>
      <c r="E12" s="92"/>
      <c r="F12" s="85"/>
      <c r="G12" s="69"/>
    </row>
    <row r="13" spans="1:7" x14ac:dyDescent="0.25">
      <c r="A13" s="1228"/>
      <c r="B13" s="1229"/>
      <c r="C13" s="43"/>
      <c r="D13" s="97"/>
      <c r="E13" s="92"/>
      <c r="F13" s="85"/>
      <c r="G13" s="43" t="s">
        <v>31</v>
      </c>
    </row>
    <row r="14" spans="1:7" x14ac:dyDescent="0.25">
      <c r="A14" s="1228"/>
      <c r="B14" s="1229"/>
      <c r="C14" s="69"/>
      <c r="D14" s="69"/>
      <c r="E14" s="69"/>
      <c r="F14" s="69"/>
      <c r="G14" s="65"/>
    </row>
    <row r="15" spans="1:7" ht="24" x14ac:dyDescent="0.25">
      <c r="A15" s="878" t="s">
        <v>329</v>
      </c>
      <c r="B15" s="89" t="s">
        <v>38</v>
      </c>
      <c r="C15" s="89" t="s">
        <v>39</v>
      </c>
      <c r="D15" s="80" t="s">
        <v>40</v>
      </c>
      <c r="E15" s="80" t="s">
        <v>34</v>
      </c>
      <c r="F15" s="80" t="s">
        <v>35</v>
      </c>
      <c r="G15" s="67"/>
    </row>
    <row r="16" spans="1:7" x14ac:dyDescent="0.25">
      <c r="A16" s="90" t="s">
        <v>2371</v>
      </c>
      <c r="B16" s="43"/>
      <c r="C16" s="43" t="s">
        <v>1704</v>
      </c>
      <c r="D16" s="62">
        <v>2455.9899999999998</v>
      </c>
      <c r="E16" s="91">
        <v>10</v>
      </c>
      <c r="F16" s="62">
        <v>12279</v>
      </c>
      <c r="G16" s="69"/>
    </row>
    <row r="17" spans="1:7" x14ac:dyDescent="0.25">
      <c r="A17" s="90"/>
      <c r="B17" s="43"/>
      <c r="C17" s="43"/>
      <c r="D17" s="62"/>
      <c r="E17" s="91"/>
      <c r="F17" s="62"/>
      <c r="G17" s="69"/>
    </row>
    <row r="18" spans="1:7" x14ac:dyDescent="0.25">
      <c r="A18" s="90"/>
      <c r="B18" s="43"/>
      <c r="C18" s="43"/>
      <c r="D18" s="62"/>
      <c r="E18" s="92"/>
      <c r="F18" s="62"/>
      <c r="G18" s="69"/>
    </row>
    <row r="19" spans="1:7" x14ac:dyDescent="0.25">
      <c r="A19" s="90" t="s">
        <v>25</v>
      </c>
      <c r="B19" s="43" t="s">
        <v>25</v>
      </c>
      <c r="C19" s="43" t="s">
        <v>25</v>
      </c>
      <c r="D19" s="61" t="s">
        <v>25</v>
      </c>
      <c r="E19" s="92" t="s">
        <v>25</v>
      </c>
      <c r="F19" s="62" t="s">
        <v>25</v>
      </c>
      <c r="G19" s="43" t="s">
        <v>31</v>
      </c>
    </row>
    <row r="20" spans="1:7" x14ac:dyDescent="0.25">
      <c r="A20" s="90"/>
      <c r="B20" s="69"/>
      <c r="C20" s="69"/>
      <c r="D20" s="69"/>
      <c r="E20" s="69"/>
      <c r="F20" s="69"/>
      <c r="G20" s="64">
        <f>+F16*E16</f>
        <v>122790</v>
      </c>
    </row>
    <row r="21" spans="1:7" ht="24" x14ac:dyDescent="0.25">
      <c r="A21" s="878" t="s">
        <v>41</v>
      </c>
      <c r="B21" s="80" t="s">
        <v>42</v>
      </c>
      <c r="C21" s="80" t="s">
        <v>43</v>
      </c>
      <c r="D21" s="80" t="s">
        <v>44</v>
      </c>
      <c r="E21" s="89" t="s">
        <v>306</v>
      </c>
      <c r="F21" s="80" t="s">
        <v>35</v>
      </c>
      <c r="G21" s="67"/>
    </row>
    <row r="22" spans="1:7" x14ac:dyDescent="0.25">
      <c r="A22" s="81"/>
      <c r="B22" s="81"/>
      <c r="C22" s="81"/>
      <c r="D22" s="81"/>
      <c r="E22" s="81"/>
      <c r="F22" s="81"/>
      <c r="G22" s="81"/>
    </row>
    <row r="23" spans="1:7" x14ac:dyDescent="0.25">
      <c r="A23" s="69" t="s">
        <v>2372</v>
      </c>
      <c r="B23" s="85"/>
      <c r="C23" s="96"/>
      <c r="D23" s="62"/>
      <c r="E23" s="121"/>
      <c r="F23" s="62"/>
      <c r="G23" s="69"/>
    </row>
    <row r="24" spans="1:7" ht="33.75" customHeight="1" x14ac:dyDescent="0.25">
      <c r="A24" s="881" t="s">
        <v>2373</v>
      </c>
      <c r="B24" s="85">
        <v>215000</v>
      </c>
      <c r="C24" s="96">
        <v>0.89990000000000003</v>
      </c>
      <c r="D24" s="62">
        <f>B24*C24+B24</f>
        <v>408478.5</v>
      </c>
      <c r="E24" s="121">
        <v>5.3599771648013421</v>
      </c>
      <c r="F24" s="62">
        <f xml:space="preserve"> D24/E24</f>
        <v>76209.000046204397</v>
      </c>
      <c r="G24" s="69" t="s">
        <v>25</v>
      </c>
    </row>
    <row r="25" spans="1:7" x14ac:dyDescent="0.25">
      <c r="A25" s="69"/>
      <c r="B25" s="85"/>
      <c r="C25" s="69"/>
      <c r="D25" s="62"/>
      <c r="E25" s="69"/>
      <c r="F25" s="62"/>
      <c r="G25" s="69"/>
    </row>
    <row r="26" spans="1:7" x14ac:dyDescent="0.25">
      <c r="A26" s="69"/>
      <c r="B26" s="69"/>
      <c r="C26" s="69"/>
      <c r="D26" s="69"/>
      <c r="E26" s="69"/>
      <c r="F26" s="69"/>
      <c r="G26" s="43" t="s">
        <v>31</v>
      </c>
    </row>
    <row r="27" spans="1:7" x14ac:dyDescent="0.25">
      <c r="A27" s="82"/>
      <c r="B27" s="82"/>
      <c r="C27" s="82"/>
      <c r="D27" s="82"/>
      <c r="E27" s="82"/>
      <c r="F27" s="82"/>
      <c r="G27" s="64">
        <f>F25+F24+F23</f>
        <v>76209.000046204397</v>
      </c>
    </row>
    <row r="28" spans="1:7" x14ac:dyDescent="0.25">
      <c r="A28" s="1230" t="s">
        <v>25</v>
      </c>
      <c r="B28" s="1230"/>
      <c r="C28" s="1230"/>
      <c r="D28" s="1230"/>
      <c r="E28" s="1230"/>
      <c r="F28" s="1230"/>
      <c r="G28" s="1233"/>
    </row>
    <row r="29" spans="1:7" x14ac:dyDescent="0.25">
      <c r="A29" s="1248" t="s">
        <v>45</v>
      </c>
      <c r="B29" s="1248"/>
      <c r="C29" s="1248"/>
      <c r="D29" s="1248"/>
      <c r="E29" s="1231"/>
      <c r="F29" s="93"/>
      <c r="G29" s="70">
        <f xml:space="preserve"> G27+G20+G14+G10</f>
        <v>200134.0000462044</v>
      </c>
    </row>
    <row r="30" spans="1:7" x14ac:dyDescent="0.25">
      <c r="A30" s="1232" t="s">
        <v>476</v>
      </c>
      <c r="B30" s="1232"/>
      <c r="C30" s="1222"/>
      <c r="D30" s="1222"/>
      <c r="E30" s="1222" t="s">
        <v>44</v>
      </c>
      <c r="F30" s="1222" t="s">
        <v>51</v>
      </c>
      <c r="G30" s="1222" t="s">
        <v>307</v>
      </c>
    </row>
    <row r="31" spans="1:7" x14ac:dyDescent="0.25">
      <c r="A31" s="1232"/>
      <c r="B31" s="1232"/>
      <c r="C31" s="1222"/>
      <c r="D31" s="1222"/>
      <c r="E31" s="1222"/>
      <c r="F31" s="1222"/>
      <c r="G31" s="1222"/>
    </row>
    <row r="32" spans="1:7" x14ac:dyDescent="0.25">
      <c r="A32" s="1244" t="s">
        <v>17</v>
      </c>
      <c r="B32" s="1244"/>
      <c r="C32" s="1244"/>
      <c r="D32" s="1244"/>
      <c r="E32" s="1244"/>
      <c r="F32" s="1221"/>
      <c r="G32" s="1222"/>
    </row>
    <row r="33" spans="1:7" x14ac:dyDescent="0.25">
      <c r="A33" s="1244" t="s">
        <v>308</v>
      </c>
      <c r="B33" s="1244"/>
      <c r="C33" s="1244"/>
      <c r="D33" s="1244"/>
      <c r="E33" s="1244"/>
      <c r="F33" s="1221"/>
      <c r="G33" s="1222"/>
    </row>
    <row r="34" spans="1:7" x14ac:dyDescent="0.25">
      <c r="A34" s="1244" t="s">
        <v>19</v>
      </c>
      <c r="B34" s="1244"/>
      <c r="C34" s="1244"/>
      <c r="D34" s="1244"/>
      <c r="E34" s="1244"/>
      <c r="F34" s="1221"/>
      <c r="G34" s="1222"/>
    </row>
    <row r="35" spans="1:7" x14ac:dyDescent="0.25">
      <c r="A35" s="1244" t="s">
        <v>309</v>
      </c>
      <c r="B35" s="1244"/>
      <c r="C35" s="1244"/>
      <c r="D35" s="1244"/>
      <c r="E35" s="1244"/>
      <c r="F35" s="1221"/>
      <c r="G35" s="1222"/>
    </row>
    <row r="36" spans="1:7" x14ac:dyDescent="0.25">
      <c r="A36" s="1245" t="s">
        <v>310</v>
      </c>
      <c r="B36" s="1245"/>
      <c r="C36" s="1245"/>
      <c r="D36" s="1245"/>
      <c r="E36" s="1245"/>
      <c r="F36" s="1222"/>
      <c r="G36" s="1222"/>
    </row>
    <row r="37" spans="1:7" x14ac:dyDescent="0.25">
      <c r="A37" s="68"/>
      <c r="B37" s="94"/>
      <c r="C37" s="94"/>
      <c r="D37" s="94"/>
      <c r="E37" s="94"/>
      <c r="F37" s="94"/>
      <c r="G37" s="94"/>
    </row>
    <row r="38" spans="1:7" x14ac:dyDescent="0.25">
      <c r="A38" s="68"/>
      <c r="B38" s="94"/>
      <c r="C38" s="94"/>
      <c r="D38" s="94"/>
      <c r="E38" s="94"/>
      <c r="F38" s="94"/>
      <c r="G38" s="94"/>
    </row>
    <row r="43" spans="1:7" x14ac:dyDescent="0.25">
      <c r="A43" s="95"/>
      <c r="B43" s="94"/>
      <c r="C43" s="94"/>
      <c r="D43" s="94"/>
      <c r="E43" s="94"/>
      <c r="F43" s="882" t="s">
        <v>300</v>
      </c>
      <c r="G43" s="882">
        <v>5.4</v>
      </c>
    </row>
    <row r="44" spans="1:7" x14ac:dyDescent="0.25">
      <c r="A44" s="1238" t="s">
        <v>687</v>
      </c>
      <c r="B44" s="1246"/>
      <c r="C44" s="1246"/>
      <c r="D44" s="1246"/>
      <c r="E44" s="1247"/>
      <c r="F44" s="880" t="s">
        <v>24</v>
      </c>
      <c r="G44" s="880" t="s">
        <v>46</v>
      </c>
    </row>
    <row r="45" spans="1:7" x14ac:dyDescent="0.25">
      <c r="A45" s="1229" t="s">
        <v>25</v>
      </c>
      <c r="B45" s="1229"/>
      <c r="C45" s="1229"/>
      <c r="D45" s="1229"/>
      <c r="E45" s="1229"/>
      <c r="F45" s="1229"/>
      <c r="G45" s="1229"/>
    </row>
    <row r="46" spans="1:7" x14ac:dyDescent="0.25">
      <c r="A46" s="1234" t="s">
        <v>469</v>
      </c>
      <c r="B46" s="1235"/>
      <c r="C46" s="80" t="s">
        <v>26</v>
      </c>
      <c r="D46" s="80" t="s">
        <v>27</v>
      </c>
      <c r="E46" s="80" t="s">
        <v>28</v>
      </c>
      <c r="F46" s="80" t="s">
        <v>35</v>
      </c>
      <c r="G46" s="67"/>
    </row>
    <row r="47" spans="1:7" x14ac:dyDescent="0.25">
      <c r="A47" s="1236"/>
      <c r="B47" s="1236"/>
      <c r="C47" s="69"/>
      <c r="D47" s="62"/>
      <c r="E47" s="62"/>
      <c r="F47" s="62"/>
      <c r="G47" s="81"/>
    </row>
    <row r="48" spans="1:7" x14ac:dyDescent="0.25">
      <c r="A48" s="1236"/>
      <c r="B48" s="1236"/>
      <c r="C48" s="69"/>
      <c r="D48" s="62"/>
      <c r="E48" s="62"/>
      <c r="F48" s="62"/>
      <c r="G48" s="69"/>
    </row>
    <row r="49" spans="1:7" x14ac:dyDescent="0.25">
      <c r="A49" s="1236" t="s">
        <v>30</v>
      </c>
      <c r="B49" s="1236"/>
      <c r="C49" s="69"/>
      <c r="D49" s="69"/>
      <c r="E49" s="69"/>
      <c r="F49" s="62">
        <v>1135</v>
      </c>
      <c r="G49" s="69"/>
    </row>
    <row r="50" spans="1:7" x14ac:dyDescent="0.25">
      <c r="A50" s="1236"/>
      <c r="B50" s="1236"/>
      <c r="C50" s="69"/>
      <c r="D50" s="69"/>
      <c r="E50" s="69"/>
      <c r="F50" s="69"/>
      <c r="G50" s="69"/>
    </row>
    <row r="51" spans="1:7" x14ac:dyDescent="0.25">
      <c r="A51" s="1236" t="s">
        <v>25</v>
      </c>
      <c r="B51" s="1236"/>
      <c r="C51" s="69"/>
      <c r="D51" s="69"/>
      <c r="E51" s="69"/>
      <c r="F51" s="69"/>
      <c r="G51" s="83" t="s">
        <v>31</v>
      </c>
    </row>
    <row r="52" spans="1:7" x14ac:dyDescent="0.25">
      <c r="A52" s="1237"/>
      <c r="B52" s="1237"/>
      <c r="C52" s="82"/>
      <c r="D52" s="82"/>
      <c r="E52" s="82"/>
      <c r="F52" s="82"/>
      <c r="G52" s="64">
        <f>F49+F48+F47</f>
        <v>1135</v>
      </c>
    </row>
    <row r="53" spans="1:7" x14ac:dyDescent="0.25">
      <c r="A53" s="1234" t="s">
        <v>475</v>
      </c>
      <c r="B53" s="1235"/>
      <c r="C53" s="80" t="s">
        <v>32</v>
      </c>
      <c r="D53" s="80" t="s">
        <v>33</v>
      </c>
      <c r="E53" s="80" t="s">
        <v>34</v>
      </c>
      <c r="F53" s="80" t="s">
        <v>35</v>
      </c>
      <c r="G53" s="67"/>
    </row>
    <row r="54" spans="1:7" x14ac:dyDescent="0.25">
      <c r="A54" s="1226" t="s">
        <v>2375</v>
      </c>
      <c r="B54" s="1227"/>
      <c r="C54" s="43" t="s">
        <v>69</v>
      </c>
      <c r="D54" s="97"/>
      <c r="E54" s="92">
        <v>1</v>
      </c>
      <c r="F54" s="85">
        <v>22249.050000000003</v>
      </c>
      <c r="G54" s="69"/>
    </row>
    <row r="55" spans="1:7" x14ac:dyDescent="0.25">
      <c r="A55" s="1228"/>
      <c r="B55" s="1229"/>
      <c r="C55" s="43"/>
      <c r="D55" s="97"/>
      <c r="E55" s="92"/>
      <c r="F55" s="85"/>
      <c r="G55" s="43" t="s">
        <v>31</v>
      </c>
    </row>
    <row r="56" spans="1:7" x14ac:dyDescent="0.25">
      <c r="A56" s="1228"/>
      <c r="B56" s="1229"/>
      <c r="C56" s="69"/>
      <c r="D56" s="69"/>
      <c r="E56" s="69"/>
      <c r="F56" s="69"/>
      <c r="G56" s="65">
        <f>+F54*E54</f>
        <v>22249.050000000003</v>
      </c>
    </row>
    <row r="57" spans="1:7" ht="24" x14ac:dyDescent="0.25">
      <c r="A57" s="878" t="s">
        <v>329</v>
      </c>
      <c r="B57" s="89" t="s">
        <v>38</v>
      </c>
      <c r="C57" s="89" t="s">
        <v>39</v>
      </c>
      <c r="D57" s="80" t="s">
        <v>40</v>
      </c>
      <c r="E57" s="80" t="s">
        <v>34</v>
      </c>
      <c r="F57" s="80" t="s">
        <v>35</v>
      </c>
      <c r="G57" s="67"/>
    </row>
    <row r="58" spans="1:7" x14ac:dyDescent="0.25">
      <c r="A58" s="90"/>
      <c r="B58" s="43"/>
      <c r="C58" s="43"/>
      <c r="D58" s="62"/>
      <c r="E58" s="91"/>
      <c r="F58" s="62"/>
      <c r="G58" s="69"/>
    </row>
    <row r="59" spans="1:7" x14ac:dyDescent="0.25">
      <c r="A59" s="90"/>
      <c r="B59" s="43"/>
      <c r="C59" s="43"/>
      <c r="D59" s="62"/>
      <c r="E59" s="91"/>
      <c r="F59" s="62"/>
      <c r="G59" s="69"/>
    </row>
    <row r="60" spans="1:7" x14ac:dyDescent="0.25">
      <c r="A60" s="90"/>
      <c r="B60" s="43"/>
      <c r="C60" s="43"/>
      <c r="D60" s="62"/>
      <c r="E60" s="92"/>
      <c r="F60" s="62"/>
      <c r="G60" s="69"/>
    </row>
    <row r="61" spans="1:7" x14ac:dyDescent="0.25">
      <c r="A61" s="90" t="s">
        <v>25</v>
      </c>
      <c r="B61" s="43" t="s">
        <v>25</v>
      </c>
      <c r="C61" s="43" t="s">
        <v>25</v>
      </c>
      <c r="D61" s="61" t="s">
        <v>25</v>
      </c>
      <c r="E61" s="92" t="s">
        <v>25</v>
      </c>
      <c r="F61" s="62" t="s">
        <v>25</v>
      </c>
      <c r="G61" s="43" t="s">
        <v>31</v>
      </c>
    </row>
    <row r="62" spans="1:7" x14ac:dyDescent="0.25">
      <c r="A62" s="90"/>
      <c r="B62" s="69"/>
      <c r="C62" s="69"/>
      <c r="D62" s="69"/>
      <c r="E62" s="69"/>
      <c r="F62" s="69"/>
      <c r="G62" s="64">
        <f>+F58*E58</f>
        <v>0</v>
      </c>
    </row>
    <row r="63" spans="1:7" ht="24" x14ac:dyDescent="0.25">
      <c r="A63" s="878" t="s">
        <v>41</v>
      </c>
      <c r="B63" s="80" t="s">
        <v>42</v>
      </c>
      <c r="C63" s="80" t="s">
        <v>43</v>
      </c>
      <c r="D63" s="80" t="s">
        <v>44</v>
      </c>
      <c r="E63" s="89" t="s">
        <v>306</v>
      </c>
      <c r="F63" s="80" t="s">
        <v>35</v>
      </c>
      <c r="G63" s="67"/>
    </row>
    <row r="64" spans="1:7" x14ac:dyDescent="0.25">
      <c r="A64" s="81"/>
      <c r="B64" s="81"/>
      <c r="C64" s="81"/>
      <c r="D64" s="81"/>
      <c r="E64" s="81"/>
      <c r="F64" s="81"/>
      <c r="G64" s="81"/>
    </row>
    <row r="65" spans="1:7" x14ac:dyDescent="0.25">
      <c r="A65" s="69" t="s">
        <v>2372</v>
      </c>
      <c r="B65" s="85"/>
      <c r="C65" s="96"/>
      <c r="D65" s="62"/>
      <c r="E65" s="121"/>
      <c r="F65" s="62"/>
      <c r="G65" s="69"/>
    </row>
    <row r="66" spans="1:7" ht="24.75" x14ac:dyDescent="0.25">
      <c r="A66" s="881" t="s">
        <v>2373</v>
      </c>
      <c r="B66" s="85">
        <v>215000</v>
      </c>
      <c r="C66" s="96">
        <v>0.89990000000000003</v>
      </c>
      <c r="D66" s="62">
        <f>B66*C66+B66</f>
        <v>408478.5</v>
      </c>
      <c r="E66" s="121">
        <v>30</v>
      </c>
      <c r="F66" s="62">
        <f xml:space="preserve"> D66/E66</f>
        <v>13615.95</v>
      </c>
      <c r="G66" s="69" t="s">
        <v>25</v>
      </c>
    </row>
    <row r="67" spans="1:7" x14ac:dyDescent="0.25">
      <c r="A67" s="69"/>
      <c r="B67" s="85"/>
      <c r="C67" s="69"/>
      <c r="D67" s="62"/>
      <c r="E67" s="69"/>
      <c r="F67" s="62"/>
      <c r="G67" s="69"/>
    </row>
    <row r="68" spans="1:7" x14ac:dyDescent="0.25">
      <c r="A68" s="69"/>
      <c r="B68" s="69"/>
      <c r="C68" s="69"/>
      <c r="D68" s="69"/>
      <c r="E68" s="69"/>
      <c r="F68" s="69"/>
      <c r="G68" s="43" t="s">
        <v>31</v>
      </c>
    </row>
    <row r="69" spans="1:7" x14ac:dyDescent="0.25">
      <c r="A69" s="82"/>
      <c r="B69" s="82"/>
      <c r="C69" s="82"/>
      <c r="D69" s="82"/>
      <c r="E69" s="82"/>
      <c r="F69" s="82"/>
      <c r="G69" s="64">
        <f>F67+F66+F65</f>
        <v>13615.95</v>
      </c>
    </row>
    <row r="70" spans="1:7" x14ac:dyDescent="0.25">
      <c r="A70" s="1230" t="s">
        <v>25</v>
      </c>
      <c r="B70" s="1230"/>
      <c r="C70" s="1230"/>
      <c r="D70" s="1230"/>
      <c r="E70" s="1230"/>
      <c r="F70" s="1230"/>
      <c r="G70" s="1233"/>
    </row>
    <row r="71" spans="1:7" x14ac:dyDescent="0.25">
      <c r="A71" s="1248" t="s">
        <v>45</v>
      </c>
      <c r="B71" s="1248"/>
      <c r="C71" s="1248"/>
      <c r="D71" s="1248"/>
      <c r="E71" s="1231"/>
      <c r="F71" s="93"/>
      <c r="G71" s="70">
        <f xml:space="preserve"> G69+G62+G56+G52</f>
        <v>37000</v>
      </c>
    </row>
    <row r="72" spans="1:7" x14ac:dyDescent="0.25">
      <c r="A72" s="1232" t="s">
        <v>476</v>
      </c>
      <c r="B72" s="1232"/>
      <c r="C72" s="1222"/>
      <c r="D72" s="1222"/>
      <c r="E72" s="1222" t="s">
        <v>44</v>
      </c>
      <c r="F72" s="1222" t="s">
        <v>51</v>
      </c>
      <c r="G72" s="1222" t="s">
        <v>307</v>
      </c>
    </row>
    <row r="73" spans="1:7" x14ac:dyDescent="0.25">
      <c r="A73" s="1232"/>
      <c r="B73" s="1232"/>
      <c r="C73" s="1222"/>
      <c r="D73" s="1222"/>
      <c r="E73" s="1222"/>
      <c r="F73" s="1222"/>
      <c r="G73" s="1222"/>
    </row>
    <row r="74" spans="1:7" x14ac:dyDescent="0.25">
      <c r="A74" s="1244" t="s">
        <v>17</v>
      </c>
      <c r="B74" s="1244"/>
      <c r="C74" s="1244"/>
      <c r="D74" s="1244"/>
      <c r="E74" s="1244"/>
      <c r="F74" s="1221"/>
      <c r="G74" s="1222"/>
    </row>
    <row r="75" spans="1:7" x14ac:dyDescent="0.25">
      <c r="A75" s="1244" t="s">
        <v>308</v>
      </c>
      <c r="B75" s="1244"/>
      <c r="C75" s="1244"/>
      <c r="D75" s="1244"/>
      <c r="E75" s="1244"/>
      <c r="F75" s="1221"/>
      <c r="G75" s="1222"/>
    </row>
    <row r="76" spans="1:7" x14ac:dyDescent="0.25">
      <c r="A76" s="1244" t="s">
        <v>19</v>
      </c>
      <c r="B76" s="1244"/>
      <c r="C76" s="1244"/>
      <c r="D76" s="1244"/>
      <c r="E76" s="1244"/>
      <c r="F76" s="1221"/>
      <c r="G76" s="1222"/>
    </row>
    <row r="77" spans="1:7" x14ac:dyDescent="0.25">
      <c r="A77" s="1244" t="s">
        <v>309</v>
      </c>
      <c r="B77" s="1244"/>
      <c r="C77" s="1244"/>
      <c r="D77" s="1244"/>
      <c r="E77" s="1244"/>
      <c r="F77" s="1221"/>
      <c r="G77" s="1222"/>
    </row>
    <row r="78" spans="1:7" x14ac:dyDescent="0.25">
      <c r="A78" s="1245" t="s">
        <v>310</v>
      </c>
      <c r="B78" s="1245"/>
      <c r="C78" s="1245"/>
      <c r="D78" s="1245"/>
      <c r="E78" s="1245"/>
      <c r="F78" s="1222"/>
      <c r="G78" s="1222"/>
    </row>
    <row r="79" spans="1:7" x14ac:dyDescent="0.25">
      <c r="A79" s="68"/>
      <c r="B79" s="94"/>
      <c r="C79" s="94"/>
      <c r="D79" s="94"/>
      <c r="E79" s="94"/>
      <c r="F79" s="94"/>
      <c r="G79" s="94"/>
    </row>
    <row r="80" spans="1:7" x14ac:dyDescent="0.25">
      <c r="A80" s="68"/>
      <c r="B80" s="94"/>
      <c r="C80" s="94"/>
      <c r="D80" s="94"/>
      <c r="E80" s="94"/>
      <c r="F80" s="94"/>
      <c r="G80" s="94"/>
    </row>
    <row r="88" spans="1:7" x14ac:dyDescent="0.25">
      <c r="A88" s="95"/>
      <c r="B88" s="94"/>
      <c r="C88" s="94"/>
      <c r="D88" s="94"/>
      <c r="E88" s="94"/>
      <c r="F88" s="882" t="s">
        <v>300</v>
      </c>
      <c r="G88" s="882">
        <v>7.5</v>
      </c>
    </row>
    <row r="89" spans="1:7" x14ac:dyDescent="0.25">
      <c r="A89" s="1238" t="s">
        <v>693</v>
      </c>
      <c r="B89" s="1246"/>
      <c r="C89" s="1246"/>
      <c r="D89" s="1246"/>
      <c r="E89" s="1247"/>
      <c r="F89" s="880" t="s">
        <v>24</v>
      </c>
      <c r="G89" s="880" t="s">
        <v>15</v>
      </c>
    </row>
    <row r="90" spans="1:7" x14ac:dyDescent="0.25">
      <c r="A90" s="1229" t="s">
        <v>25</v>
      </c>
      <c r="B90" s="1229"/>
      <c r="C90" s="1229"/>
      <c r="D90" s="1229"/>
      <c r="E90" s="1229"/>
      <c r="F90" s="1229"/>
      <c r="G90" s="1229"/>
    </row>
    <row r="91" spans="1:7" x14ac:dyDescent="0.25">
      <c r="A91" s="1234" t="s">
        <v>469</v>
      </c>
      <c r="B91" s="1235"/>
      <c r="C91" s="80" t="s">
        <v>26</v>
      </c>
      <c r="D91" s="80" t="s">
        <v>27</v>
      </c>
      <c r="E91" s="80" t="s">
        <v>28</v>
      </c>
      <c r="F91" s="80" t="s">
        <v>35</v>
      </c>
      <c r="G91" s="67"/>
    </row>
    <row r="92" spans="1:7" x14ac:dyDescent="0.25">
      <c r="A92" s="1236"/>
      <c r="B92" s="1236"/>
      <c r="C92" s="69"/>
      <c r="D92" s="62"/>
      <c r="E92" s="62"/>
      <c r="F92" s="62"/>
      <c r="G92" s="81"/>
    </row>
    <row r="93" spans="1:7" x14ac:dyDescent="0.25">
      <c r="A93" s="1236" t="s">
        <v>2182</v>
      </c>
      <c r="B93" s="1236"/>
      <c r="C93" s="69" t="s">
        <v>2376</v>
      </c>
      <c r="D93" s="62">
        <v>6250</v>
      </c>
      <c r="E93" s="62">
        <v>0.08</v>
      </c>
      <c r="F93" s="62">
        <f>+D93*E93</f>
        <v>500</v>
      </c>
      <c r="G93" s="69"/>
    </row>
    <row r="94" spans="1:7" x14ac:dyDescent="0.25">
      <c r="A94" s="1236" t="s">
        <v>30</v>
      </c>
      <c r="B94" s="1236"/>
      <c r="C94" s="69"/>
      <c r="D94" s="69"/>
      <c r="E94" s="69"/>
      <c r="F94" s="62">
        <f>+G117*0.05</f>
        <v>1849.0429094962828</v>
      </c>
      <c r="G94" s="69"/>
    </row>
    <row r="95" spans="1:7" x14ac:dyDescent="0.25">
      <c r="A95" s="1236"/>
      <c r="B95" s="1236"/>
      <c r="C95" s="69"/>
      <c r="D95" s="69"/>
      <c r="E95" s="69"/>
      <c r="F95" s="69"/>
      <c r="G95" s="69"/>
    </row>
    <row r="96" spans="1:7" x14ac:dyDescent="0.25">
      <c r="A96" s="1236" t="s">
        <v>25</v>
      </c>
      <c r="B96" s="1236"/>
      <c r="C96" s="69"/>
      <c r="D96" s="69"/>
      <c r="E96" s="69"/>
      <c r="F96" s="69"/>
      <c r="G96" s="83" t="s">
        <v>31</v>
      </c>
    </row>
    <row r="97" spans="1:7" x14ac:dyDescent="0.25">
      <c r="A97" s="1237"/>
      <c r="B97" s="1237"/>
      <c r="C97" s="82"/>
      <c r="D97" s="82"/>
      <c r="E97" s="82"/>
      <c r="F97" s="82"/>
      <c r="G97" s="64">
        <f>F94+F93+F92</f>
        <v>2349.0429094962828</v>
      </c>
    </row>
    <row r="98" spans="1:7" x14ac:dyDescent="0.25">
      <c r="A98" s="1234" t="s">
        <v>475</v>
      </c>
      <c r="B98" s="1235"/>
      <c r="C98" s="80" t="s">
        <v>32</v>
      </c>
      <c r="D98" s="80" t="s">
        <v>33</v>
      </c>
      <c r="E98" s="80" t="s">
        <v>34</v>
      </c>
      <c r="F98" s="80" t="s">
        <v>35</v>
      </c>
      <c r="G98" s="67"/>
    </row>
    <row r="99" spans="1:7" x14ac:dyDescent="0.25">
      <c r="A99" s="1226" t="s">
        <v>2379</v>
      </c>
      <c r="B99" s="1227"/>
      <c r="C99" s="43" t="s">
        <v>81</v>
      </c>
      <c r="D99" s="97">
        <v>718563</v>
      </c>
      <c r="E99" s="92">
        <v>0.01</v>
      </c>
      <c r="F99" s="85">
        <f>+E99*D99</f>
        <v>7185.63</v>
      </c>
      <c r="G99" s="69"/>
    </row>
    <row r="100" spans="1:7" x14ac:dyDescent="0.25">
      <c r="A100" s="876" t="s">
        <v>2380</v>
      </c>
      <c r="B100" s="875"/>
      <c r="C100" s="43" t="s">
        <v>15</v>
      </c>
      <c r="D100" s="97">
        <v>34000</v>
      </c>
      <c r="E100" s="92">
        <v>0.3</v>
      </c>
      <c r="F100" s="85">
        <f>+E100*D100</f>
        <v>10200</v>
      </c>
      <c r="G100" s="69"/>
    </row>
    <row r="101" spans="1:7" x14ac:dyDescent="0.25">
      <c r="A101" s="876" t="s">
        <v>191</v>
      </c>
      <c r="B101" s="875"/>
      <c r="C101" s="43" t="s">
        <v>54</v>
      </c>
      <c r="D101" s="97">
        <v>3289</v>
      </c>
      <c r="E101" s="92">
        <v>0.1</v>
      </c>
      <c r="F101" s="85">
        <f>+E101*D101</f>
        <v>328.90000000000003</v>
      </c>
      <c r="G101" s="69"/>
    </row>
    <row r="102" spans="1:7" x14ac:dyDescent="0.25">
      <c r="A102" s="876" t="s">
        <v>2377</v>
      </c>
      <c r="B102" s="875"/>
      <c r="C102" s="43"/>
      <c r="D102" s="97">
        <v>0.03</v>
      </c>
      <c r="E102" s="92"/>
      <c r="F102" s="85">
        <f>+F99*0.03</f>
        <v>215.56889999999999</v>
      </c>
      <c r="G102" s="69"/>
    </row>
    <row r="103" spans="1:7" x14ac:dyDescent="0.25">
      <c r="A103" s="1228"/>
      <c r="B103" s="1229"/>
      <c r="C103" s="43"/>
      <c r="D103" s="97"/>
      <c r="E103" s="92"/>
      <c r="F103" s="85"/>
      <c r="G103" s="43" t="s">
        <v>31</v>
      </c>
    </row>
    <row r="104" spans="1:7" x14ac:dyDescent="0.25">
      <c r="A104" s="1228"/>
      <c r="B104" s="1229"/>
      <c r="C104" s="69"/>
      <c r="D104" s="69"/>
      <c r="E104" s="69"/>
      <c r="F104" s="69"/>
      <c r="G104" s="65">
        <f>+F99+F102+F100+F101</f>
        <v>17930.098900000001</v>
      </c>
    </row>
    <row r="105" spans="1:7" ht="24" x14ac:dyDescent="0.25">
      <c r="A105" s="878" t="s">
        <v>329</v>
      </c>
      <c r="B105" s="89" t="s">
        <v>38</v>
      </c>
      <c r="C105" s="89" t="s">
        <v>39</v>
      </c>
      <c r="D105" s="80" t="s">
        <v>40</v>
      </c>
      <c r="E105" s="80" t="s">
        <v>34</v>
      </c>
      <c r="F105" s="80" t="s">
        <v>35</v>
      </c>
      <c r="G105" s="67"/>
    </row>
    <row r="106" spans="1:7" x14ac:dyDescent="0.25">
      <c r="A106" s="90"/>
      <c r="B106" s="43"/>
      <c r="C106" s="43"/>
      <c r="D106" s="62"/>
      <c r="E106" s="91"/>
      <c r="F106" s="62"/>
      <c r="G106" s="69"/>
    </row>
    <row r="107" spans="1:7" x14ac:dyDescent="0.25">
      <c r="A107" s="90"/>
      <c r="B107" s="43"/>
      <c r="C107" s="43"/>
      <c r="D107" s="62"/>
      <c r="E107" s="91"/>
      <c r="F107" s="62"/>
      <c r="G107" s="69"/>
    </row>
    <row r="108" spans="1:7" x14ac:dyDescent="0.25">
      <c r="A108" s="90"/>
      <c r="B108" s="43"/>
      <c r="C108" s="43"/>
      <c r="D108" s="62"/>
      <c r="E108" s="92"/>
      <c r="F108" s="62"/>
      <c r="G108" s="69"/>
    </row>
    <row r="109" spans="1:7" x14ac:dyDescent="0.25">
      <c r="A109" s="90" t="s">
        <v>25</v>
      </c>
      <c r="B109" s="43" t="s">
        <v>25</v>
      </c>
      <c r="C109" s="43" t="s">
        <v>25</v>
      </c>
      <c r="D109" s="61" t="s">
        <v>25</v>
      </c>
      <c r="E109" s="92" t="s">
        <v>25</v>
      </c>
      <c r="F109" s="62" t="s">
        <v>25</v>
      </c>
      <c r="G109" s="43" t="s">
        <v>31</v>
      </c>
    </row>
    <row r="110" spans="1:7" x14ac:dyDescent="0.25">
      <c r="A110" s="90"/>
      <c r="B110" s="69"/>
      <c r="C110" s="69"/>
      <c r="D110" s="69"/>
      <c r="E110" s="69"/>
      <c r="F110" s="69"/>
      <c r="G110" s="64">
        <f>+F106*E106</f>
        <v>0</v>
      </c>
    </row>
    <row r="111" spans="1:7" ht="24" x14ac:dyDescent="0.25">
      <c r="A111" s="878" t="s">
        <v>41</v>
      </c>
      <c r="B111" s="80" t="s">
        <v>42</v>
      </c>
      <c r="C111" s="80" t="s">
        <v>43</v>
      </c>
      <c r="D111" s="80" t="s">
        <v>44</v>
      </c>
      <c r="E111" s="89" t="s">
        <v>306</v>
      </c>
      <c r="F111" s="80" t="s">
        <v>35</v>
      </c>
      <c r="G111" s="67"/>
    </row>
    <row r="112" spans="1:7" x14ac:dyDescent="0.25">
      <c r="A112" s="81"/>
      <c r="B112" s="81"/>
      <c r="C112" s="81"/>
      <c r="D112" s="81"/>
      <c r="E112" s="81"/>
      <c r="F112" s="81"/>
      <c r="G112" s="81"/>
    </row>
    <row r="113" spans="1:7" x14ac:dyDescent="0.25">
      <c r="A113" s="69" t="s">
        <v>2372</v>
      </c>
      <c r="B113" s="85"/>
      <c r="C113" s="96"/>
      <c r="D113" s="62"/>
      <c r="E113" s="121"/>
      <c r="F113" s="62"/>
      <c r="G113" s="69"/>
    </row>
    <row r="114" spans="1:7" ht="24.75" x14ac:dyDescent="0.25">
      <c r="A114" s="881" t="s">
        <v>2378</v>
      </c>
      <c r="B114" s="85">
        <v>295000</v>
      </c>
      <c r="C114" s="96">
        <v>0.89990000000000003</v>
      </c>
      <c r="D114" s="62">
        <f>B114*C114+B114</f>
        <v>560470.5</v>
      </c>
      <c r="E114" s="121">
        <v>15.155692091339397</v>
      </c>
      <c r="F114" s="62">
        <f xml:space="preserve"> D114/E114</f>
        <v>36980.858189925653</v>
      </c>
      <c r="G114" s="69" t="s">
        <v>25</v>
      </c>
    </row>
    <row r="115" spans="1:7" x14ac:dyDescent="0.25">
      <c r="A115" s="69"/>
      <c r="B115" s="85"/>
      <c r="C115" s="69"/>
      <c r="D115" s="62"/>
      <c r="E115" s="69"/>
      <c r="F115" s="62"/>
      <c r="G115" s="69"/>
    </row>
    <row r="116" spans="1:7" x14ac:dyDescent="0.25">
      <c r="A116" s="69"/>
      <c r="B116" s="69"/>
      <c r="C116" s="69"/>
      <c r="D116" s="69"/>
      <c r="E116" s="69"/>
      <c r="F116" s="69"/>
      <c r="G116" s="43" t="s">
        <v>31</v>
      </c>
    </row>
    <row r="117" spans="1:7" x14ac:dyDescent="0.25">
      <c r="A117" s="82"/>
      <c r="B117" s="82"/>
      <c r="C117" s="82"/>
      <c r="D117" s="82"/>
      <c r="E117" s="82"/>
      <c r="F117" s="82"/>
      <c r="G117" s="64">
        <f>F115+F114+F113</f>
        <v>36980.858189925653</v>
      </c>
    </row>
    <row r="118" spans="1:7" x14ac:dyDescent="0.25">
      <c r="A118" s="1230" t="s">
        <v>25</v>
      </c>
      <c r="B118" s="1230"/>
      <c r="C118" s="1230"/>
      <c r="D118" s="1230"/>
      <c r="E118" s="1230"/>
      <c r="F118" s="1230"/>
      <c r="G118" s="1233"/>
    </row>
    <row r="119" spans="1:7" x14ac:dyDescent="0.25">
      <c r="A119" s="1248" t="s">
        <v>45</v>
      </c>
      <c r="B119" s="1248"/>
      <c r="C119" s="1248"/>
      <c r="D119" s="1248"/>
      <c r="E119" s="1231"/>
      <c r="F119" s="93"/>
      <c r="G119" s="70">
        <f xml:space="preserve"> G117+G110+G104+G97</f>
        <v>57259.999999421932</v>
      </c>
    </row>
    <row r="120" spans="1:7" x14ac:dyDescent="0.25">
      <c r="A120" s="1232" t="s">
        <v>476</v>
      </c>
      <c r="B120" s="1232"/>
      <c r="C120" s="1222"/>
      <c r="D120" s="1222"/>
      <c r="E120" s="1222" t="s">
        <v>44</v>
      </c>
      <c r="F120" s="1222" t="s">
        <v>51</v>
      </c>
      <c r="G120" s="1222" t="s">
        <v>307</v>
      </c>
    </row>
    <row r="121" spans="1:7" x14ac:dyDescent="0.25">
      <c r="A121" s="1232"/>
      <c r="B121" s="1232"/>
      <c r="C121" s="1222"/>
      <c r="D121" s="1222"/>
      <c r="E121" s="1222"/>
      <c r="F121" s="1222"/>
      <c r="G121" s="1222"/>
    </row>
    <row r="122" spans="1:7" x14ac:dyDescent="0.25">
      <c r="A122" s="1244" t="s">
        <v>17</v>
      </c>
      <c r="B122" s="1244"/>
      <c r="C122" s="1244"/>
      <c r="D122" s="1244"/>
      <c r="E122" s="1244"/>
      <c r="F122" s="1221"/>
      <c r="G122" s="1222"/>
    </row>
    <row r="123" spans="1:7" x14ac:dyDescent="0.25">
      <c r="A123" s="1244" t="s">
        <v>308</v>
      </c>
      <c r="B123" s="1244"/>
      <c r="C123" s="1244"/>
      <c r="D123" s="1244"/>
      <c r="E123" s="1244"/>
      <c r="F123" s="1221"/>
      <c r="G123" s="1222"/>
    </row>
    <row r="124" spans="1:7" x14ac:dyDescent="0.25">
      <c r="A124" s="1244" t="s">
        <v>19</v>
      </c>
      <c r="B124" s="1244"/>
      <c r="C124" s="1244"/>
      <c r="D124" s="1244"/>
      <c r="E124" s="1244"/>
      <c r="F124" s="1221"/>
      <c r="G124" s="1222"/>
    </row>
    <row r="125" spans="1:7" x14ac:dyDescent="0.25">
      <c r="A125" s="1244" t="s">
        <v>309</v>
      </c>
      <c r="B125" s="1244"/>
      <c r="C125" s="1244"/>
      <c r="D125" s="1244"/>
      <c r="E125" s="1244"/>
      <c r="F125" s="1221"/>
      <c r="G125" s="1222"/>
    </row>
    <row r="126" spans="1:7" x14ac:dyDescent="0.25">
      <c r="A126" s="1245" t="s">
        <v>310</v>
      </c>
      <c r="B126" s="1245"/>
      <c r="C126" s="1245"/>
      <c r="D126" s="1245"/>
      <c r="E126" s="1245"/>
      <c r="F126" s="1222"/>
      <c r="G126" s="1222"/>
    </row>
    <row r="127" spans="1:7" x14ac:dyDescent="0.25">
      <c r="A127" s="68"/>
      <c r="B127" s="94"/>
      <c r="C127" s="94"/>
      <c r="D127" s="94"/>
      <c r="E127" s="94"/>
      <c r="F127" s="94"/>
      <c r="G127" s="94"/>
    </row>
    <row r="128" spans="1:7" x14ac:dyDescent="0.25">
      <c r="A128" s="68"/>
      <c r="B128" s="94"/>
      <c r="C128" s="94"/>
      <c r="D128" s="94"/>
      <c r="E128" s="94"/>
      <c r="F128" s="94"/>
      <c r="G128" s="94"/>
    </row>
    <row r="133" spans="1:7" x14ac:dyDescent="0.25">
      <c r="A133" s="95"/>
      <c r="B133" s="94"/>
      <c r="C133" s="94"/>
      <c r="D133" s="94"/>
      <c r="E133" s="94"/>
      <c r="F133" s="882" t="s">
        <v>300</v>
      </c>
      <c r="G133" s="882" t="s">
        <v>2381</v>
      </c>
    </row>
    <row r="134" spans="1:7" x14ac:dyDescent="0.25">
      <c r="A134" s="1238" t="s">
        <v>1855</v>
      </c>
      <c r="B134" s="1246"/>
      <c r="C134" s="1246"/>
      <c r="D134" s="1246"/>
      <c r="E134" s="1247"/>
      <c r="F134" s="880" t="s">
        <v>24</v>
      </c>
      <c r="G134" s="880" t="s">
        <v>15</v>
      </c>
    </row>
    <row r="135" spans="1:7" x14ac:dyDescent="0.25">
      <c r="A135" s="1229" t="s">
        <v>25</v>
      </c>
      <c r="B135" s="1229"/>
      <c r="C135" s="1229"/>
      <c r="D135" s="1229"/>
      <c r="E135" s="1229"/>
      <c r="F135" s="1229"/>
      <c r="G135" s="1229"/>
    </row>
    <row r="136" spans="1:7" x14ac:dyDescent="0.25">
      <c r="A136" s="1234" t="s">
        <v>469</v>
      </c>
      <c r="B136" s="1235"/>
      <c r="C136" s="80" t="s">
        <v>26</v>
      </c>
      <c r="D136" s="80" t="s">
        <v>27</v>
      </c>
      <c r="E136" s="80" t="s">
        <v>28</v>
      </c>
      <c r="F136" s="80" t="s">
        <v>35</v>
      </c>
      <c r="G136" s="67"/>
    </row>
    <row r="137" spans="1:7" x14ac:dyDescent="0.25">
      <c r="A137" s="1236"/>
      <c r="B137" s="1236"/>
      <c r="C137" s="69"/>
      <c r="D137" s="62"/>
      <c r="E137" s="62"/>
      <c r="F137" s="62"/>
      <c r="G137" s="81"/>
    </row>
    <row r="138" spans="1:7" x14ac:dyDescent="0.25">
      <c r="A138" s="1236" t="s">
        <v>2182</v>
      </c>
      <c r="B138" s="1236"/>
      <c r="C138" s="69" t="s">
        <v>2376</v>
      </c>
      <c r="D138" s="62">
        <v>6250</v>
      </c>
      <c r="E138" s="62">
        <v>0.08</v>
      </c>
      <c r="F138" s="62">
        <f>+D138*E138</f>
        <v>500</v>
      </c>
      <c r="G138" s="69"/>
    </row>
    <row r="139" spans="1:7" x14ac:dyDescent="0.25">
      <c r="A139" s="1236" t="s">
        <v>30</v>
      </c>
      <c r="B139" s="1236"/>
      <c r="C139" s="69"/>
      <c r="D139" s="69"/>
      <c r="E139" s="69"/>
      <c r="F139" s="62">
        <f>+G162*0.05</f>
        <v>4625.5714140094897</v>
      </c>
      <c r="G139" s="69"/>
    </row>
    <row r="140" spans="1:7" x14ac:dyDescent="0.25">
      <c r="A140" s="1236"/>
      <c r="B140" s="1236"/>
      <c r="C140" s="69"/>
      <c r="D140" s="69"/>
      <c r="E140" s="69"/>
      <c r="F140" s="69"/>
      <c r="G140" s="69"/>
    </row>
    <row r="141" spans="1:7" x14ac:dyDescent="0.25">
      <c r="A141" s="1236" t="s">
        <v>25</v>
      </c>
      <c r="B141" s="1236"/>
      <c r="C141" s="69"/>
      <c r="D141" s="69"/>
      <c r="E141" s="69"/>
      <c r="F141" s="69"/>
      <c r="G141" s="83" t="s">
        <v>31</v>
      </c>
    </row>
    <row r="142" spans="1:7" x14ac:dyDescent="0.25">
      <c r="A142" s="1237"/>
      <c r="B142" s="1237"/>
      <c r="C142" s="82"/>
      <c r="D142" s="82"/>
      <c r="E142" s="82"/>
      <c r="F142" s="82"/>
      <c r="G142" s="64">
        <f>F139+F138+F137</f>
        <v>5125.5714140094897</v>
      </c>
    </row>
    <row r="143" spans="1:7" x14ac:dyDescent="0.25">
      <c r="A143" s="1234" t="s">
        <v>475</v>
      </c>
      <c r="B143" s="1235"/>
      <c r="C143" s="80" t="s">
        <v>32</v>
      </c>
      <c r="D143" s="80" t="s">
        <v>33</v>
      </c>
      <c r="E143" s="80" t="s">
        <v>34</v>
      </c>
      <c r="F143" s="80" t="s">
        <v>35</v>
      </c>
      <c r="G143" s="67"/>
    </row>
    <row r="144" spans="1:7" x14ac:dyDescent="0.25">
      <c r="A144" s="1226" t="s">
        <v>2382</v>
      </c>
      <c r="B144" s="1227"/>
      <c r="C144" s="43" t="s">
        <v>15</v>
      </c>
      <c r="D144" s="97">
        <v>160000</v>
      </c>
      <c r="E144" s="92">
        <v>1</v>
      </c>
      <c r="F144" s="85">
        <f>+E144*D144</f>
        <v>160000</v>
      </c>
      <c r="G144" s="69"/>
    </row>
    <row r="145" spans="1:7" x14ac:dyDescent="0.25">
      <c r="A145" s="876" t="s">
        <v>2383</v>
      </c>
      <c r="B145" s="875"/>
      <c r="C145" s="43" t="s">
        <v>32</v>
      </c>
      <c r="D145" s="97">
        <v>16000</v>
      </c>
      <c r="E145" s="92">
        <v>4</v>
      </c>
      <c r="F145" s="85">
        <f>+E145*D145</f>
        <v>64000</v>
      </c>
      <c r="G145" s="69"/>
    </row>
    <row r="146" spans="1:7" x14ac:dyDescent="0.25">
      <c r="A146" s="876" t="s">
        <v>2384</v>
      </c>
      <c r="B146" s="875"/>
      <c r="C146" s="43" t="s">
        <v>69</v>
      </c>
      <c r="D146" s="97">
        <v>17000</v>
      </c>
      <c r="E146" s="92">
        <v>0.5</v>
      </c>
      <c r="F146" s="85">
        <f>+E146*D146</f>
        <v>8500</v>
      </c>
      <c r="G146" s="69"/>
    </row>
    <row r="147" spans="1:7" x14ac:dyDescent="0.25">
      <c r="A147" s="876" t="s">
        <v>2385</v>
      </c>
      <c r="B147" s="875"/>
      <c r="C147" s="43" t="s">
        <v>69</v>
      </c>
      <c r="D147" s="97">
        <v>15600</v>
      </c>
      <c r="E147" s="92">
        <v>0.5</v>
      </c>
      <c r="F147" s="85">
        <f>+E147*D147</f>
        <v>7800</v>
      </c>
      <c r="G147" s="69"/>
    </row>
    <row r="148" spans="1:7" x14ac:dyDescent="0.25">
      <c r="A148" s="1228"/>
      <c r="B148" s="1229"/>
      <c r="C148" s="43"/>
      <c r="D148" s="97"/>
      <c r="E148" s="92"/>
      <c r="F148" s="85"/>
      <c r="G148" s="43" t="s">
        <v>31</v>
      </c>
    </row>
    <row r="149" spans="1:7" x14ac:dyDescent="0.25">
      <c r="A149" s="1228"/>
      <c r="B149" s="1229"/>
      <c r="C149" s="69"/>
      <c r="D149" s="69"/>
      <c r="E149" s="69"/>
      <c r="F149" s="69"/>
      <c r="G149" s="65">
        <f>+F144+F147+F145+F146</f>
        <v>240300</v>
      </c>
    </row>
    <row r="150" spans="1:7" ht="24" x14ac:dyDescent="0.25">
      <c r="A150" s="878" t="s">
        <v>329</v>
      </c>
      <c r="B150" s="89" t="s">
        <v>38</v>
      </c>
      <c r="C150" s="89" t="s">
        <v>39</v>
      </c>
      <c r="D150" s="80" t="s">
        <v>40</v>
      </c>
      <c r="E150" s="80" t="s">
        <v>34</v>
      </c>
      <c r="F150" s="80" t="s">
        <v>35</v>
      </c>
      <c r="G150" s="67"/>
    </row>
    <row r="151" spans="1:7" x14ac:dyDescent="0.25">
      <c r="A151" s="90"/>
      <c r="B151" s="43"/>
      <c r="C151" s="43"/>
      <c r="D151" s="62"/>
      <c r="E151" s="91"/>
      <c r="F151" s="62"/>
      <c r="G151" s="69"/>
    </row>
    <row r="152" spans="1:7" x14ac:dyDescent="0.25">
      <c r="A152" s="90"/>
      <c r="B152" s="43"/>
      <c r="C152" s="43"/>
      <c r="D152" s="62"/>
      <c r="E152" s="91"/>
      <c r="F152" s="62"/>
      <c r="G152" s="69"/>
    </row>
    <row r="153" spans="1:7" x14ac:dyDescent="0.25">
      <c r="A153" s="90"/>
      <c r="B153" s="43"/>
      <c r="C153" s="43"/>
      <c r="D153" s="62"/>
      <c r="E153" s="92"/>
      <c r="F153" s="62"/>
      <c r="G153" s="69"/>
    </row>
    <row r="154" spans="1:7" x14ac:dyDescent="0.25">
      <c r="A154" s="90" t="s">
        <v>25</v>
      </c>
      <c r="B154" s="43" t="s">
        <v>25</v>
      </c>
      <c r="C154" s="43" t="s">
        <v>25</v>
      </c>
      <c r="D154" s="61" t="s">
        <v>25</v>
      </c>
      <c r="E154" s="92" t="s">
        <v>25</v>
      </c>
      <c r="F154" s="62" t="s">
        <v>25</v>
      </c>
      <c r="G154" s="43" t="s">
        <v>31</v>
      </c>
    </row>
    <row r="155" spans="1:7" x14ac:dyDescent="0.25">
      <c r="A155" s="90"/>
      <c r="B155" s="69"/>
      <c r="C155" s="69"/>
      <c r="D155" s="69"/>
      <c r="E155" s="69"/>
      <c r="F155" s="69"/>
      <c r="G155" s="64">
        <f>+F151*E151</f>
        <v>0</v>
      </c>
    </row>
    <row r="156" spans="1:7" ht="24" x14ac:dyDescent="0.25">
      <c r="A156" s="878" t="s">
        <v>41</v>
      </c>
      <c r="B156" s="80" t="s">
        <v>42</v>
      </c>
      <c r="C156" s="80" t="s">
        <v>43</v>
      </c>
      <c r="D156" s="80" t="s">
        <v>44</v>
      </c>
      <c r="E156" s="89" t="s">
        <v>306</v>
      </c>
      <c r="F156" s="80" t="s">
        <v>35</v>
      </c>
      <c r="G156" s="67"/>
    </row>
    <row r="157" spans="1:7" x14ac:dyDescent="0.25">
      <c r="A157" s="81"/>
      <c r="B157" s="81"/>
      <c r="C157" s="81"/>
      <c r="D157" s="81"/>
      <c r="E157" s="81"/>
      <c r="F157" s="81"/>
      <c r="G157" s="81"/>
    </row>
    <row r="158" spans="1:7" x14ac:dyDescent="0.25">
      <c r="A158" s="69" t="s">
        <v>2372</v>
      </c>
      <c r="B158" s="85"/>
      <c r="C158" s="96"/>
      <c r="D158" s="62"/>
      <c r="E158" s="121"/>
      <c r="F158" s="62"/>
      <c r="G158" s="69"/>
    </row>
    <row r="159" spans="1:7" ht="24.75" x14ac:dyDescent="0.25">
      <c r="A159" s="881" t="s">
        <v>2378</v>
      </c>
      <c r="B159" s="85">
        <v>295000</v>
      </c>
      <c r="C159" s="96">
        <v>0.89990000000000003</v>
      </c>
      <c r="D159" s="62">
        <f>B159*C159+B159</f>
        <v>560470.5</v>
      </c>
      <c r="E159" s="121">
        <v>6.0583920324146376</v>
      </c>
      <c r="F159" s="62">
        <f xml:space="preserve"> D159/E159</f>
        <v>92511.428280189793</v>
      </c>
      <c r="G159" s="69" t="s">
        <v>25</v>
      </c>
    </row>
    <row r="160" spans="1:7" x14ac:dyDescent="0.25">
      <c r="A160" s="69"/>
      <c r="B160" s="85"/>
      <c r="C160" s="69"/>
      <c r="D160" s="62"/>
      <c r="E160" s="69"/>
      <c r="F160" s="62"/>
      <c r="G160" s="69"/>
    </row>
    <row r="161" spans="1:7" x14ac:dyDescent="0.25">
      <c r="A161" s="69"/>
      <c r="B161" s="69"/>
      <c r="C161" s="69"/>
      <c r="D161" s="69"/>
      <c r="E161" s="69"/>
      <c r="F161" s="69"/>
      <c r="G161" s="43" t="s">
        <v>31</v>
      </c>
    </row>
    <row r="162" spans="1:7" x14ac:dyDescent="0.25">
      <c r="A162" s="82"/>
      <c r="B162" s="82"/>
      <c r="C162" s="82"/>
      <c r="D162" s="82"/>
      <c r="E162" s="82"/>
      <c r="F162" s="82"/>
      <c r="G162" s="64">
        <f>F160+F159+F158</f>
        <v>92511.428280189793</v>
      </c>
    </row>
    <row r="163" spans="1:7" x14ac:dyDescent="0.25">
      <c r="A163" s="1230" t="s">
        <v>25</v>
      </c>
      <c r="B163" s="1230"/>
      <c r="C163" s="1230"/>
      <c r="D163" s="1230"/>
      <c r="E163" s="1230"/>
      <c r="F163" s="1230"/>
      <c r="G163" s="1233"/>
    </row>
    <row r="164" spans="1:7" x14ac:dyDescent="0.25">
      <c r="A164" s="1248" t="s">
        <v>45</v>
      </c>
      <c r="B164" s="1248"/>
      <c r="C164" s="1248"/>
      <c r="D164" s="1248"/>
      <c r="E164" s="1231"/>
      <c r="F164" s="93"/>
      <c r="G164" s="70">
        <f xml:space="preserve"> G162+G155+G149+G142</f>
        <v>337936.9996941993</v>
      </c>
    </row>
    <row r="165" spans="1:7" x14ac:dyDescent="0.25">
      <c r="A165" s="1232" t="s">
        <v>476</v>
      </c>
      <c r="B165" s="1232"/>
      <c r="C165" s="1222"/>
      <c r="D165" s="1222"/>
      <c r="E165" s="1222" t="s">
        <v>44</v>
      </c>
      <c r="F165" s="1222" t="s">
        <v>51</v>
      </c>
      <c r="G165" s="1222" t="s">
        <v>307</v>
      </c>
    </row>
    <row r="166" spans="1:7" x14ac:dyDescent="0.25">
      <c r="A166" s="1232"/>
      <c r="B166" s="1232"/>
      <c r="C166" s="1222"/>
      <c r="D166" s="1222"/>
      <c r="E166" s="1222"/>
      <c r="F166" s="1222"/>
      <c r="G166" s="1222"/>
    </row>
    <row r="167" spans="1:7" x14ac:dyDescent="0.25">
      <c r="A167" s="1244" t="s">
        <v>17</v>
      </c>
      <c r="B167" s="1244"/>
      <c r="C167" s="1244"/>
      <c r="D167" s="1244"/>
      <c r="E167" s="1244"/>
      <c r="F167" s="1221"/>
      <c r="G167" s="1222"/>
    </row>
    <row r="168" spans="1:7" x14ac:dyDescent="0.25">
      <c r="A168" s="1244" t="s">
        <v>308</v>
      </c>
      <c r="B168" s="1244"/>
      <c r="C168" s="1244"/>
      <c r="D168" s="1244"/>
      <c r="E168" s="1244"/>
      <c r="F168" s="1221"/>
      <c r="G168" s="1222"/>
    </row>
    <row r="169" spans="1:7" x14ac:dyDescent="0.25">
      <c r="A169" s="1244" t="s">
        <v>19</v>
      </c>
      <c r="B169" s="1244"/>
      <c r="C169" s="1244"/>
      <c r="D169" s="1244"/>
      <c r="E169" s="1244"/>
      <c r="F169" s="1221"/>
      <c r="G169" s="1222"/>
    </row>
    <row r="170" spans="1:7" x14ac:dyDescent="0.25">
      <c r="A170" s="1244" t="s">
        <v>309</v>
      </c>
      <c r="B170" s="1244"/>
      <c r="C170" s="1244"/>
      <c r="D170" s="1244"/>
      <c r="E170" s="1244"/>
      <c r="F170" s="1221"/>
      <c r="G170" s="1222"/>
    </row>
    <row r="171" spans="1:7" x14ac:dyDescent="0.25">
      <c r="A171" s="1245" t="s">
        <v>310</v>
      </c>
      <c r="B171" s="1245"/>
      <c r="C171" s="1245"/>
      <c r="D171" s="1245"/>
      <c r="E171" s="1245"/>
      <c r="F171" s="1222"/>
      <c r="G171" s="1222"/>
    </row>
    <row r="172" spans="1:7" x14ac:dyDescent="0.25">
      <c r="A172" s="68"/>
      <c r="B172" s="94"/>
      <c r="C172" s="94"/>
      <c r="D172" s="94"/>
      <c r="E172" s="94"/>
      <c r="F172" s="94"/>
      <c r="G172" s="94"/>
    </row>
    <row r="178" spans="1:7" x14ac:dyDescent="0.25">
      <c r="A178" s="95"/>
      <c r="B178" s="94"/>
      <c r="C178" s="94"/>
      <c r="D178" s="94"/>
      <c r="E178" s="94"/>
      <c r="F178" s="882" t="s">
        <v>300</v>
      </c>
      <c r="G178" s="882" t="s">
        <v>2386</v>
      </c>
    </row>
    <row r="179" spans="1:7" x14ac:dyDescent="0.25">
      <c r="A179" s="1238" t="s">
        <v>377</v>
      </c>
      <c r="B179" s="1246"/>
      <c r="C179" s="1246"/>
      <c r="D179" s="1246"/>
      <c r="E179" s="1247"/>
      <c r="F179" s="880" t="s">
        <v>24</v>
      </c>
      <c r="G179" s="880" t="s">
        <v>15</v>
      </c>
    </row>
    <row r="180" spans="1:7" x14ac:dyDescent="0.25">
      <c r="A180" s="1229" t="s">
        <v>25</v>
      </c>
      <c r="B180" s="1229"/>
      <c r="C180" s="1229"/>
      <c r="D180" s="1229"/>
      <c r="E180" s="1229"/>
      <c r="F180" s="1229"/>
      <c r="G180" s="1229"/>
    </row>
    <row r="181" spans="1:7" x14ac:dyDescent="0.25">
      <c r="A181" s="1234" t="s">
        <v>469</v>
      </c>
      <c r="B181" s="1235"/>
      <c r="C181" s="80" t="s">
        <v>26</v>
      </c>
      <c r="D181" s="80" t="s">
        <v>27</v>
      </c>
      <c r="E181" s="80" t="s">
        <v>28</v>
      </c>
      <c r="F181" s="80" t="s">
        <v>35</v>
      </c>
      <c r="G181" s="67"/>
    </row>
    <row r="182" spans="1:7" x14ac:dyDescent="0.25">
      <c r="A182" s="1236"/>
      <c r="B182" s="1236"/>
      <c r="C182" s="69"/>
      <c r="D182" s="62"/>
      <c r="E182" s="62"/>
      <c r="F182" s="62"/>
      <c r="G182" s="81"/>
    </row>
    <row r="183" spans="1:7" x14ac:dyDescent="0.25">
      <c r="A183" s="1236" t="s">
        <v>2182</v>
      </c>
      <c r="B183" s="1236"/>
      <c r="C183" s="69" t="s">
        <v>2376</v>
      </c>
      <c r="D183" s="62">
        <v>6250</v>
      </c>
      <c r="E183" s="62">
        <v>0.08</v>
      </c>
      <c r="F183" s="62">
        <f>+D183*E183</f>
        <v>500</v>
      </c>
      <c r="G183" s="69"/>
    </row>
    <row r="184" spans="1:7" x14ac:dyDescent="0.25">
      <c r="A184" s="1236" t="s">
        <v>30</v>
      </c>
      <c r="B184" s="1236"/>
      <c r="C184" s="69"/>
      <c r="D184" s="69"/>
      <c r="E184" s="69"/>
      <c r="F184" s="62">
        <f>+G207*0.05</f>
        <v>5604.7050000000008</v>
      </c>
      <c r="G184" s="69"/>
    </row>
    <row r="185" spans="1:7" x14ac:dyDescent="0.25">
      <c r="A185" s="1236"/>
      <c r="B185" s="1236"/>
      <c r="C185" s="69"/>
      <c r="D185" s="69"/>
      <c r="E185" s="69"/>
      <c r="F185" s="69"/>
      <c r="G185" s="69"/>
    </row>
    <row r="186" spans="1:7" x14ac:dyDescent="0.25">
      <c r="A186" s="1236" t="s">
        <v>25</v>
      </c>
      <c r="B186" s="1236"/>
      <c r="C186" s="69"/>
      <c r="D186" s="69"/>
      <c r="E186" s="69"/>
      <c r="F186" s="69"/>
      <c r="G186" s="83" t="s">
        <v>31</v>
      </c>
    </row>
    <row r="187" spans="1:7" x14ac:dyDescent="0.25">
      <c r="A187" s="1237"/>
      <c r="B187" s="1237"/>
      <c r="C187" s="82"/>
      <c r="D187" s="82"/>
      <c r="E187" s="82"/>
      <c r="F187" s="82"/>
      <c r="G187" s="64">
        <f>F184+F183+F182</f>
        <v>6104.7050000000008</v>
      </c>
    </row>
    <row r="188" spans="1:7" x14ac:dyDescent="0.25">
      <c r="A188" s="1234" t="s">
        <v>475</v>
      </c>
      <c r="B188" s="1235"/>
      <c r="C188" s="80" t="s">
        <v>32</v>
      </c>
      <c r="D188" s="80" t="s">
        <v>33</v>
      </c>
      <c r="E188" s="80" t="s">
        <v>34</v>
      </c>
      <c r="F188" s="80" t="s">
        <v>35</v>
      </c>
      <c r="G188" s="67"/>
    </row>
    <row r="189" spans="1:7" x14ac:dyDescent="0.25">
      <c r="A189" s="1226" t="s">
        <v>377</v>
      </c>
      <c r="B189" s="1227"/>
      <c r="C189" s="43" t="s">
        <v>15</v>
      </c>
      <c r="D189" s="97">
        <v>165901.19500000001</v>
      </c>
      <c r="E189" s="92">
        <v>1</v>
      </c>
      <c r="F189" s="85">
        <f>+E189*D189</f>
        <v>165901.19500000001</v>
      </c>
      <c r="G189" s="69"/>
    </row>
    <row r="190" spans="1:7" x14ac:dyDescent="0.25">
      <c r="A190" s="876"/>
      <c r="B190" s="875"/>
      <c r="C190" s="43"/>
      <c r="D190" s="97"/>
      <c r="E190" s="92"/>
      <c r="F190" s="85"/>
      <c r="G190" s="69"/>
    </row>
    <row r="191" spans="1:7" x14ac:dyDescent="0.25">
      <c r="A191" s="876"/>
      <c r="B191" s="875"/>
      <c r="C191" s="43"/>
      <c r="D191" s="97"/>
      <c r="E191" s="92"/>
      <c r="F191" s="85"/>
      <c r="G191" s="69"/>
    </row>
    <row r="192" spans="1:7" x14ac:dyDescent="0.25">
      <c r="A192" s="876"/>
      <c r="B192" s="875"/>
      <c r="C192" s="43"/>
      <c r="D192" s="97"/>
      <c r="E192" s="92"/>
      <c r="F192" s="85"/>
      <c r="G192" s="69"/>
    </row>
    <row r="193" spans="1:7" x14ac:dyDescent="0.25">
      <c r="A193" s="1228"/>
      <c r="B193" s="1229"/>
      <c r="C193" s="43"/>
      <c r="D193" s="97"/>
      <c r="E193" s="92"/>
      <c r="F193" s="85"/>
      <c r="G193" s="43" t="s">
        <v>31</v>
      </c>
    </row>
    <row r="194" spans="1:7" x14ac:dyDescent="0.25">
      <c r="A194" s="1228"/>
      <c r="B194" s="1229"/>
      <c r="C194" s="69"/>
      <c r="D194" s="69"/>
      <c r="E194" s="69"/>
      <c r="F194" s="69"/>
      <c r="G194" s="65">
        <f>+F189+F192+F190+F191</f>
        <v>165901.19500000001</v>
      </c>
    </row>
    <row r="195" spans="1:7" ht="24" x14ac:dyDescent="0.25">
      <c r="A195" s="878" t="s">
        <v>329</v>
      </c>
      <c r="B195" s="89" t="s">
        <v>38</v>
      </c>
      <c r="C195" s="89" t="s">
        <v>39</v>
      </c>
      <c r="D195" s="80" t="s">
        <v>40</v>
      </c>
      <c r="E195" s="80" t="s">
        <v>34</v>
      </c>
      <c r="F195" s="80" t="s">
        <v>35</v>
      </c>
      <c r="G195" s="67"/>
    </row>
    <row r="196" spans="1:7" x14ac:dyDescent="0.25">
      <c r="A196" s="90"/>
      <c r="B196" s="43"/>
      <c r="C196" s="43"/>
      <c r="D196" s="62"/>
      <c r="E196" s="91"/>
      <c r="F196" s="62"/>
      <c r="G196" s="69"/>
    </row>
    <row r="197" spans="1:7" x14ac:dyDescent="0.25">
      <c r="A197" s="90"/>
      <c r="B197" s="43"/>
      <c r="C197" s="43"/>
      <c r="D197" s="62"/>
      <c r="E197" s="91"/>
      <c r="F197" s="62"/>
      <c r="G197" s="69"/>
    </row>
    <row r="198" spans="1:7" x14ac:dyDescent="0.25">
      <c r="A198" s="90"/>
      <c r="B198" s="43"/>
      <c r="C198" s="43"/>
      <c r="D198" s="62"/>
      <c r="E198" s="92"/>
      <c r="F198" s="62"/>
      <c r="G198" s="69"/>
    </row>
    <row r="199" spans="1:7" x14ac:dyDescent="0.25">
      <c r="A199" s="90" t="s">
        <v>25</v>
      </c>
      <c r="B199" s="43" t="s">
        <v>25</v>
      </c>
      <c r="C199" s="43" t="s">
        <v>25</v>
      </c>
      <c r="D199" s="61" t="s">
        <v>25</v>
      </c>
      <c r="E199" s="92" t="s">
        <v>25</v>
      </c>
      <c r="F199" s="62" t="s">
        <v>25</v>
      </c>
      <c r="G199" s="43" t="s">
        <v>31</v>
      </c>
    </row>
    <row r="200" spans="1:7" x14ac:dyDescent="0.25">
      <c r="A200" s="90"/>
      <c r="B200" s="69"/>
      <c r="C200" s="69"/>
      <c r="D200" s="69"/>
      <c r="E200" s="69"/>
      <c r="F200" s="69"/>
      <c r="G200" s="64">
        <f>+F196*E196</f>
        <v>0</v>
      </c>
    </row>
    <row r="201" spans="1:7" ht="24" x14ac:dyDescent="0.25">
      <c r="A201" s="878" t="s">
        <v>41</v>
      </c>
      <c r="B201" s="80" t="s">
        <v>42</v>
      </c>
      <c r="C201" s="80" t="s">
        <v>43</v>
      </c>
      <c r="D201" s="80" t="s">
        <v>44</v>
      </c>
      <c r="E201" s="89" t="s">
        <v>306</v>
      </c>
      <c r="F201" s="80" t="s">
        <v>35</v>
      </c>
      <c r="G201" s="67"/>
    </row>
    <row r="202" spans="1:7" x14ac:dyDescent="0.25">
      <c r="A202" s="81"/>
      <c r="B202" s="81"/>
      <c r="C202" s="81"/>
      <c r="D202" s="81"/>
      <c r="E202" s="81"/>
      <c r="F202" s="81"/>
      <c r="G202" s="81"/>
    </row>
    <row r="203" spans="1:7" x14ac:dyDescent="0.25">
      <c r="A203" s="69" t="s">
        <v>2372</v>
      </c>
      <c r="B203" s="85"/>
      <c r="C203" s="96"/>
      <c r="D203" s="62"/>
      <c r="E203" s="121"/>
      <c r="F203" s="62"/>
      <c r="G203" s="69"/>
    </row>
    <row r="204" spans="1:7" ht="24.75" x14ac:dyDescent="0.25">
      <c r="A204" s="881" t="s">
        <v>2378</v>
      </c>
      <c r="B204" s="85">
        <v>295000</v>
      </c>
      <c r="C204" s="96">
        <v>0.89990000000000003</v>
      </c>
      <c r="D204" s="62">
        <f>B204*C204+B204</f>
        <v>560470.5</v>
      </c>
      <c r="E204" s="121">
        <v>5</v>
      </c>
      <c r="F204" s="62">
        <f xml:space="preserve"> D204/E204</f>
        <v>112094.1</v>
      </c>
      <c r="G204" s="69" t="s">
        <v>25</v>
      </c>
    </row>
    <row r="205" spans="1:7" x14ac:dyDescent="0.25">
      <c r="A205" s="69"/>
      <c r="B205" s="85"/>
      <c r="C205" s="69"/>
      <c r="D205" s="62"/>
      <c r="E205" s="69"/>
      <c r="F205" s="62"/>
      <c r="G205" s="69"/>
    </row>
    <row r="206" spans="1:7" x14ac:dyDescent="0.25">
      <c r="A206" s="69"/>
      <c r="B206" s="69"/>
      <c r="C206" s="69"/>
      <c r="D206" s="69"/>
      <c r="E206" s="69"/>
      <c r="F206" s="69"/>
      <c r="G206" s="43" t="s">
        <v>31</v>
      </c>
    </row>
    <row r="207" spans="1:7" x14ac:dyDescent="0.25">
      <c r="A207" s="82"/>
      <c r="B207" s="82"/>
      <c r="C207" s="82"/>
      <c r="D207" s="82"/>
      <c r="E207" s="82"/>
      <c r="F207" s="82"/>
      <c r="G207" s="64">
        <f>F205+F204+F203</f>
        <v>112094.1</v>
      </c>
    </row>
    <row r="208" spans="1:7" x14ac:dyDescent="0.25">
      <c r="A208" s="1230" t="s">
        <v>25</v>
      </c>
      <c r="B208" s="1230"/>
      <c r="C208" s="1230"/>
      <c r="D208" s="1230"/>
      <c r="E208" s="1230"/>
      <c r="F208" s="1230"/>
      <c r="G208" s="1233"/>
    </row>
    <row r="209" spans="1:7" x14ac:dyDescent="0.25">
      <c r="A209" s="1248" t="s">
        <v>45</v>
      </c>
      <c r="B209" s="1248"/>
      <c r="C209" s="1248"/>
      <c r="D209" s="1248"/>
      <c r="E209" s="1231"/>
      <c r="F209" s="93"/>
      <c r="G209" s="70">
        <f xml:space="preserve"> G207+G200+G194+G187</f>
        <v>284100.00000000006</v>
      </c>
    </row>
    <row r="210" spans="1:7" x14ac:dyDescent="0.25">
      <c r="A210" s="1232" t="s">
        <v>476</v>
      </c>
      <c r="B210" s="1232"/>
      <c r="C210" s="1222"/>
      <c r="D210" s="1222"/>
      <c r="E210" s="1222" t="s">
        <v>44</v>
      </c>
      <c r="F210" s="1222" t="s">
        <v>51</v>
      </c>
      <c r="G210" s="1222" t="s">
        <v>307</v>
      </c>
    </row>
    <row r="211" spans="1:7" x14ac:dyDescent="0.25">
      <c r="A211" s="1232"/>
      <c r="B211" s="1232"/>
      <c r="C211" s="1222"/>
      <c r="D211" s="1222"/>
      <c r="E211" s="1222"/>
      <c r="F211" s="1222"/>
      <c r="G211" s="1222"/>
    </row>
    <row r="212" spans="1:7" x14ac:dyDescent="0.25">
      <c r="A212" s="1244" t="s">
        <v>17</v>
      </c>
      <c r="B212" s="1244"/>
      <c r="C212" s="1244"/>
      <c r="D212" s="1244"/>
      <c r="E212" s="1244"/>
      <c r="F212" s="1221"/>
      <c r="G212" s="1222"/>
    </row>
    <row r="213" spans="1:7" x14ac:dyDescent="0.25">
      <c r="A213" s="1244" t="s">
        <v>308</v>
      </c>
      <c r="B213" s="1244"/>
      <c r="C213" s="1244"/>
      <c r="D213" s="1244"/>
      <c r="E213" s="1244"/>
      <c r="F213" s="1221"/>
      <c r="G213" s="1222"/>
    </row>
    <row r="214" spans="1:7" x14ac:dyDescent="0.25">
      <c r="A214" s="1244" t="s">
        <v>19</v>
      </c>
      <c r="B214" s="1244"/>
      <c r="C214" s="1244"/>
      <c r="D214" s="1244"/>
      <c r="E214" s="1244"/>
      <c r="F214" s="1221"/>
      <c r="G214" s="1222"/>
    </row>
    <row r="215" spans="1:7" x14ac:dyDescent="0.25">
      <c r="A215" s="1244" t="s">
        <v>309</v>
      </c>
      <c r="B215" s="1244"/>
      <c r="C215" s="1244"/>
      <c r="D215" s="1244"/>
      <c r="E215" s="1244"/>
      <c r="F215" s="1221"/>
      <c r="G215" s="1222"/>
    </row>
    <row r="216" spans="1:7" x14ac:dyDescent="0.25">
      <c r="A216" s="1245" t="s">
        <v>310</v>
      </c>
      <c r="B216" s="1245"/>
      <c r="C216" s="1245"/>
      <c r="D216" s="1245"/>
      <c r="E216" s="1245"/>
      <c r="F216" s="1222"/>
      <c r="G216" s="1222"/>
    </row>
    <row r="217" spans="1:7" x14ac:dyDescent="0.25">
      <c r="A217" s="68"/>
      <c r="B217" s="94"/>
      <c r="C217" s="94"/>
      <c r="D217" s="94"/>
      <c r="E217" s="94"/>
      <c r="F217" s="94"/>
      <c r="G217" s="94"/>
    </row>
    <row r="223" spans="1:7" x14ac:dyDescent="0.25">
      <c r="A223" s="95"/>
      <c r="B223" s="94"/>
      <c r="C223" s="94"/>
      <c r="D223" s="94"/>
      <c r="E223" s="94"/>
      <c r="F223" s="882" t="s">
        <v>300</v>
      </c>
      <c r="G223" s="882" t="s">
        <v>2387</v>
      </c>
    </row>
    <row r="224" spans="1:7" x14ac:dyDescent="0.25">
      <c r="A224" s="1238" t="s">
        <v>1775</v>
      </c>
      <c r="B224" s="1246"/>
      <c r="C224" s="1246"/>
      <c r="D224" s="1246"/>
      <c r="E224" s="1247"/>
      <c r="F224" s="880" t="s">
        <v>24</v>
      </c>
      <c r="G224" s="880" t="s">
        <v>13</v>
      </c>
    </row>
    <row r="225" spans="1:7" x14ac:dyDescent="0.25">
      <c r="A225" s="1229" t="s">
        <v>25</v>
      </c>
      <c r="B225" s="1229"/>
      <c r="C225" s="1229"/>
      <c r="D225" s="1229"/>
      <c r="E225" s="1229"/>
      <c r="F225" s="1229"/>
      <c r="G225" s="1229"/>
    </row>
    <row r="226" spans="1:7" x14ac:dyDescent="0.25">
      <c r="A226" s="1234" t="s">
        <v>469</v>
      </c>
      <c r="B226" s="1235"/>
      <c r="C226" s="80" t="s">
        <v>26</v>
      </c>
      <c r="D226" s="80" t="s">
        <v>27</v>
      </c>
      <c r="E226" s="80" t="s">
        <v>28</v>
      </c>
      <c r="F226" s="80" t="s">
        <v>35</v>
      </c>
      <c r="G226" s="67"/>
    </row>
    <row r="227" spans="1:7" x14ac:dyDescent="0.25">
      <c r="A227" s="1236"/>
      <c r="B227" s="1236"/>
      <c r="C227" s="69"/>
      <c r="D227" s="62"/>
      <c r="E227" s="62"/>
      <c r="F227" s="62"/>
      <c r="G227" s="81"/>
    </row>
    <row r="228" spans="1:7" x14ac:dyDescent="0.25">
      <c r="A228" s="1236"/>
      <c r="B228" s="1236"/>
      <c r="C228" s="69"/>
      <c r="D228" s="62"/>
      <c r="E228" s="62"/>
      <c r="F228" s="62"/>
      <c r="G228" s="69"/>
    </row>
    <row r="229" spans="1:7" x14ac:dyDescent="0.25">
      <c r="A229" s="1236" t="s">
        <v>30</v>
      </c>
      <c r="B229" s="1236"/>
      <c r="C229" s="69"/>
      <c r="D229" s="69"/>
      <c r="E229" s="69"/>
      <c r="F229" s="62">
        <f>+G252*0.05</f>
        <v>7005.8812500000004</v>
      </c>
      <c r="G229" s="69"/>
    </row>
    <row r="230" spans="1:7" x14ac:dyDescent="0.25">
      <c r="A230" s="1236"/>
      <c r="B230" s="1236"/>
      <c r="C230" s="69"/>
      <c r="D230" s="69"/>
      <c r="E230" s="69"/>
      <c r="F230" s="69"/>
      <c r="G230" s="69"/>
    </row>
    <row r="231" spans="1:7" x14ac:dyDescent="0.25">
      <c r="A231" s="1236" t="s">
        <v>25</v>
      </c>
      <c r="B231" s="1236"/>
      <c r="C231" s="69"/>
      <c r="D231" s="69"/>
      <c r="E231" s="69"/>
      <c r="F231" s="69"/>
      <c r="G231" s="83" t="s">
        <v>31</v>
      </c>
    </row>
    <row r="232" spans="1:7" x14ac:dyDescent="0.25">
      <c r="A232" s="1237"/>
      <c r="B232" s="1237"/>
      <c r="C232" s="82"/>
      <c r="D232" s="82"/>
      <c r="E232" s="82"/>
      <c r="F232" s="82"/>
      <c r="G232" s="64">
        <f>F229+F228+F227</f>
        <v>7005.8812500000004</v>
      </c>
    </row>
    <row r="233" spans="1:7" x14ac:dyDescent="0.25">
      <c r="A233" s="1234" t="s">
        <v>475</v>
      </c>
      <c r="B233" s="1235"/>
      <c r="C233" s="80" t="s">
        <v>32</v>
      </c>
      <c r="D233" s="80" t="s">
        <v>33</v>
      </c>
      <c r="E233" s="80" t="s">
        <v>34</v>
      </c>
      <c r="F233" s="80" t="s">
        <v>35</v>
      </c>
      <c r="G233" s="67"/>
    </row>
    <row r="234" spans="1:7" x14ac:dyDescent="0.25">
      <c r="A234" s="1226" t="s">
        <v>2388</v>
      </c>
      <c r="B234" s="1227"/>
      <c r="C234" s="43" t="s">
        <v>15</v>
      </c>
      <c r="D234" s="97">
        <v>817376.49375000002</v>
      </c>
      <c r="E234" s="92">
        <v>1</v>
      </c>
      <c r="F234" s="85">
        <f>+E234*D234</f>
        <v>817376.49375000002</v>
      </c>
      <c r="G234" s="69"/>
    </row>
    <row r="235" spans="1:7" x14ac:dyDescent="0.25">
      <c r="A235" s="876" t="s">
        <v>2383</v>
      </c>
      <c r="B235" s="875"/>
      <c r="C235" s="43" t="s">
        <v>32</v>
      </c>
      <c r="D235" s="97">
        <v>16000</v>
      </c>
      <c r="E235" s="92">
        <v>8</v>
      </c>
      <c r="F235" s="85">
        <f>+E235*D235</f>
        <v>128000</v>
      </c>
      <c r="G235" s="69"/>
    </row>
    <row r="236" spans="1:7" x14ac:dyDescent="0.25">
      <c r="A236" s="876"/>
      <c r="B236" s="875"/>
      <c r="C236" s="43"/>
      <c r="D236" s="97"/>
      <c r="E236" s="92"/>
      <c r="F236" s="85"/>
      <c r="G236" s="69"/>
    </row>
    <row r="237" spans="1:7" x14ac:dyDescent="0.25">
      <c r="A237" s="876"/>
      <c r="B237" s="875"/>
      <c r="C237" s="43"/>
      <c r="D237" s="97"/>
      <c r="E237" s="92"/>
      <c r="F237" s="85"/>
      <c r="G237" s="69"/>
    </row>
    <row r="238" spans="1:7" x14ac:dyDescent="0.25">
      <c r="A238" s="1228"/>
      <c r="B238" s="1229"/>
      <c r="C238" s="43"/>
      <c r="D238" s="97"/>
      <c r="E238" s="92"/>
      <c r="F238" s="85"/>
      <c r="G238" s="43" t="s">
        <v>31</v>
      </c>
    </row>
    <row r="239" spans="1:7" x14ac:dyDescent="0.25">
      <c r="A239" s="1228"/>
      <c r="B239" s="1229"/>
      <c r="C239" s="69"/>
      <c r="D239" s="69"/>
      <c r="E239" s="69"/>
      <c r="F239" s="69"/>
      <c r="G239" s="65">
        <f>+F234+F237+F235+F236</f>
        <v>945376.49375000002</v>
      </c>
    </row>
    <row r="240" spans="1:7" ht="24" x14ac:dyDescent="0.25">
      <c r="A240" s="878" t="s">
        <v>329</v>
      </c>
      <c r="B240" s="89" t="s">
        <v>38</v>
      </c>
      <c r="C240" s="89" t="s">
        <v>39</v>
      </c>
      <c r="D240" s="80" t="s">
        <v>40</v>
      </c>
      <c r="E240" s="80" t="s">
        <v>34</v>
      </c>
      <c r="F240" s="80" t="s">
        <v>35</v>
      </c>
      <c r="G240" s="67"/>
    </row>
    <row r="241" spans="1:7" x14ac:dyDescent="0.25">
      <c r="A241" s="90"/>
      <c r="B241" s="43"/>
      <c r="C241" s="43"/>
      <c r="D241" s="62"/>
      <c r="E241" s="91"/>
      <c r="F241" s="62"/>
      <c r="G241" s="69"/>
    </row>
    <row r="242" spans="1:7" x14ac:dyDescent="0.25">
      <c r="A242" s="90"/>
      <c r="B242" s="43"/>
      <c r="C242" s="43"/>
      <c r="D242" s="62"/>
      <c r="E242" s="91"/>
      <c r="F242" s="62"/>
      <c r="G242" s="69"/>
    </row>
    <row r="243" spans="1:7" x14ac:dyDescent="0.25">
      <c r="A243" s="90"/>
      <c r="B243" s="43"/>
      <c r="C243" s="43"/>
      <c r="D243" s="62"/>
      <c r="E243" s="92"/>
      <c r="F243" s="62"/>
      <c r="G243" s="69"/>
    </row>
    <row r="244" spans="1:7" x14ac:dyDescent="0.25">
      <c r="A244" s="90" t="s">
        <v>25</v>
      </c>
      <c r="B244" s="43" t="s">
        <v>25</v>
      </c>
      <c r="C244" s="43" t="s">
        <v>25</v>
      </c>
      <c r="D244" s="61" t="s">
        <v>25</v>
      </c>
      <c r="E244" s="92" t="s">
        <v>25</v>
      </c>
      <c r="F244" s="62" t="s">
        <v>25</v>
      </c>
      <c r="G244" s="43" t="s">
        <v>31</v>
      </c>
    </row>
    <row r="245" spans="1:7" x14ac:dyDescent="0.25">
      <c r="A245" s="90"/>
      <c r="B245" s="69"/>
      <c r="C245" s="69"/>
      <c r="D245" s="69"/>
      <c r="E245" s="69"/>
      <c r="F245" s="69"/>
      <c r="G245" s="64">
        <f>+F241*E241</f>
        <v>0</v>
      </c>
    </row>
    <row r="246" spans="1:7" ht="24" x14ac:dyDescent="0.25">
      <c r="A246" s="878" t="s">
        <v>41</v>
      </c>
      <c r="B246" s="80" t="s">
        <v>42</v>
      </c>
      <c r="C246" s="80" t="s">
        <v>43</v>
      </c>
      <c r="D246" s="80" t="s">
        <v>44</v>
      </c>
      <c r="E246" s="89" t="s">
        <v>306</v>
      </c>
      <c r="F246" s="80" t="s">
        <v>35</v>
      </c>
      <c r="G246" s="67"/>
    </row>
    <row r="247" spans="1:7" x14ac:dyDescent="0.25">
      <c r="A247" s="81"/>
      <c r="B247" s="81"/>
      <c r="C247" s="81"/>
      <c r="D247" s="81"/>
      <c r="E247" s="81"/>
      <c r="F247" s="81"/>
      <c r="G247" s="81"/>
    </row>
    <row r="248" spans="1:7" x14ac:dyDescent="0.25">
      <c r="A248" s="69" t="s">
        <v>2372</v>
      </c>
      <c r="B248" s="85"/>
      <c r="C248" s="96"/>
      <c r="D248" s="62"/>
      <c r="E248" s="121"/>
      <c r="F248" s="62"/>
      <c r="G248" s="69"/>
    </row>
    <row r="249" spans="1:7" ht="24.75" x14ac:dyDescent="0.25">
      <c r="A249" s="881" t="s">
        <v>2378</v>
      </c>
      <c r="B249" s="85">
        <v>295000</v>
      </c>
      <c r="C249" s="96">
        <v>0.89990000000000003</v>
      </c>
      <c r="D249" s="62">
        <f>B249*C249+B249</f>
        <v>560470.5</v>
      </c>
      <c r="E249" s="121">
        <v>4</v>
      </c>
      <c r="F249" s="62">
        <f xml:space="preserve"> D249/E249</f>
        <v>140117.625</v>
      </c>
      <c r="G249" s="69" t="s">
        <v>25</v>
      </c>
    </row>
    <row r="250" spans="1:7" x14ac:dyDescent="0.25">
      <c r="A250" s="69"/>
      <c r="B250" s="85"/>
      <c r="C250" s="69"/>
      <c r="D250" s="62"/>
      <c r="E250" s="69"/>
      <c r="F250" s="62"/>
      <c r="G250" s="69"/>
    </row>
    <row r="251" spans="1:7" x14ac:dyDescent="0.25">
      <c r="A251" s="69"/>
      <c r="B251" s="69"/>
      <c r="C251" s="69"/>
      <c r="D251" s="69"/>
      <c r="E251" s="69"/>
      <c r="F251" s="69"/>
      <c r="G251" s="43" t="s">
        <v>31</v>
      </c>
    </row>
    <row r="252" spans="1:7" x14ac:dyDescent="0.25">
      <c r="A252" s="82"/>
      <c r="B252" s="82"/>
      <c r="C252" s="82"/>
      <c r="D252" s="82"/>
      <c r="E252" s="82"/>
      <c r="F252" s="82"/>
      <c r="G252" s="64">
        <f>F250+F249+F248</f>
        <v>140117.625</v>
      </c>
    </row>
    <row r="253" spans="1:7" x14ac:dyDescent="0.25">
      <c r="A253" s="1230" t="s">
        <v>25</v>
      </c>
      <c r="B253" s="1230"/>
      <c r="C253" s="1230"/>
      <c r="D253" s="1230"/>
      <c r="E253" s="1230"/>
      <c r="F253" s="1230"/>
      <c r="G253" s="1233"/>
    </row>
    <row r="254" spans="1:7" x14ac:dyDescent="0.25">
      <c r="A254" s="1248" t="s">
        <v>45</v>
      </c>
      <c r="B254" s="1248"/>
      <c r="C254" s="1248"/>
      <c r="D254" s="1248"/>
      <c r="E254" s="1231"/>
      <c r="F254" s="93"/>
      <c r="G254" s="70">
        <f xml:space="preserve"> G252+G245+G239+G232</f>
        <v>1092500</v>
      </c>
    </row>
    <row r="255" spans="1:7" x14ac:dyDescent="0.25">
      <c r="A255" s="1232" t="s">
        <v>476</v>
      </c>
      <c r="B255" s="1232"/>
      <c r="C255" s="1222"/>
      <c r="D255" s="1222"/>
      <c r="E255" s="1222" t="s">
        <v>44</v>
      </c>
      <c r="F255" s="1222" t="s">
        <v>51</v>
      </c>
      <c r="G255" s="1222" t="s">
        <v>307</v>
      </c>
    </row>
    <row r="256" spans="1:7" x14ac:dyDescent="0.25">
      <c r="A256" s="1232"/>
      <c r="B256" s="1232"/>
      <c r="C256" s="1222"/>
      <c r="D256" s="1222"/>
      <c r="E256" s="1222"/>
      <c r="F256" s="1222"/>
      <c r="G256" s="1222"/>
    </row>
    <row r="257" spans="1:7" x14ac:dyDescent="0.25">
      <c r="A257" s="1244" t="s">
        <v>17</v>
      </c>
      <c r="B257" s="1244"/>
      <c r="C257" s="1244"/>
      <c r="D257" s="1244"/>
      <c r="E257" s="1244"/>
      <c r="F257" s="1221"/>
      <c r="G257" s="1222"/>
    </row>
    <row r="258" spans="1:7" x14ac:dyDescent="0.25">
      <c r="A258" s="1244" t="s">
        <v>308</v>
      </c>
      <c r="B258" s="1244"/>
      <c r="C258" s="1244"/>
      <c r="D258" s="1244"/>
      <c r="E258" s="1244"/>
      <c r="F258" s="1221"/>
      <c r="G258" s="1222"/>
    </row>
    <row r="259" spans="1:7" x14ac:dyDescent="0.25">
      <c r="A259" s="1244" t="s">
        <v>19</v>
      </c>
      <c r="B259" s="1244"/>
      <c r="C259" s="1244"/>
      <c r="D259" s="1244"/>
      <c r="E259" s="1244"/>
      <c r="F259" s="1221"/>
      <c r="G259" s="1222"/>
    </row>
    <row r="260" spans="1:7" x14ac:dyDescent="0.25">
      <c r="A260" s="1244" t="s">
        <v>309</v>
      </c>
      <c r="B260" s="1244"/>
      <c r="C260" s="1244"/>
      <c r="D260" s="1244"/>
      <c r="E260" s="1244"/>
      <c r="F260" s="1221"/>
      <c r="G260" s="1222"/>
    </row>
    <row r="261" spans="1:7" x14ac:dyDescent="0.25">
      <c r="A261" s="1245" t="s">
        <v>310</v>
      </c>
      <c r="B261" s="1245"/>
      <c r="C261" s="1245"/>
      <c r="D261" s="1245"/>
      <c r="E261" s="1245"/>
      <c r="F261" s="1222"/>
      <c r="G261" s="1222"/>
    </row>
    <row r="262" spans="1:7" x14ac:dyDescent="0.25">
      <c r="A262" s="68"/>
      <c r="B262" s="94"/>
      <c r="C262" s="94"/>
      <c r="D262" s="94"/>
      <c r="E262" s="94"/>
      <c r="F262" s="94"/>
      <c r="G262" s="94"/>
    </row>
    <row r="268" spans="1:7" x14ac:dyDescent="0.25">
      <c r="A268" s="95"/>
      <c r="B268" s="94"/>
      <c r="C268" s="94"/>
      <c r="D268" s="94"/>
      <c r="E268" s="94"/>
      <c r="F268" s="882" t="s">
        <v>300</v>
      </c>
      <c r="G268" s="882" t="s">
        <v>2389</v>
      </c>
    </row>
    <row r="269" spans="1:7" x14ac:dyDescent="0.25">
      <c r="A269" s="1238" t="s">
        <v>1721</v>
      </c>
      <c r="B269" s="1246"/>
      <c r="C269" s="1246"/>
      <c r="D269" s="1246"/>
      <c r="E269" s="1247"/>
      <c r="F269" s="880" t="s">
        <v>24</v>
      </c>
      <c r="G269" s="880" t="s">
        <v>69</v>
      </c>
    </row>
    <row r="270" spans="1:7" x14ac:dyDescent="0.25">
      <c r="A270" s="1229" t="s">
        <v>25</v>
      </c>
      <c r="B270" s="1229"/>
      <c r="C270" s="1229"/>
      <c r="D270" s="1229"/>
      <c r="E270" s="1229"/>
      <c r="F270" s="1229"/>
      <c r="G270" s="1229"/>
    </row>
    <row r="271" spans="1:7" x14ac:dyDescent="0.25">
      <c r="A271" s="1234" t="s">
        <v>469</v>
      </c>
      <c r="B271" s="1235"/>
      <c r="C271" s="80" t="s">
        <v>26</v>
      </c>
      <c r="D271" s="80" t="s">
        <v>27</v>
      </c>
      <c r="E271" s="80" t="s">
        <v>28</v>
      </c>
      <c r="F271" s="80" t="s">
        <v>35</v>
      </c>
      <c r="G271" s="67"/>
    </row>
    <row r="272" spans="1:7" x14ac:dyDescent="0.25">
      <c r="A272" s="1236"/>
      <c r="B272" s="1236"/>
      <c r="C272" s="69"/>
      <c r="D272" s="62"/>
      <c r="E272" s="62"/>
      <c r="F272" s="62"/>
      <c r="G272" s="81"/>
    </row>
    <row r="273" spans="1:7" x14ac:dyDescent="0.25">
      <c r="A273" s="1236" t="s">
        <v>2182</v>
      </c>
      <c r="B273" s="1236"/>
      <c r="C273" s="69" t="s">
        <v>2376</v>
      </c>
      <c r="D273" s="62">
        <v>6250</v>
      </c>
      <c r="E273" s="62">
        <v>0.2</v>
      </c>
      <c r="F273" s="62">
        <f>+D273*E273</f>
        <v>1250</v>
      </c>
      <c r="G273" s="69"/>
    </row>
    <row r="274" spans="1:7" x14ac:dyDescent="0.25">
      <c r="A274" s="1236" t="s">
        <v>30</v>
      </c>
      <c r="B274" s="1236"/>
      <c r="C274" s="69"/>
      <c r="D274" s="69"/>
      <c r="E274" s="69"/>
      <c r="F274" s="62">
        <f>+G297*0.05</f>
        <v>1868.2349999999999</v>
      </c>
      <c r="G274" s="69"/>
    </row>
    <row r="275" spans="1:7" x14ac:dyDescent="0.25">
      <c r="A275" s="1236"/>
      <c r="B275" s="1236"/>
      <c r="C275" s="69"/>
      <c r="D275" s="69"/>
      <c r="E275" s="69"/>
      <c r="F275" s="69"/>
      <c r="G275" s="69"/>
    </row>
    <row r="276" spans="1:7" x14ac:dyDescent="0.25">
      <c r="A276" s="1236" t="s">
        <v>25</v>
      </c>
      <c r="B276" s="1236"/>
      <c r="C276" s="69"/>
      <c r="D276" s="69"/>
      <c r="E276" s="69"/>
      <c r="F276" s="69"/>
      <c r="G276" s="83" t="s">
        <v>31</v>
      </c>
    </row>
    <row r="277" spans="1:7" x14ac:dyDescent="0.25">
      <c r="A277" s="1237"/>
      <c r="B277" s="1237"/>
      <c r="C277" s="82"/>
      <c r="D277" s="82"/>
      <c r="E277" s="82"/>
      <c r="F277" s="82"/>
      <c r="G277" s="64">
        <f>F274+F273+F272</f>
        <v>3118.2349999999997</v>
      </c>
    </row>
    <row r="278" spans="1:7" x14ac:dyDescent="0.25">
      <c r="A278" s="1234" t="s">
        <v>475</v>
      </c>
      <c r="B278" s="1235"/>
      <c r="C278" s="80" t="s">
        <v>32</v>
      </c>
      <c r="D278" s="80" t="s">
        <v>33</v>
      </c>
      <c r="E278" s="80" t="s">
        <v>34</v>
      </c>
      <c r="F278" s="80" t="s">
        <v>35</v>
      </c>
      <c r="G278" s="67"/>
    </row>
    <row r="279" spans="1:7" x14ac:dyDescent="0.25">
      <c r="A279" s="1226" t="s">
        <v>2390</v>
      </c>
      <c r="B279" s="1227"/>
      <c r="C279" s="43" t="s">
        <v>69</v>
      </c>
      <c r="D279" s="97">
        <v>113785.06499999997</v>
      </c>
      <c r="E279" s="92">
        <v>1</v>
      </c>
      <c r="F279" s="85">
        <f>+E279*D279</f>
        <v>113785.06499999997</v>
      </c>
      <c r="G279" s="69"/>
    </row>
    <row r="280" spans="1:7" x14ac:dyDescent="0.25">
      <c r="A280" s="876" t="s">
        <v>2383</v>
      </c>
      <c r="B280" s="875"/>
      <c r="C280" s="43" t="s">
        <v>32</v>
      </c>
      <c r="D280" s="97">
        <v>8500</v>
      </c>
      <c r="E280" s="92">
        <v>4</v>
      </c>
      <c r="F280" s="85">
        <f>+E280*D280</f>
        <v>34000</v>
      </c>
      <c r="G280" s="69"/>
    </row>
    <row r="281" spans="1:7" x14ac:dyDescent="0.25">
      <c r="A281" s="876"/>
      <c r="B281" s="875"/>
      <c r="C281" s="43"/>
      <c r="D281" s="97"/>
      <c r="E281" s="92"/>
      <c r="F281" s="85"/>
      <c r="G281" s="69"/>
    </row>
    <row r="282" spans="1:7" x14ac:dyDescent="0.25">
      <c r="A282" s="876"/>
      <c r="B282" s="875"/>
      <c r="C282" s="43"/>
      <c r="D282" s="97"/>
      <c r="E282" s="92"/>
      <c r="F282" s="85"/>
      <c r="G282" s="69"/>
    </row>
    <row r="283" spans="1:7" x14ac:dyDescent="0.25">
      <c r="A283" s="1228"/>
      <c r="B283" s="1229"/>
      <c r="C283" s="43"/>
      <c r="D283" s="97"/>
      <c r="E283" s="92"/>
      <c r="F283" s="85"/>
      <c r="G283" s="43" t="s">
        <v>31</v>
      </c>
    </row>
    <row r="284" spans="1:7" x14ac:dyDescent="0.25">
      <c r="A284" s="1228"/>
      <c r="B284" s="1229"/>
      <c r="C284" s="69"/>
      <c r="D284" s="69"/>
      <c r="E284" s="69"/>
      <c r="F284" s="69"/>
      <c r="G284" s="65">
        <f>+F279+F282+F280+F281</f>
        <v>147785.06499999997</v>
      </c>
    </row>
    <row r="285" spans="1:7" ht="24" x14ac:dyDescent="0.25">
      <c r="A285" s="878" t="s">
        <v>329</v>
      </c>
      <c r="B285" s="89" t="s">
        <v>38</v>
      </c>
      <c r="C285" s="89" t="s">
        <v>39</v>
      </c>
      <c r="D285" s="80" t="s">
        <v>40</v>
      </c>
      <c r="E285" s="80" t="s">
        <v>34</v>
      </c>
      <c r="F285" s="80" t="s">
        <v>35</v>
      </c>
      <c r="G285" s="67"/>
    </row>
    <row r="286" spans="1:7" x14ac:dyDescent="0.25">
      <c r="A286" s="90"/>
      <c r="B286" s="43"/>
      <c r="C286" s="43"/>
      <c r="D286" s="62"/>
      <c r="E286" s="91"/>
      <c r="F286" s="62"/>
      <c r="G286" s="69"/>
    </row>
    <row r="287" spans="1:7" x14ac:dyDescent="0.25">
      <c r="A287" s="90"/>
      <c r="B287" s="43"/>
      <c r="C287" s="43"/>
      <c r="D287" s="62"/>
      <c r="E287" s="91"/>
      <c r="F287" s="62"/>
      <c r="G287" s="69"/>
    </row>
    <row r="288" spans="1:7" x14ac:dyDescent="0.25">
      <c r="A288" s="90"/>
      <c r="B288" s="43"/>
      <c r="C288" s="43"/>
      <c r="D288" s="62"/>
      <c r="E288" s="92"/>
      <c r="F288" s="62"/>
      <c r="G288" s="69"/>
    </row>
    <row r="289" spans="1:7" x14ac:dyDescent="0.25">
      <c r="A289" s="90" t="s">
        <v>25</v>
      </c>
      <c r="B289" s="43" t="s">
        <v>25</v>
      </c>
      <c r="C289" s="43" t="s">
        <v>25</v>
      </c>
      <c r="D289" s="61" t="s">
        <v>25</v>
      </c>
      <c r="E289" s="92" t="s">
        <v>25</v>
      </c>
      <c r="F289" s="62" t="s">
        <v>25</v>
      </c>
      <c r="G289" s="43" t="s">
        <v>31</v>
      </c>
    </row>
    <row r="290" spans="1:7" x14ac:dyDescent="0.25">
      <c r="A290" s="90"/>
      <c r="B290" s="69"/>
      <c r="C290" s="69"/>
      <c r="D290" s="69"/>
      <c r="E290" s="69"/>
      <c r="F290" s="69"/>
      <c r="G290" s="64">
        <f>+F286*E286</f>
        <v>0</v>
      </c>
    </row>
    <row r="291" spans="1:7" ht="24" x14ac:dyDescent="0.25">
      <c r="A291" s="878" t="s">
        <v>41</v>
      </c>
      <c r="B291" s="80" t="s">
        <v>42</v>
      </c>
      <c r="C291" s="80" t="s">
        <v>43</v>
      </c>
      <c r="D291" s="80" t="s">
        <v>44</v>
      </c>
      <c r="E291" s="89" t="s">
        <v>306</v>
      </c>
      <c r="F291" s="80" t="s">
        <v>35</v>
      </c>
      <c r="G291" s="67"/>
    </row>
    <row r="292" spans="1:7" x14ac:dyDescent="0.25">
      <c r="A292" s="81"/>
      <c r="B292" s="81"/>
      <c r="C292" s="81"/>
      <c r="D292" s="81"/>
      <c r="E292" s="81"/>
      <c r="F292" s="81"/>
      <c r="G292" s="81"/>
    </row>
    <row r="293" spans="1:7" x14ac:dyDescent="0.25">
      <c r="A293" s="69" t="s">
        <v>2372</v>
      </c>
      <c r="B293" s="85"/>
      <c r="C293" s="96"/>
      <c r="D293" s="62"/>
      <c r="E293" s="121"/>
      <c r="F293" s="62"/>
      <c r="G293" s="69"/>
    </row>
    <row r="294" spans="1:7" ht="24.75" x14ac:dyDescent="0.25">
      <c r="A294" s="881" t="s">
        <v>2378</v>
      </c>
      <c r="B294" s="85">
        <v>295000</v>
      </c>
      <c r="C294" s="96">
        <v>0.89990000000000003</v>
      </c>
      <c r="D294" s="62">
        <f>B294*C294+B294</f>
        <v>560470.5</v>
      </c>
      <c r="E294" s="121">
        <v>15</v>
      </c>
      <c r="F294" s="62">
        <f xml:space="preserve"> D294/E294</f>
        <v>37364.699999999997</v>
      </c>
      <c r="G294" s="69" t="s">
        <v>25</v>
      </c>
    </row>
    <row r="295" spans="1:7" x14ac:dyDescent="0.25">
      <c r="A295" s="69"/>
      <c r="B295" s="85"/>
      <c r="C295" s="69"/>
      <c r="D295" s="62"/>
      <c r="E295" s="69"/>
      <c r="F295" s="62"/>
      <c r="G295" s="69"/>
    </row>
    <row r="296" spans="1:7" x14ac:dyDescent="0.25">
      <c r="A296" s="69"/>
      <c r="B296" s="69"/>
      <c r="C296" s="69"/>
      <c r="D296" s="69"/>
      <c r="E296" s="69"/>
      <c r="F296" s="69"/>
      <c r="G296" s="43" t="s">
        <v>31</v>
      </c>
    </row>
    <row r="297" spans="1:7" x14ac:dyDescent="0.25">
      <c r="A297" s="82"/>
      <c r="B297" s="82"/>
      <c r="C297" s="82"/>
      <c r="D297" s="82"/>
      <c r="E297" s="82"/>
      <c r="F297" s="82"/>
      <c r="G297" s="64">
        <f>F295+F294+F293</f>
        <v>37364.699999999997</v>
      </c>
    </row>
    <row r="298" spans="1:7" x14ac:dyDescent="0.25">
      <c r="A298" s="1230" t="s">
        <v>25</v>
      </c>
      <c r="B298" s="1230"/>
      <c r="C298" s="1230"/>
      <c r="D298" s="1230"/>
      <c r="E298" s="1230"/>
      <c r="F298" s="1230"/>
      <c r="G298" s="1233"/>
    </row>
    <row r="299" spans="1:7" x14ac:dyDescent="0.25">
      <c r="A299" s="1248" t="s">
        <v>45</v>
      </c>
      <c r="B299" s="1248"/>
      <c r="C299" s="1248"/>
      <c r="D299" s="1248"/>
      <c r="E299" s="1231"/>
      <c r="F299" s="93"/>
      <c r="G299" s="70">
        <f xml:space="preserve"> G297+G290+G284+G277</f>
        <v>188267.99999999994</v>
      </c>
    </row>
    <row r="300" spans="1:7" x14ac:dyDescent="0.25">
      <c r="A300" s="1232" t="s">
        <v>476</v>
      </c>
      <c r="B300" s="1232"/>
      <c r="C300" s="1222"/>
      <c r="D300" s="1222"/>
      <c r="E300" s="1222" t="s">
        <v>44</v>
      </c>
      <c r="F300" s="1222" t="s">
        <v>51</v>
      </c>
      <c r="G300" s="1222" t="s">
        <v>307</v>
      </c>
    </row>
    <row r="301" spans="1:7" x14ac:dyDescent="0.25">
      <c r="A301" s="1232"/>
      <c r="B301" s="1232"/>
      <c r="C301" s="1222"/>
      <c r="D301" s="1222"/>
      <c r="E301" s="1222"/>
      <c r="F301" s="1222"/>
      <c r="G301" s="1222"/>
    </row>
    <row r="302" spans="1:7" x14ac:dyDescent="0.25">
      <c r="A302" s="1244" t="s">
        <v>17</v>
      </c>
      <c r="B302" s="1244"/>
      <c r="C302" s="1244"/>
      <c r="D302" s="1244"/>
      <c r="E302" s="1244"/>
      <c r="F302" s="1221"/>
      <c r="G302" s="1222"/>
    </row>
    <row r="303" spans="1:7" x14ac:dyDescent="0.25">
      <c r="A303" s="1244" t="s">
        <v>308</v>
      </c>
      <c r="B303" s="1244"/>
      <c r="C303" s="1244"/>
      <c r="D303" s="1244"/>
      <c r="E303" s="1244"/>
      <c r="F303" s="1221"/>
      <c r="G303" s="1222"/>
    </row>
    <row r="304" spans="1:7" x14ac:dyDescent="0.25">
      <c r="A304" s="1244" t="s">
        <v>19</v>
      </c>
      <c r="B304" s="1244"/>
      <c r="C304" s="1244"/>
      <c r="D304" s="1244"/>
      <c r="E304" s="1244"/>
      <c r="F304" s="1221"/>
      <c r="G304" s="1222"/>
    </row>
    <row r="305" spans="1:7" x14ac:dyDescent="0.25">
      <c r="A305" s="1244" t="s">
        <v>309</v>
      </c>
      <c r="B305" s="1244"/>
      <c r="C305" s="1244"/>
      <c r="D305" s="1244"/>
      <c r="E305" s="1244"/>
      <c r="F305" s="1221"/>
      <c r="G305" s="1222"/>
    </row>
    <row r="306" spans="1:7" x14ac:dyDescent="0.25">
      <c r="A306" s="1245" t="s">
        <v>310</v>
      </c>
      <c r="B306" s="1245"/>
      <c r="C306" s="1245"/>
      <c r="D306" s="1245"/>
      <c r="E306" s="1245"/>
      <c r="F306" s="1222"/>
      <c r="G306" s="1222"/>
    </row>
    <row r="307" spans="1:7" x14ac:dyDescent="0.25">
      <c r="A307" s="68"/>
      <c r="B307" s="94"/>
      <c r="C307" s="94"/>
      <c r="D307" s="94"/>
      <c r="E307" s="94"/>
      <c r="F307" s="94"/>
      <c r="G307" s="94"/>
    </row>
    <row r="313" spans="1:7" x14ac:dyDescent="0.25">
      <c r="A313" s="95"/>
      <c r="B313" s="94"/>
      <c r="C313" s="94"/>
      <c r="D313" s="94"/>
      <c r="E313" s="94"/>
      <c r="F313" s="882" t="s">
        <v>300</v>
      </c>
      <c r="G313" s="882">
        <v>11.1</v>
      </c>
    </row>
    <row r="314" spans="1:7" x14ac:dyDescent="0.25">
      <c r="A314" s="1238" t="s">
        <v>629</v>
      </c>
      <c r="B314" s="1246"/>
      <c r="C314" s="1246"/>
      <c r="D314" s="1246"/>
      <c r="E314" s="1247"/>
      <c r="F314" s="880" t="s">
        <v>24</v>
      </c>
      <c r="G314" s="880" t="s">
        <v>69</v>
      </c>
    </row>
    <row r="315" spans="1:7" x14ac:dyDescent="0.25">
      <c r="A315" s="1229" t="s">
        <v>25</v>
      </c>
      <c r="B315" s="1229"/>
      <c r="C315" s="1229"/>
      <c r="D315" s="1229"/>
      <c r="E315" s="1229"/>
      <c r="F315" s="1229"/>
      <c r="G315" s="1229"/>
    </row>
    <row r="316" spans="1:7" x14ac:dyDescent="0.25">
      <c r="A316" s="1234" t="s">
        <v>469</v>
      </c>
      <c r="B316" s="1235"/>
      <c r="C316" s="80" t="s">
        <v>26</v>
      </c>
      <c r="D316" s="80" t="s">
        <v>27</v>
      </c>
      <c r="E316" s="80" t="s">
        <v>28</v>
      </c>
      <c r="F316" s="80" t="s">
        <v>35</v>
      </c>
      <c r="G316" s="67"/>
    </row>
    <row r="317" spans="1:7" x14ac:dyDescent="0.25">
      <c r="A317" s="1236"/>
      <c r="B317" s="1236"/>
      <c r="C317" s="69"/>
      <c r="D317" s="62"/>
      <c r="E317" s="62"/>
      <c r="F317" s="62"/>
      <c r="G317" s="81"/>
    </row>
    <row r="318" spans="1:7" x14ac:dyDescent="0.25">
      <c r="A318" s="1236"/>
      <c r="B318" s="1236"/>
      <c r="C318" s="69"/>
      <c r="D318" s="62"/>
      <c r="E318" s="62"/>
      <c r="F318" s="62"/>
      <c r="G318" s="69"/>
    </row>
    <row r="319" spans="1:7" x14ac:dyDescent="0.25">
      <c r="A319" s="1236" t="s">
        <v>30</v>
      </c>
      <c r="B319" s="1236"/>
      <c r="C319" s="69"/>
      <c r="D319" s="69"/>
      <c r="E319" s="69"/>
      <c r="F319" s="62">
        <f>+G342*0.05</f>
        <v>56.047050000000006</v>
      </c>
      <c r="G319" s="69"/>
    </row>
    <row r="320" spans="1:7" x14ac:dyDescent="0.25">
      <c r="A320" s="1236"/>
      <c r="B320" s="1236"/>
      <c r="C320" s="69"/>
      <c r="D320" s="69"/>
      <c r="E320" s="69"/>
      <c r="F320" s="69"/>
      <c r="G320" s="69"/>
    </row>
    <row r="321" spans="1:7" x14ac:dyDescent="0.25">
      <c r="A321" s="1236" t="s">
        <v>25</v>
      </c>
      <c r="B321" s="1236"/>
      <c r="C321" s="69"/>
      <c r="D321" s="69"/>
      <c r="E321" s="69"/>
      <c r="F321" s="69"/>
      <c r="G321" s="83" t="s">
        <v>31</v>
      </c>
    </row>
    <row r="322" spans="1:7" x14ac:dyDescent="0.25">
      <c r="A322" s="1237"/>
      <c r="B322" s="1237"/>
      <c r="C322" s="82"/>
      <c r="D322" s="82"/>
      <c r="E322" s="82"/>
      <c r="F322" s="82"/>
      <c r="G322" s="64">
        <f>F319+F318+F317</f>
        <v>56.047050000000006</v>
      </c>
    </row>
    <row r="323" spans="1:7" x14ac:dyDescent="0.25">
      <c r="A323" s="1234" t="s">
        <v>475</v>
      </c>
      <c r="B323" s="1235"/>
      <c r="C323" s="80" t="s">
        <v>32</v>
      </c>
      <c r="D323" s="80" t="s">
        <v>33</v>
      </c>
      <c r="E323" s="80" t="s">
        <v>34</v>
      </c>
      <c r="F323" s="80" t="s">
        <v>35</v>
      </c>
      <c r="G323" s="67"/>
    </row>
    <row r="324" spans="1:7" x14ac:dyDescent="0.25">
      <c r="A324" s="1226" t="s">
        <v>2410</v>
      </c>
      <c r="B324" s="1227"/>
      <c r="C324" s="43" t="s">
        <v>69</v>
      </c>
      <c r="D324" s="97">
        <v>1596.0119500000001</v>
      </c>
      <c r="E324" s="92">
        <v>1</v>
      </c>
      <c r="F324" s="85">
        <f>+E324*D324</f>
        <v>1596.0119500000001</v>
      </c>
      <c r="G324" s="69"/>
    </row>
    <row r="325" spans="1:7" x14ac:dyDescent="0.25">
      <c r="A325" s="898"/>
      <c r="B325" s="896"/>
      <c r="C325" s="43"/>
      <c r="D325" s="97"/>
      <c r="E325" s="92"/>
      <c r="F325" s="85"/>
      <c r="G325" s="69"/>
    </row>
    <row r="326" spans="1:7" x14ac:dyDescent="0.25">
      <c r="A326" s="898"/>
      <c r="B326" s="896"/>
      <c r="C326" s="43"/>
      <c r="D326" s="97"/>
      <c r="E326" s="92"/>
      <c r="F326" s="85"/>
      <c r="G326" s="69"/>
    </row>
    <row r="327" spans="1:7" x14ac:dyDescent="0.25">
      <c r="A327" s="898"/>
      <c r="B327" s="896"/>
      <c r="C327" s="43"/>
      <c r="D327" s="97"/>
      <c r="E327" s="92"/>
      <c r="F327" s="85"/>
      <c r="G327" s="69"/>
    </row>
    <row r="328" spans="1:7" x14ac:dyDescent="0.25">
      <c r="A328" s="1228"/>
      <c r="B328" s="1229"/>
      <c r="C328" s="43"/>
      <c r="D328" s="97"/>
      <c r="E328" s="92"/>
      <c r="F328" s="85"/>
      <c r="G328" s="43" t="s">
        <v>31</v>
      </c>
    </row>
    <row r="329" spans="1:7" x14ac:dyDescent="0.25">
      <c r="A329" s="1228"/>
      <c r="B329" s="1229"/>
      <c r="C329" s="69"/>
      <c r="D329" s="69"/>
      <c r="E329" s="69"/>
      <c r="F329" s="69"/>
      <c r="G329" s="65">
        <f>+F324+F327+F325+F326</f>
        <v>1596.0119500000001</v>
      </c>
    </row>
    <row r="330" spans="1:7" ht="24" x14ac:dyDescent="0.25">
      <c r="A330" s="897" t="s">
        <v>329</v>
      </c>
      <c r="B330" s="89" t="s">
        <v>38</v>
      </c>
      <c r="C330" s="89" t="s">
        <v>39</v>
      </c>
      <c r="D330" s="80" t="s">
        <v>40</v>
      </c>
      <c r="E330" s="80" t="s">
        <v>34</v>
      </c>
      <c r="F330" s="80" t="s">
        <v>35</v>
      </c>
      <c r="G330" s="67"/>
    </row>
    <row r="331" spans="1:7" x14ac:dyDescent="0.25">
      <c r="A331" s="90"/>
      <c r="B331" s="43"/>
      <c r="C331" s="43"/>
      <c r="D331" s="62"/>
      <c r="E331" s="91"/>
      <c r="F331" s="62"/>
      <c r="G331" s="69"/>
    </row>
    <row r="332" spans="1:7" x14ac:dyDescent="0.25">
      <c r="A332" s="90"/>
      <c r="B332" s="43"/>
      <c r="C332" s="43"/>
      <c r="D332" s="62"/>
      <c r="E332" s="91"/>
      <c r="F332" s="62"/>
      <c r="G332" s="69"/>
    </row>
    <row r="333" spans="1:7" x14ac:dyDescent="0.25">
      <c r="A333" s="90"/>
      <c r="B333" s="43"/>
      <c r="C333" s="43"/>
      <c r="D333" s="62"/>
      <c r="E333" s="92"/>
      <c r="F333" s="62"/>
      <c r="G333" s="69"/>
    </row>
    <row r="334" spans="1:7" x14ac:dyDescent="0.25">
      <c r="A334" s="90" t="s">
        <v>25</v>
      </c>
      <c r="B334" s="43" t="s">
        <v>25</v>
      </c>
      <c r="C334" s="43" t="s">
        <v>25</v>
      </c>
      <c r="D334" s="61" t="s">
        <v>25</v>
      </c>
      <c r="E334" s="92" t="s">
        <v>25</v>
      </c>
      <c r="F334" s="62" t="s">
        <v>25</v>
      </c>
      <c r="G334" s="43" t="s">
        <v>31</v>
      </c>
    </row>
    <row r="335" spans="1:7" x14ac:dyDescent="0.25">
      <c r="A335" s="90"/>
      <c r="B335" s="69"/>
      <c r="C335" s="69"/>
      <c r="D335" s="69"/>
      <c r="E335" s="69"/>
      <c r="F335" s="69"/>
      <c r="G335" s="64">
        <f>+F331*E331</f>
        <v>0</v>
      </c>
    </row>
    <row r="336" spans="1:7" ht="24" x14ac:dyDescent="0.25">
      <c r="A336" s="897" t="s">
        <v>41</v>
      </c>
      <c r="B336" s="80" t="s">
        <v>42</v>
      </c>
      <c r="C336" s="80" t="s">
        <v>43</v>
      </c>
      <c r="D336" s="80" t="s">
        <v>44</v>
      </c>
      <c r="E336" s="89" t="s">
        <v>306</v>
      </c>
      <c r="F336" s="80" t="s">
        <v>35</v>
      </c>
      <c r="G336" s="67"/>
    </row>
    <row r="337" spans="1:7" x14ac:dyDescent="0.25">
      <c r="A337" s="81"/>
      <c r="B337" s="81"/>
      <c r="C337" s="81"/>
      <c r="D337" s="81"/>
      <c r="E337" s="81"/>
      <c r="F337" s="81"/>
      <c r="G337" s="81"/>
    </row>
    <row r="338" spans="1:7" x14ac:dyDescent="0.25">
      <c r="A338" s="69" t="s">
        <v>2372</v>
      </c>
      <c r="B338" s="85"/>
      <c r="C338" s="96"/>
      <c r="D338" s="62"/>
      <c r="E338" s="121"/>
      <c r="F338" s="62"/>
      <c r="G338" s="69"/>
    </row>
    <row r="339" spans="1:7" ht="24.75" x14ac:dyDescent="0.25">
      <c r="A339" s="881" t="s">
        <v>2378</v>
      </c>
      <c r="B339" s="85">
        <v>295000</v>
      </c>
      <c r="C339" s="96">
        <v>0.89990000000000003</v>
      </c>
      <c r="D339" s="62">
        <f>B339*C339+B339</f>
        <v>560470.5</v>
      </c>
      <c r="E339" s="121">
        <v>500</v>
      </c>
      <c r="F339" s="62">
        <f xml:space="preserve"> D339/E339</f>
        <v>1120.941</v>
      </c>
      <c r="G339" s="69" t="s">
        <v>25</v>
      </c>
    </row>
    <row r="340" spans="1:7" x14ac:dyDescent="0.25">
      <c r="A340" s="69"/>
      <c r="B340" s="85"/>
      <c r="C340" s="69"/>
      <c r="D340" s="62"/>
      <c r="E340" s="69"/>
      <c r="F340" s="62"/>
      <c r="G340" s="69"/>
    </row>
    <row r="341" spans="1:7" x14ac:dyDescent="0.25">
      <c r="A341" s="69"/>
      <c r="B341" s="69"/>
      <c r="C341" s="69"/>
      <c r="D341" s="69"/>
      <c r="E341" s="69"/>
      <c r="F341" s="69"/>
      <c r="G341" s="43" t="s">
        <v>31</v>
      </c>
    </row>
    <row r="342" spans="1:7" x14ac:dyDescent="0.25">
      <c r="A342" s="82"/>
      <c r="B342" s="82"/>
      <c r="C342" s="82"/>
      <c r="D342" s="82"/>
      <c r="E342" s="82"/>
      <c r="F342" s="82"/>
      <c r="G342" s="64">
        <f>F340+F339+F338</f>
        <v>1120.941</v>
      </c>
    </row>
    <row r="343" spans="1:7" x14ac:dyDescent="0.25">
      <c r="A343" s="1230" t="s">
        <v>25</v>
      </c>
      <c r="B343" s="1230"/>
      <c r="C343" s="1230"/>
      <c r="D343" s="1230"/>
      <c r="E343" s="1230"/>
      <c r="F343" s="1230"/>
      <c r="G343" s="1233"/>
    </row>
    <row r="344" spans="1:7" x14ac:dyDescent="0.25">
      <c r="A344" s="1248" t="s">
        <v>45</v>
      </c>
      <c r="B344" s="1248"/>
      <c r="C344" s="1248"/>
      <c r="D344" s="1248"/>
      <c r="E344" s="1231"/>
      <c r="F344" s="93"/>
      <c r="G344" s="70">
        <f xml:space="preserve"> G342+G335+G329+G322</f>
        <v>2773</v>
      </c>
    </row>
    <row r="345" spans="1:7" x14ac:dyDescent="0.25">
      <c r="A345" s="1232" t="s">
        <v>476</v>
      </c>
      <c r="B345" s="1232"/>
      <c r="C345" s="1222"/>
      <c r="D345" s="1222"/>
      <c r="E345" s="1222" t="s">
        <v>44</v>
      </c>
      <c r="F345" s="1222" t="s">
        <v>51</v>
      </c>
      <c r="G345" s="1222" t="s">
        <v>307</v>
      </c>
    </row>
    <row r="346" spans="1:7" x14ac:dyDescent="0.25">
      <c r="A346" s="1232"/>
      <c r="B346" s="1232"/>
      <c r="C346" s="1222"/>
      <c r="D346" s="1222"/>
      <c r="E346" s="1222"/>
      <c r="F346" s="1222"/>
      <c r="G346" s="1222"/>
    </row>
    <row r="347" spans="1:7" x14ac:dyDescent="0.25">
      <c r="A347" s="1244" t="s">
        <v>17</v>
      </c>
      <c r="B347" s="1244"/>
      <c r="C347" s="1244"/>
      <c r="D347" s="1244"/>
      <c r="E347" s="1244"/>
      <c r="F347" s="1221"/>
      <c r="G347" s="1222"/>
    </row>
    <row r="348" spans="1:7" x14ac:dyDescent="0.25">
      <c r="A348" s="1244" t="s">
        <v>308</v>
      </c>
      <c r="B348" s="1244"/>
      <c r="C348" s="1244"/>
      <c r="D348" s="1244"/>
      <c r="E348" s="1244"/>
      <c r="F348" s="1221"/>
      <c r="G348" s="1222"/>
    </row>
    <row r="349" spans="1:7" x14ac:dyDescent="0.25">
      <c r="A349" s="1244" t="s">
        <v>19</v>
      </c>
      <c r="B349" s="1244"/>
      <c r="C349" s="1244"/>
      <c r="D349" s="1244"/>
      <c r="E349" s="1244"/>
      <c r="F349" s="1221"/>
      <c r="G349" s="1222"/>
    </row>
    <row r="350" spans="1:7" x14ac:dyDescent="0.25">
      <c r="A350" s="1244" t="s">
        <v>309</v>
      </c>
      <c r="B350" s="1244"/>
      <c r="C350" s="1244"/>
      <c r="D350" s="1244"/>
      <c r="E350" s="1244"/>
      <c r="F350" s="1221"/>
      <c r="G350" s="1222"/>
    </row>
    <row r="351" spans="1:7" x14ac:dyDescent="0.25">
      <c r="A351" s="1245" t="s">
        <v>310</v>
      </c>
      <c r="B351" s="1245"/>
      <c r="C351" s="1245"/>
      <c r="D351" s="1245"/>
      <c r="E351" s="1245"/>
      <c r="F351" s="1222"/>
      <c r="G351" s="1222"/>
    </row>
    <row r="352" spans="1:7" x14ac:dyDescent="0.25">
      <c r="A352" s="68"/>
      <c r="B352" s="94"/>
      <c r="C352" s="94"/>
      <c r="D352" s="94"/>
      <c r="E352" s="94"/>
      <c r="F352" s="94"/>
      <c r="G352" s="94"/>
    </row>
    <row r="358" spans="1:7" x14ac:dyDescent="0.25">
      <c r="A358" s="95"/>
      <c r="B358" s="94"/>
      <c r="C358" s="94"/>
      <c r="D358" s="94"/>
      <c r="E358" s="94"/>
      <c r="F358" s="882" t="s">
        <v>300</v>
      </c>
      <c r="G358" s="882">
        <v>11.2</v>
      </c>
    </row>
    <row r="359" spans="1:7" x14ac:dyDescent="0.25">
      <c r="A359" s="1238" t="s">
        <v>1778</v>
      </c>
      <c r="B359" s="1246"/>
      <c r="C359" s="1246"/>
      <c r="D359" s="1246"/>
      <c r="E359" s="1247"/>
      <c r="F359" s="880" t="s">
        <v>24</v>
      </c>
      <c r="G359" s="880" t="s">
        <v>13</v>
      </c>
    </row>
    <row r="360" spans="1:7" x14ac:dyDescent="0.25">
      <c r="A360" s="1229" t="s">
        <v>25</v>
      </c>
      <c r="B360" s="1229"/>
      <c r="C360" s="1229"/>
      <c r="D360" s="1229"/>
      <c r="E360" s="1229"/>
      <c r="F360" s="1229"/>
      <c r="G360" s="1229"/>
    </row>
    <row r="361" spans="1:7" x14ac:dyDescent="0.25">
      <c r="A361" s="1234" t="s">
        <v>469</v>
      </c>
      <c r="B361" s="1235"/>
      <c r="C361" s="80" t="s">
        <v>26</v>
      </c>
      <c r="D361" s="80" t="s">
        <v>27</v>
      </c>
      <c r="E361" s="80" t="s">
        <v>28</v>
      </c>
      <c r="F361" s="80" t="s">
        <v>35</v>
      </c>
      <c r="G361" s="67"/>
    </row>
    <row r="362" spans="1:7" x14ac:dyDescent="0.25">
      <c r="A362" s="1236"/>
      <c r="B362" s="1236"/>
      <c r="C362" s="69"/>
      <c r="D362" s="62"/>
      <c r="E362" s="62"/>
      <c r="F362" s="62"/>
      <c r="G362" s="81"/>
    </row>
    <row r="363" spans="1:7" x14ac:dyDescent="0.25">
      <c r="A363" s="1236"/>
      <c r="B363" s="1236"/>
      <c r="C363" s="69"/>
      <c r="D363" s="62"/>
      <c r="E363" s="62"/>
      <c r="F363" s="62"/>
      <c r="G363" s="69"/>
    </row>
    <row r="364" spans="1:7" x14ac:dyDescent="0.25">
      <c r="A364" s="1236" t="s">
        <v>30</v>
      </c>
      <c r="B364" s="1236"/>
      <c r="C364" s="69"/>
      <c r="D364" s="69"/>
      <c r="E364" s="69"/>
      <c r="F364" s="62">
        <f>+G387*0.05</f>
        <v>1401.1762500000002</v>
      </c>
      <c r="G364" s="69"/>
    </row>
    <row r="365" spans="1:7" x14ac:dyDescent="0.25">
      <c r="A365" s="1236"/>
      <c r="B365" s="1236"/>
      <c r="C365" s="69"/>
      <c r="D365" s="69"/>
      <c r="E365" s="69"/>
      <c r="F365" s="69"/>
      <c r="G365" s="69"/>
    </row>
    <row r="366" spans="1:7" x14ac:dyDescent="0.25">
      <c r="A366" s="1236" t="s">
        <v>25</v>
      </c>
      <c r="B366" s="1236"/>
      <c r="C366" s="69"/>
      <c r="D366" s="69"/>
      <c r="E366" s="69"/>
      <c r="F366" s="69"/>
      <c r="G366" s="83" t="s">
        <v>31</v>
      </c>
    </row>
    <row r="367" spans="1:7" x14ac:dyDescent="0.25">
      <c r="A367" s="1237"/>
      <c r="B367" s="1237"/>
      <c r="C367" s="82"/>
      <c r="D367" s="82"/>
      <c r="E367" s="82"/>
      <c r="F367" s="82"/>
      <c r="G367" s="64">
        <f>F364+F363+F362</f>
        <v>1401.1762500000002</v>
      </c>
    </row>
    <row r="368" spans="1:7" x14ac:dyDescent="0.25">
      <c r="A368" s="1234" t="s">
        <v>475</v>
      </c>
      <c r="B368" s="1235"/>
      <c r="C368" s="80" t="s">
        <v>32</v>
      </c>
      <c r="D368" s="80" t="s">
        <v>33</v>
      </c>
      <c r="E368" s="80" t="s">
        <v>34</v>
      </c>
      <c r="F368" s="80" t="s">
        <v>35</v>
      </c>
      <c r="G368" s="67"/>
    </row>
    <row r="369" spans="1:7" x14ac:dyDescent="0.25">
      <c r="A369" s="1226" t="s">
        <v>2410</v>
      </c>
      <c r="B369" s="1227"/>
      <c r="C369" s="43" t="s">
        <v>69</v>
      </c>
      <c r="D369" s="97">
        <v>69135.298750000016</v>
      </c>
      <c r="E369" s="92">
        <v>1</v>
      </c>
      <c r="F369" s="85">
        <f>+E369*D369</f>
        <v>69135.298750000016</v>
      </c>
      <c r="G369" s="69"/>
    </row>
    <row r="370" spans="1:7" x14ac:dyDescent="0.25">
      <c r="A370" s="898"/>
      <c r="B370" s="896"/>
      <c r="C370" s="43"/>
      <c r="D370" s="97"/>
      <c r="E370" s="92"/>
      <c r="F370" s="85"/>
      <c r="G370" s="69"/>
    </row>
    <row r="371" spans="1:7" x14ac:dyDescent="0.25">
      <c r="A371" s="898"/>
      <c r="B371" s="896"/>
      <c r="C371" s="43"/>
      <c r="D371" s="97"/>
      <c r="E371" s="92"/>
      <c r="F371" s="85"/>
      <c r="G371" s="69"/>
    </row>
    <row r="372" spans="1:7" x14ac:dyDescent="0.25">
      <c r="A372" s="898"/>
      <c r="B372" s="896"/>
      <c r="C372" s="43"/>
      <c r="D372" s="97"/>
      <c r="E372" s="92"/>
      <c r="F372" s="85"/>
      <c r="G372" s="69"/>
    </row>
    <row r="373" spans="1:7" x14ac:dyDescent="0.25">
      <c r="A373" s="1228"/>
      <c r="B373" s="1229"/>
      <c r="C373" s="43"/>
      <c r="D373" s="97"/>
      <c r="E373" s="92"/>
      <c r="F373" s="85"/>
      <c r="G373" s="43" t="s">
        <v>31</v>
      </c>
    </row>
    <row r="374" spans="1:7" x14ac:dyDescent="0.25">
      <c r="A374" s="1228"/>
      <c r="B374" s="1229"/>
      <c r="C374" s="69"/>
      <c r="D374" s="69"/>
      <c r="E374" s="69"/>
      <c r="F374" s="69"/>
      <c r="G374" s="65">
        <f>+F369+F372+F370+F371</f>
        <v>69135.298750000016</v>
      </c>
    </row>
    <row r="375" spans="1:7" ht="24" x14ac:dyDescent="0.25">
      <c r="A375" s="897" t="s">
        <v>329</v>
      </c>
      <c r="B375" s="89" t="s">
        <v>38</v>
      </c>
      <c r="C375" s="89" t="s">
        <v>39</v>
      </c>
      <c r="D375" s="80" t="s">
        <v>40</v>
      </c>
      <c r="E375" s="80" t="s">
        <v>34</v>
      </c>
      <c r="F375" s="80" t="s">
        <v>35</v>
      </c>
      <c r="G375" s="67"/>
    </row>
    <row r="376" spans="1:7" x14ac:dyDescent="0.25">
      <c r="A376" s="90"/>
      <c r="B376" s="43"/>
      <c r="C376" s="43"/>
      <c r="D376" s="62"/>
      <c r="E376" s="91"/>
      <c r="F376" s="62"/>
      <c r="G376" s="69"/>
    </row>
    <row r="377" spans="1:7" x14ac:dyDescent="0.25">
      <c r="A377" s="90"/>
      <c r="B377" s="43"/>
      <c r="C377" s="43"/>
      <c r="D377" s="62"/>
      <c r="E377" s="91"/>
      <c r="F377" s="62"/>
      <c r="G377" s="69"/>
    </row>
    <row r="378" spans="1:7" x14ac:dyDescent="0.25">
      <c r="A378" s="90"/>
      <c r="B378" s="43"/>
      <c r="C378" s="43"/>
      <c r="D378" s="62"/>
      <c r="E378" s="92"/>
      <c r="F378" s="62"/>
      <c r="G378" s="69"/>
    </row>
    <row r="379" spans="1:7" x14ac:dyDescent="0.25">
      <c r="A379" s="90" t="s">
        <v>25</v>
      </c>
      <c r="B379" s="43" t="s">
        <v>25</v>
      </c>
      <c r="C379" s="43" t="s">
        <v>25</v>
      </c>
      <c r="D379" s="61" t="s">
        <v>25</v>
      </c>
      <c r="E379" s="92" t="s">
        <v>25</v>
      </c>
      <c r="F379" s="62" t="s">
        <v>25</v>
      </c>
      <c r="G379" s="43" t="s">
        <v>31</v>
      </c>
    </row>
    <row r="380" spans="1:7" x14ac:dyDescent="0.25">
      <c r="A380" s="90"/>
      <c r="B380" s="69"/>
      <c r="C380" s="69"/>
      <c r="D380" s="69"/>
      <c r="E380" s="69"/>
      <c r="F380" s="69"/>
      <c r="G380" s="64">
        <f>+F376*E376</f>
        <v>0</v>
      </c>
    </row>
    <row r="381" spans="1:7" ht="24" x14ac:dyDescent="0.25">
      <c r="A381" s="897" t="s">
        <v>41</v>
      </c>
      <c r="B381" s="80" t="s">
        <v>42</v>
      </c>
      <c r="C381" s="80" t="s">
        <v>43</v>
      </c>
      <c r="D381" s="80" t="s">
        <v>44</v>
      </c>
      <c r="E381" s="89" t="s">
        <v>306</v>
      </c>
      <c r="F381" s="80" t="s">
        <v>35</v>
      </c>
      <c r="G381" s="67"/>
    </row>
    <row r="382" spans="1:7" x14ac:dyDescent="0.25">
      <c r="A382" s="81"/>
      <c r="B382" s="81"/>
      <c r="C382" s="81"/>
      <c r="D382" s="81"/>
      <c r="E382" s="81"/>
      <c r="F382" s="81"/>
      <c r="G382" s="81"/>
    </row>
    <row r="383" spans="1:7" x14ac:dyDescent="0.25">
      <c r="A383" s="69" t="s">
        <v>2372</v>
      </c>
      <c r="B383" s="85"/>
      <c r="C383" s="96"/>
      <c r="D383" s="62"/>
      <c r="E383" s="121"/>
      <c r="F383" s="62"/>
      <c r="G383" s="69"/>
    </row>
    <row r="384" spans="1:7" ht="24.75" x14ac:dyDescent="0.25">
      <c r="A384" s="881" t="s">
        <v>2378</v>
      </c>
      <c r="B384" s="85">
        <v>295000</v>
      </c>
      <c r="C384" s="96">
        <v>0.89990000000000003</v>
      </c>
      <c r="D384" s="62">
        <f>B384*C384+B384</f>
        <v>560470.5</v>
      </c>
      <c r="E384" s="121">
        <v>20</v>
      </c>
      <c r="F384" s="62">
        <f xml:space="preserve"> D384/E384</f>
        <v>28023.525000000001</v>
      </c>
      <c r="G384" s="69" t="s">
        <v>25</v>
      </c>
    </row>
    <row r="385" spans="1:7" x14ac:dyDescent="0.25">
      <c r="A385" s="69"/>
      <c r="B385" s="85"/>
      <c r="C385" s="69"/>
      <c r="D385" s="62"/>
      <c r="E385" s="69"/>
      <c r="F385" s="62"/>
      <c r="G385" s="69"/>
    </row>
    <row r="386" spans="1:7" x14ac:dyDescent="0.25">
      <c r="A386" s="69"/>
      <c r="B386" s="69"/>
      <c r="C386" s="69"/>
      <c r="D386" s="69"/>
      <c r="E386" s="69"/>
      <c r="F386" s="69"/>
      <c r="G386" s="43" t="s">
        <v>31</v>
      </c>
    </row>
    <row r="387" spans="1:7" x14ac:dyDescent="0.25">
      <c r="A387" s="82"/>
      <c r="B387" s="82"/>
      <c r="C387" s="82"/>
      <c r="D387" s="82"/>
      <c r="E387" s="82"/>
      <c r="F387" s="82"/>
      <c r="G387" s="64">
        <f>F385+F384+F383</f>
        <v>28023.525000000001</v>
      </c>
    </row>
    <row r="388" spans="1:7" x14ac:dyDescent="0.25">
      <c r="A388" s="1230" t="s">
        <v>25</v>
      </c>
      <c r="B388" s="1230"/>
      <c r="C388" s="1230"/>
      <c r="D388" s="1230"/>
      <c r="E388" s="1230"/>
      <c r="F388" s="1230"/>
      <c r="G388" s="1233"/>
    </row>
    <row r="389" spans="1:7" x14ac:dyDescent="0.25">
      <c r="A389" s="1248" t="s">
        <v>45</v>
      </c>
      <c r="B389" s="1248"/>
      <c r="C389" s="1248"/>
      <c r="D389" s="1248"/>
      <c r="E389" s="1231"/>
      <c r="F389" s="93"/>
      <c r="G389" s="70">
        <f xml:space="preserve"> G387+G380+G374+G367</f>
        <v>98560.000000000015</v>
      </c>
    </row>
    <row r="390" spans="1:7" x14ac:dyDescent="0.25">
      <c r="A390" s="1232" t="s">
        <v>476</v>
      </c>
      <c r="B390" s="1232"/>
      <c r="C390" s="1222"/>
      <c r="D390" s="1222"/>
      <c r="E390" s="1222" t="s">
        <v>44</v>
      </c>
      <c r="F390" s="1222" t="s">
        <v>51</v>
      </c>
      <c r="G390" s="1222" t="s">
        <v>307</v>
      </c>
    </row>
    <row r="391" spans="1:7" x14ac:dyDescent="0.25">
      <c r="A391" s="1232"/>
      <c r="B391" s="1232"/>
      <c r="C391" s="1222"/>
      <c r="D391" s="1222"/>
      <c r="E391" s="1222"/>
      <c r="F391" s="1222"/>
      <c r="G391" s="1222"/>
    </row>
    <row r="392" spans="1:7" x14ac:dyDescent="0.25">
      <c r="A392" s="1244" t="s">
        <v>17</v>
      </c>
      <c r="B392" s="1244"/>
      <c r="C392" s="1244"/>
      <c r="D392" s="1244"/>
      <c r="E392" s="1244"/>
      <c r="F392" s="1221"/>
      <c r="G392" s="1222"/>
    </row>
    <row r="393" spans="1:7" x14ac:dyDescent="0.25">
      <c r="A393" s="1244" t="s">
        <v>308</v>
      </c>
      <c r="B393" s="1244"/>
      <c r="C393" s="1244"/>
      <c r="D393" s="1244"/>
      <c r="E393" s="1244"/>
      <c r="F393" s="1221"/>
      <c r="G393" s="1222"/>
    </row>
    <row r="394" spans="1:7" x14ac:dyDescent="0.25">
      <c r="A394" s="1244" t="s">
        <v>19</v>
      </c>
      <c r="B394" s="1244"/>
      <c r="C394" s="1244"/>
      <c r="D394" s="1244"/>
      <c r="E394" s="1244"/>
      <c r="F394" s="1221"/>
      <c r="G394" s="1222"/>
    </row>
    <row r="395" spans="1:7" x14ac:dyDescent="0.25">
      <c r="A395" s="1244" t="s">
        <v>309</v>
      </c>
      <c r="B395" s="1244"/>
      <c r="C395" s="1244"/>
      <c r="D395" s="1244"/>
      <c r="E395" s="1244"/>
      <c r="F395" s="1221"/>
      <c r="G395" s="1222"/>
    </row>
    <row r="396" spans="1:7" x14ac:dyDescent="0.25">
      <c r="A396" s="1245" t="s">
        <v>310</v>
      </c>
      <c r="B396" s="1245"/>
      <c r="C396" s="1245"/>
      <c r="D396" s="1245"/>
      <c r="E396" s="1245"/>
      <c r="F396" s="1222"/>
      <c r="G396" s="1222"/>
    </row>
    <row r="397" spans="1:7" x14ac:dyDescent="0.25">
      <c r="A397" s="68"/>
      <c r="B397" s="94"/>
      <c r="C397" s="94"/>
      <c r="D397" s="94"/>
      <c r="E397" s="94"/>
      <c r="F397" s="94"/>
      <c r="G397" s="94"/>
    </row>
    <row r="404" spans="1:7" x14ac:dyDescent="0.25">
      <c r="A404" s="95"/>
      <c r="B404" s="94"/>
      <c r="C404" s="94"/>
      <c r="D404" s="94"/>
      <c r="E404" s="94"/>
      <c r="F404" s="882" t="s">
        <v>300</v>
      </c>
      <c r="G404" s="882" t="s">
        <v>2451</v>
      </c>
    </row>
    <row r="405" spans="1:7" x14ac:dyDescent="0.25">
      <c r="A405" s="1238" t="s">
        <v>2453</v>
      </c>
      <c r="B405" s="1246"/>
      <c r="C405" s="1246"/>
      <c r="D405" s="1246"/>
      <c r="E405" s="1247"/>
      <c r="F405" s="880" t="s">
        <v>24</v>
      </c>
      <c r="G405" s="880" t="s">
        <v>13</v>
      </c>
    </row>
    <row r="406" spans="1:7" x14ac:dyDescent="0.25">
      <c r="A406" s="1229" t="s">
        <v>25</v>
      </c>
      <c r="B406" s="1229"/>
      <c r="C406" s="1229"/>
      <c r="D406" s="1229"/>
      <c r="E406" s="1229"/>
      <c r="F406" s="1229"/>
      <c r="G406" s="1229"/>
    </row>
    <row r="407" spans="1:7" x14ac:dyDescent="0.25">
      <c r="A407" s="1234" t="s">
        <v>469</v>
      </c>
      <c r="B407" s="1235"/>
      <c r="C407" s="80" t="s">
        <v>26</v>
      </c>
      <c r="D407" s="80" t="s">
        <v>27</v>
      </c>
      <c r="E407" s="80" t="s">
        <v>28</v>
      </c>
      <c r="F407" s="80" t="s">
        <v>35</v>
      </c>
      <c r="G407" s="67"/>
    </row>
    <row r="408" spans="1:7" x14ac:dyDescent="0.25">
      <c r="A408" s="1236"/>
      <c r="B408" s="1236"/>
      <c r="C408" s="69"/>
      <c r="D408" s="62"/>
      <c r="E408" s="62"/>
      <c r="F408" s="62"/>
      <c r="G408" s="81"/>
    </row>
    <row r="409" spans="1:7" x14ac:dyDescent="0.25">
      <c r="A409" s="1236"/>
      <c r="B409" s="1236"/>
      <c r="C409" s="69"/>
      <c r="D409" s="62"/>
      <c r="E409" s="62"/>
      <c r="F409" s="62"/>
      <c r="G409" s="69"/>
    </row>
    <row r="410" spans="1:7" x14ac:dyDescent="0.25">
      <c r="A410" s="1236" t="s">
        <v>30</v>
      </c>
      <c r="B410" s="1236"/>
      <c r="C410" s="69"/>
      <c r="D410" s="69"/>
      <c r="E410" s="69"/>
      <c r="F410" s="62">
        <f>+G433*0.05</f>
        <v>11209.410000000002</v>
      </c>
      <c r="G410" s="69"/>
    </row>
    <row r="411" spans="1:7" x14ac:dyDescent="0.25">
      <c r="A411" s="1236"/>
      <c r="B411" s="1236"/>
      <c r="C411" s="69"/>
      <c r="D411" s="69"/>
      <c r="E411" s="69"/>
      <c r="F411" s="69"/>
      <c r="G411" s="69"/>
    </row>
    <row r="412" spans="1:7" x14ac:dyDescent="0.25">
      <c r="A412" s="1236" t="s">
        <v>25</v>
      </c>
      <c r="B412" s="1236"/>
      <c r="C412" s="69"/>
      <c r="D412" s="69"/>
      <c r="E412" s="69"/>
      <c r="F412" s="69"/>
      <c r="G412" s="83" t="s">
        <v>31</v>
      </c>
    </row>
    <row r="413" spans="1:7" x14ac:dyDescent="0.25">
      <c r="A413" s="1237"/>
      <c r="B413" s="1237"/>
      <c r="C413" s="82"/>
      <c r="D413" s="82"/>
      <c r="E413" s="82"/>
      <c r="F413" s="82"/>
      <c r="G413" s="64">
        <f>F410+F409+F408</f>
        <v>11209.410000000002</v>
      </c>
    </row>
    <row r="414" spans="1:7" x14ac:dyDescent="0.25">
      <c r="A414" s="1234" t="s">
        <v>475</v>
      </c>
      <c r="B414" s="1235"/>
      <c r="C414" s="80" t="s">
        <v>32</v>
      </c>
      <c r="D414" s="80" t="s">
        <v>33</v>
      </c>
      <c r="E414" s="80" t="s">
        <v>34</v>
      </c>
      <c r="F414" s="80" t="s">
        <v>35</v>
      </c>
      <c r="G414" s="67"/>
    </row>
    <row r="415" spans="1:7" x14ac:dyDescent="0.25">
      <c r="A415" s="1226" t="s">
        <v>2410</v>
      </c>
      <c r="B415" s="1227"/>
      <c r="C415" s="43" t="s">
        <v>69</v>
      </c>
      <c r="D415" s="97">
        <v>622502.39000000036</v>
      </c>
      <c r="E415" s="92">
        <v>1</v>
      </c>
      <c r="F415" s="85">
        <f>+E415*D415</f>
        <v>622502.39000000036</v>
      </c>
      <c r="G415" s="69"/>
    </row>
    <row r="416" spans="1:7" x14ac:dyDescent="0.25">
      <c r="A416" s="904"/>
      <c r="B416" s="902"/>
      <c r="C416" s="43"/>
      <c r="D416" s="97"/>
      <c r="E416" s="92"/>
      <c r="F416" s="85"/>
      <c r="G416" s="69"/>
    </row>
    <row r="417" spans="1:7" x14ac:dyDescent="0.25">
      <c r="A417" s="904"/>
      <c r="B417" s="902"/>
      <c r="C417" s="43"/>
      <c r="D417" s="97"/>
      <c r="E417" s="92"/>
      <c r="F417" s="85"/>
      <c r="G417" s="69"/>
    </row>
    <row r="418" spans="1:7" x14ac:dyDescent="0.25">
      <c r="A418" s="904"/>
      <c r="B418" s="902"/>
      <c r="C418" s="43"/>
      <c r="D418" s="97"/>
      <c r="E418" s="92"/>
      <c r="F418" s="85"/>
      <c r="G418" s="69"/>
    </row>
    <row r="419" spans="1:7" x14ac:dyDescent="0.25">
      <c r="A419" s="1228"/>
      <c r="B419" s="1229"/>
      <c r="C419" s="43"/>
      <c r="D419" s="97"/>
      <c r="E419" s="92"/>
      <c r="F419" s="85"/>
      <c r="G419" s="43" t="s">
        <v>31</v>
      </c>
    </row>
    <row r="420" spans="1:7" x14ac:dyDescent="0.25">
      <c r="A420" s="1228"/>
      <c r="B420" s="1229"/>
      <c r="C420" s="69"/>
      <c r="D420" s="69"/>
      <c r="E420" s="69"/>
      <c r="F420" s="69"/>
      <c r="G420" s="65">
        <f>+F415+F418+F416+F417</f>
        <v>622502.39000000036</v>
      </c>
    </row>
    <row r="421" spans="1:7" ht="24" x14ac:dyDescent="0.25">
      <c r="A421" s="903" t="s">
        <v>329</v>
      </c>
      <c r="B421" s="89" t="s">
        <v>38</v>
      </c>
      <c r="C421" s="89" t="s">
        <v>39</v>
      </c>
      <c r="D421" s="80" t="s">
        <v>40</v>
      </c>
      <c r="E421" s="80" t="s">
        <v>34</v>
      </c>
      <c r="F421" s="80" t="s">
        <v>35</v>
      </c>
      <c r="G421" s="67"/>
    </row>
    <row r="422" spans="1:7" x14ac:dyDescent="0.25">
      <c r="A422" s="90"/>
      <c r="B422" s="43"/>
      <c r="C422" s="43"/>
      <c r="D422" s="62"/>
      <c r="E422" s="91"/>
      <c r="F422" s="62"/>
      <c r="G422" s="69"/>
    </row>
    <row r="423" spans="1:7" x14ac:dyDescent="0.25">
      <c r="A423" s="90"/>
      <c r="B423" s="43"/>
      <c r="C423" s="43"/>
      <c r="D423" s="62"/>
      <c r="E423" s="91"/>
      <c r="F423" s="62"/>
      <c r="G423" s="69"/>
    </row>
    <row r="424" spans="1:7" x14ac:dyDescent="0.25">
      <c r="A424" s="90"/>
      <c r="B424" s="43"/>
      <c r="C424" s="43"/>
      <c r="D424" s="62"/>
      <c r="E424" s="92"/>
      <c r="F424" s="62"/>
      <c r="G424" s="69"/>
    </row>
    <row r="425" spans="1:7" x14ac:dyDescent="0.25">
      <c r="A425" s="90" t="s">
        <v>25</v>
      </c>
      <c r="B425" s="43" t="s">
        <v>25</v>
      </c>
      <c r="C425" s="43" t="s">
        <v>25</v>
      </c>
      <c r="D425" s="61" t="s">
        <v>25</v>
      </c>
      <c r="E425" s="92" t="s">
        <v>25</v>
      </c>
      <c r="F425" s="62" t="s">
        <v>25</v>
      </c>
      <c r="G425" s="43" t="s">
        <v>31</v>
      </c>
    </row>
    <row r="426" spans="1:7" x14ac:dyDescent="0.25">
      <c r="A426" s="90"/>
      <c r="B426" s="69"/>
      <c r="C426" s="69"/>
      <c r="D426" s="69"/>
      <c r="E426" s="69"/>
      <c r="F426" s="69"/>
      <c r="G426" s="64">
        <f>+F422*E422</f>
        <v>0</v>
      </c>
    </row>
    <row r="427" spans="1:7" ht="24" x14ac:dyDescent="0.25">
      <c r="A427" s="903" t="s">
        <v>41</v>
      </c>
      <c r="B427" s="80" t="s">
        <v>42</v>
      </c>
      <c r="C427" s="80" t="s">
        <v>43</v>
      </c>
      <c r="D427" s="80" t="s">
        <v>44</v>
      </c>
      <c r="E427" s="89" t="s">
        <v>306</v>
      </c>
      <c r="F427" s="80" t="s">
        <v>35</v>
      </c>
      <c r="G427" s="67"/>
    </row>
    <row r="428" spans="1:7" x14ac:dyDescent="0.25">
      <c r="A428" s="81"/>
      <c r="B428" s="81"/>
      <c r="C428" s="81"/>
      <c r="D428" s="81"/>
      <c r="E428" s="81"/>
      <c r="F428" s="81"/>
      <c r="G428" s="81"/>
    </row>
    <row r="429" spans="1:7" x14ac:dyDescent="0.25">
      <c r="A429" s="69" t="s">
        <v>2372</v>
      </c>
      <c r="B429" s="85"/>
      <c r="C429" s="96"/>
      <c r="D429" s="62"/>
      <c r="E429" s="121"/>
      <c r="F429" s="62"/>
      <c r="G429" s="69"/>
    </row>
    <row r="430" spans="1:7" ht="24.75" x14ac:dyDescent="0.25">
      <c r="A430" s="881" t="s">
        <v>2378</v>
      </c>
      <c r="B430" s="85">
        <v>295000</v>
      </c>
      <c r="C430" s="96">
        <v>0.89990000000000003</v>
      </c>
      <c r="D430" s="62">
        <f>B430*C430+B430</f>
        <v>560470.5</v>
      </c>
      <c r="E430" s="908">
        <v>2.5</v>
      </c>
      <c r="F430" s="62">
        <f xml:space="preserve"> D430/E430</f>
        <v>224188.2</v>
      </c>
      <c r="G430" s="69" t="s">
        <v>25</v>
      </c>
    </row>
    <row r="431" spans="1:7" x14ac:dyDescent="0.25">
      <c r="A431" s="69"/>
      <c r="B431" s="85"/>
      <c r="C431" s="69"/>
      <c r="D431" s="62"/>
      <c r="E431" s="69"/>
      <c r="F431" s="62"/>
      <c r="G431" s="69"/>
    </row>
    <row r="432" spans="1:7" x14ac:dyDescent="0.25">
      <c r="A432" s="69"/>
      <c r="B432" s="69"/>
      <c r="C432" s="69"/>
      <c r="D432" s="69"/>
      <c r="E432" s="69"/>
      <c r="F432" s="69"/>
      <c r="G432" s="43" t="s">
        <v>31</v>
      </c>
    </row>
    <row r="433" spans="1:7" x14ac:dyDescent="0.25">
      <c r="A433" s="82"/>
      <c r="B433" s="82"/>
      <c r="C433" s="82"/>
      <c r="D433" s="82"/>
      <c r="E433" s="82"/>
      <c r="F433" s="82"/>
      <c r="G433" s="64">
        <f>F431+F430+F429</f>
        <v>224188.2</v>
      </c>
    </row>
    <row r="434" spans="1:7" x14ac:dyDescent="0.25">
      <c r="A434" s="1230" t="s">
        <v>25</v>
      </c>
      <c r="B434" s="1230"/>
      <c r="C434" s="1230"/>
      <c r="D434" s="1230"/>
      <c r="E434" s="1230"/>
      <c r="F434" s="1230"/>
      <c r="G434" s="1233"/>
    </row>
    <row r="435" spans="1:7" x14ac:dyDescent="0.25">
      <c r="A435" s="1248" t="s">
        <v>45</v>
      </c>
      <c r="B435" s="1248"/>
      <c r="C435" s="1248"/>
      <c r="D435" s="1248"/>
      <c r="E435" s="1231"/>
      <c r="F435" s="93"/>
      <c r="G435" s="70">
        <f xml:space="preserve"> G433+G426+G420+G413</f>
        <v>857900.00000000035</v>
      </c>
    </row>
    <row r="436" spans="1:7" x14ac:dyDescent="0.25">
      <c r="A436" s="1232" t="s">
        <v>476</v>
      </c>
      <c r="B436" s="1232"/>
      <c r="C436" s="1222"/>
      <c r="D436" s="1222"/>
      <c r="E436" s="1222" t="s">
        <v>44</v>
      </c>
      <c r="F436" s="1222" t="s">
        <v>51</v>
      </c>
      <c r="G436" s="1222" t="s">
        <v>307</v>
      </c>
    </row>
    <row r="437" spans="1:7" x14ac:dyDescent="0.25">
      <c r="A437" s="1232"/>
      <c r="B437" s="1232"/>
      <c r="C437" s="1222"/>
      <c r="D437" s="1222"/>
      <c r="E437" s="1222"/>
      <c r="F437" s="1222"/>
      <c r="G437" s="1222"/>
    </row>
    <row r="438" spans="1:7" x14ac:dyDescent="0.25">
      <c r="A438" s="1244" t="s">
        <v>17</v>
      </c>
      <c r="B438" s="1244"/>
      <c r="C438" s="1244"/>
      <c r="D438" s="1244"/>
      <c r="E438" s="1244"/>
      <c r="F438" s="1221"/>
      <c r="G438" s="1222"/>
    </row>
    <row r="439" spans="1:7" x14ac:dyDescent="0.25">
      <c r="A439" s="1244" t="s">
        <v>308</v>
      </c>
      <c r="B439" s="1244"/>
      <c r="C439" s="1244"/>
      <c r="D439" s="1244"/>
      <c r="E439" s="1244"/>
      <c r="F439" s="1221"/>
      <c r="G439" s="1222"/>
    </row>
    <row r="440" spans="1:7" x14ac:dyDescent="0.25">
      <c r="A440" s="1244" t="s">
        <v>19</v>
      </c>
      <c r="B440" s="1244"/>
      <c r="C440" s="1244"/>
      <c r="D440" s="1244"/>
      <c r="E440" s="1244"/>
      <c r="F440" s="1221"/>
      <c r="G440" s="1222"/>
    </row>
    <row r="441" spans="1:7" x14ac:dyDescent="0.25">
      <c r="A441" s="1244" t="s">
        <v>309</v>
      </c>
      <c r="B441" s="1244"/>
      <c r="C441" s="1244"/>
      <c r="D441" s="1244"/>
      <c r="E441" s="1244"/>
      <c r="F441" s="1221"/>
      <c r="G441" s="1222"/>
    </row>
    <row r="442" spans="1:7" x14ac:dyDescent="0.25">
      <c r="A442" s="1245" t="s">
        <v>310</v>
      </c>
      <c r="B442" s="1245"/>
      <c r="C442" s="1245"/>
      <c r="D442" s="1245"/>
      <c r="E442" s="1245"/>
      <c r="F442" s="1222"/>
      <c r="G442" s="1222"/>
    </row>
    <row r="443" spans="1:7" x14ac:dyDescent="0.25">
      <c r="A443" s="68"/>
      <c r="B443" s="94"/>
      <c r="C443" s="94"/>
      <c r="D443" s="94"/>
      <c r="E443" s="94"/>
      <c r="F443" s="94"/>
      <c r="G443" s="94"/>
    </row>
    <row r="449" spans="1:7" x14ac:dyDescent="0.25">
      <c r="A449" s="95"/>
      <c r="B449" s="94"/>
      <c r="C449" s="94"/>
      <c r="D449" s="94"/>
      <c r="E449" s="94"/>
      <c r="F449" s="882" t="s">
        <v>300</v>
      </c>
      <c r="G449" s="882" t="s">
        <v>2452</v>
      </c>
    </row>
    <row r="450" spans="1:7" ht="26.25" customHeight="1" x14ac:dyDescent="0.25">
      <c r="A450" s="1238" t="s">
        <v>1050</v>
      </c>
      <c r="B450" s="1246"/>
      <c r="C450" s="1246"/>
      <c r="D450" s="1246"/>
      <c r="E450" s="1247"/>
      <c r="F450" s="880" t="s">
        <v>24</v>
      </c>
      <c r="G450" s="880" t="s">
        <v>13</v>
      </c>
    </row>
    <row r="451" spans="1:7" x14ac:dyDescent="0.25">
      <c r="A451" s="1229" t="s">
        <v>25</v>
      </c>
      <c r="B451" s="1229"/>
      <c r="C451" s="1229"/>
      <c r="D451" s="1229"/>
      <c r="E451" s="1229"/>
      <c r="F451" s="1229"/>
      <c r="G451" s="1229"/>
    </row>
    <row r="452" spans="1:7" x14ac:dyDescent="0.25">
      <c r="A452" s="1234" t="s">
        <v>469</v>
      </c>
      <c r="B452" s="1235"/>
      <c r="C452" s="80" t="s">
        <v>26</v>
      </c>
      <c r="D452" s="80" t="s">
        <v>27</v>
      </c>
      <c r="E452" s="80" t="s">
        <v>28</v>
      </c>
      <c r="F452" s="80" t="s">
        <v>35</v>
      </c>
      <c r="G452" s="67"/>
    </row>
    <row r="453" spans="1:7" x14ac:dyDescent="0.25">
      <c r="A453" s="1236"/>
      <c r="B453" s="1236"/>
      <c r="C453" s="69"/>
      <c r="D453" s="62"/>
      <c r="E453" s="62"/>
      <c r="F453" s="62"/>
      <c r="G453" s="81"/>
    </row>
    <row r="454" spans="1:7" x14ac:dyDescent="0.25">
      <c r="A454" s="1236"/>
      <c r="B454" s="1236"/>
      <c r="C454" s="69"/>
      <c r="D454" s="62"/>
      <c r="E454" s="62"/>
      <c r="F454" s="62"/>
      <c r="G454" s="69"/>
    </row>
    <row r="455" spans="1:7" x14ac:dyDescent="0.25">
      <c r="A455" s="1236" t="s">
        <v>30</v>
      </c>
      <c r="B455" s="1236"/>
      <c r="C455" s="69"/>
      <c r="D455" s="69"/>
      <c r="E455" s="69"/>
      <c r="F455" s="62">
        <f>+G478*0.05</f>
        <v>467058.75</v>
      </c>
      <c r="G455" s="69"/>
    </row>
    <row r="456" spans="1:7" x14ac:dyDescent="0.25">
      <c r="A456" s="1236"/>
      <c r="B456" s="1236"/>
      <c r="C456" s="69"/>
      <c r="D456" s="69"/>
      <c r="E456" s="69"/>
      <c r="F456" s="69"/>
      <c r="G456" s="69"/>
    </row>
    <row r="457" spans="1:7" x14ac:dyDescent="0.25">
      <c r="A457" s="1236" t="s">
        <v>25</v>
      </c>
      <c r="B457" s="1236"/>
      <c r="C457" s="69"/>
      <c r="D457" s="69"/>
      <c r="E457" s="69"/>
      <c r="F457" s="69"/>
      <c r="G457" s="83" t="s">
        <v>31</v>
      </c>
    </row>
    <row r="458" spans="1:7" x14ac:dyDescent="0.25">
      <c r="A458" s="1237"/>
      <c r="B458" s="1237"/>
      <c r="C458" s="82"/>
      <c r="D458" s="82"/>
      <c r="E458" s="82"/>
      <c r="F458" s="82"/>
      <c r="G458" s="64">
        <f>F455+F454+F453</f>
        <v>467058.75</v>
      </c>
    </row>
    <row r="459" spans="1:7" x14ac:dyDescent="0.25">
      <c r="A459" s="1234" t="s">
        <v>475</v>
      </c>
      <c r="B459" s="1235"/>
      <c r="C459" s="80" t="s">
        <v>32</v>
      </c>
      <c r="D459" s="80" t="s">
        <v>33</v>
      </c>
      <c r="E459" s="80" t="s">
        <v>34</v>
      </c>
      <c r="F459" s="80" t="s">
        <v>35</v>
      </c>
      <c r="G459" s="67"/>
    </row>
    <row r="460" spans="1:7" x14ac:dyDescent="0.25">
      <c r="A460" s="1226" t="s">
        <v>2410</v>
      </c>
      <c r="B460" s="1227"/>
      <c r="C460" s="43"/>
      <c r="D460" s="97">
        <v>30191766.25</v>
      </c>
      <c r="E460" s="92">
        <v>1</v>
      </c>
      <c r="F460" s="85">
        <f>+E460*D460</f>
        <v>30191766.25</v>
      </c>
      <c r="G460" s="69"/>
    </row>
    <row r="461" spans="1:7" x14ac:dyDescent="0.25">
      <c r="A461" s="904"/>
      <c r="B461" s="902"/>
      <c r="C461" s="43"/>
      <c r="D461" s="97"/>
      <c r="E461" s="92"/>
      <c r="F461" s="85"/>
      <c r="G461" s="69"/>
    </row>
    <row r="462" spans="1:7" x14ac:dyDescent="0.25">
      <c r="A462" s="904"/>
      <c r="B462" s="902"/>
      <c r="C462" s="43"/>
      <c r="D462" s="97"/>
      <c r="E462" s="92"/>
      <c r="F462" s="85"/>
      <c r="G462" s="69"/>
    </row>
    <row r="463" spans="1:7" x14ac:dyDescent="0.25">
      <c r="A463" s="904"/>
      <c r="B463" s="902"/>
      <c r="C463" s="43"/>
      <c r="D463" s="97"/>
      <c r="E463" s="92"/>
      <c r="F463" s="85"/>
      <c r="G463" s="69"/>
    </row>
    <row r="464" spans="1:7" x14ac:dyDescent="0.25">
      <c r="A464" s="1228"/>
      <c r="B464" s="1229"/>
      <c r="C464" s="43"/>
      <c r="D464" s="97"/>
      <c r="E464" s="92"/>
      <c r="F464" s="85"/>
      <c r="G464" s="43" t="s">
        <v>31</v>
      </c>
    </row>
    <row r="465" spans="1:7" x14ac:dyDescent="0.25">
      <c r="A465" s="1228"/>
      <c r="B465" s="1229"/>
      <c r="C465" s="69"/>
      <c r="D465" s="69"/>
      <c r="E465" s="69"/>
      <c r="F465" s="69"/>
      <c r="G465" s="65">
        <f>+F460+F463+F461+F462</f>
        <v>30191766.25</v>
      </c>
    </row>
    <row r="466" spans="1:7" ht="24" x14ac:dyDescent="0.25">
      <c r="A466" s="903" t="s">
        <v>329</v>
      </c>
      <c r="B466" s="89" t="s">
        <v>38</v>
      </c>
      <c r="C466" s="89" t="s">
        <v>39</v>
      </c>
      <c r="D466" s="80" t="s">
        <v>40</v>
      </c>
      <c r="E466" s="80" t="s">
        <v>34</v>
      </c>
      <c r="F466" s="80" t="s">
        <v>35</v>
      </c>
      <c r="G466" s="67"/>
    </row>
    <row r="467" spans="1:7" x14ac:dyDescent="0.25">
      <c r="A467" s="90"/>
      <c r="B467" s="43"/>
      <c r="C467" s="43"/>
      <c r="D467" s="62"/>
      <c r="E467" s="91"/>
      <c r="F467" s="62"/>
      <c r="G467" s="69"/>
    </row>
    <row r="468" spans="1:7" x14ac:dyDescent="0.25">
      <c r="A468" s="90"/>
      <c r="B468" s="43"/>
      <c r="C468" s="43"/>
      <c r="D468" s="62"/>
      <c r="E468" s="91"/>
      <c r="F468" s="62"/>
      <c r="G468" s="69"/>
    </row>
    <row r="469" spans="1:7" x14ac:dyDescent="0.25">
      <c r="A469" s="90"/>
      <c r="B469" s="43"/>
      <c r="C469" s="43"/>
      <c r="D469" s="62"/>
      <c r="E469" s="92"/>
      <c r="F469" s="62"/>
      <c r="G469" s="69"/>
    </row>
    <row r="470" spans="1:7" x14ac:dyDescent="0.25">
      <c r="A470" s="90" t="s">
        <v>25</v>
      </c>
      <c r="B470" s="43" t="s">
        <v>25</v>
      </c>
      <c r="C470" s="43" t="s">
        <v>25</v>
      </c>
      <c r="D470" s="61" t="s">
        <v>25</v>
      </c>
      <c r="E470" s="92" t="s">
        <v>25</v>
      </c>
      <c r="F470" s="62" t="s">
        <v>25</v>
      </c>
      <c r="G470" s="43" t="s">
        <v>31</v>
      </c>
    </row>
    <row r="471" spans="1:7" x14ac:dyDescent="0.25">
      <c r="A471" s="90"/>
      <c r="B471" s="69"/>
      <c r="C471" s="69"/>
      <c r="D471" s="69"/>
      <c r="E471" s="69"/>
      <c r="F471" s="69"/>
      <c r="G471" s="64">
        <f>+F467*E467</f>
        <v>0</v>
      </c>
    </row>
    <row r="472" spans="1:7" ht="24" x14ac:dyDescent="0.25">
      <c r="A472" s="903" t="s">
        <v>41</v>
      </c>
      <c r="B472" s="80" t="s">
        <v>42</v>
      </c>
      <c r="C472" s="80" t="s">
        <v>43</v>
      </c>
      <c r="D472" s="80" t="s">
        <v>44</v>
      </c>
      <c r="E472" s="89" t="s">
        <v>306</v>
      </c>
      <c r="F472" s="80" t="s">
        <v>35</v>
      </c>
      <c r="G472" s="67"/>
    </row>
    <row r="473" spans="1:7" x14ac:dyDescent="0.25">
      <c r="A473" s="81"/>
      <c r="B473" s="81"/>
      <c r="C473" s="81"/>
      <c r="D473" s="81"/>
      <c r="E473" s="81"/>
      <c r="F473" s="81"/>
      <c r="G473" s="81"/>
    </row>
    <row r="474" spans="1:7" x14ac:dyDescent="0.25">
      <c r="A474" s="69" t="s">
        <v>2372</v>
      </c>
      <c r="B474" s="85"/>
      <c r="C474" s="96"/>
      <c r="D474" s="62"/>
      <c r="E474" s="121"/>
      <c r="F474" s="62"/>
      <c r="G474" s="69"/>
    </row>
    <row r="475" spans="1:7" ht="24.75" x14ac:dyDescent="0.25">
      <c r="A475" s="881" t="s">
        <v>2378</v>
      </c>
      <c r="B475" s="85">
        <v>295000</v>
      </c>
      <c r="C475" s="96">
        <v>0.89990000000000003</v>
      </c>
      <c r="D475" s="62">
        <f>B475*C475+B475</f>
        <v>560470.5</v>
      </c>
      <c r="E475" s="101">
        <v>0.06</v>
      </c>
      <c r="F475" s="62">
        <f xml:space="preserve"> D475/E475</f>
        <v>9341175</v>
      </c>
      <c r="G475" s="69" t="s">
        <v>25</v>
      </c>
    </row>
    <row r="476" spans="1:7" x14ac:dyDescent="0.25">
      <c r="A476" s="69"/>
      <c r="B476" s="85"/>
      <c r="C476" s="69"/>
      <c r="D476" s="62"/>
      <c r="E476" s="69"/>
      <c r="F476" s="62"/>
      <c r="G476" s="69"/>
    </row>
    <row r="477" spans="1:7" x14ac:dyDescent="0.25">
      <c r="A477" s="69"/>
      <c r="B477" s="69"/>
      <c r="C477" s="69"/>
      <c r="D477" s="69"/>
      <c r="E477" s="69"/>
      <c r="F477" s="69"/>
      <c r="G477" s="43" t="s">
        <v>31</v>
      </c>
    </row>
    <row r="478" spans="1:7" x14ac:dyDescent="0.25">
      <c r="A478" s="82"/>
      <c r="B478" s="82"/>
      <c r="C478" s="82"/>
      <c r="D478" s="82"/>
      <c r="E478" s="82"/>
      <c r="F478" s="82"/>
      <c r="G478" s="64">
        <f>F476+F475+F474</f>
        <v>9341175</v>
      </c>
    </row>
    <row r="479" spans="1:7" x14ac:dyDescent="0.25">
      <c r="A479" s="1230" t="s">
        <v>25</v>
      </c>
      <c r="B479" s="1230"/>
      <c r="C479" s="1230"/>
      <c r="D479" s="1230"/>
      <c r="E479" s="1230"/>
      <c r="F479" s="1230"/>
      <c r="G479" s="1233"/>
    </row>
    <row r="480" spans="1:7" x14ac:dyDescent="0.25">
      <c r="A480" s="1248" t="s">
        <v>45</v>
      </c>
      <c r="B480" s="1248"/>
      <c r="C480" s="1248"/>
      <c r="D480" s="1248"/>
      <c r="E480" s="1231"/>
      <c r="F480" s="93"/>
      <c r="G480" s="70">
        <f xml:space="preserve"> G478+G471+G465+G458</f>
        <v>40000000</v>
      </c>
    </row>
    <row r="481" spans="1:7" x14ac:dyDescent="0.25">
      <c r="A481" s="1232" t="s">
        <v>476</v>
      </c>
      <c r="B481" s="1232"/>
      <c r="C481" s="1222"/>
      <c r="D481" s="1222"/>
      <c r="E481" s="1222" t="s">
        <v>44</v>
      </c>
      <c r="F481" s="1222" t="s">
        <v>51</v>
      </c>
      <c r="G481" s="1222" t="s">
        <v>307</v>
      </c>
    </row>
    <row r="482" spans="1:7" x14ac:dyDescent="0.25">
      <c r="A482" s="1232"/>
      <c r="B482" s="1232"/>
      <c r="C482" s="1222"/>
      <c r="D482" s="1222"/>
      <c r="E482" s="1222"/>
      <c r="F482" s="1222"/>
      <c r="G482" s="1222"/>
    </row>
    <row r="483" spans="1:7" x14ac:dyDescent="0.25">
      <c r="A483" s="1244" t="s">
        <v>17</v>
      </c>
      <c r="B483" s="1244"/>
      <c r="C483" s="1244"/>
      <c r="D483" s="1244"/>
      <c r="E483" s="1244"/>
      <c r="F483" s="1221"/>
      <c r="G483" s="1222"/>
    </row>
    <row r="484" spans="1:7" x14ac:dyDescent="0.25">
      <c r="A484" s="1244" t="s">
        <v>308</v>
      </c>
      <c r="B484" s="1244"/>
      <c r="C484" s="1244"/>
      <c r="D484" s="1244"/>
      <c r="E484" s="1244"/>
      <c r="F484" s="1221"/>
      <c r="G484" s="1222"/>
    </row>
    <row r="485" spans="1:7" x14ac:dyDescent="0.25">
      <c r="A485" s="1244" t="s">
        <v>19</v>
      </c>
      <c r="B485" s="1244"/>
      <c r="C485" s="1244"/>
      <c r="D485" s="1244"/>
      <c r="E485" s="1244"/>
      <c r="F485" s="1221"/>
      <c r="G485" s="1222"/>
    </row>
    <row r="486" spans="1:7" x14ac:dyDescent="0.25">
      <c r="A486" s="1244" t="s">
        <v>309</v>
      </c>
      <c r="B486" s="1244"/>
      <c r="C486" s="1244"/>
      <c r="D486" s="1244"/>
      <c r="E486" s="1244"/>
      <c r="F486" s="1221"/>
      <c r="G486" s="1222"/>
    </row>
    <row r="487" spans="1:7" x14ac:dyDescent="0.25">
      <c r="A487" s="1245" t="s">
        <v>310</v>
      </c>
      <c r="B487" s="1245"/>
      <c r="C487" s="1245"/>
      <c r="D487" s="1245"/>
      <c r="E487" s="1245"/>
      <c r="F487" s="1222"/>
      <c r="G487" s="1222"/>
    </row>
    <row r="488" spans="1:7" x14ac:dyDescent="0.25">
      <c r="A488" s="68"/>
      <c r="B488" s="94"/>
      <c r="C488" s="94"/>
      <c r="D488" s="94"/>
      <c r="E488" s="94"/>
      <c r="F488" s="94"/>
      <c r="G488" s="94"/>
    </row>
    <row r="493" spans="1:7" x14ac:dyDescent="0.25">
      <c r="A493" s="95"/>
      <c r="B493" s="94"/>
      <c r="C493" s="94"/>
      <c r="D493" s="94"/>
      <c r="E493" s="94"/>
      <c r="F493" s="882" t="s">
        <v>300</v>
      </c>
      <c r="G493" s="882" t="s">
        <v>2454</v>
      </c>
    </row>
    <row r="494" spans="1:7" ht="25.5" customHeight="1" x14ac:dyDescent="0.25">
      <c r="A494" s="1238" t="s">
        <v>1049</v>
      </c>
      <c r="B494" s="1246"/>
      <c r="C494" s="1246"/>
      <c r="D494" s="1246"/>
      <c r="E494" s="1247"/>
      <c r="F494" s="880" t="s">
        <v>24</v>
      </c>
      <c r="G494" s="880" t="s">
        <v>13</v>
      </c>
    </row>
    <row r="495" spans="1:7" x14ac:dyDescent="0.25">
      <c r="A495" s="1229" t="s">
        <v>25</v>
      </c>
      <c r="B495" s="1229"/>
      <c r="C495" s="1229"/>
      <c r="D495" s="1229"/>
      <c r="E495" s="1229"/>
      <c r="F495" s="1229"/>
      <c r="G495" s="1229"/>
    </row>
    <row r="496" spans="1:7" x14ac:dyDescent="0.25">
      <c r="A496" s="1234" t="s">
        <v>469</v>
      </c>
      <c r="B496" s="1235"/>
      <c r="C496" s="80" t="s">
        <v>26</v>
      </c>
      <c r="D496" s="80" t="s">
        <v>27</v>
      </c>
      <c r="E496" s="80" t="s">
        <v>28</v>
      </c>
      <c r="F496" s="80" t="s">
        <v>35</v>
      </c>
      <c r="G496" s="67"/>
    </row>
    <row r="497" spans="1:7" x14ac:dyDescent="0.25">
      <c r="A497" s="1236"/>
      <c r="B497" s="1236"/>
      <c r="C497" s="69"/>
      <c r="D497" s="62"/>
      <c r="E497" s="62"/>
      <c r="F497" s="62"/>
      <c r="G497" s="81"/>
    </row>
    <row r="498" spans="1:7" x14ac:dyDescent="0.25">
      <c r="A498" s="1236"/>
      <c r="B498" s="1236"/>
      <c r="C498" s="69"/>
      <c r="D498" s="62"/>
      <c r="E498" s="62"/>
      <c r="F498" s="62"/>
      <c r="G498" s="69"/>
    </row>
    <row r="499" spans="1:7" x14ac:dyDescent="0.25">
      <c r="A499" s="1236" t="s">
        <v>30</v>
      </c>
      <c r="B499" s="1236"/>
      <c r="C499" s="69"/>
      <c r="D499" s="69"/>
      <c r="E499" s="69"/>
      <c r="F499" s="62">
        <f>+G522*0.05</f>
        <v>467058.75</v>
      </c>
      <c r="G499" s="69"/>
    </row>
    <row r="500" spans="1:7" x14ac:dyDescent="0.25">
      <c r="A500" s="1236"/>
      <c r="B500" s="1236"/>
      <c r="C500" s="69"/>
      <c r="D500" s="69"/>
      <c r="E500" s="69"/>
      <c r="F500" s="69"/>
      <c r="G500" s="69"/>
    </row>
    <row r="501" spans="1:7" x14ac:dyDescent="0.25">
      <c r="A501" s="1236" t="s">
        <v>25</v>
      </c>
      <c r="B501" s="1236"/>
      <c r="C501" s="69"/>
      <c r="D501" s="69"/>
      <c r="E501" s="69"/>
      <c r="F501" s="69"/>
      <c r="G501" s="83" t="s">
        <v>31</v>
      </c>
    </row>
    <row r="502" spans="1:7" x14ac:dyDescent="0.25">
      <c r="A502" s="1237"/>
      <c r="B502" s="1237"/>
      <c r="C502" s="82"/>
      <c r="D502" s="82"/>
      <c r="E502" s="82"/>
      <c r="F502" s="82"/>
      <c r="G502" s="64">
        <f>F499+F498+F497</f>
        <v>467058.75</v>
      </c>
    </row>
    <row r="503" spans="1:7" x14ac:dyDescent="0.25">
      <c r="A503" s="1234" t="s">
        <v>475</v>
      </c>
      <c r="B503" s="1235"/>
      <c r="C503" s="80" t="s">
        <v>32</v>
      </c>
      <c r="D503" s="80" t="s">
        <v>33</v>
      </c>
      <c r="E503" s="80" t="s">
        <v>34</v>
      </c>
      <c r="F503" s="80" t="s">
        <v>35</v>
      </c>
      <c r="G503" s="67"/>
    </row>
    <row r="504" spans="1:7" x14ac:dyDescent="0.25">
      <c r="A504" s="1226" t="s">
        <v>2410</v>
      </c>
      <c r="B504" s="1227"/>
      <c r="C504" s="43"/>
      <c r="D504" s="97">
        <v>25191766.25</v>
      </c>
      <c r="E504" s="92">
        <v>1</v>
      </c>
      <c r="F504" s="85">
        <f>+E504*D504</f>
        <v>25191766.25</v>
      </c>
      <c r="G504" s="69"/>
    </row>
    <row r="505" spans="1:7" x14ac:dyDescent="0.25">
      <c r="A505" s="907"/>
      <c r="B505" s="905"/>
      <c r="C505" s="43"/>
      <c r="D505" s="97"/>
      <c r="E505" s="92"/>
      <c r="F505" s="85"/>
      <c r="G505" s="69"/>
    </row>
    <row r="506" spans="1:7" x14ac:dyDescent="0.25">
      <c r="A506" s="907"/>
      <c r="B506" s="905"/>
      <c r="C506" s="43"/>
      <c r="D506" s="97"/>
      <c r="E506" s="92"/>
      <c r="F506" s="85"/>
      <c r="G506" s="69"/>
    </row>
    <row r="507" spans="1:7" x14ac:dyDescent="0.25">
      <c r="A507" s="907"/>
      <c r="B507" s="905"/>
      <c r="C507" s="43"/>
      <c r="D507" s="97"/>
      <c r="E507" s="92"/>
      <c r="F507" s="85"/>
      <c r="G507" s="69"/>
    </row>
    <row r="508" spans="1:7" x14ac:dyDescent="0.25">
      <c r="A508" s="1228"/>
      <c r="B508" s="1229"/>
      <c r="C508" s="43"/>
      <c r="D508" s="97"/>
      <c r="E508" s="92"/>
      <c r="F508" s="85"/>
      <c r="G508" s="43" t="s">
        <v>31</v>
      </c>
    </row>
    <row r="509" spans="1:7" x14ac:dyDescent="0.25">
      <c r="A509" s="1228"/>
      <c r="B509" s="1229"/>
      <c r="C509" s="69"/>
      <c r="D509" s="69"/>
      <c r="E509" s="69"/>
      <c r="F509" s="69"/>
      <c r="G509" s="65">
        <f>+F504+F507+F505+F506</f>
        <v>25191766.25</v>
      </c>
    </row>
    <row r="510" spans="1:7" ht="24" x14ac:dyDescent="0.25">
      <c r="A510" s="906" t="s">
        <v>329</v>
      </c>
      <c r="B510" s="89" t="s">
        <v>38</v>
      </c>
      <c r="C510" s="89" t="s">
        <v>39</v>
      </c>
      <c r="D510" s="80" t="s">
        <v>40</v>
      </c>
      <c r="E510" s="80" t="s">
        <v>34</v>
      </c>
      <c r="F510" s="80" t="s">
        <v>35</v>
      </c>
      <c r="G510" s="67"/>
    </row>
    <row r="511" spans="1:7" x14ac:dyDescent="0.25">
      <c r="A511" s="90"/>
      <c r="B511" s="43"/>
      <c r="C511" s="43"/>
      <c r="D511" s="62"/>
      <c r="E511" s="91"/>
      <c r="F511" s="62"/>
      <c r="G511" s="69"/>
    </row>
    <row r="512" spans="1:7" x14ac:dyDescent="0.25">
      <c r="A512" s="90"/>
      <c r="B512" s="43"/>
      <c r="C512" s="43"/>
      <c r="D512" s="62"/>
      <c r="E512" s="91"/>
      <c r="F512" s="62"/>
      <c r="G512" s="69"/>
    </row>
    <row r="513" spans="1:7" x14ac:dyDescent="0.25">
      <c r="A513" s="90"/>
      <c r="B513" s="43"/>
      <c r="C513" s="43"/>
      <c r="D513" s="62"/>
      <c r="E513" s="92"/>
      <c r="F513" s="62"/>
      <c r="G513" s="69"/>
    </row>
    <row r="514" spans="1:7" x14ac:dyDescent="0.25">
      <c r="A514" s="90" t="s">
        <v>25</v>
      </c>
      <c r="B514" s="43" t="s">
        <v>25</v>
      </c>
      <c r="C514" s="43" t="s">
        <v>25</v>
      </c>
      <c r="D514" s="61" t="s">
        <v>25</v>
      </c>
      <c r="E514" s="92" t="s">
        <v>25</v>
      </c>
      <c r="F514" s="62" t="s">
        <v>25</v>
      </c>
      <c r="G514" s="43" t="s">
        <v>31</v>
      </c>
    </row>
    <row r="515" spans="1:7" x14ac:dyDescent="0.25">
      <c r="A515" s="90"/>
      <c r="B515" s="69"/>
      <c r="C515" s="69"/>
      <c r="D515" s="69"/>
      <c r="E515" s="69"/>
      <c r="F515" s="69"/>
      <c r="G515" s="64">
        <f>+F511*E511</f>
        <v>0</v>
      </c>
    </row>
    <row r="516" spans="1:7" ht="24" x14ac:dyDescent="0.25">
      <c r="A516" s="906" t="s">
        <v>41</v>
      </c>
      <c r="B516" s="80" t="s">
        <v>42</v>
      </c>
      <c r="C516" s="80" t="s">
        <v>43</v>
      </c>
      <c r="D516" s="80" t="s">
        <v>44</v>
      </c>
      <c r="E516" s="89" t="s">
        <v>306</v>
      </c>
      <c r="F516" s="80" t="s">
        <v>35</v>
      </c>
      <c r="G516" s="67"/>
    </row>
    <row r="517" spans="1:7" x14ac:dyDescent="0.25">
      <c r="A517" s="81"/>
      <c r="B517" s="81"/>
      <c r="C517" s="81"/>
      <c r="D517" s="81"/>
      <c r="E517" s="81"/>
      <c r="F517" s="81"/>
      <c r="G517" s="81"/>
    </row>
    <row r="518" spans="1:7" x14ac:dyDescent="0.25">
      <c r="A518" s="69" t="s">
        <v>2372</v>
      </c>
      <c r="B518" s="85"/>
      <c r="C518" s="96"/>
      <c r="D518" s="62"/>
      <c r="E518" s="121"/>
      <c r="F518" s="62"/>
      <c r="G518" s="69"/>
    </row>
    <row r="519" spans="1:7" ht="24.75" x14ac:dyDescent="0.25">
      <c r="A519" s="881" t="s">
        <v>2378</v>
      </c>
      <c r="B519" s="85">
        <v>295000</v>
      </c>
      <c r="C519" s="96">
        <v>0.89990000000000003</v>
      </c>
      <c r="D519" s="62">
        <f>B519*C519+B519</f>
        <v>560470.5</v>
      </c>
      <c r="E519" s="101">
        <v>0.06</v>
      </c>
      <c r="F519" s="62">
        <f xml:space="preserve"> D519/E519</f>
        <v>9341175</v>
      </c>
      <c r="G519" s="69" t="s">
        <v>25</v>
      </c>
    </row>
    <row r="520" spans="1:7" x14ac:dyDescent="0.25">
      <c r="A520" s="69"/>
      <c r="B520" s="85"/>
      <c r="C520" s="69"/>
      <c r="D520" s="62"/>
      <c r="E520" s="69"/>
      <c r="F520" s="62"/>
      <c r="G520" s="69"/>
    </row>
    <row r="521" spans="1:7" x14ac:dyDescent="0.25">
      <c r="A521" s="69"/>
      <c r="B521" s="69"/>
      <c r="C521" s="69"/>
      <c r="D521" s="69"/>
      <c r="E521" s="69"/>
      <c r="F521" s="69"/>
      <c r="G521" s="43" t="s">
        <v>31</v>
      </c>
    </row>
    <row r="522" spans="1:7" x14ac:dyDescent="0.25">
      <c r="A522" s="82"/>
      <c r="B522" s="82"/>
      <c r="C522" s="82"/>
      <c r="D522" s="82"/>
      <c r="E522" s="82"/>
      <c r="F522" s="82"/>
      <c r="G522" s="64">
        <f>F520+F519+F518</f>
        <v>9341175</v>
      </c>
    </row>
    <row r="523" spans="1:7" x14ac:dyDescent="0.25">
      <c r="A523" s="1230" t="s">
        <v>25</v>
      </c>
      <c r="B523" s="1230"/>
      <c r="C523" s="1230"/>
      <c r="D523" s="1230"/>
      <c r="E523" s="1230"/>
      <c r="F523" s="1230"/>
      <c r="G523" s="1233"/>
    </row>
    <row r="524" spans="1:7" x14ac:dyDescent="0.25">
      <c r="A524" s="1248" t="s">
        <v>45</v>
      </c>
      <c r="B524" s="1248"/>
      <c r="C524" s="1248"/>
      <c r="D524" s="1248"/>
      <c r="E524" s="1231"/>
      <c r="F524" s="93"/>
      <c r="G524" s="70">
        <f xml:space="preserve"> G522+G515+G509+G502</f>
        <v>35000000</v>
      </c>
    </row>
    <row r="525" spans="1:7" x14ac:dyDescent="0.25">
      <c r="A525" s="1232" t="s">
        <v>476</v>
      </c>
      <c r="B525" s="1232"/>
      <c r="C525" s="1222"/>
      <c r="D525" s="1222"/>
      <c r="E525" s="1222" t="s">
        <v>44</v>
      </c>
      <c r="F525" s="1222" t="s">
        <v>51</v>
      </c>
      <c r="G525" s="1222" t="s">
        <v>307</v>
      </c>
    </row>
    <row r="526" spans="1:7" x14ac:dyDescent="0.25">
      <c r="A526" s="1232"/>
      <c r="B526" s="1232"/>
      <c r="C526" s="1222"/>
      <c r="D526" s="1222"/>
      <c r="E526" s="1222"/>
      <c r="F526" s="1222"/>
      <c r="G526" s="1222"/>
    </row>
    <row r="527" spans="1:7" x14ac:dyDescent="0.25">
      <c r="A527" s="1244" t="s">
        <v>17</v>
      </c>
      <c r="B527" s="1244"/>
      <c r="C527" s="1244"/>
      <c r="D527" s="1244"/>
      <c r="E527" s="1244"/>
      <c r="F527" s="1221"/>
      <c r="G527" s="1222"/>
    </row>
    <row r="528" spans="1:7" x14ac:dyDescent="0.25">
      <c r="A528" s="1244" t="s">
        <v>308</v>
      </c>
      <c r="B528" s="1244"/>
      <c r="C528" s="1244"/>
      <c r="D528" s="1244"/>
      <c r="E528" s="1244"/>
      <c r="F528" s="1221"/>
      <c r="G528" s="1222"/>
    </row>
    <row r="529" spans="1:7" x14ac:dyDescent="0.25">
      <c r="A529" s="1244" t="s">
        <v>19</v>
      </c>
      <c r="B529" s="1244"/>
      <c r="C529" s="1244"/>
      <c r="D529" s="1244"/>
      <c r="E529" s="1244"/>
      <c r="F529" s="1221"/>
      <c r="G529" s="1222"/>
    </row>
    <row r="530" spans="1:7" x14ac:dyDescent="0.25">
      <c r="A530" s="1244" t="s">
        <v>309</v>
      </c>
      <c r="B530" s="1244"/>
      <c r="C530" s="1244"/>
      <c r="D530" s="1244"/>
      <c r="E530" s="1244"/>
      <c r="F530" s="1221"/>
      <c r="G530" s="1222"/>
    </row>
    <row r="531" spans="1:7" x14ac:dyDescent="0.25">
      <c r="A531" s="1245" t="s">
        <v>310</v>
      </c>
      <c r="B531" s="1245"/>
      <c r="C531" s="1245"/>
      <c r="D531" s="1245"/>
      <c r="E531" s="1245"/>
      <c r="F531" s="1222"/>
      <c r="G531" s="1222"/>
    </row>
    <row r="537" spans="1:7" x14ac:dyDescent="0.25">
      <c r="A537" s="95"/>
      <c r="B537" s="94"/>
      <c r="C537" s="94"/>
      <c r="D537" s="94"/>
      <c r="E537" s="94"/>
      <c r="F537" s="882" t="s">
        <v>300</v>
      </c>
      <c r="G537" s="882" t="s">
        <v>2451</v>
      </c>
    </row>
    <row r="538" spans="1:7" x14ac:dyDescent="0.25">
      <c r="A538" s="1238" t="s">
        <v>1028</v>
      </c>
      <c r="B538" s="1246"/>
      <c r="C538" s="1246"/>
      <c r="D538" s="1246"/>
      <c r="E538" s="1247"/>
      <c r="F538" s="880" t="s">
        <v>24</v>
      </c>
      <c r="G538" s="880" t="s">
        <v>13</v>
      </c>
    </row>
    <row r="539" spans="1:7" x14ac:dyDescent="0.25">
      <c r="A539" s="1229" t="s">
        <v>25</v>
      </c>
      <c r="B539" s="1229"/>
      <c r="C539" s="1229"/>
      <c r="D539" s="1229"/>
      <c r="E539" s="1229"/>
      <c r="F539" s="1229"/>
      <c r="G539" s="1229"/>
    </row>
    <row r="540" spans="1:7" x14ac:dyDescent="0.25">
      <c r="A540" s="1234" t="s">
        <v>469</v>
      </c>
      <c r="B540" s="1235"/>
      <c r="C540" s="80" t="s">
        <v>26</v>
      </c>
      <c r="D540" s="80" t="s">
        <v>27</v>
      </c>
      <c r="E540" s="80" t="s">
        <v>28</v>
      </c>
      <c r="F540" s="80" t="s">
        <v>35</v>
      </c>
      <c r="G540" s="67"/>
    </row>
    <row r="541" spans="1:7" x14ac:dyDescent="0.25">
      <c r="A541" s="1236"/>
      <c r="B541" s="1236"/>
      <c r="C541" s="69"/>
      <c r="D541" s="62"/>
      <c r="E541" s="62"/>
      <c r="F541" s="62"/>
      <c r="G541" s="81"/>
    </row>
    <row r="542" spans="1:7" x14ac:dyDescent="0.25">
      <c r="A542" s="1236"/>
      <c r="B542" s="1236"/>
      <c r="C542" s="69"/>
      <c r="D542" s="62"/>
      <c r="E542" s="62"/>
      <c r="F542" s="62"/>
      <c r="G542" s="69"/>
    </row>
    <row r="543" spans="1:7" x14ac:dyDescent="0.25">
      <c r="A543" s="1236" t="s">
        <v>30</v>
      </c>
      <c r="B543" s="1236"/>
      <c r="C543" s="69"/>
      <c r="D543" s="69"/>
      <c r="E543" s="69"/>
      <c r="F543" s="62">
        <f>+G566*0.05</f>
        <v>56047.05</v>
      </c>
      <c r="G543" s="69"/>
    </row>
    <row r="544" spans="1:7" x14ac:dyDescent="0.25">
      <c r="A544" s="1236"/>
      <c r="B544" s="1236"/>
      <c r="C544" s="69"/>
      <c r="D544" s="69"/>
      <c r="E544" s="69"/>
      <c r="F544" s="69"/>
      <c r="G544" s="69"/>
    </row>
    <row r="545" spans="1:7" x14ac:dyDescent="0.25">
      <c r="A545" s="1236" t="s">
        <v>25</v>
      </c>
      <c r="B545" s="1236"/>
      <c r="C545" s="69"/>
      <c r="D545" s="69"/>
      <c r="E545" s="69"/>
      <c r="F545" s="69"/>
      <c r="G545" s="83" t="s">
        <v>31</v>
      </c>
    </row>
    <row r="546" spans="1:7" x14ac:dyDescent="0.25">
      <c r="A546" s="1237"/>
      <c r="B546" s="1237"/>
      <c r="C546" s="82"/>
      <c r="D546" s="82"/>
      <c r="E546" s="82"/>
      <c r="F546" s="82"/>
      <c r="G546" s="64">
        <f>F543+F542+F541</f>
        <v>56047.05</v>
      </c>
    </row>
    <row r="547" spans="1:7" x14ac:dyDescent="0.25">
      <c r="A547" s="1234" t="s">
        <v>475</v>
      </c>
      <c r="B547" s="1235"/>
      <c r="C547" s="80" t="s">
        <v>32</v>
      </c>
      <c r="D547" s="80" t="s">
        <v>33</v>
      </c>
      <c r="E547" s="80" t="s">
        <v>34</v>
      </c>
      <c r="F547" s="80" t="s">
        <v>35</v>
      </c>
      <c r="G547" s="67"/>
    </row>
    <row r="548" spans="1:7" x14ac:dyDescent="0.25">
      <c r="A548" s="1226" t="s">
        <v>2410</v>
      </c>
      <c r="B548" s="1227"/>
      <c r="C548" s="43"/>
      <c r="D548" s="97">
        <v>7323011.9499999993</v>
      </c>
      <c r="E548" s="92">
        <v>1</v>
      </c>
      <c r="F548" s="85">
        <f>+E548*D548</f>
        <v>7323011.9499999993</v>
      </c>
      <c r="G548" s="69"/>
    </row>
    <row r="549" spans="1:7" x14ac:dyDescent="0.25">
      <c r="A549" s="907"/>
      <c r="B549" s="905"/>
      <c r="C549" s="43"/>
      <c r="D549" s="97"/>
      <c r="E549" s="92"/>
      <c r="F549" s="85"/>
      <c r="G549" s="69"/>
    </row>
    <row r="550" spans="1:7" x14ac:dyDescent="0.25">
      <c r="A550" s="907"/>
      <c r="B550" s="905"/>
      <c r="C550" s="43"/>
      <c r="D550" s="97"/>
      <c r="E550" s="92"/>
      <c r="F550" s="85"/>
      <c r="G550" s="69"/>
    </row>
    <row r="551" spans="1:7" x14ac:dyDescent="0.25">
      <c r="A551" s="907"/>
      <c r="B551" s="905"/>
      <c r="C551" s="43"/>
      <c r="D551" s="97"/>
      <c r="E551" s="92"/>
      <c r="F551" s="85"/>
      <c r="G551" s="69"/>
    </row>
    <row r="552" spans="1:7" x14ac:dyDescent="0.25">
      <c r="A552" s="1228"/>
      <c r="B552" s="1229"/>
      <c r="C552" s="43"/>
      <c r="D552" s="97"/>
      <c r="E552" s="92"/>
      <c r="F552" s="85"/>
      <c r="G552" s="43" t="s">
        <v>31</v>
      </c>
    </row>
    <row r="553" spans="1:7" x14ac:dyDescent="0.25">
      <c r="A553" s="1228"/>
      <c r="B553" s="1229"/>
      <c r="C553" s="69"/>
      <c r="D553" s="69"/>
      <c r="E553" s="69"/>
      <c r="F553" s="69"/>
      <c r="G553" s="65">
        <f>+F548+F551+F549+F550</f>
        <v>7323011.9499999993</v>
      </c>
    </row>
    <row r="554" spans="1:7" ht="24" x14ac:dyDescent="0.25">
      <c r="A554" s="906" t="s">
        <v>329</v>
      </c>
      <c r="B554" s="89" t="s">
        <v>38</v>
      </c>
      <c r="C554" s="89" t="s">
        <v>39</v>
      </c>
      <c r="D554" s="80" t="s">
        <v>40</v>
      </c>
      <c r="E554" s="80" t="s">
        <v>34</v>
      </c>
      <c r="F554" s="80" t="s">
        <v>35</v>
      </c>
      <c r="G554" s="67"/>
    </row>
    <row r="555" spans="1:7" x14ac:dyDescent="0.25">
      <c r="A555" s="90"/>
      <c r="B555" s="43"/>
      <c r="C555" s="43"/>
      <c r="D555" s="62"/>
      <c r="E555" s="91"/>
      <c r="F555" s="62"/>
      <c r="G555" s="69"/>
    </row>
    <row r="556" spans="1:7" x14ac:dyDescent="0.25">
      <c r="A556" s="90"/>
      <c r="B556" s="43"/>
      <c r="C556" s="43"/>
      <c r="D556" s="62"/>
      <c r="E556" s="91"/>
      <c r="F556" s="62"/>
      <c r="G556" s="69"/>
    </row>
    <row r="557" spans="1:7" x14ac:dyDescent="0.25">
      <c r="A557" s="90"/>
      <c r="B557" s="43"/>
      <c r="C557" s="43"/>
      <c r="D557" s="62"/>
      <c r="E557" s="92"/>
      <c r="F557" s="62"/>
      <c r="G557" s="69"/>
    </row>
    <row r="558" spans="1:7" x14ac:dyDescent="0.25">
      <c r="A558" s="90" t="s">
        <v>25</v>
      </c>
      <c r="B558" s="43" t="s">
        <v>25</v>
      </c>
      <c r="C558" s="43" t="s">
        <v>25</v>
      </c>
      <c r="D558" s="61" t="s">
        <v>25</v>
      </c>
      <c r="E558" s="92" t="s">
        <v>25</v>
      </c>
      <c r="F558" s="62" t="s">
        <v>25</v>
      </c>
      <c r="G558" s="43" t="s">
        <v>31</v>
      </c>
    </row>
    <row r="559" spans="1:7" x14ac:dyDescent="0.25">
      <c r="A559" s="90"/>
      <c r="B559" s="69"/>
      <c r="C559" s="69"/>
      <c r="D559" s="69"/>
      <c r="E559" s="69"/>
      <c r="F559" s="69"/>
      <c r="G559" s="64">
        <f>+F555*E555</f>
        <v>0</v>
      </c>
    </row>
    <row r="560" spans="1:7" ht="24" x14ac:dyDescent="0.25">
      <c r="A560" s="906" t="s">
        <v>41</v>
      </c>
      <c r="B560" s="80" t="s">
        <v>42</v>
      </c>
      <c r="C560" s="80" t="s">
        <v>43</v>
      </c>
      <c r="D560" s="80" t="s">
        <v>44</v>
      </c>
      <c r="E560" s="89" t="s">
        <v>306</v>
      </c>
      <c r="F560" s="80" t="s">
        <v>35</v>
      </c>
      <c r="G560" s="67"/>
    </row>
    <row r="561" spans="1:7" x14ac:dyDescent="0.25">
      <c r="A561" s="81"/>
      <c r="B561" s="81"/>
      <c r="C561" s="81"/>
      <c r="D561" s="81"/>
      <c r="E561" s="81"/>
      <c r="F561" s="81"/>
      <c r="G561" s="81"/>
    </row>
    <row r="562" spans="1:7" x14ac:dyDescent="0.25">
      <c r="A562" s="69" t="s">
        <v>2372</v>
      </c>
      <c r="B562" s="85"/>
      <c r="C562" s="96"/>
      <c r="D562" s="62"/>
      <c r="E562" s="121"/>
      <c r="F562" s="62"/>
      <c r="G562" s="69"/>
    </row>
    <row r="563" spans="1:7" ht="24.75" x14ac:dyDescent="0.25">
      <c r="A563" s="881" t="s">
        <v>2378</v>
      </c>
      <c r="B563" s="85">
        <v>295000</v>
      </c>
      <c r="C563" s="96">
        <v>0.89990000000000003</v>
      </c>
      <c r="D563" s="62">
        <f>B563*C563+B563</f>
        <v>560470.5</v>
      </c>
      <c r="E563" s="101">
        <v>0.5</v>
      </c>
      <c r="F563" s="62">
        <f xml:space="preserve"> D563/E563</f>
        <v>1120941</v>
      </c>
      <c r="G563" s="69" t="s">
        <v>25</v>
      </c>
    </row>
    <row r="564" spans="1:7" x14ac:dyDescent="0.25">
      <c r="A564" s="69"/>
      <c r="B564" s="85"/>
      <c r="C564" s="69"/>
      <c r="D564" s="62"/>
      <c r="E564" s="69"/>
      <c r="F564" s="62"/>
      <c r="G564" s="69"/>
    </row>
    <row r="565" spans="1:7" x14ac:dyDescent="0.25">
      <c r="A565" s="69"/>
      <c r="B565" s="69"/>
      <c r="C565" s="69"/>
      <c r="D565" s="69"/>
      <c r="E565" s="69"/>
      <c r="F565" s="69"/>
      <c r="G565" s="43" t="s">
        <v>31</v>
      </c>
    </row>
    <row r="566" spans="1:7" x14ac:dyDescent="0.25">
      <c r="A566" s="82"/>
      <c r="B566" s="82"/>
      <c r="C566" s="82"/>
      <c r="D566" s="82"/>
      <c r="E566" s="82"/>
      <c r="F566" s="82"/>
      <c r="G566" s="64">
        <f>F564+F563+F562</f>
        <v>1120941</v>
      </c>
    </row>
    <row r="567" spans="1:7" x14ac:dyDescent="0.25">
      <c r="A567" s="1230" t="s">
        <v>25</v>
      </c>
      <c r="B567" s="1230"/>
      <c r="C567" s="1230"/>
      <c r="D567" s="1230"/>
      <c r="E567" s="1230"/>
      <c r="F567" s="1230"/>
      <c r="G567" s="1233"/>
    </row>
    <row r="568" spans="1:7" x14ac:dyDescent="0.25">
      <c r="A568" s="1248" t="s">
        <v>45</v>
      </c>
      <c r="B568" s="1248"/>
      <c r="C568" s="1248"/>
      <c r="D568" s="1248"/>
      <c r="E568" s="1231"/>
      <c r="F568" s="93"/>
      <c r="G568" s="70">
        <f xml:space="preserve"> G566+G559+G553+G546</f>
        <v>8500000</v>
      </c>
    </row>
    <row r="569" spans="1:7" x14ac:dyDescent="0.25">
      <c r="A569" s="1232" t="s">
        <v>476</v>
      </c>
      <c r="B569" s="1232"/>
      <c r="C569" s="1222"/>
      <c r="D569" s="1222"/>
      <c r="E569" s="1222" t="s">
        <v>44</v>
      </c>
      <c r="F569" s="1222" t="s">
        <v>51</v>
      </c>
      <c r="G569" s="1222" t="s">
        <v>307</v>
      </c>
    </row>
    <row r="570" spans="1:7" x14ac:dyDescent="0.25">
      <c r="A570" s="1232"/>
      <c r="B570" s="1232"/>
      <c r="C570" s="1222"/>
      <c r="D570" s="1222"/>
      <c r="E570" s="1222"/>
      <c r="F570" s="1222"/>
      <c r="G570" s="1222"/>
    </row>
    <row r="571" spans="1:7" x14ac:dyDescent="0.25">
      <c r="A571" s="1244" t="s">
        <v>17</v>
      </c>
      <c r="B571" s="1244"/>
      <c r="C571" s="1244"/>
      <c r="D571" s="1244"/>
      <c r="E571" s="1244"/>
      <c r="F571" s="1221"/>
      <c r="G571" s="1222"/>
    </row>
    <row r="572" spans="1:7" x14ac:dyDescent="0.25">
      <c r="A572" s="1244" t="s">
        <v>308</v>
      </c>
      <c r="B572" s="1244"/>
      <c r="C572" s="1244"/>
      <c r="D572" s="1244"/>
      <c r="E572" s="1244"/>
      <c r="F572" s="1221"/>
      <c r="G572" s="1222"/>
    </row>
    <row r="573" spans="1:7" x14ac:dyDescent="0.25">
      <c r="A573" s="1244" t="s">
        <v>19</v>
      </c>
      <c r="B573" s="1244"/>
      <c r="C573" s="1244"/>
      <c r="D573" s="1244"/>
      <c r="E573" s="1244"/>
      <c r="F573" s="1221"/>
      <c r="G573" s="1222"/>
    </row>
    <row r="574" spans="1:7" x14ac:dyDescent="0.25">
      <c r="A574" s="1244" t="s">
        <v>309</v>
      </c>
      <c r="B574" s="1244"/>
      <c r="C574" s="1244"/>
      <c r="D574" s="1244"/>
      <c r="E574" s="1244"/>
      <c r="F574" s="1221"/>
      <c r="G574" s="1222"/>
    </row>
    <row r="575" spans="1:7" x14ac:dyDescent="0.25">
      <c r="A575" s="1245" t="s">
        <v>310</v>
      </c>
      <c r="B575" s="1245"/>
      <c r="C575" s="1245"/>
      <c r="D575" s="1245"/>
      <c r="E575" s="1245"/>
      <c r="F575" s="1222"/>
      <c r="G575" s="1222"/>
    </row>
    <row r="582" spans="1:7" x14ac:dyDescent="0.25">
      <c r="A582" s="95"/>
      <c r="B582" s="94"/>
      <c r="C582" s="94"/>
      <c r="D582" s="94"/>
      <c r="E582" s="94"/>
      <c r="F582" s="882" t="s">
        <v>300</v>
      </c>
      <c r="G582" s="882" t="s">
        <v>2452</v>
      </c>
    </row>
    <row r="583" spans="1:7" x14ac:dyDescent="0.25">
      <c r="A583" s="1238" t="s">
        <v>1077</v>
      </c>
      <c r="B583" s="1246"/>
      <c r="C583" s="1246"/>
      <c r="D583" s="1246"/>
      <c r="E583" s="1247"/>
      <c r="F583" s="880" t="s">
        <v>24</v>
      </c>
      <c r="G583" s="880" t="s">
        <v>13</v>
      </c>
    </row>
    <row r="584" spans="1:7" x14ac:dyDescent="0.25">
      <c r="A584" s="1229" t="s">
        <v>25</v>
      </c>
      <c r="B584" s="1229"/>
      <c r="C584" s="1229"/>
      <c r="D584" s="1229"/>
      <c r="E584" s="1229"/>
      <c r="F584" s="1229"/>
      <c r="G584" s="1229"/>
    </row>
    <row r="585" spans="1:7" x14ac:dyDescent="0.25">
      <c r="A585" s="1234" t="s">
        <v>469</v>
      </c>
      <c r="B585" s="1235"/>
      <c r="C585" s="80" t="s">
        <v>26</v>
      </c>
      <c r="D585" s="80" t="s">
        <v>27</v>
      </c>
      <c r="E585" s="80" t="s">
        <v>28</v>
      </c>
      <c r="F585" s="80" t="s">
        <v>35</v>
      </c>
      <c r="G585" s="67"/>
    </row>
    <row r="586" spans="1:7" x14ac:dyDescent="0.25">
      <c r="A586" s="1236"/>
      <c r="B586" s="1236"/>
      <c r="C586" s="69"/>
      <c r="D586" s="62"/>
      <c r="E586" s="62"/>
      <c r="F586" s="62"/>
      <c r="G586" s="81"/>
    </row>
    <row r="587" spans="1:7" x14ac:dyDescent="0.25">
      <c r="A587" s="1236"/>
      <c r="B587" s="1236"/>
      <c r="C587" s="69"/>
      <c r="D587" s="62"/>
      <c r="E587" s="62"/>
      <c r="F587" s="62"/>
      <c r="G587" s="69"/>
    </row>
    <row r="588" spans="1:7" x14ac:dyDescent="0.25">
      <c r="A588" s="1236" t="s">
        <v>30</v>
      </c>
      <c r="B588" s="1236"/>
      <c r="C588" s="69"/>
      <c r="D588" s="69"/>
      <c r="E588" s="69"/>
      <c r="F588" s="62">
        <f>+G611*0.05</f>
        <v>5604.7050000000008</v>
      </c>
      <c r="G588" s="69"/>
    </row>
    <row r="589" spans="1:7" x14ac:dyDescent="0.25">
      <c r="A589" s="1236"/>
      <c r="B589" s="1236"/>
      <c r="C589" s="69"/>
      <c r="D589" s="69"/>
      <c r="E589" s="69"/>
      <c r="F589" s="69"/>
      <c r="G589" s="69"/>
    </row>
    <row r="590" spans="1:7" x14ac:dyDescent="0.25">
      <c r="A590" s="1236" t="s">
        <v>25</v>
      </c>
      <c r="B590" s="1236"/>
      <c r="C590" s="69"/>
      <c r="D590" s="69"/>
      <c r="E590" s="69"/>
      <c r="F590" s="69"/>
      <c r="G590" s="83" t="s">
        <v>31</v>
      </c>
    </row>
    <row r="591" spans="1:7" x14ac:dyDescent="0.25">
      <c r="A591" s="1237"/>
      <c r="B591" s="1237"/>
      <c r="C591" s="82"/>
      <c r="D591" s="82"/>
      <c r="E591" s="82"/>
      <c r="F591" s="82"/>
      <c r="G591" s="64">
        <f>F588+F587+F586</f>
        <v>5604.7050000000008</v>
      </c>
    </row>
    <row r="592" spans="1:7" x14ac:dyDescent="0.25">
      <c r="A592" s="1234" t="s">
        <v>475</v>
      </c>
      <c r="B592" s="1235"/>
      <c r="C592" s="80" t="s">
        <v>32</v>
      </c>
      <c r="D592" s="80" t="s">
        <v>33</v>
      </c>
      <c r="E592" s="80" t="s">
        <v>34</v>
      </c>
      <c r="F592" s="80" t="s">
        <v>35</v>
      </c>
      <c r="G592" s="67"/>
    </row>
    <row r="593" spans="1:7" x14ac:dyDescent="0.25">
      <c r="A593" s="1226" t="s">
        <v>2410</v>
      </c>
      <c r="B593" s="1227"/>
      <c r="C593" s="43" t="s">
        <v>13</v>
      </c>
      <c r="D593" s="97">
        <v>231881.1949999996</v>
      </c>
      <c r="E593" s="92">
        <v>1</v>
      </c>
      <c r="F593" s="85">
        <f>+E593*D593</f>
        <v>231881.1949999996</v>
      </c>
      <c r="G593" s="69"/>
    </row>
    <row r="594" spans="1:7" x14ac:dyDescent="0.25">
      <c r="A594" s="907"/>
      <c r="B594" s="905"/>
      <c r="C594" s="43"/>
      <c r="D594" s="97"/>
      <c r="E594" s="92"/>
      <c r="F594" s="85"/>
      <c r="G594" s="69"/>
    </row>
    <row r="595" spans="1:7" x14ac:dyDescent="0.25">
      <c r="A595" s="907"/>
      <c r="B595" s="905"/>
      <c r="C595" s="43"/>
      <c r="D595" s="97"/>
      <c r="E595" s="92"/>
      <c r="F595" s="85"/>
      <c r="G595" s="69"/>
    </row>
    <row r="596" spans="1:7" x14ac:dyDescent="0.25">
      <c r="A596" s="907"/>
      <c r="B596" s="905"/>
      <c r="C596" s="43"/>
      <c r="D596" s="97"/>
      <c r="E596" s="92"/>
      <c r="F596" s="85"/>
      <c r="G596" s="69"/>
    </row>
    <row r="597" spans="1:7" x14ac:dyDescent="0.25">
      <c r="A597" s="1228"/>
      <c r="B597" s="1229"/>
      <c r="C597" s="43"/>
      <c r="D597" s="97"/>
      <c r="E597" s="92"/>
      <c r="F597" s="85"/>
      <c r="G597" s="43" t="s">
        <v>31</v>
      </c>
    </row>
    <row r="598" spans="1:7" x14ac:dyDescent="0.25">
      <c r="A598" s="1228"/>
      <c r="B598" s="1229"/>
      <c r="C598" s="69"/>
      <c r="D598" s="69"/>
      <c r="E598" s="69"/>
      <c r="F598" s="69"/>
      <c r="G598" s="65">
        <f>+F593+F596+F594+F595</f>
        <v>231881.1949999996</v>
      </c>
    </row>
    <row r="599" spans="1:7" ht="24" x14ac:dyDescent="0.25">
      <c r="A599" s="906" t="s">
        <v>329</v>
      </c>
      <c r="B599" s="89" t="s">
        <v>38</v>
      </c>
      <c r="C599" s="89" t="s">
        <v>39</v>
      </c>
      <c r="D599" s="80" t="s">
        <v>40</v>
      </c>
      <c r="E599" s="80" t="s">
        <v>34</v>
      </c>
      <c r="F599" s="80" t="s">
        <v>35</v>
      </c>
      <c r="G599" s="67"/>
    </row>
    <row r="600" spans="1:7" x14ac:dyDescent="0.25">
      <c r="A600" s="90"/>
      <c r="B600" s="43"/>
      <c r="C600" s="43"/>
      <c r="D600" s="62"/>
      <c r="E600" s="91"/>
      <c r="F600" s="62"/>
      <c r="G600" s="69"/>
    </row>
    <row r="601" spans="1:7" x14ac:dyDescent="0.25">
      <c r="A601" s="90"/>
      <c r="B601" s="43"/>
      <c r="C601" s="43"/>
      <c r="D601" s="62"/>
      <c r="E601" s="91"/>
      <c r="F601" s="62"/>
      <c r="G601" s="69"/>
    </row>
    <row r="602" spans="1:7" x14ac:dyDescent="0.25">
      <c r="A602" s="90"/>
      <c r="B602" s="43"/>
      <c r="C602" s="43"/>
      <c r="D602" s="62"/>
      <c r="E602" s="92"/>
      <c r="F602" s="62"/>
      <c r="G602" s="69"/>
    </row>
    <row r="603" spans="1:7" x14ac:dyDescent="0.25">
      <c r="A603" s="90" t="s">
        <v>25</v>
      </c>
      <c r="B603" s="43" t="s">
        <v>25</v>
      </c>
      <c r="C603" s="43" t="s">
        <v>25</v>
      </c>
      <c r="D603" s="61" t="s">
        <v>25</v>
      </c>
      <c r="E603" s="92" t="s">
        <v>25</v>
      </c>
      <c r="F603" s="62" t="s">
        <v>25</v>
      </c>
      <c r="G603" s="43" t="s">
        <v>31</v>
      </c>
    </row>
    <row r="604" spans="1:7" x14ac:dyDescent="0.25">
      <c r="A604" s="90"/>
      <c r="B604" s="69"/>
      <c r="C604" s="69"/>
      <c r="D604" s="69"/>
      <c r="E604" s="69"/>
      <c r="F604" s="69"/>
      <c r="G604" s="64">
        <f>+F600*E600</f>
        <v>0</v>
      </c>
    </row>
    <row r="605" spans="1:7" ht="24" x14ac:dyDescent="0.25">
      <c r="A605" s="906" t="s">
        <v>41</v>
      </c>
      <c r="B605" s="80" t="s">
        <v>42</v>
      </c>
      <c r="C605" s="80" t="s">
        <v>43</v>
      </c>
      <c r="D605" s="80" t="s">
        <v>44</v>
      </c>
      <c r="E605" s="89" t="s">
        <v>306</v>
      </c>
      <c r="F605" s="80" t="s">
        <v>35</v>
      </c>
      <c r="G605" s="67"/>
    </row>
    <row r="606" spans="1:7" x14ac:dyDescent="0.25">
      <c r="A606" s="81"/>
      <c r="B606" s="81"/>
      <c r="C606" s="81"/>
      <c r="D606" s="81"/>
      <c r="E606" s="81"/>
      <c r="F606" s="81"/>
      <c r="G606" s="81"/>
    </row>
    <row r="607" spans="1:7" x14ac:dyDescent="0.25">
      <c r="A607" s="69" t="s">
        <v>2372</v>
      </c>
      <c r="B607" s="85"/>
      <c r="C607" s="96"/>
      <c r="D607" s="62"/>
      <c r="E607" s="121"/>
      <c r="F607" s="62"/>
      <c r="G607" s="69"/>
    </row>
    <row r="608" spans="1:7" ht="24.75" x14ac:dyDescent="0.25">
      <c r="A608" s="881" t="s">
        <v>2378</v>
      </c>
      <c r="B608" s="85">
        <v>295000</v>
      </c>
      <c r="C608" s="96">
        <v>0.89990000000000003</v>
      </c>
      <c r="D608" s="62">
        <f>B608*C608+B608</f>
        <v>560470.5</v>
      </c>
      <c r="E608" s="101">
        <v>5</v>
      </c>
      <c r="F608" s="62">
        <f xml:space="preserve"> D608/E608</f>
        <v>112094.1</v>
      </c>
      <c r="G608" s="69" t="s">
        <v>25</v>
      </c>
    </row>
    <row r="609" spans="1:7" x14ac:dyDescent="0.25">
      <c r="A609" s="69"/>
      <c r="B609" s="85"/>
      <c r="C609" s="69"/>
      <c r="D609" s="62"/>
      <c r="E609" s="69"/>
      <c r="F609" s="62"/>
      <c r="G609" s="69"/>
    </row>
    <row r="610" spans="1:7" x14ac:dyDescent="0.25">
      <c r="A610" s="69"/>
      <c r="B610" s="69"/>
      <c r="C610" s="69"/>
      <c r="D610" s="69"/>
      <c r="E610" s="69"/>
      <c r="F610" s="69"/>
      <c r="G610" s="43" t="s">
        <v>31</v>
      </c>
    </row>
    <row r="611" spans="1:7" x14ac:dyDescent="0.25">
      <c r="A611" s="82"/>
      <c r="B611" s="82"/>
      <c r="C611" s="82"/>
      <c r="D611" s="82"/>
      <c r="E611" s="82"/>
      <c r="F611" s="82"/>
      <c r="G611" s="64">
        <f>F609+F608+F607</f>
        <v>112094.1</v>
      </c>
    </row>
    <row r="612" spans="1:7" x14ac:dyDescent="0.25">
      <c r="A612" s="1230" t="s">
        <v>25</v>
      </c>
      <c r="B612" s="1230"/>
      <c r="C612" s="1230"/>
      <c r="D612" s="1230"/>
      <c r="E612" s="1230"/>
      <c r="F612" s="1230"/>
      <c r="G612" s="1233"/>
    </row>
    <row r="613" spans="1:7" x14ac:dyDescent="0.25">
      <c r="A613" s="1248" t="s">
        <v>45</v>
      </c>
      <c r="B613" s="1248"/>
      <c r="C613" s="1248"/>
      <c r="D613" s="1248"/>
      <c r="E613" s="1231"/>
      <c r="F613" s="93"/>
      <c r="G613" s="70">
        <f xml:space="preserve"> G611+G604+G598+G591</f>
        <v>349579.99999999959</v>
      </c>
    </row>
    <row r="614" spans="1:7" x14ac:dyDescent="0.25">
      <c r="A614" s="1232" t="s">
        <v>476</v>
      </c>
      <c r="B614" s="1232"/>
      <c r="C614" s="1222"/>
      <c r="D614" s="1222"/>
      <c r="E614" s="1222" t="s">
        <v>44</v>
      </c>
      <c r="F614" s="1222" t="s">
        <v>51</v>
      </c>
      <c r="G614" s="1222" t="s">
        <v>307</v>
      </c>
    </row>
    <row r="615" spans="1:7" x14ac:dyDescent="0.25">
      <c r="A615" s="1232"/>
      <c r="B615" s="1232"/>
      <c r="C615" s="1222"/>
      <c r="D615" s="1222"/>
      <c r="E615" s="1222"/>
      <c r="F615" s="1222"/>
      <c r="G615" s="1222"/>
    </row>
    <row r="616" spans="1:7" x14ac:dyDescent="0.25">
      <c r="A616" s="1244" t="s">
        <v>17</v>
      </c>
      <c r="B616" s="1244"/>
      <c r="C616" s="1244"/>
      <c r="D616" s="1244"/>
      <c r="E616" s="1244"/>
      <c r="F616" s="1221"/>
      <c r="G616" s="1222"/>
    </row>
    <row r="617" spans="1:7" x14ac:dyDescent="0.25">
      <c r="A617" s="1244" t="s">
        <v>308</v>
      </c>
      <c r="B617" s="1244"/>
      <c r="C617" s="1244"/>
      <c r="D617" s="1244"/>
      <c r="E617" s="1244"/>
      <c r="F617" s="1221"/>
      <c r="G617" s="1222"/>
    </row>
    <row r="618" spans="1:7" x14ac:dyDescent="0.25">
      <c r="A618" s="1244" t="s">
        <v>19</v>
      </c>
      <c r="B618" s="1244"/>
      <c r="C618" s="1244"/>
      <c r="D618" s="1244"/>
      <c r="E618" s="1244"/>
      <c r="F618" s="1221"/>
      <c r="G618" s="1222"/>
    </row>
    <row r="619" spans="1:7" x14ac:dyDescent="0.25">
      <c r="A619" s="1244" t="s">
        <v>309</v>
      </c>
      <c r="B619" s="1244"/>
      <c r="C619" s="1244"/>
      <c r="D619" s="1244"/>
      <c r="E619" s="1244"/>
      <c r="F619" s="1221"/>
      <c r="G619" s="1222"/>
    </row>
    <row r="620" spans="1:7" x14ac:dyDescent="0.25">
      <c r="A620" s="1245" t="s">
        <v>310</v>
      </c>
      <c r="B620" s="1245"/>
      <c r="C620" s="1245"/>
      <c r="D620" s="1245"/>
      <c r="E620" s="1245"/>
      <c r="F620" s="1222"/>
      <c r="G620" s="1222"/>
    </row>
  </sheetData>
  <mergeCells count="406">
    <mergeCell ref="A616:E616"/>
    <mergeCell ref="F616:F619"/>
    <mergeCell ref="G616:G619"/>
    <mergeCell ref="A617:E617"/>
    <mergeCell ref="A618:E618"/>
    <mergeCell ref="A619:E619"/>
    <mergeCell ref="A620:E620"/>
    <mergeCell ref="F620:G620"/>
    <mergeCell ref="A593:B593"/>
    <mergeCell ref="A597:B597"/>
    <mergeCell ref="A598:B598"/>
    <mergeCell ref="A612:G612"/>
    <mergeCell ref="A613:E613"/>
    <mergeCell ref="A614:B615"/>
    <mergeCell ref="C614:C615"/>
    <mergeCell ref="D614:D615"/>
    <mergeCell ref="E614:E615"/>
    <mergeCell ref="F614:F615"/>
    <mergeCell ref="G614:G615"/>
    <mergeCell ref="A584:G584"/>
    <mergeCell ref="A585:B585"/>
    <mergeCell ref="A586:B586"/>
    <mergeCell ref="A587:B587"/>
    <mergeCell ref="A588:B588"/>
    <mergeCell ref="A589:B589"/>
    <mergeCell ref="A590:B590"/>
    <mergeCell ref="A591:B591"/>
    <mergeCell ref="A592:B592"/>
    <mergeCell ref="A571:E571"/>
    <mergeCell ref="F571:F574"/>
    <mergeCell ref="G571:G574"/>
    <mergeCell ref="A572:E572"/>
    <mergeCell ref="A573:E573"/>
    <mergeCell ref="A574:E574"/>
    <mergeCell ref="A575:E575"/>
    <mergeCell ref="F575:G575"/>
    <mergeCell ref="A583:E583"/>
    <mergeCell ref="A548:B548"/>
    <mergeCell ref="A552:B552"/>
    <mergeCell ref="A553:B553"/>
    <mergeCell ref="A567:G567"/>
    <mergeCell ref="A568:E568"/>
    <mergeCell ref="A569:B570"/>
    <mergeCell ref="C569:C570"/>
    <mergeCell ref="D569:D570"/>
    <mergeCell ref="E569:E570"/>
    <mergeCell ref="F569:F570"/>
    <mergeCell ref="G569:G570"/>
    <mergeCell ref="A539:G539"/>
    <mergeCell ref="A540:B540"/>
    <mergeCell ref="A541:B541"/>
    <mergeCell ref="A542:B542"/>
    <mergeCell ref="A543:B543"/>
    <mergeCell ref="A544:B544"/>
    <mergeCell ref="A545:B545"/>
    <mergeCell ref="A546:B546"/>
    <mergeCell ref="A547:B547"/>
    <mergeCell ref="A527:E527"/>
    <mergeCell ref="F527:F530"/>
    <mergeCell ref="G527:G530"/>
    <mergeCell ref="A528:E528"/>
    <mergeCell ref="A529:E529"/>
    <mergeCell ref="A530:E530"/>
    <mergeCell ref="A531:E531"/>
    <mergeCell ref="F531:G531"/>
    <mergeCell ref="A538:E538"/>
    <mergeCell ref="A503:B503"/>
    <mergeCell ref="A504:B504"/>
    <mergeCell ref="A508:B508"/>
    <mergeCell ref="A509:B509"/>
    <mergeCell ref="A523:G523"/>
    <mergeCell ref="A524:E524"/>
    <mergeCell ref="A525:B526"/>
    <mergeCell ref="C525:C526"/>
    <mergeCell ref="D525:D526"/>
    <mergeCell ref="E525:E526"/>
    <mergeCell ref="F525:F526"/>
    <mergeCell ref="G525:G526"/>
    <mergeCell ref="A494:E494"/>
    <mergeCell ref="A495:G495"/>
    <mergeCell ref="A496:B496"/>
    <mergeCell ref="A497:B497"/>
    <mergeCell ref="A498:B498"/>
    <mergeCell ref="A499:B499"/>
    <mergeCell ref="A500:B500"/>
    <mergeCell ref="A501:B501"/>
    <mergeCell ref="A502:B502"/>
    <mergeCell ref="A392:E392"/>
    <mergeCell ref="F392:F395"/>
    <mergeCell ref="G392:G395"/>
    <mergeCell ref="A393:E393"/>
    <mergeCell ref="A394:E394"/>
    <mergeCell ref="A395:E395"/>
    <mergeCell ref="A396:E396"/>
    <mergeCell ref="F396:G396"/>
    <mergeCell ref="A369:B369"/>
    <mergeCell ref="A373:B373"/>
    <mergeCell ref="A374:B374"/>
    <mergeCell ref="A388:G388"/>
    <mergeCell ref="A389:E389"/>
    <mergeCell ref="A390:B391"/>
    <mergeCell ref="C390:C391"/>
    <mergeCell ref="D390:D391"/>
    <mergeCell ref="E390:E391"/>
    <mergeCell ref="F390:F391"/>
    <mergeCell ref="G390:G391"/>
    <mergeCell ref="A360:G360"/>
    <mergeCell ref="A361:B361"/>
    <mergeCell ref="A362:B362"/>
    <mergeCell ref="A363:B363"/>
    <mergeCell ref="A364:B364"/>
    <mergeCell ref="A365:B365"/>
    <mergeCell ref="A366:B366"/>
    <mergeCell ref="A367:B367"/>
    <mergeCell ref="A368:B368"/>
    <mergeCell ref="A347:E347"/>
    <mergeCell ref="F347:F350"/>
    <mergeCell ref="G347:G350"/>
    <mergeCell ref="A348:E348"/>
    <mergeCell ref="A349:E349"/>
    <mergeCell ref="A350:E350"/>
    <mergeCell ref="A351:E351"/>
    <mergeCell ref="F351:G351"/>
    <mergeCell ref="A359:E359"/>
    <mergeCell ref="A323:B323"/>
    <mergeCell ref="A324:B324"/>
    <mergeCell ref="A328:B328"/>
    <mergeCell ref="A329:B329"/>
    <mergeCell ref="A343:G343"/>
    <mergeCell ref="A344:E344"/>
    <mergeCell ref="A345:B346"/>
    <mergeCell ref="C345:C346"/>
    <mergeCell ref="D345:D346"/>
    <mergeCell ref="E345:E346"/>
    <mergeCell ref="F345:F346"/>
    <mergeCell ref="G345:G346"/>
    <mergeCell ref="A314:E314"/>
    <mergeCell ref="A315:G315"/>
    <mergeCell ref="A316:B316"/>
    <mergeCell ref="A317:B317"/>
    <mergeCell ref="A318:B318"/>
    <mergeCell ref="A319:B319"/>
    <mergeCell ref="A320:B320"/>
    <mergeCell ref="A321:B321"/>
    <mergeCell ref="A322:B322"/>
    <mergeCell ref="A306:E306"/>
    <mergeCell ref="F306:G306"/>
    <mergeCell ref="G300:G301"/>
    <mergeCell ref="A302:E302"/>
    <mergeCell ref="F302:F305"/>
    <mergeCell ref="G302:G305"/>
    <mergeCell ref="A303:E303"/>
    <mergeCell ref="A304:E304"/>
    <mergeCell ref="A305:E305"/>
    <mergeCell ref="A279:B279"/>
    <mergeCell ref="A283:B283"/>
    <mergeCell ref="A284:B284"/>
    <mergeCell ref="A298:G298"/>
    <mergeCell ref="A299:E299"/>
    <mergeCell ref="A300:B301"/>
    <mergeCell ref="C300:C301"/>
    <mergeCell ref="D300:D301"/>
    <mergeCell ref="E300:E301"/>
    <mergeCell ref="F300:F301"/>
    <mergeCell ref="A273:B273"/>
    <mergeCell ref="A274:B274"/>
    <mergeCell ref="A275:B275"/>
    <mergeCell ref="A276:B276"/>
    <mergeCell ref="A277:B277"/>
    <mergeCell ref="A278:B278"/>
    <mergeCell ref="A261:E261"/>
    <mergeCell ref="F261:G261"/>
    <mergeCell ref="A269:E269"/>
    <mergeCell ref="A270:G270"/>
    <mergeCell ref="A271:B271"/>
    <mergeCell ref="A272:B272"/>
    <mergeCell ref="G255:G256"/>
    <mergeCell ref="A257:E257"/>
    <mergeCell ref="F257:F260"/>
    <mergeCell ref="G257:G260"/>
    <mergeCell ref="A258:E258"/>
    <mergeCell ref="A259:E259"/>
    <mergeCell ref="A260:E260"/>
    <mergeCell ref="A234:B234"/>
    <mergeCell ref="A238:B238"/>
    <mergeCell ref="A239:B239"/>
    <mergeCell ref="A253:G253"/>
    <mergeCell ref="A254:E254"/>
    <mergeCell ref="A255:B256"/>
    <mergeCell ref="C255:C256"/>
    <mergeCell ref="D255:D256"/>
    <mergeCell ref="E255:E256"/>
    <mergeCell ref="F255:F256"/>
    <mergeCell ref="A228:B228"/>
    <mergeCell ref="A229:B229"/>
    <mergeCell ref="A230:B230"/>
    <mergeCell ref="A231:B231"/>
    <mergeCell ref="A232:B232"/>
    <mergeCell ref="A233:B233"/>
    <mergeCell ref="A216:E216"/>
    <mergeCell ref="F216:G216"/>
    <mergeCell ref="A224:E224"/>
    <mergeCell ref="A225:G225"/>
    <mergeCell ref="A226:B226"/>
    <mergeCell ref="A227:B227"/>
    <mergeCell ref="G210:G211"/>
    <mergeCell ref="A212:E212"/>
    <mergeCell ref="F212:F215"/>
    <mergeCell ref="G212:G215"/>
    <mergeCell ref="A213:E213"/>
    <mergeCell ref="A214:E214"/>
    <mergeCell ref="A215:E215"/>
    <mergeCell ref="A189:B189"/>
    <mergeCell ref="A193:B193"/>
    <mergeCell ref="A194:B194"/>
    <mergeCell ref="A208:G208"/>
    <mergeCell ref="A209:E209"/>
    <mergeCell ref="A210:B211"/>
    <mergeCell ref="C210:C211"/>
    <mergeCell ref="D210:D211"/>
    <mergeCell ref="E210:E211"/>
    <mergeCell ref="F210:F211"/>
    <mergeCell ref="A183:B183"/>
    <mergeCell ref="A184:B184"/>
    <mergeCell ref="A185:B185"/>
    <mergeCell ref="A186:B186"/>
    <mergeCell ref="A187:B187"/>
    <mergeCell ref="A188:B188"/>
    <mergeCell ref="A171:E171"/>
    <mergeCell ref="F171:G171"/>
    <mergeCell ref="A179:E179"/>
    <mergeCell ref="A180:G180"/>
    <mergeCell ref="A181:B181"/>
    <mergeCell ref="A182:B182"/>
    <mergeCell ref="G165:G166"/>
    <mergeCell ref="A167:E167"/>
    <mergeCell ref="F167:F170"/>
    <mergeCell ref="G167:G170"/>
    <mergeCell ref="A168:E168"/>
    <mergeCell ref="A169:E169"/>
    <mergeCell ref="A170:E170"/>
    <mergeCell ref="A144:B144"/>
    <mergeCell ref="A148:B148"/>
    <mergeCell ref="A149:B149"/>
    <mergeCell ref="A163:G163"/>
    <mergeCell ref="A164:E164"/>
    <mergeCell ref="A165:B166"/>
    <mergeCell ref="C165:C166"/>
    <mergeCell ref="D165:D166"/>
    <mergeCell ref="E165:E166"/>
    <mergeCell ref="F165:F166"/>
    <mergeCell ref="A138:B138"/>
    <mergeCell ref="A139:B139"/>
    <mergeCell ref="A140:B140"/>
    <mergeCell ref="A141:B141"/>
    <mergeCell ref="A142:B142"/>
    <mergeCell ref="A143:B143"/>
    <mergeCell ref="A126:E126"/>
    <mergeCell ref="F126:G126"/>
    <mergeCell ref="A134:E134"/>
    <mergeCell ref="A135:G135"/>
    <mergeCell ref="A136:B136"/>
    <mergeCell ref="A137:B137"/>
    <mergeCell ref="G120:G121"/>
    <mergeCell ref="A122:E122"/>
    <mergeCell ref="F122:F125"/>
    <mergeCell ref="G122:G125"/>
    <mergeCell ref="A123:E123"/>
    <mergeCell ref="A124:E124"/>
    <mergeCell ref="A125:E125"/>
    <mergeCell ref="A99:B99"/>
    <mergeCell ref="A103:B103"/>
    <mergeCell ref="A104:B104"/>
    <mergeCell ref="A118:G118"/>
    <mergeCell ref="A119:E119"/>
    <mergeCell ref="A120:B121"/>
    <mergeCell ref="C120:C121"/>
    <mergeCell ref="D120:D121"/>
    <mergeCell ref="E120:E121"/>
    <mergeCell ref="F120:F121"/>
    <mergeCell ref="A93:B93"/>
    <mergeCell ref="A94:B94"/>
    <mergeCell ref="A95:B95"/>
    <mergeCell ref="A96:B96"/>
    <mergeCell ref="A97:B97"/>
    <mergeCell ref="A98:B98"/>
    <mergeCell ref="A78:E78"/>
    <mergeCell ref="F78:G78"/>
    <mergeCell ref="A89:E89"/>
    <mergeCell ref="A90:G90"/>
    <mergeCell ref="A91:B91"/>
    <mergeCell ref="A92:B92"/>
    <mergeCell ref="G72:G73"/>
    <mergeCell ref="A74:E74"/>
    <mergeCell ref="F74:F77"/>
    <mergeCell ref="G74:G77"/>
    <mergeCell ref="A75:E75"/>
    <mergeCell ref="A76:E76"/>
    <mergeCell ref="A77:E77"/>
    <mergeCell ref="A54:B54"/>
    <mergeCell ref="A55:B55"/>
    <mergeCell ref="A56:B56"/>
    <mergeCell ref="A70:G70"/>
    <mergeCell ref="A71:E71"/>
    <mergeCell ref="A72:B73"/>
    <mergeCell ref="C72:C73"/>
    <mergeCell ref="D72:D73"/>
    <mergeCell ref="E72:E73"/>
    <mergeCell ref="F72:F73"/>
    <mergeCell ref="A48:B48"/>
    <mergeCell ref="A49:B49"/>
    <mergeCell ref="A50:B50"/>
    <mergeCell ref="A51:B51"/>
    <mergeCell ref="A52:B52"/>
    <mergeCell ref="A53:B53"/>
    <mergeCell ref="A36:E36"/>
    <mergeCell ref="F36:G36"/>
    <mergeCell ref="A44:E44"/>
    <mergeCell ref="A45:G45"/>
    <mergeCell ref="A46:B46"/>
    <mergeCell ref="A47:B47"/>
    <mergeCell ref="A32:E32"/>
    <mergeCell ref="F32:F35"/>
    <mergeCell ref="G32:G35"/>
    <mergeCell ref="A33:E33"/>
    <mergeCell ref="A34:E34"/>
    <mergeCell ref="A35:E35"/>
    <mergeCell ref="A14:B14"/>
    <mergeCell ref="A28:G28"/>
    <mergeCell ref="A29:E29"/>
    <mergeCell ref="A30:B31"/>
    <mergeCell ref="C30:C31"/>
    <mergeCell ref="D30:D31"/>
    <mergeCell ref="E30:E31"/>
    <mergeCell ref="F30:F31"/>
    <mergeCell ref="G30:G31"/>
    <mergeCell ref="A13:B13"/>
    <mergeCell ref="A8:B8"/>
    <mergeCell ref="A9:B9"/>
    <mergeCell ref="A10:B10"/>
    <mergeCell ref="A11:B11"/>
    <mergeCell ref="A12:B12"/>
    <mergeCell ref="A2:E2"/>
    <mergeCell ref="A3:G3"/>
    <mergeCell ref="A4:B4"/>
    <mergeCell ref="A5:B5"/>
    <mergeCell ref="A6:B6"/>
    <mergeCell ref="A7:B7"/>
    <mergeCell ref="A405:E405"/>
    <mergeCell ref="A406:G406"/>
    <mergeCell ref="A407:B407"/>
    <mergeCell ref="A408:B408"/>
    <mergeCell ref="A409:B409"/>
    <mergeCell ref="A410:B410"/>
    <mergeCell ref="A411:B411"/>
    <mergeCell ref="A412:B412"/>
    <mergeCell ref="A413:B413"/>
    <mergeCell ref="A414:B414"/>
    <mergeCell ref="A415:B415"/>
    <mergeCell ref="A419:B419"/>
    <mergeCell ref="A420:B420"/>
    <mergeCell ref="A434:G434"/>
    <mergeCell ref="A435:E435"/>
    <mergeCell ref="A436:B437"/>
    <mergeCell ref="C436:C437"/>
    <mergeCell ref="D436:D437"/>
    <mergeCell ref="E436:E437"/>
    <mergeCell ref="F436:F437"/>
    <mergeCell ref="G436:G437"/>
    <mergeCell ref="A438:E438"/>
    <mergeCell ref="F438:F441"/>
    <mergeCell ref="G438:G441"/>
    <mergeCell ref="A439:E439"/>
    <mergeCell ref="A440:E440"/>
    <mergeCell ref="A441:E441"/>
    <mergeCell ref="A442:E442"/>
    <mergeCell ref="F442:G442"/>
    <mergeCell ref="A450:E450"/>
    <mergeCell ref="A451:G451"/>
    <mergeCell ref="A452:B452"/>
    <mergeCell ref="A453:B453"/>
    <mergeCell ref="A454:B454"/>
    <mergeCell ref="A455:B455"/>
    <mergeCell ref="A456:B456"/>
    <mergeCell ref="A457:B457"/>
    <mergeCell ref="A458:B458"/>
    <mergeCell ref="A459:B459"/>
    <mergeCell ref="A483:E483"/>
    <mergeCell ref="F483:F486"/>
    <mergeCell ref="G483:G486"/>
    <mergeCell ref="A484:E484"/>
    <mergeCell ref="A485:E485"/>
    <mergeCell ref="A486:E486"/>
    <mergeCell ref="A487:E487"/>
    <mergeCell ref="F487:G487"/>
    <mergeCell ref="A460:B460"/>
    <mergeCell ref="A464:B464"/>
    <mergeCell ref="A465:B465"/>
    <mergeCell ref="A479:G479"/>
    <mergeCell ref="A480:E480"/>
    <mergeCell ref="A481:B482"/>
    <mergeCell ref="C481:C482"/>
    <mergeCell ref="D481:D482"/>
    <mergeCell ref="E481:E482"/>
    <mergeCell ref="F481:F482"/>
    <mergeCell ref="G481:G482"/>
  </mergeCells>
  <pageMargins left="0.7" right="0.7" top="0.75" bottom="0.75" header="0.3" footer="0.3"/>
  <pageSetup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dimension ref="A1:G1308"/>
  <sheetViews>
    <sheetView topLeftCell="A95" zoomScaleNormal="100" zoomScalePageLayoutView="90" workbookViewId="0">
      <selection activeCell="H103" sqref="H103"/>
    </sheetView>
  </sheetViews>
  <sheetFormatPr baseColWidth="10" defaultRowHeight="15" x14ac:dyDescent="0.25"/>
  <cols>
    <col min="1" max="1" width="18.85546875" customWidth="1"/>
    <col min="3" max="3" width="11" customWidth="1"/>
    <col min="4" max="4" width="13" customWidth="1"/>
    <col min="5" max="5" width="9.85546875" customWidth="1"/>
    <col min="6" max="6" width="12" customWidth="1"/>
    <col min="7" max="7" width="13.28515625" customWidth="1"/>
  </cols>
  <sheetData>
    <row r="1" spans="1:7" x14ac:dyDescent="0.25">
      <c r="A1" s="95"/>
      <c r="B1" s="94"/>
      <c r="C1" s="94"/>
      <c r="D1" s="94"/>
      <c r="E1" s="94"/>
      <c r="F1" s="882" t="s">
        <v>300</v>
      </c>
      <c r="G1" s="882" t="s">
        <v>2461</v>
      </c>
    </row>
    <row r="2" spans="1:7" x14ac:dyDescent="0.25">
      <c r="A2" s="1238" t="s">
        <v>1727</v>
      </c>
      <c r="B2" s="1246"/>
      <c r="C2" s="1246"/>
      <c r="D2" s="1246"/>
      <c r="E2" s="1247"/>
      <c r="F2" s="880" t="s">
        <v>24</v>
      </c>
      <c r="G2" s="880" t="s">
        <v>13</v>
      </c>
    </row>
    <row r="3" spans="1:7" x14ac:dyDescent="0.25">
      <c r="A3" s="1229" t="s">
        <v>25</v>
      </c>
      <c r="B3" s="1229"/>
      <c r="C3" s="1229"/>
      <c r="D3" s="1229"/>
      <c r="E3" s="1229"/>
      <c r="F3" s="1229"/>
      <c r="G3" s="1229"/>
    </row>
    <row r="4" spans="1:7" x14ac:dyDescent="0.25">
      <c r="A4" s="1234" t="s">
        <v>469</v>
      </c>
      <c r="B4" s="1235"/>
      <c r="C4" s="80" t="s">
        <v>26</v>
      </c>
      <c r="D4" s="80" t="s">
        <v>27</v>
      </c>
      <c r="E4" s="80" t="s">
        <v>28</v>
      </c>
      <c r="F4" s="80" t="s">
        <v>35</v>
      </c>
      <c r="G4" s="67"/>
    </row>
    <row r="5" spans="1:7" x14ac:dyDescent="0.25">
      <c r="A5" s="1236"/>
      <c r="B5" s="1236"/>
      <c r="C5" s="69"/>
      <c r="D5" s="62"/>
      <c r="E5" s="62"/>
      <c r="F5" s="62"/>
      <c r="G5" s="81"/>
    </row>
    <row r="6" spans="1:7" x14ac:dyDescent="0.25">
      <c r="A6" s="1236"/>
      <c r="B6" s="1236"/>
      <c r="C6" s="69"/>
      <c r="D6" s="62"/>
      <c r="E6" s="62"/>
      <c r="F6" s="62"/>
      <c r="G6" s="69"/>
    </row>
    <row r="7" spans="1:7" x14ac:dyDescent="0.25">
      <c r="A7" s="1236" t="s">
        <v>30</v>
      </c>
      <c r="B7" s="1236"/>
      <c r="C7" s="69"/>
      <c r="D7" s="69"/>
      <c r="E7" s="69"/>
      <c r="F7" s="62">
        <f>+G30*0.05</f>
        <v>1120.941</v>
      </c>
      <c r="G7" s="69"/>
    </row>
    <row r="8" spans="1:7" x14ac:dyDescent="0.25">
      <c r="A8" s="1236"/>
      <c r="B8" s="1236"/>
      <c r="C8" s="69"/>
      <c r="D8" s="69"/>
      <c r="E8" s="69"/>
      <c r="F8" s="69"/>
      <c r="G8" s="69"/>
    </row>
    <row r="9" spans="1:7" x14ac:dyDescent="0.25">
      <c r="A9" s="1236" t="s">
        <v>25</v>
      </c>
      <c r="B9" s="1236"/>
      <c r="C9" s="69"/>
      <c r="D9" s="69"/>
      <c r="E9" s="69"/>
      <c r="F9" s="69"/>
      <c r="G9" s="83" t="s">
        <v>31</v>
      </c>
    </row>
    <row r="10" spans="1:7" x14ac:dyDescent="0.25">
      <c r="A10" s="1237"/>
      <c r="B10" s="1237"/>
      <c r="C10" s="82"/>
      <c r="D10" s="82"/>
      <c r="E10" s="82"/>
      <c r="F10" s="82"/>
      <c r="G10" s="64">
        <f>F7+F6+F5</f>
        <v>1120.941</v>
      </c>
    </row>
    <row r="11" spans="1:7" x14ac:dyDescent="0.25">
      <c r="A11" s="1234" t="s">
        <v>475</v>
      </c>
      <c r="B11" s="1235"/>
      <c r="C11" s="80" t="s">
        <v>32</v>
      </c>
      <c r="D11" s="80" t="s">
        <v>33</v>
      </c>
      <c r="E11" s="80" t="s">
        <v>34</v>
      </c>
      <c r="F11" s="80" t="s">
        <v>35</v>
      </c>
      <c r="G11" s="67"/>
    </row>
    <row r="12" spans="1:7" x14ac:dyDescent="0.25">
      <c r="A12" s="1226" t="s">
        <v>2410</v>
      </c>
      <c r="B12" s="1227"/>
      <c r="C12" s="43" t="s">
        <v>2456</v>
      </c>
      <c r="D12" s="97">
        <v>56933.989000000176</v>
      </c>
      <c r="E12" s="92">
        <v>1</v>
      </c>
      <c r="F12" s="85">
        <f>+E12*D12</f>
        <v>56933.989000000176</v>
      </c>
      <c r="G12" s="69"/>
    </row>
    <row r="13" spans="1:7" x14ac:dyDescent="0.25">
      <c r="A13" s="914"/>
      <c r="B13" s="912"/>
      <c r="C13" s="43"/>
      <c r="D13" s="97"/>
      <c r="E13" s="92"/>
      <c r="F13" s="85"/>
      <c r="G13" s="69"/>
    </row>
    <row r="14" spans="1:7" x14ac:dyDescent="0.25">
      <c r="A14" s="914"/>
      <c r="B14" s="912"/>
      <c r="C14" s="43"/>
      <c r="D14" s="97"/>
      <c r="E14" s="92"/>
      <c r="F14" s="85"/>
      <c r="G14" s="69"/>
    </row>
    <row r="15" spans="1:7" x14ac:dyDescent="0.25">
      <c r="A15" s="914"/>
      <c r="B15" s="912"/>
      <c r="C15" s="43"/>
      <c r="D15" s="97"/>
      <c r="E15" s="92"/>
      <c r="F15" s="85"/>
      <c r="G15" s="69"/>
    </row>
    <row r="16" spans="1:7" x14ac:dyDescent="0.25">
      <c r="A16" s="1228"/>
      <c r="B16" s="1229"/>
      <c r="C16" s="43"/>
      <c r="D16" s="97"/>
      <c r="E16" s="92"/>
      <c r="F16" s="85"/>
      <c r="G16" s="43" t="s">
        <v>31</v>
      </c>
    </row>
    <row r="17" spans="1:7" x14ac:dyDescent="0.25">
      <c r="A17" s="1228"/>
      <c r="B17" s="1229"/>
      <c r="C17" s="69"/>
      <c r="D17" s="69"/>
      <c r="E17" s="69"/>
      <c r="F17" s="69"/>
      <c r="G17" s="65">
        <f>+F12+F15+F13+F14</f>
        <v>56933.989000000176</v>
      </c>
    </row>
    <row r="18" spans="1:7" ht="24" x14ac:dyDescent="0.25">
      <c r="A18" s="913" t="s">
        <v>329</v>
      </c>
      <c r="B18" s="89" t="s">
        <v>38</v>
      </c>
      <c r="C18" s="89" t="s">
        <v>39</v>
      </c>
      <c r="D18" s="80" t="s">
        <v>40</v>
      </c>
      <c r="E18" s="80" t="s">
        <v>34</v>
      </c>
      <c r="F18" s="80" t="s">
        <v>35</v>
      </c>
      <c r="G18" s="67"/>
    </row>
    <row r="19" spans="1:7" x14ac:dyDescent="0.25">
      <c r="A19" s="90"/>
      <c r="B19" s="43"/>
      <c r="C19" s="43"/>
      <c r="D19" s="62"/>
      <c r="E19" s="91"/>
      <c r="F19" s="62"/>
      <c r="G19" s="69"/>
    </row>
    <row r="20" spans="1:7" x14ac:dyDescent="0.25">
      <c r="A20" s="90"/>
      <c r="B20" s="43"/>
      <c r="C20" s="43"/>
      <c r="D20" s="62"/>
      <c r="E20" s="91"/>
      <c r="F20" s="62"/>
      <c r="G20" s="69"/>
    </row>
    <row r="21" spans="1:7" x14ac:dyDescent="0.25">
      <c r="A21" s="90"/>
      <c r="B21" s="43"/>
      <c r="C21" s="43"/>
      <c r="D21" s="62"/>
      <c r="E21" s="92"/>
      <c r="F21" s="62"/>
      <c r="G21" s="69"/>
    </row>
    <row r="22" spans="1:7" x14ac:dyDescent="0.25">
      <c r="A22" s="90" t="s">
        <v>25</v>
      </c>
      <c r="B22" s="43" t="s">
        <v>25</v>
      </c>
      <c r="C22" s="43" t="s">
        <v>25</v>
      </c>
      <c r="D22" s="61" t="s">
        <v>25</v>
      </c>
      <c r="E22" s="92" t="s">
        <v>25</v>
      </c>
      <c r="F22" s="62" t="s">
        <v>25</v>
      </c>
      <c r="G22" s="43" t="s">
        <v>31</v>
      </c>
    </row>
    <row r="23" spans="1:7" ht="63.75" customHeight="1" x14ac:dyDescent="0.25">
      <c r="A23" s="90"/>
      <c r="B23" s="69"/>
      <c r="C23" s="69"/>
      <c r="D23" s="69"/>
      <c r="E23" s="69"/>
      <c r="F23" s="69"/>
      <c r="G23" s="64">
        <f>+F19*E19</f>
        <v>0</v>
      </c>
    </row>
    <row r="24" spans="1:7" ht="24" x14ac:dyDescent="0.25">
      <c r="A24" s="913" t="s">
        <v>41</v>
      </c>
      <c r="B24" s="80" t="s">
        <v>42</v>
      </c>
      <c r="C24" s="80" t="s">
        <v>43</v>
      </c>
      <c r="D24" s="80" t="s">
        <v>44</v>
      </c>
      <c r="E24" s="89" t="s">
        <v>306</v>
      </c>
      <c r="F24" s="80" t="s">
        <v>35</v>
      </c>
      <c r="G24" s="67"/>
    </row>
    <row r="25" spans="1:7" x14ac:dyDescent="0.25">
      <c r="A25" s="81"/>
      <c r="B25" s="81"/>
      <c r="C25" s="81"/>
      <c r="D25" s="81"/>
      <c r="E25" s="81"/>
      <c r="F25" s="81"/>
      <c r="G25" s="81"/>
    </row>
    <row r="26" spans="1:7" x14ac:dyDescent="0.25">
      <c r="A26" s="69" t="s">
        <v>2372</v>
      </c>
      <c r="B26" s="85"/>
      <c r="C26" s="96"/>
      <c r="D26" s="62"/>
      <c r="E26" s="121"/>
      <c r="F26" s="62"/>
      <c r="G26" s="69"/>
    </row>
    <row r="27" spans="1:7" ht="24.75" x14ac:dyDescent="0.25">
      <c r="A27" s="881" t="s">
        <v>2378</v>
      </c>
      <c r="B27" s="85">
        <v>295000</v>
      </c>
      <c r="C27" s="96">
        <v>0.89990000000000003</v>
      </c>
      <c r="D27" s="62">
        <f>B27*C27+B27</f>
        <v>560470.5</v>
      </c>
      <c r="E27" s="121">
        <v>25</v>
      </c>
      <c r="F27" s="62">
        <f xml:space="preserve"> D27/E27</f>
        <v>22418.82</v>
      </c>
      <c r="G27" s="69" t="s">
        <v>25</v>
      </c>
    </row>
    <row r="28" spans="1:7" x14ac:dyDescent="0.25">
      <c r="A28" s="69"/>
      <c r="B28" s="85"/>
      <c r="C28" s="69"/>
      <c r="D28" s="62"/>
      <c r="E28" s="69"/>
      <c r="F28" s="62"/>
      <c r="G28" s="69"/>
    </row>
    <row r="29" spans="1:7" x14ac:dyDescent="0.25">
      <c r="A29" s="69"/>
      <c r="B29" s="69"/>
      <c r="C29" s="69"/>
      <c r="D29" s="69"/>
      <c r="E29" s="69"/>
      <c r="F29" s="69"/>
      <c r="G29" s="43" t="s">
        <v>31</v>
      </c>
    </row>
    <row r="30" spans="1:7" x14ac:dyDescent="0.25">
      <c r="A30" s="82"/>
      <c r="B30" s="82"/>
      <c r="C30" s="82"/>
      <c r="D30" s="82"/>
      <c r="E30" s="82"/>
      <c r="F30" s="82"/>
      <c r="G30" s="64">
        <f>F28+F27+F26</f>
        <v>22418.82</v>
      </c>
    </row>
    <row r="31" spans="1:7" x14ac:dyDescent="0.25">
      <c r="A31" s="1230" t="s">
        <v>25</v>
      </c>
      <c r="B31" s="1230"/>
      <c r="C31" s="1230"/>
      <c r="D31" s="1230"/>
      <c r="E31" s="1230"/>
      <c r="F31" s="1230"/>
      <c r="G31" s="1233"/>
    </row>
    <row r="32" spans="1:7" x14ac:dyDescent="0.25">
      <c r="A32" s="1248" t="s">
        <v>45</v>
      </c>
      <c r="B32" s="1248"/>
      <c r="C32" s="1248"/>
      <c r="D32" s="1248"/>
      <c r="E32" s="1231"/>
      <c r="F32" s="93"/>
      <c r="G32" s="70">
        <f xml:space="preserve"> G30+G23+G17+G10</f>
        <v>80473.750000000189</v>
      </c>
    </row>
    <row r="33" spans="1:7" x14ac:dyDescent="0.25">
      <c r="A33" s="1232" t="s">
        <v>476</v>
      </c>
      <c r="B33" s="1232"/>
      <c r="C33" s="1222"/>
      <c r="D33" s="1222"/>
      <c r="E33" s="1222" t="s">
        <v>44</v>
      </c>
      <c r="F33" s="1222" t="s">
        <v>51</v>
      </c>
      <c r="G33" s="1222" t="s">
        <v>307</v>
      </c>
    </row>
    <row r="34" spans="1:7" x14ac:dyDescent="0.25">
      <c r="A34" s="1232"/>
      <c r="B34" s="1232"/>
      <c r="C34" s="1222"/>
      <c r="D34" s="1222"/>
      <c r="E34" s="1222"/>
      <c r="F34" s="1222"/>
      <c r="G34" s="1222"/>
    </row>
    <row r="35" spans="1:7" x14ac:dyDescent="0.25">
      <c r="A35" s="1244" t="s">
        <v>17</v>
      </c>
      <c r="B35" s="1244"/>
      <c r="C35" s="1244"/>
      <c r="D35" s="1244"/>
      <c r="E35" s="1244"/>
      <c r="F35" s="1221"/>
      <c r="G35" s="1222"/>
    </row>
    <row r="36" spans="1:7" x14ac:dyDescent="0.25">
      <c r="A36" s="1244" t="s">
        <v>308</v>
      </c>
      <c r="B36" s="1244"/>
      <c r="C36" s="1244"/>
      <c r="D36" s="1244"/>
      <c r="E36" s="1244"/>
      <c r="F36" s="1221"/>
      <c r="G36" s="1222"/>
    </row>
    <row r="37" spans="1:7" x14ac:dyDescent="0.25">
      <c r="A37" s="1244" t="s">
        <v>19</v>
      </c>
      <c r="B37" s="1244"/>
      <c r="C37" s="1244"/>
      <c r="D37" s="1244"/>
      <c r="E37" s="1244"/>
      <c r="F37" s="1221"/>
      <c r="G37" s="1222"/>
    </row>
    <row r="38" spans="1:7" x14ac:dyDescent="0.25">
      <c r="A38" s="1244" t="s">
        <v>309</v>
      </c>
      <c r="B38" s="1244"/>
      <c r="C38" s="1244"/>
      <c r="D38" s="1244"/>
      <c r="E38" s="1244"/>
      <c r="F38" s="1221"/>
      <c r="G38" s="1222"/>
    </row>
    <row r="39" spans="1:7" x14ac:dyDescent="0.25">
      <c r="A39" s="1245" t="s">
        <v>310</v>
      </c>
      <c r="B39" s="1245"/>
      <c r="C39" s="1245"/>
      <c r="D39" s="1245"/>
      <c r="E39" s="1245"/>
      <c r="F39" s="1222"/>
      <c r="G39" s="1222"/>
    </row>
    <row r="40" spans="1:7" x14ac:dyDescent="0.25">
      <c r="A40" s="68"/>
      <c r="B40" s="94"/>
      <c r="C40" s="94"/>
      <c r="D40" s="94"/>
      <c r="E40" s="94"/>
      <c r="F40" s="94"/>
      <c r="G40" s="94"/>
    </row>
    <row r="41" spans="1:7" x14ac:dyDescent="0.25">
      <c r="A41" s="95"/>
      <c r="B41" s="94"/>
      <c r="C41" s="94"/>
      <c r="D41" s="94"/>
      <c r="E41" s="94"/>
      <c r="F41" s="882"/>
      <c r="G41" s="882"/>
    </row>
    <row r="42" spans="1:7" x14ac:dyDescent="0.25">
      <c r="A42" s="1238"/>
      <c r="B42" s="1246"/>
      <c r="C42" s="1246"/>
      <c r="D42" s="1246"/>
      <c r="E42" s="1247"/>
      <c r="F42" s="880"/>
      <c r="G42" s="880"/>
    </row>
    <row r="43" spans="1:7" x14ac:dyDescent="0.25">
      <c r="A43" s="95"/>
      <c r="B43" s="94"/>
      <c r="C43" s="94"/>
      <c r="D43" s="94"/>
      <c r="E43" s="94"/>
      <c r="F43" s="882" t="s">
        <v>300</v>
      </c>
      <c r="G43" s="882" t="s">
        <v>2462</v>
      </c>
    </row>
    <row r="44" spans="1:7" x14ac:dyDescent="0.25">
      <c r="A44" s="1238" t="s">
        <v>1729</v>
      </c>
      <c r="B44" s="1246"/>
      <c r="C44" s="1246"/>
      <c r="D44" s="1246"/>
      <c r="E44" s="1247"/>
      <c r="F44" s="880" t="s">
        <v>24</v>
      </c>
      <c r="G44" s="880" t="s">
        <v>13</v>
      </c>
    </row>
    <row r="45" spans="1:7" x14ac:dyDescent="0.25">
      <c r="A45" s="1229" t="s">
        <v>25</v>
      </c>
      <c r="B45" s="1229"/>
      <c r="C45" s="1229"/>
      <c r="D45" s="1229"/>
      <c r="E45" s="1229"/>
      <c r="F45" s="1229"/>
      <c r="G45" s="1229"/>
    </row>
    <row r="46" spans="1:7" x14ac:dyDescent="0.25">
      <c r="A46" s="1234" t="s">
        <v>469</v>
      </c>
      <c r="B46" s="1235"/>
      <c r="C46" s="80" t="s">
        <v>26</v>
      </c>
      <c r="D46" s="80" t="s">
        <v>27</v>
      </c>
      <c r="E46" s="80" t="s">
        <v>28</v>
      </c>
      <c r="F46" s="80" t="s">
        <v>35</v>
      </c>
      <c r="G46" s="67"/>
    </row>
    <row r="47" spans="1:7" x14ac:dyDescent="0.25">
      <c r="A47" s="1236"/>
      <c r="B47" s="1236"/>
      <c r="C47" s="69"/>
      <c r="D47" s="62"/>
      <c r="E47" s="62"/>
      <c r="F47" s="62"/>
      <c r="G47" s="81"/>
    </row>
    <row r="48" spans="1:7" x14ac:dyDescent="0.25">
      <c r="A48" s="1236"/>
      <c r="B48" s="1236"/>
      <c r="C48" s="69"/>
      <c r="D48" s="62"/>
      <c r="E48" s="62"/>
      <c r="F48" s="62"/>
      <c r="G48" s="69"/>
    </row>
    <row r="49" spans="1:7" x14ac:dyDescent="0.25">
      <c r="A49" s="1236" t="s">
        <v>30</v>
      </c>
      <c r="B49" s="1236"/>
      <c r="C49" s="69"/>
      <c r="D49" s="69"/>
      <c r="E49" s="69"/>
      <c r="F49" s="62">
        <f>+G72*0.05</f>
        <v>4670.5875000000005</v>
      </c>
      <c r="G49" s="69"/>
    </row>
    <row r="50" spans="1:7" x14ac:dyDescent="0.25">
      <c r="A50" s="1236"/>
      <c r="B50" s="1236"/>
      <c r="C50" s="69"/>
      <c r="D50" s="69"/>
      <c r="E50" s="69"/>
      <c r="F50" s="69"/>
      <c r="G50" s="69"/>
    </row>
    <row r="51" spans="1:7" x14ac:dyDescent="0.25">
      <c r="A51" s="1236" t="s">
        <v>25</v>
      </c>
      <c r="B51" s="1236"/>
      <c r="C51" s="69"/>
      <c r="D51" s="69"/>
      <c r="E51" s="69"/>
      <c r="F51" s="69"/>
      <c r="G51" s="83" t="s">
        <v>31</v>
      </c>
    </row>
    <row r="52" spans="1:7" x14ac:dyDescent="0.25">
      <c r="A52" s="1237"/>
      <c r="B52" s="1237"/>
      <c r="C52" s="82"/>
      <c r="D52" s="82"/>
      <c r="E52" s="82"/>
      <c r="F52" s="82"/>
      <c r="G52" s="64">
        <f>F49+F48+F47</f>
        <v>4670.5875000000005</v>
      </c>
    </row>
    <row r="53" spans="1:7" x14ac:dyDescent="0.25">
      <c r="A53" s="1234" t="s">
        <v>475</v>
      </c>
      <c r="B53" s="1235"/>
      <c r="C53" s="80" t="s">
        <v>32</v>
      </c>
      <c r="D53" s="80" t="s">
        <v>33</v>
      </c>
      <c r="E53" s="80" t="s">
        <v>34</v>
      </c>
      <c r="F53" s="80" t="s">
        <v>35</v>
      </c>
      <c r="G53" s="67"/>
    </row>
    <row r="54" spans="1:7" x14ac:dyDescent="0.25">
      <c r="A54" s="1226" t="s">
        <v>2410</v>
      </c>
      <c r="B54" s="1227"/>
      <c r="C54" s="43" t="s">
        <v>2456</v>
      </c>
      <c r="D54" s="97">
        <v>137517.66249999998</v>
      </c>
      <c r="E54" s="92">
        <v>1</v>
      </c>
      <c r="F54" s="85">
        <f>+E54*D54</f>
        <v>137517.66249999998</v>
      </c>
      <c r="G54" s="69"/>
    </row>
    <row r="55" spans="1:7" x14ac:dyDescent="0.25">
      <c r="A55" s="914"/>
      <c r="B55" s="912"/>
      <c r="C55" s="43"/>
      <c r="D55" s="97"/>
      <c r="E55" s="92"/>
      <c r="F55" s="85"/>
      <c r="G55" s="69"/>
    </row>
    <row r="56" spans="1:7" x14ac:dyDescent="0.25">
      <c r="A56" s="914"/>
      <c r="B56" s="912"/>
      <c r="C56" s="43"/>
      <c r="D56" s="97"/>
      <c r="E56" s="92"/>
      <c r="F56" s="85"/>
      <c r="G56" s="69"/>
    </row>
    <row r="57" spans="1:7" x14ac:dyDescent="0.25">
      <c r="A57" s="914"/>
      <c r="B57" s="912"/>
      <c r="C57" s="43"/>
      <c r="D57" s="97"/>
      <c r="E57" s="92"/>
      <c r="F57" s="85"/>
      <c r="G57" s="69"/>
    </row>
    <row r="58" spans="1:7" x14ac:dyDescent="0.25">
      <c r="A58" s="1228"/>
      <c r="B58" s="1229"/>
      <c r="C58" s="43"/>
      <c r="D58" s="97"/>
      <c r="E58" s="92"/>
      <c r="F58" s="85"/>
      <c r="G58" s="43" t="s">
        <v>31</v>
      </c>
    </row>
    <row r="59" spans="1:7" x14ac:dyDescent="0.25">
      <c r="A59" s="1228"/>
      <c r="B59" s="1229"/>
      <c r="C59" s="69"/>
      <c r="D59" s="69"/>
      <c r="E59" s="69"/>
      <c r="F59" s="69"/>
      <c r="G59" s="65">
        <f>+F54+F57+F55+F56</f>
        <v>137517.66249999998</v>
      </c>
    </row>
    <row r="60" spans="1:7" ht="24" x14ac:dyDescent="0.25">
      <c r="A60" s="913" t="s">
        <v>329</v>
      </c>
      <c r="B60" s="89" t="s">
        <v>38</v>
      </c>
      <c r="C60" s="89" t="s">
        <v>39</v>
      </c>
      <c r="D60" s="80" t="s">
        <v>40</v>
      </c>
      <c r="E60" s="80" t="s">
        <v>34</v>
      </c>
      <c r="F60" s="80" t="s">
        <v>35</v>
      </c>
      <c r="G60" s="67"/>
    </row>
    <row r="61" spans="1:7" x14ac:dyDescent="0.25">
      <c r="A61" s="90"/>
      <c r="B61" s="43"/>
      <c r="C61" s="43"/>
      <c r="D61" s="62"/>
      <c r="E61" s="91"/>
      <c r="F61" s="62"/>
      <c r="G61" s="69"/>
    </row>
    <row r="62" spans="1:7" x14ac:dyDescent="0.25">
      <c r="A62" s="90"/>
      <c r="B62" s="43"/>
      <c r="C62" s="43"/>
      <c r="D62" s="62"/>
      <c r="E62" s="91"/>
      <c r="F62" s="62"/>
      <c r="G62" s="69"/>
    </row>
    <row r="63" spans="1:7" x14ac:dyDescent="0.25">
      <c r="A63" s="90"/>
      <c r="B63" s="43"/>
      <c r="C63" s="43"/>
      <c r="D63" s="62"/>
      <c r="E63" s="92"/>
      <c r="F63" s="62"/>
      <c r="G63" s="69"/>
    </row>
    <row r="64" spans="1:7" x14ac:dyDescent="0.25">
      <c r="A64" s="90" t="s">
        <v>25</v>
      </c>
      <c r="B64" s="43" t="s">
        <v>25</v>
      </c>
      <c r="C64" s="43" t="s">
        <v>25</v>
      </c>
      <c r="D64" s="61" t="s">
        <v>25</v>
      </c>
      <c r="E64" s="92" t="s">
        <v>25</v>
      </c>
      <c r="F64" s="62" t="s">
        <v>25</v>
      </c>
      <c r="G64" s="43" t="s">
        <v>31</v>
      </c>
    </row>
    <row r="65" spans="1:7" x14ac:dyDescent="0.25">
      <c r="A65" s="90"/>
      <c r="B65" s="69"/>
      <c r="C65" s="69"/>
      <c r="D65" s="69"/>
      <c r="E65" s="69"/>
      <c r="F65" s="69"/>
      <c r="G65" s="64">
        <f>+F61*E61</f>
        <v>0</v>
      </c>
    </row>
    <row r="66" spans="1:7" ht="24" x14ac:dyDescent="0.25">
      <c r="A66" s="913" t="s">
        <v>41</v>
      </c>
      <c r="B66" s="80" t="s">
        <v>42</v>
      </c>
      <c r="C66" s="80" t="s">
        <v>43</v>
      </c>
      <c r="D66" s="80" t="s">
        <v>44</v>
      </c>
      <c r="E66" s="89" t="s">
        <v>306</v>
      </c>
      <c r="F66" s="80" t="s">
        <v>35</v>
      </c>
      <c r="G66" s="67"/>
    </row>
    <row r="67" spans="1:7" x14ac:dyDescent="0.25">
      <c r="A67" s="81"/>
      <c r="B67" s="81"/>
      <c r="C67" s="81"/>
      <c r="D67" s="81"/>
      <c r="E67" s="81"/>
      <c r="F67" s="81"/>
      <c r="G67" s="81"/>
    </row>
    <row r="68" spans="1:7" x14ac:dyDescent="0.25">
      <c r="A68" s="69" t="s">
        <v>2372</v>
      </c>
      <c r="B68" s="85"/>
      <c r="C68" s="96"/>
      <c r="D68" s="62"/>
      <c r="E68" s="121"/>
      <c r="F68" s="62"/>
      <c r="G68" s="69"/>
    </row>
    <row r="69" spans="1:7" ht="24.75" x14ac:dyDescent="0.25">
      <c r="A69" s="881" t="s">
        <v>2378</v>
      </c>
      <c r="B69" s="85">
        <v>295000</v>
      </c>
      <c r="C69" s="96">
        <v>0.89990000000000003</v>
      </c>
      <c r="D69" s="62">
        <f>B69*C69+B69</f>
        <v>560470.5</v>
      </c>
      <c r="E69" s="121">
        <v>6</v>
      </c>
      <c r="F69" s="62">
        <f xml:space="preserve"> D69/E69</f>
        <v>93411.75</v>
      </c>
      <c r="G69" s="69" t="s">
        <v>25</v>
      </c>
    </row>
    <row r="70" spans="1:7" x14ac:dyDescent="0.25">
      <c r="A70" s="69"/>
      <c r="B70" s="85"/>
      <c r="C70" s="69"/>
      <c r="D70" s="62"/>
      <c r="E70" s="69"/>
      <c r="F70" s="62"/>
      <c r="G70" s="69"/>
    </row>
    <row r="71" spans="1:7" x14ac:dyDescent="0.25">
      <c r="A71" s="69"/>
      <c r="B71" s="69"/>
      <c r="C71" s="69"/>
      <c r="D71" s="69"/>
      <c r="E71" s="69"/>
      <c r="F71" s="69"/>
      <c r="G71" s="43" t="s">
        <v>31</v>
      </c>
    </row>
    <row r="72" spans="1:7" x14ac:dyDescent="0.25">
      <c r="A72" s="82"/>
      <c r="B72" s="82"/>
      <c r="C72" s="82"/>
      <c r="D72" s="82"/>
      <c r="E72" s="82"/>
      <c r="F72" s="82"/>
      <c r="G72" s="64">
        <f>F70+F69+F68</f>
        <v>93411.75</v>
      </c>
    </row>
    <row r="73" spans="1:7" x14ac:dyDescent="0.25">
      <c r="A73" s="1230" t="s">
        <v>25</v>
      </c>
      <c r="B73" s="1230"/>
      <c r="C73" s="1230"/>
      <c r="D73" s="1230"/>
      <c r="E73" s="1230"/>
      <c r="F73" s="1230"/>
      <c r="G73" s="1233"/>
    </row>
    <row r="74" spans="1:7" x14ac:dyDescent="0.25">
      <c r="A74" s="1248" t="s">
        <v>45</v>
      </c>
      <c r="B74" s="1248"/>
      <c r="C74" s="1248"/>
      <c r="D74" s="1248"/>
      <c r="E74" s="1231"/>
      <c r="F74" s="93"/>
      <c r="G74" s="70">
        <f xml:space="preserve"> G72+G65+G59+G52</f>
        <v>235599.99999999997</v>
      </c>
    </row>
    <row r="75" spans="1:7" x14ac:dyDescent="0.25">
      <c r="A75" s="1232" t="s">
        <v>476</v>
      </c>
      <c r="B75" s="1232"/>
      <c r="C75" s="1222"/>
      <c r="D75" s="1222"/>
      <c r="E75" s="1222" t="s">
        <v>44</v>
      </c>
      <c r="F75" s="1222" t="s">
        <v>51</v>
      </c>
      <c r="G75" s="1222" t="s">
        <v>307</v>
      </c>
    </row>
    <row r="76" spans="1:7" x14ac:dyDescent="0.25">
      <c r="A76" s="1232"/>
      <c r="B76" s="1232"/>
      <c r="C76" s="1222"/>
      <c r="D76" s="1222"/>
      <c r="E76" s="1222"/>
      <c r="F76" s="1222"/>
      <c r="G76" s="1222"/>
    </row>
    <row r="77" spans="1:7" x14ac:dyDescent="0.25">
      <c r="A77" s="1244" t="s">
        <v>17</v>
      </c>
      <c r="B77" s="1244"/>
      <c r="C77" s="1244"/>
      <c r="D77" s="1244"/>
      <c r="E77" s="1244"/>
      <c r="F77" s="1221"/>
      <c r="G77" s="1222"/>
    </row>
    <row r="78" spans="1:7" x14ac:dyDescent="0.25">
      <c r="A78" s="1244" t="s">
        <v>308</v>
      </c>
      <c r="B78" s="1244"/>
      <c r="C78" s="1244"/>
      <c r="D78" s="1244"/>
      <c r="E78" s="1244"/>
      <c r="F78" s="1221"/>
      <c r="G78" s="1222"/>
    </row>
    <row r="79" spans="1:7" x14ac:dyDescent="0.25">
      <c r="A79" s="1244" t="s">
        <v>19</v>
      </c>
      <c r="B79" s="1244"/>
      <c r="C79" s="1244"/>
      <c r="D79" s="1244"/>
      <c r="E79" s="1244"/>
      <c r="F79" s="1221"/>
      <c r="G79" s="1222"/>
    </row>
    <row r="80" spans="1:7" x14ac:dyDescent="0.25">
      <c r="A80" s="1244" t="s">
        <v>309</v>
      </c>
      <c r="B80" s="1244"/>
      <c r="C80" s="1244"/>
      <c r="D80" s="1244"/>
      <c r="E80" s="1244"/>
      <c r="F80" s="1221"/>
      <c r="G80" s="1222"/>
    </row>
    <row r="81" spans="1:7" x14ac:dyDescent="0.25">
      <c r="A81" s="1245" t="s">
        <v>310</v>
      </c>
      <c r="B81" s="1245"/>
      <c r="C81" s="1245"/>
      <c r="D81" s="1245"/>
      <c r="E81" s="1245"/>
      <c r="F81" s="1222"/>
      <c r="G81" s="1222"/>
    </row>
    <row r="82" spans="1:7" x14ac:dyDescent="0.25">
      <c r="A82" s="95"/>
      <c r="B82" s="94"/>
      <c r="C82" s="94"/>
      <c r="D82" s="94"/>
      <c r="E82" s="94"/>
      <c r="F82" s="882"/>
      <c r="G82" s="882"/>
    </row>
    <row r="83" spans="1:7" ht="27" customHeight="1" x14ac:dyDescent="0.25">
      <c r="A83" s="1238"/>
      <c r="B83" s="1246"/>
      <c r="C83" s="1246"/>
      <c r="D83" s="1246"/>
      <c r="E83" s="1247"/>
      <c r="F83" s="880"/>
      <c r="G83" s="880"/>
    </row>
    <row r="84" spans="1:7" x14ac:dyDescent="0.25">
      <c r="A84" s="1229"/>
      <c r="B84" s="1229"/>
      <c r="C84" s="1229"/>
      <c r="D84" s="1229"/>
      <c r="E84" s="1229"/>
      <c r="F84" s="1229"/>
      <c r="G84" s="1229"/>
    </row>
    <row r="85" spans="1:7" x14ac:dyDescent="0.25">
      <c r="A85" s="1234"/>
      <c r="B85" s="1235"/>
      <c r="C85" s="80"/>
      <c r="D85" s="80"/>
      <c r="E85" s="80"/>
      <c r="F85" s="80"/>
      <c r="G85" s="67"/>
    </row>
    <row r="86" spans="1:7" x14ac:dyDescent="0.25">
      <c r="A86" s="95"/>
      <c r="B86" s="94"/>
      <c r="C86" s="94"/>
      <c r="D86" s="94"/>
      <c r="E86" s="94"/>
      <c r="F86" s="882"/>
      <c r="G86" s="882"/>
    </row>
    <row r="87" spans="1:7" x14ac:dyDescent="0.25">
      <c r="A87" s="95"/>
      <c r="B87" s="94"/>
      <c r="C87" s="94"/>
      <c r="D87" s="94"/>
      <c r="E87" s="94"/>
      <c r="F87" s="882" t="s">
        <v>300</v>
      </c>
      <c r="G87" s="882" t="s">
        <v>2463</v>
      </c>
    </row>
    <row r="88" spans="1:7" x14ac:dyDescent="0.25">
      <c r="A88" s="1238" t="s">
        <v>1730</v>
      </c>
      <c r="B88" s="1246"/>
      <c r="C88" s="1246"/>
      <c r="D88" s="1246"/>
      <c r="E88" s="1247"/>
      <c r="F88" s="880" t="s">
        <v>24</v>
      </c>
      <c r="G88" s="880" t="s">
        <v>13</v>
      </c>
    </row>
    <row r="89" spans="1:7" x14ac:dyDescent="0.25">
      <c r="A89" s="1229" t="s">
        <v>25</v>
      </c>
      <c r="B89" s="1229"/>
      <c r="C89" s="1229"/>
      <c r="D89" s="1229"/>
      <c r="E89" s="1229"/>
      <c r="F89" s="1229"/>
      <c r="G89" s="1229"/>
    </row>
    <row r="90" spans="1:7" x14ac:dyDescent="0.25">
      <c r="A90" s="1234" t="s">
        <v>469</v>
      </c>
      <c r="B90" s="1235"/>
      <c r="C90" s="80" t="s">
        <v>26</v>
      </c>
      <c r="D90" s="80" t="s">
        <v>27</v>
      </c>
      <c r="E90" s="80" t="s">
        <v>28</v>
      </c>
      <c r="F90" s="80" t="s">
        <v>35</v>
      </c>
      <c r="G90" s="67"/>
    </row>
    <row r="91" spans="1:7" x14ac:dyDescent="0.25">
      <c r="A91" s="1236"/>
      <c r="B91" s="1236"/>
      <c r="C91" s="69"/>
      <c r="D91" s="62"/>
      <c r="E91" s="62"/>
      <c r="F91" s="62"/>
      <c r="G91" s="81"/>
    </row>
    <row r="92" spans="1:7" x14ac:dyDescent="0.25">
      <c r="A92" s="1236"/>
      <c r="B92" s="1236"/>
      <c r="C92" s="69"/>
      <c r="D92" s="62"/>
      <c r="E92" s="62"/>
      <c r="F92" s="62"/>
      <c r="G92" s="69"/>
    </row>
    <row r="93" spans="1:7" x14ac:dyDescent="0.25">
      <c r="A93" s="1236" t="s">
        <v>30</v>
      </c>
      <c r="B93" s="1236"/>
      <c r="C93" s="69"/>
      <c r="D93" s="69"/>
      <c r="E93" s="69"/>
      <c r="F93" s="62">
        <f>+G116*0.05</f>
        <v>3502.9406250000002</v>
      </c>
      <c r="G93" s="69"/>
    </row>
    <row r="94" spans="1:7" x14ac:dyDescent="0.25">
      <c r="A94" s="1236"/>
      <c r="B94" s="1236"/>
      <c r="C94" s="69"/>
      <c r="D94" s="69"/>
      <c r="E94" s="69"/>
      <c r="F94" s="69"/>
      <c r="G94" s="69"/>
    </row>
    <row r="95" spans="1:7" x14ac:dyDescent="0.25">
      <c r="A95" s="1236" t="s">
        <v>25</v>
      </c>
      <c r="B95" s="1236"/>
      <c r="C95" s="69"/>
      <c r="D95" s="69"/>
      <c r="E95" s="69"/>
      <c r="F95" s="69"/>
      <c r="G95" s="83" t="s">
        <v>31</v>
      </c>
    </row>
    <row r="96" spans="1:7" x14ac:dyDescent="0.25">
      <c r="A96" s="1237"/>
      <c r="B96" s="1237"/>
      <c r="C96" s="82"/>
      <c r="D96" s="82"/>
      <c r="E96" s="82"/>
      <c r="F96" s="82"/>
      <c r="G96" s="64">
        <f>F93+F92+F91</f>
        <v>3502.9406250000002</v>
      </c>
    </row>
    <row r="97" spans="1:7" x14ac:dyDescent="0.25">
      <c r="A97" s="1234" t="s">
        <v>475</v>
      </c>
      <c r="B97" s="1235"/>
      <c r="C97" s="80" t="s">
        <v>32</v>
      </c>
      <c r="D97" s="80" t="s">
        <v>33</v>
      </c>
      <c r="E97" s="80" t="s">
        <v>34</v>
      </c>
      <c r="F97" s="80" t="s">
        <v>35</v>
      </c>
      <c r="G97" s="67"/>
    </row>
    <row r="98" spans="1:7" x14ac:dyDescent="0.25">
      <c r="A98" s="1226" t="s">
        <v>2410</v>
      </c>
      <c r="B98" s="1227"/>
      <c r="C98" s="43" t="s">
        <v>2456</v>
      </c>
      <c r="D98" s="97">
        <v>102238.24687500003</v>
      </c>
      <c r="E98" s="92">
        <v>1</v>
      </c>
      <c r="F98" s="85">
        <f>+E98*D98</f>
        <v>102238.24687500003</v>
      </c>
      <c r="G98" s="69"/>
    </row>
    <row r="99" spans="1:7" x14ac:dyDescent="0.25">
      <c r="A99" s="914"/>
      <c r="B99" s="912"/>
      <c r="C99" s="43"/>
      <c r="D99" s="97"/>
      <c r="E99" s="92"/>
      <c r="F99" s="85"/>
      <c r="G99" s="69"/>
    </row>
    <row r="100" spans="1:7" x14ac:dyDescent="0.25">
      <c r="A100" s="914"/>
      <c r="B100" s="912"/>
      <c r="C100" s="43"/>
      <c r="D100" s="97"/>
      <c r="E100" s="92"/>
      <c r="F100" s="85"/>
      <c r="G100" s="69"/>
    </row>
    <row r="101" spans="1:7" x14ac:dyDescent="0.25">
      <c r="A101" s="914"/>
      <c r="B101" s="912"/>
      <c r="C101" s="43"/>
      <c r="D101" s="97"/>
      <c r="E101" s="92"/>
      <c r="F101" s="85"/>
      <c r="G101" s="69"/>
    </row>
    <row r="102" spans="1:7" x14ac:dyDescent="0.25">
      <c r="A102" s="1228"/>
      <c r="B102" s="1229"/>
      <c r="C102" s="43"/>
      <c r="D102" s="97"/>
      <c r="E102" s="92"/>
      <c r="F102" s="85"/>
      <c r="G102" s="43" t="s">
        <v>31</v>
      </c>
    </row>
    <row r="103" spans="1:7" x14ac:dyDescent="0.25">
      <c r="A103" s="1228"/>
      <c r="B103" s="1229"/>
      <c r="C103" s="69"/>
      <c r="D103" s="69"/>
      <c r="E103" s="69"/>
      <c r="F103" s="69"/>
      <c r="G103" s="65">
        <f>+F98+F101+F99+F100</f>
        <v>102238.24687500003</v>
      </c>
    </row>
    <row r="104" spans="1:7" ht="24" x14ac:dyDescent="0.25">
      <c r="A104" s="913" t="s">
        <v>329</v>
      </c>
      <c r="B104" s="89" t="s">
        <v>38</v>
      </c>
      <c r="C104" s="89" t="s">
        <v>39</v>
      </c>
      <c r="D104" s="80" t="s">
        <v>40</v>
      </c>
      <c r="E104" s="80" t="s">
        <v>34</v>
      </c>
      <c r="F104" s="80" t="s">
        <v>35</v>
      </c>
      <c r="G104" s="67"/>
    </row>
    <row r="105" spans="1:7" x14ac:dyDescent="0.25">
      <c r="A105" s="90"/>
      <c r="B105" s="43"/>
      <c r="C105" s="43"/>
      <c r="D105" s="62"/>
      <c r="E105" s="91"/>
      <c r="F105" s="62"/>
      <c r="G105" s="69"/>
    </row>
    <row r="106" spans="1:7" x14ac:dyDescent="0.25">
      <c r="A106" s="90"/>
      <c r="B106" s="43"/>
      <c r="C106" s="43"/>
      <c r="D106" s="62"/>
      <c r="E106" s="91"/>
      <c r="F106" s="62"/>
      <c r="G106" s="69"/>
    </row>
    <row r="107" spans="1:7" x14ac:dyDescent="0.25">
      <c r="A107" s="90"/>
      <c r="B107" s="43"/>
      <c r="C107" s="43"/>
      <c r="D107" s="62"/>
      <c r="E107" s="92"/>
      <c r="F107" s="62"/>
      <c r="G107" s="69"/>
    </row>
    <row r="108" spans="1:7" x14ac:dyDescent="0.25">
      <c r="A108" s="90" t="s">
        <v>25</v>
      </c>
      <c r="B108" s="43" t="s">
        <v>25</v>
      </c>
      <c r="C108" s="43" t="s">
        <v>25</v>
      </c>
      <c r="D108" s="61" t="s">
        <v>25</v>
      </c>
      <c r="E108" s="92" t="s">
        <v>25</v>
      </c>
      <c r="F108" s="62" t="s">
        <v>25</v>
      </c>
      <c r="G108" s="43" t="s">
        <v>31</v>
      </c>
    </row>
    <row r="109" spans="1:7" x14ac:dyDescent="0.25">
      <c r="A109" s="90"/>
      <c r="B109" s="69"/>
      <c r="C109" s="69"/>
      <c r="D109" s="69"/>
      <c r="E109" s="69"/>
      <c r="F109" s="69"/>
      <c r="G109" s="64">
        <f>+F105*E105</f>
        <v>0</v>
      </c>
    </row>
    <row r="110" spans="1:7" ht="24" x14ac:dyDescent="0.25">
      <c r="A110" s="913" t="s">
        <v>41</v>
      </c>
      <c r="B110" s="80" t="s">
        <v>42</v>
      </c>
      <c r="C110" s="80" t="s">
        <v>43</v>
      </c>
      <c r="D110" s="80" t="s">
        <v>44</v>
      </c>
      <c r="E110" s="89" t="s">
        <v>306</v>
      </c>
      <c r="F110" s="80" t="s">
        <v>35</v>
      </c>
      <c r="G110" s="67"/>
    </row>
    <row r="111" spans="1:7" x14ac:dyDescent="0.25">
      <c r="A111" s="81"/>
      <c r="B111" s="81"/>
      <c r="C111" s="81"/>
      <c r="D111" s="81"/>
      <c r="E111" s="81"/>
      <c r="F111" s="81"/>
      <c r="G111" s="81"/>
    </row>
    <row r="112" spans="1:7" x14ac:dyDescent="0.25">
      <c r="A112" s="69" t="s">
        <v>2372</v>
      </c>
      <c r="B112" s="85"/>
      <c r="C112" s="96"/>
      <c r="D112" s="62"/>
      <c r="E112" s="121"/>
      <c r="F112" s="62"/>
      <c r="G112" s="69"/>
    </row>
    <row r="113" spans="1:7" ht="24.75" x14ac:dyDescent="0.25">
      <c r="A113" s="881" t="s">
        <v>2378</v>
      </c>
      <c r="B113" s="85">
        <v>295000</v>
      </c>
      <c r="C113" s="96">
        <v>0.89990000000000003</v>
      </c>
      <c r="D113" s="62">
        <f>B113*C113+B113</f>
        <v>560470.5</v>
      </c>
      <c r="E113" s="121">
        <v>8</v>
      </c>
      <c r="F113" s="62">
        <f xml:space="preserve"> D113/E113</f>
        <v>70058.8125</v>
      </c>
      <c r="G113" s="69" t="s">
        <v>25</v>
      </c>
    </row>
    <row r="114" spans="1:7" x14ac:dyDescent="0.25">
      <c r="A114" s="69"/>
      <c r="B114" s="85"/>
      <c r="C114" s="69"/>
      <c r="D114" s="62"/>
      <c r="E114" s="69"/>
      <c r="F114" s="62"/>
      <c r="G114" s="69"/>
    </row>
    <row r="115" spans="1:7" x14ac:dyDescent="0.25">
      <c r="A115" s="69"/>
      <c r="B115" s="69"/>
      <c r="C115" s="69"/>
      <c r="D115" s="69"/>
      <c r="E115" s="69"/>
      <c r="F115" s="69"/>
      <c r="G115" s="43" t="s">
        <v>31</v>
      </c>
    </row>
    <row r="116" spans="1:7" x14ac:dyDescent="0.25">
      <c r="A116" s="82"/>
      <c r="B116" s="82"/>
      <c r="C116" s="82"/>
      <c r="D116" s="82"/>
      <c r="E116" s="82"/>
      <c r="F116" s="82"/>
      <c r="G116" s="64">
        <f>F114+F113+F112</f>
        <v>70058.8125</v>
      </c>
    </row>
    <row r="117" spans="1:7" x14ac:dyDescent="0.25">
      <c r="A117" s="1230" t="s">
        <v>25</v>
      </c>
      <c r="B117" s="1230"/>
      <c r="C117" s="1230"/>
      <c r="D117" s="1230"/>
      <c r="E117" s="1230"/>
      <c r="F117" s="1230"/>
      <c r="G117" s="1233"/>
    </row>
    <row r="118" spans="1:7" x14ac:dyDescent="0.25">
      <c r="A118" s="1248" t="s">
        <v>45</v>
      </c>
      <c r="B118" s="1248"/>
      <c r="C118" s="1248"/>
      <c r="D118" s="1248"/>
      <c r="E118" s="1231"/>
      <c r="F118" s="93"/>
      <c r="G118" s="70">
        <f xml:space="preserve"> G116+G109+G103+G96</f>
        <v>175800</v>
      </c>
    </row>
    <row r="119" spans="1:7" x14ac:dyDescent="0.25">
      <c r="A119" s="1232" t="s">
        <v>476</v>
      </c>
      <c r="B119" s="1232"/>
      <c r="C119" s="1222"/>
      <c r="D119" s="1222"/>
      <c r="E119" s="1222" t="s">
        <v>44</v>
      </c>
      <c r="F119" s="1222" t="s">
        <v>51</v>
      </c>
      <c r="G119" s="1222" t="s">
        <v>307</v>
      </c>
    </row>
    <row r="120" spans="1:7" x14ac:dyDescent="0.25">
      <c r="A120" s="1232"/>
      <c r="B120" s="1232"/>
      <c r="C120" s="1222"/>
      <c r="D120" s="1222"/>
      <c r="E120" s="1222"/>
      <c r="F120" s="1222"/>
      <c r="G120" s="1222"/>
    </row>
    <row r="121" spans="1:7" x14ac:dyDescent="0.25">
      <c r="A121" s="1244" t="s">
        <v>17</v>
      </c>
      <c r="B121" s="1244"/>
      <c r="C121" s="1244"/>
      <c r="D121" s="1244"/>
      <c r="E121" s="1244"/>
      <c r="F121" s="1221"/>
      <c r="G121" s="1222"/>
    </row>
    <row r="122" spans="1:7" x14ac:dyDescent="0.25">
      <c r="A122" s="1244" t="s">
        <v>308</v>
      </c>
      <c r="B122" s="1244"/>
      <c r="C122" s="1244"/>
      <c r="D122" s="1244"/>
      <c r="E122" s="1244"/>
      <c r="F122" s="1221"/>
      <c r="G122" s="1222"/>
    </row>
    <row r="123" spans="1:7" x14ac:dyDescent="0.25">
      <c r="A123" s="1244" t="s">
        <v>19</v>
      </c>
      <c r="B123" s="1244"/>
      <c r="C123" s="1244"/>
      <c r="D123" s="1244"/>
      <c r="E123" s="1244"/>
      <c r="F123" s="1221"/>
      <c r="G123" s="1222"/>
    </row>
    <row r="124" spans="1:7" x14ac:dyDescent="0.25">
      <c r="A124" s="1244" t="s">
        <v>309</v>
      </c>
      <c r="B124" s="1244"/>
      <c r="C124" s="1244"/>
      <c r="D124" s="1244"/>
      <c r="E124" s="1244"/>
      <c r="F124" s="1221"/>
      <c r="G124" s="1222"/>
    </row>
    <row r="125" spans="1:7" x14ac:dyDescent="0.25">
      <c r="A125" s="1245" t="s">
        <v>310</v>
      </c>
      <c r="B125" s="1245"/>
      <c r="C125" s="1245"/>
      <c r="D125" s="1245"/>
      <c r="E125" s="1245"/>
      <c r="F125" s="1222"/>
      <c r="G125" s="1222"/>
    </row>
    <row r="126" spans="1:7" ht="29.25" customHeight="1" x14ac:dyDescent="0.25">
      <c r="A126" s="95"/>
      <c r="B126" s="94"/>
      <c r="C126" s="94"/>
      <c r="D126" s="94"/>
      <c r="E126" s="94"/>
      <c r="F126" s="882"/>
      <c r="G126" s="882"/>
    </row>
    <row r="127" spans="1:7" x14ac:dyDescent="0.25">
      <c r="A127" s="95"/>
      <c r="B127" s="94"/>
      <c r="C127" s="94"/>
      <c r="D127" s="94"/>
      <c r="E127" s="94"/>
      <c r="F127" s="882"/>
      <c r="G127" s="882"/>
    </row>
    <row r="128" spans="1:7" x14ac:dyDescent="0.25">
      <c r="A128" s="1234"/>
      <c r="B128" s="1235"/>
      <c r="C128" s="80"/>
      <c r="D128" s="80"/>
      <c r="E128" s="80"/>
      <c r="F128" s="80"/>
      <c r="G128" s="67"/>
    </row>
    <row r="129" spans="1:7" x14ac:dyDescent="0.25">
      <c r="A129" s="1236"/>
      <c r="B129" s="1236"/>
      <c r="C129" s="69"/>
      <c r="D129" s="62"/>
      <c r="E129" s="62"/>
      <c r="F129" s="62"/>
      <c r="G129" s="81"/>
    </row>
    <row r="130" spans="1:7" x14ac:dyDescent="0.25">
      <c r="A130" s="1234"/>
      <c r="B130" s="1235"/>
      <c r="C130" s="80"/>
      <c r="D130" s="80"/>
      <c r="E130" s="80"/>
      <c r="F130" s="80"/>
      <c r="G130" s="67"/>
    </row>
    <row r="131" spans="1:7" x14ac:dyDescent="0.25">
      <c r="A131" s="95"/>
      <c r="B131" s="94"/>
      <c r="C131" s="94"/>
      <c r="D131" s="94"/>
      <c r="E131" s="94"/>
      <c r="F131" s="882"/>
      <c r="G131" s="882"/>
    </row>
    <row r="132" spans="1:7" x14ac:dyDescent="0.25">
      <c r="A132" s="1238"/>
      <c r="B132" s="1246"/>
      <c r="C132" s="1246"/>
      <c r="D132" s="1246"/>
      <c r="E132" s="1247"/>
      <c r="F132" s="880"/>
      <c r="G132" s="880"/>
    </row>
    <row r="133" spans="1:7" x14ac:dyDescent="0.25">
      <c r="A133" s="1229"/>
      <c r="B133" s="1229"/>
      <c r="C133" s="1229"/>
      <c r="D133" s="1229"/>
      <c r="E133" s="1229"/>
      <c r="F133" s="1229"/>
      <c r="G133" s="1229"/>
    </row>
    <row r="134" spans="1:7" x14ac:dyDescent="0.25">
      <c r="A134" s="1234"/>
      <c r="B134" s="1235"/>
      <c r="C134" s="80"/>
      <c r="D134" s="80"/>
      <c r="E134" s="80"/>
      <c r="F134" s="80"/>
      <c r="G134" s="67"/>
    </row>
    <row r="135" spans="1:7" x14ac:dyDescent="0.25">
      <c r="A135" s="1236"/>
      <c r="B135" s="1236"/>
      <c r="C135" s="69"/>
      <c r="D135" s="62"/>
      <c r="E135" s="62"/>
      <c r="F135" s="62"/>
      <c r="G135" s="81"/>
    </row>
    <row r="136" spans="1:7" x14ac:dyDescent="0.25">
      <c r="A136" s="1236"/>
      <c r="B136" s="1236"/>
      <c r="C136" s="69"/>
      <c r="D136" s="62"/>
      <c r="E136" s="62"/>
      <c r="F136" s="62"/>
      <c r="G136" s="69"/>
    </row>
    <row r="137" spans="1:7" x14ac:dyDescent="0.25">
      <c r="A137" s="1236"/>
      <c r="B137" s="1236"/>
      <c r="C137" s="69"/>
      <c r="D137" s="69"/>
      <c r="E137" s="69"/>
      <c r="F137" s="62"/>
      <c r="G137" s="69"/>
    </row>
    <row r="138" spans="1:7" x14ac:dyDescent="0.25">
      <c r="A138" s="1236"/>
      <c r="B138" s="1236"/>
      <c r="C138" s="69"/>
      <c r="D138" s="69"/>
      <c r="E138" s="69"/>
      <c r="F138" s="69"/>
      <c r="G138" s="69"/>
    </row>
    <row r="139" spans="1:7" x14ac:dyDescent="0.25">
      <c r="A139" s="1236"/>
      <c r="B139" s="1236"/>
      <c r="C139" s="69"/>
      <c r="D139" s="69"/>
      <c r="E139" s="69"/>
      <c r="F139" s="69"/>
      <c r="G139" s="83"/>
    </row>
    <row r="140" spans="1:7" x14ac:dyDescent="0.25">
      <c r="A140" s="1237"/>
      <c r="B140" s="1237"/>
      <c r="C140" s="82"/>
      <c r="D140" s="82"/>
      <c r="E140" s="82"/>
      <c r="F140" s="82"/>
      <c r="G140" s="64"/>
    </row>
    <row r="141" spans="1:7" x14ac:dyDescent="0.25">
      <c r="A141" s="1234"/>
      <c r="B141" s="1235"/>
      <c r="C141" s="80"/>
      <c r="D141" s="80"/>
      <c r="E141" s="80"/>
      <c r="F141" s="80"/>
      <c r="G141" s="67"/>
    </row>
    <row r="142" spans="1:7" x14ac:dyDescent="0.25">
      <c r="A142" s="1226"/>
      <c r="B142" s="1227"/>
      <c r="C142" s="43"/>
      <c r="D142" s="97"/>
      <c r="E142" s="92"/>
      <c r="F142" s="85"/>
      <c r="G142" s="69"/>
    </row>
    <row r="143" spans="1:7" x14ac:dyDescent="0.25">
      <c r="A143" s="914"/>
      <c r="B143" s="912"/>
      <c r="C143" s="43"/>
      <c r="D143" s="97"/>
      <c r="E143" s="92"/>
      <c r="F143" s="85"/>
      <c r="G143" s="69"/>
    </row>
    <row r="144" spans="1:7" x14ac:dyDescent="0.25">
      <c r="A144" s="914"/>
      <c r="B144" s="912"/>
      <c r="C144" s="43"/>
      <c r="D144" s="97"/>
      <c r="E144" s="92"/>
      <c r="F144" s="85"/>
      <c r="G144" s="69"/>
    </row>
    <row r="145" spans="1:7" x14ac:dyDescent="0.25">
      <c r="A145" s="914"/>
      <c r="B145" s="912"/>
      <c r="C145" s="43"/>
      <c r="D145" s="97"/>
      <c r="E145" s="92"/>
      <c r="F145" s="85"/>
      <c r="G145" s="69"/>
    </row>
    <row r="146" spans="1:7" x14ac:dyDescent="0.25">
      <c r="A146" s="1228"/>
      <c r="B146" s="1229"/>
      <c r="C146" s="43"/>
      <c r="D146" s="97"/>
      <c r="E146" s="92"/>
      <c r="F146" s="85"/>
      <c r="G146" s="43"/>
    </row>
    <row r="147" spans="1:7" x14ac:dyDescent="0.25">
      <c r="A147" s="1228"/>
      <c r="B147" s="1229"/>
      <c r="C147" s="69"/>
      <c r="D147" s="69"/>
      <c r="E147" s="69"/>
      <c r="F147" s="69"/>
      <c r="G147" s="65"/>
    </row>
    <row r="148" spans="1:7" x14ac:dyDescent="0.25">
      <c r="A148" s="913"/>
      <c r="B148" s="89"/>
      <c r="C148" s="89"/>
      <c r="D148" s="80"/>
      <c r="E148" s="80"/>
      <c r="F148" s="80"/>
      <c r="G148" s="67"/>
    </row>
    <row r="149" spans="1:7" x14ac:dyDescent="0.25">
      <c r="A149" s="90"/>
      <c r="B149" s="43"/>
      <c r="C149" s="43"/>
      <c r="D149" s="62"/>
      <c r="E149" s="91"/>
      <c r="F149" s="62"/>
      <c r="G149" s="69"/>
    </row>
    <row r="150" spans="1:7" x14ac:dyDescent="0.25">
      <c r="A150" s="90"/>
      <c r="B150" s="43"/>
      <c r="C150" s="43"/>
      <c r="D150" s="62"/>
      <c r="E150" s="91"/>
      <c r="F150" s="62"/>
      <c r="G150" s="69"/>
    </row>
    <row r="151" spans="1:7" x14ac:dyDescent="0.25">
      <c r="A151" s="90"/>
      <c r="B151" s="43"/>
      <c r="C151" s="43"/>
      <c r="D151" s="62"/>
      <c r="E151" s="92"/>
      <c r="F151" s="62"/>
      <c r="G151" s="69"/>
    </row>
    <row r="152" spans="1:7" x14ac:dyDescent="0.25">
      <c r="A152" s="90"/>
      <c r="B152" s="43"/>
      <c r="C152" s="43"/>
      <c r="D152" s="61"/>
      <c r="E152" s="92"/>
      <c r="F152" s="62"/>
      <c r="G152" s="43"/>
    </row>
    <row r="153" spans="1:7" x14ac:dyDescent="0.25">
      <c r="A153" s="90"/>
      <c r="B153" s="69"/>
      <c r="C153" s="69"/>
      <c r="D153" s="69"/>
      <c r="E153" s="69"/>
      <c r="F153" s="69"/>
      <c r="G153" s="64"/>
    </row>
    <row r="154" spans="1:7" x14ac:dyDescent="0.25">
      <c r="A154" s="913"/>
      <c r="B154" s="80"/>
      <c r="C154" s="80"/>
      <c r="D154" s="80"/>
      <c r="E154" s="89"/>
      <c r="F154" s="80"/>
      <c r="G154" s="67"/>
    </row>
    <row r="155" spans="1:7" x14ac:dyDescent="0.25">
      <c r="A155" s="81"/>
      <c r="B155" s="81"/>
      <c r="C155" s="81"/>
      <c r="D155" s="81"/>
      <c r="E155" s="81"/>
      <c r="F155" s="81"/>
      <c r="G155" s="81"/>
    </row>
    <row r="156" spans="1:7" x14ac:dyDescent="0.25">
      <c r="A156" s="69"/>
      <c r="B156" s="85"/>
      <c r="C156" s="96"/>
      <c r="D156" s="62"/>
      <c r="E156" s="121"/>
      <c r="F156" s="62"/>
      <c r="G156" s="69"/>
    </row>
    <row r="157" spans="1:7" x14ac:dyDescent="0.25">
      <c r="A157" s="881"/>
      <c r="B157" s="85"/>
      <c r="C157" s="96"/>
      <c r="D157" s="62"/>
      <c r="E157" s="121"/>
      <c r="F157" s="62"/>
      <c r="G157" s="69"/>
    </row>
    <row r="158" spans="1:7" x14ac:dyDescent="0.25">
      <c r="A158" s="69"/>
      <c r="B158" s="85"/>
      <c r="C158" s="69"/>
      <c r="D158" s="62"/>
      <c r="E158" s="69"/>
      <c r="F158" s="62"/>
      <c r="G158" s="69"/>
    </row>
    <row r="159" spans="1:7" x14ac:dyDescent="0.25">
      <c r="A159" s="69"/>
      <c r="B159" s="69"/>
      <c r="C159" s="69"/>
      <c r="D159" s="69"/>
      <c r="E159" s="69"/>
      <c r="F159" s="69"/>
      <c r="G159" s="43"/>
    </row>
    <row r="160" spans="1:7" x14ac:dyDescent="0.25">
      <c r="A160" s="82"/>
      <c r="B160" s="82"/>
      <c r="C160" s="82"/>
      <c r="D160" s="82"/>
      <c r="E160" s="82"/>
      <c r="F160" s="82"/>
      <c r="G160" s="64"/>
    </row>
    <row r="161" spans="1:7" x14ac:dyDescent="0.25">
      <c r="A161" s="1230"/>
      <c r="B161" s="1230"/>
      <c r="C161" s="1230"/>
      <c r="D161" s="1230"/>
      <c r="E161" s="1230"/>
      <c r="F161" s="1230"/>
      <c r="G161" s="1233"/>
    </row>
    <row r="162" spans="1:7" x14ac:dyDescent="0.25">
      <c r="A162" s="1248"/>
      <c r="B162" s="1248"/>
      <c r="C162" s="1248"/>
      <c r="D162" s="1248"/>
      <c r="E162" s="1231"/>
      <c r="F162" s="93"/>
      <c r="G162" s="70"/>
    </row>
    <row r="163" spans="1:7" x14ac:dyDescent="0.25">
      <c r="A163" s="1232"/>
      <c r="B163" s="1232"/>
      <c r="C163" s="1222"/>
      <c r="D163" s="1222"/>
      <c r="E163" s="1222"/>
      <c r="F163" s="1222"/>
      <c r="G163" s="1222"/>
    </row>
    <row r="164" spans="1:7" x14ac:dyDescent="0.25">
      <c r="A164" s="1232"/>
      <c r="B164" s="1232"/>
      <c r="C164" s="1222"/>
      <c r="D164" s="1222"/>
      <c r="E164" s="1222"/>
      <c r="F164" s="1222"/>
      <c r="G164" s="1222"/>
    </row>
    <row r="165" spans="1:7" x14ac:dyDescent="0.25">
      <c r="A165" s="1244"/>
      <c r="B165" s="1244"/>
      <c r="C165" s="1244"/>
      <c r="D165" s="1244"/>
      <c r="E165" s="1244"/>
      <c r="F165" s="1221"/>
      <c r="G165" s="1222"/>
    </row>
    <row r="166" spans="1:7" x14ac:dyDescent="0.25">
      <c r="A166" s="1244"/>
      <c r="B166" s="1244"/>
      <c r="C166" s="1244"/>
      <c r="D166" s="1244"/>
      <c r="E166" s="1244"/>
      <c r="F166" s="1221"/>
      <c r="G166" s="1222"/>
    </row>
    <row r="167" spans="1:7" ht="30" customHeight="1" x14ac:dyDescent="0.25">
      <c r="A167" s="1244"/>
      <c r="B167" s="1244"/>
      <c r="C167" s="1244"/>
      <c r="D167" s="1244"/>
      <c r="E167" s="1244"/>
      <c r="F167" s="1221"/>
      <c r="G167" s="1222"/>
    </row>
    <row r="168" spans="1:7" x14ac:dyDescent="0.25">
      <c r="A168" s="1244"/>
      <c r="B168" s="1244"/>
      <c r="C168" s="1244"/>
      <c r="D168" s="1244"/>
      <c r="E168" s="1244"/>
      <c r="F168" s="1221"/>
      <c r="G168" s="1222"/>
    </row>
    <row r="169" spans="1:7" x14ac:dyDescent="0.25">
      <c r="A169" s="1245"/>
      <c r="B169" s="1245"/>
      <c r="C169" s="1245"/>
      <c r="D169" s="1245"/>
      <c r="E169" s="1245"/>
      <c r="F169" s="1222"/>
      <c r="G169" s="1222"/>
    </row>
    <row r="170" spans="1:7" x14ac:dyDescent="0.25">
      <c r="A170" s="68"/>
      <c r="B170" s="94"/>
      <c r="C170" s="94"/>
      <c r="D170" s="94"/>
      <c r="E170" s="94"/>
      <c r="F170" s="94"/>
      <c r="G170" s="94"/>
    </row>
    <row r="171" spans="1:7" x14ac:dyDescent="0.25">
      <c r="A171" s="1236"/>
      <c r="B171" s="1236"/>
      <c r="C171" s="69"/>
      <c r="D171" s="62"/>
      <c r="E171" s="62"/>
      <c r="F171" s="62"/>
      <c r="G171" s="69"/>
    </row>
    <row r="172" spans="1:7" x14ac:dyDescent="0.25">
      <c r="A172" s="1236"/>
      <c r="B172" s="1236"/>
      <c r="C172" s="69"/>
      <c r="D172" s="69"/>
      <c r="E172" s="69"/>
      <c r="F172" s="62"/>
      <c r="G172" s="69"/>
    </row>
    <row r="173" spans="1:7" x14ac:dyDescent="0.25">
      <c r="A173" s="1236"/>
      <c r="B173" s="1236"/>
      <c r="C173" s="69"/>
      <c r="D173" s="69"/>
      <c r="E173" s="69"/>
      <c r="F173" s="69"/>
      <c r="G173" s="69"/>
    </row>
    <row r="174" spans="1:7" x14ac:dyDescent="0.25">
      <c r="A174" s="95"/>
      <c r="B174" s="94"/>
      <c r="C174" s="94"/>
      <c r="D174" s="94"/>
      <c r="E174" s="94"/>
      <c r="F174" s="882"/>
      <c r="G174" s="882"/>
    </row>
    <row r="175" spans="1:7" x14ac:dyDescent="0.25">
      <c r="A175" s="1238"/>
      <c r="B175" s="1246"/>
      <c r="C175" s="1246"/>
      <c r="D175" s="1246"/>
      <c r="E175" s="1247"/>
      <c r="F175" s="880"/>
      <c r="G175" s="880"/>
    </row>
    <row r="176" spans="1:7" x14ac:dyDescent="0.25">
      <c r="A176" s="1229"/>
      <c r="B176" s="1229"/>
      <c r="C176" s="1229"/>
      <c r="D176" s="1229"/>
      <c r="E176" s="1229"/>
      <c r="F176" s="1229"/>
      <c r="G176" s="1229"/>
    </row>
    <row r="177" spans="1:7" x14ac:dyDescent="0.25">
      <c r="A177" s="1234"/>
      <c r="B177" s="1235"/>
      <c r="C177" s="80"/>
      <c r="D177" s="80"/>
      <c r="E177" s="80"/>
      <c r="F177" s="80"/>
      <c r="G177" s="67"/>
    </row>
    <row r="178" spans="1:7" x14ac:dyDescent="0.25">
      <c r="A178" s="1236"/>
      <c r="B178" s="1236"/>
      <c r="C178" s="69"/>
      <c r="D178" s="62"/>
      <c r="E178" s="62"/>
      <c r="F178" s="62"/>
      <c r="G178" s="81"/>
    </row>
    <row r="179" spans="1:7" x14ac:dyDescent="0.25">
      <c r="A179" s="1236"/>
      <c r="B179" s="1236"/>
      <c r="C179" s="69"/>
      <c r="D179" s="62"/>
      <c r="E179" s="62"/>
      <c r="F179" s="62"/>
      <c r="G179" s="69"/>
    </row>
    <row r="180" spans="1:7" x14ac:dyDescent="0.25">
      <c r="A180" s="1236"/>
      <c r="B180" s="1236"/>
      <c r="C180" s="69"/>
      <c r="D180" s="69"/>
      <c r="E180" s="69"/>
      <c r="F180" s="62"/>
      <c r="G180" s="69"/>
    </row>
    <row r="181" spans="1:7" x14ac:dyDescent="0.25">
      <c r="A181" s="1236"/>
      <c r="B181" s="1236"/>
      <c r="C181" s="69"/>
      <c r="D181" s="69"/>
      <c r="E181" s="69"/>
      <c r="F181" s="69"/>
      <c r="G181" s="69"/>
    </row>
    <row r="182" spans="1:7" x14ac:dyDescent="0.25">
      <c r="A182" s="1236"/>
      <c r="B182" s="1236"/>
      <c r="C182" s="69"/>
      <c r="D182" s="69"/>
      <c r="E182" s="69"/>
      <c r="F182" s="69"/>
      <c r="G182" s="83"/>
    </row>
    <row r="183" spans="1:7" x14ac:dyDescent="0.25">
      <c r="A183" s="1237"/>
      <c r="B183" s="1237"/>
      <c r="C183" s="82"/>
      <c r="D183" s="82"/>
      <c r="E183" s="82"/>
      <c r="F183" s="82"/>
      <c r="G183" s="64"/>
    </row>
    <row r="184" spans="1:7" x14ac:dyDescent="0.25">
      <c r="A184" s="1234"/>
      <c r="B184" s="1235"/>
      <c r="C184" s="80"/>
      <c r="D184" s="80"/>
      <c r="E184" s="80"/>
      <c r="F184" s="80"/>
      <c r="G184" s="67"/>
    </row>
    <row r="185" spans="1:7" x14ac:dyDescent="0.25">
      <c r="A185" s="1226"/>
      <c r="B185" s="1227"/>
      <c r="C185" s="43"/>
      <c r="D185" s="97"/>
      <c r="E185" s="92"/>
      <c r="F185" s="85"/>
      <c r="G185" s="69"/>
    </row>
    <row r="186" spans="1:7" x14ac:dyDescent="0.25">
      <c r="A186" s="914"/>
      <c r="B186" s="912"/>
      <c r="C186" s="43"/>
      <c r="D186" s="97"/>
      <c r="E186" s="92"/>
      <c r="F186" s="85"/>
      <c r="G186" s="69"/>
    </row>
    <row r="187" spans="1:7" x14ac:dyDescent="0.25">
      <c r="A187" s="914"/>
      <c r="B187" s="912"/>
      <c r="C187" s="43"/>
      <c r="D187" s="97"/>
      <c r="E187" s="92"/>
      <c r="F187" s="85"/>
      <c r="G187" s="69"/>
    </row>
    <row r="188" spans="1:7" x14ac:dyDescent="0.25">
      <c r="A188" s="914"/>
      <c r="B188" s="912"/>
      <c r="C188" s="43"/>
      <c r="D188" s="97"/>
      <c r="E188" s="92"/>
      <c r="F188" s="85"/>
      <c r="G188" s="69"/>
    </row>
    <row r="189" spans="1:7" x14ac:dyDescent="0.25">
      <c r="A189" s="1228"/>
      <c r="B189" s="1229"/>
      <c r="C189" s="43"/>
      <c r="D189" s="97"/>
      <c r="E189" s="92"/>
      <c r="F189" s="85"/>
      <c r="G189" s="43"/>
    </row>
    <row r="190" spans="1:7" x14ac:dyDescent="0.25">
      <c r="A190" s="1228"/>
      <c r="B190" s="1229"/>
      <c r="C190" s="69"/>
      <c r="D190" s="69"/>
      <c r="E190" s="69"/>
      <c r="F190" s="69"/>
      <c r="G190" s="65"/>
    </row>
    <row r="191" spans="1:7" x14ac:dyDescent="0.25">
      <c r="A191" s="913"/>
      <c r="B191" s="89"/>
      <c r="C191" s="89"/>
      <c r="D191" s="80"/>
      <c r="E191" s="80"/>
      <c r="F191" s="80"/>
      <c r="G191" s="67"/>
    </row>
    <row r="192" spans="1:7" x14ac:dyDescent="0.25">
      <c r="A192" s="90"/>
      <c r="B192" s="43"/>
      <c r="C192" s="43"/>
      <c r="D192" s="62"/>
      <c r="E192" s="91"/>
      <c r="F192" s="62"/>
      <c r="G192" s="69"/>
    </row>
    <row r="193" spans="1:7" x14ac:dyDescent="0.25">
      <c r="A193" s="90"/>
      <c r="B193" s="43"/>
      <c r="C193" s="43"/>
      <c r="D193" s="62"/>
      <c r="E193" s="91"/>
      <c r="F193" s="62"/>
      <c r="G193" s="69"/>
    </row>
    <row r="194" spans="1:7" x14ac:dyDescent="0.25">
      <c r="A194" s="90"/>
      <c r="B194" s="43"/>
      <c r="C194" s="43"/>
      <c r="D194" s="62"/>
      <c r="E194" s="92"/>
      <c r="F194" s="62"/>
      <c r="G194" s="69"/>
    </row>
    <row r="195" spans="1:7" x14ac:dyDescent="0.25">
      <c r="A195" s="90"/>
      <c r="B195" s="43"/>
      <c r="C195" s="43"/>
      <c r="D195" s="61"/>
      <c r="E195" s="92"/>
      <c r="F195" s="62"/>
      <c r="G195" s="43"/>
    </row>
    <row r="196" spans="1:7" x14ac:dyDescent="0.25">
      <c r="A196" s="90"/>
      <c r="B196" s="69"/>
      <c r="C196" s="69"/>
      <c r="D196" s="69"/>
      <c r="E196" s="69"/>
      <c r="F196" s="69"/>
      <c r="G196" s="64"/>
    </row>
    <row r="197" spans="1:7" x14ac:dyDescent="0.25">
      <c r="A197" s="913"/>
      <c r="B197" s="80"/>
      <c r="C197" s="80"/>
      <c r="D197" s="80"/>
      <c r="E197" s="89"/>
      <c r="F197" s="80"/>
      <c r="G197" s="67"/>
    </row>
    <row r="198" spans="1:7" x14ac:dyDescent="0.25">
      <c r="A198" s="81"/>
      <c r="B198" s="81"/>
      <c r="C198" s="81"/>
      <c r="D198" s="81"/>
      <c r="E198" s="81"/>
      <c r="F198" s="81"/>
      <c r="G198" s="81"/>
    </row>
    <row r="199" spans="1:7" x14ac:dyDescent="0.25">
      <c r="A199" s="69"/>
      <c r="B199" s="85"/>
      <c r="C199" s="96"/>
      <c r="D199" s="62"/>
      <c r="E199" s="121"/>
      <c r="F199" s="62"/>
      <c r="G199" s="69"/>
    </row>
    <row r="200" spans="1:7" x14ac:dyDescent="0.25">
      <c r="A200" s="881"/>
      <c r="B200" s="85"/>
      <c r="C200" s="96"/>
      <c r="D200" s="62"/>
      <c r="E200" s="121"/>
      <c r="F200" s="62"/>
      <c r="G200" s="69"/>
    </row>
    <row r="201" spans="1:7" x14ac:dyDescent="0.25">
      <c r="A201" s="69"/>
      <c r="B201" s="85"/>
      <c r="C201" s="69"/>
      <c r="D201" s="62"/>
      <c r="E201" s="69"/>
      <c r="F201" s="62"/>
      <c r="G201" s="69"/>
    </row>
    <row r="202" spans="1:7" x14ac:dyDescent="0.25">
      <c r="A202" s="69"/>
      <c r="B202" s="69"/>
      <c r="C202" s="69"/>
      <c r="D202" s="69"/>
      <c r="E202" s="69"/>
      <c r="F202" s="69"/>
      <c r="G202" s="43"/>
    </row>
    <row r="203" spans="1:7" ht="42" customHeight="1" x14ac:dyDescent="0.25">
      <c r="A203" s="82"/>
      <c r="B203" s="82"/>
      <c r="C203" s="82"/>
      <c r="D203" s="82"/>
      <c r="E203" s="82"/>
      <c r="F203" s="82"/>
      <c r="G203" s="64"/>
    </row>
    <row r="204" spans="1:7" x14ac:dyDescent="0.25">
      <c r="A204" s="1230"/>
      <c r="B204" s="1230"/>
      <c r="C204" s="1230"/>
      <c r="D204" s="1230"/>
      <c r="E204" s="1230"/>
      <c r="F204" s="1230"/>
      <c r="G204" s="1233"/>
    </row>
    <row r="205" spans="1:7" x14ac:dyDescent="0.25">
      <c r="A205" s="1248"/>
      <c r="B205" s="1248"/>
      <c r="C205" s="1248"/>
      <c r="D205" s="1248"/>
      <c r="E205" s="1231"/>
      <c r="F205" s="93"/>
      <c r="G205" s="70"/>
    </row>
    <row r="206" spans="1:7" x14ac:dyDescent="0.25">
      <c r="A206" s="1232"/>
      <c r="B206" s="1232"/>
      <c r="C206" s="1222"/>
      <c r="D206" s="1222"/>
      <c r="E206" s="1222"/>
      <c r="F206" s="1222"/>
      <c r="G206" s="1222"/>
    </row>
    <row r="207" spans="1:7" x14ac:dyDescent="0.25">
      <c r="A207" s="1232"/>
      <c r="B207" s="1232"/>
      <c r="C207" s="1222"/>
      <c r="D207" s="1222"/>
      <c r="E207" s="1222"/>
      <c r="F207" s="1222"/>
      <c r="G207" s="1222"/>
    </row>
    <row r="208" spans="1:7" x14ac:dyDescent="0.25">
      <c r="A208" s="1244"/>
      <c r="B208" s="1244"/>
      <c r="C208" s="1244"/>
      <c r="D208" s="1244"/>
      <c r="E208" s="1244"/>
      <c r="F208" s="1221"/>
      <c r="G208" s="1222"/>
    </row>
    <row r="209" spans="1:7" x14ac:dyDescent="0.25">
      <c r="A209" s="1244"/>
      <c r="B209" s="1244"/>
      <c r="C209" s="1244"/>
      <c r="D209" s="1244"/>
      <c r="E209" s="1244"/>
      <c r="F209" s="1221"/>
      <c r="G209" s="1222"/>
    </row>
    <row r="210" spans="1:7" x14ac:dyDescent="0.25">
      <c r="A210" s="1244"/>
      <c r="B210" s="1244"/>
      <c r="C210" s="1244"/>
      <c r="D210" s="1244"/>
      <c r="E210" s="1244"/>
      <c r="F210" s="1221"/>
      <c r="G210" s="1222"/>
    </row>
    <row r="211" spans="1:7" x14ac:dyDescent="0.25">
      <c r="A211" s="1244"/>
      <c r="B211" s="1244"/>
      <c r="C211" s="1244"/>
      <c r="D211" s="1244"/>
      <c r="E211" s="1244"/>
      <c r="F211" s="1221"/>
      <c r="G211" s="1222"/>
    </row>
    <row r="212" spans="1:7" x14ac:dyDescent="0.25">
      <c r="A212" s="1245"/>
      <c r="B212" s="1245"/>
      <c r="C212" s="1245"/>
      <c r="D212" s="1245"/>
      <c r="E212" s="1245"/>
      <c r="F212" s="1222"/>
      <c r="G212" s="1222"/>
    </row>
    <row r="213" spans="1:7" x14ac:dyDescent="0.25">
      <c r="A213" s="1236"/>
      <c r="B213" s="1236"/>
      <c r="C213" s="69"/>
      <c r="D213" s="69"/>
      <c r="E213" s="69"/>
      <c r="F213" s="69"/>
      <c r="G213" s="69"/>
    </row>
    <row r="214" spans="1:7" x14ac:dyDescent="0.25">
      <c r="A214" s="1236"/>
      <c r="B214" s="1236"/>
      <c r="C214" s="69"/>
      <c r="D214" s="69"/>
      <c r="E214" s="69"/>
      <c r="F214" s="69"/>
      <c r="G214" s="83"/>
    </row>
    <row r="215" spans="1:7" x14ac:dyDescent="0.25">
      <c r="A215" s="1237"/>
      <c r="B215" s="1237"/>
      <c r="C215" s="82"/>
      <c r="D215" s="82"/>
      <c r="E215" s="82"/>
      <c r="F215" s="82"/>
      <c r="G215" s="64"/>
    </row>
    <row r="216" spans="1:7" x14ac:dyDescent="0.25">
      <c r="A216" s="1234"/>
      <c r="B216" s="1235"/>
      <c r="C216" s="80"/>
      <c r="D216" s="80"/>
      <c r="E216" s="80"/>
      <c r="F216" s="80"/>
      <c r="G216" s="67"/>
    </row>
    <row r="217" spans="1:7" x14ac:dyDescent="0.25">
      <c r="A217" s="1226"/>
      <c r="B217" s="1227"/>
      <c r="C217" s="43"/>
      <c r="D217" s="97"/>
      <c r="E217" s="92"/>
      <c r="F217" s="85"/>
      <c r="G217" s="69"/>
    </row>
    <row r="218" spans="1:7" x14ac:dyDescent="0.25">
      <c r="A218" s="1228"/>
      <c r="B218" s="1229"/>
      <c r="C218" s="43"/>
      <c r="D218" s="97"/>
      <c r="E218" s="92"/>
      <c r="F218" s="85"/>
      <c r="G218" s="43"/>
    </row>
    <row r="219" spans="1:7" x14ac:dyDescent="0.25">
      <c r="A219" s="1228"/>
      <c r="B219" s="1229"/>
      <c r="C219" s="69"/>
      <c r="D219" s="69"/>
      <c r="E219" s="69"/>
      <c r="F219" s="69"/>
      <c r="G219" s="65"/>
    </row>
    <row r="220" spans="1:7" x14ac:dyDescent="0.25">
      <c r="A220" s="913"/>
      <c r="B220" s="89"/>
      <c r="C220" s="89"/>
      <c r="D220" s="80"/>
      <c r="E220" s="80"/>
      <c r="F220" s="80"/>
      <c r="G220" s="67"/>
    </row>
    <row r="221" spans="1:7" x14ac:dyDescent="0.25">
      <c r="A221" s="899"/>
      <c r="B221" s="43"/>
      <c r="C221" s="43"/>
      <c r="D221" s="62"/>
      <c r="E221" s="91"/>
      <c r="F221" s="62"/>
      <c r="G221" s="69"/>
    </row>
    <row r="222" spans="1:7" x14ac:dyDescent="0.25">
      <c r="A222" s="90"/>
      <c r="B222" s="43"/>
      <c r="C222" s="43"/>
      <c r="D222" s="62"/>
      <c r="E222" s="91"/>
      <c r="F222" s="62"/>
      <c r="G222" s="69"/>
    </row>
    <row r="223" spans="1:7" x14ac:dyDescent="0.25">
      <c r="A223" s="90"/>
      <c r="B223" s="43"/>
      <c r="C223" s="43"/>
      <c r="D223" s="62"/>
      <c r="E223" s="92"/>
      <c r="F223" s="62"/>
      <c r="G223" s="69"/>
    </row>
    <row r="224" spans="1:7" x14ac:dyDescent="0.25">
      <c r="A224" s="90"/>
      <c r="B224" s="43"/>
      <c r="C224" s="43"/>
      <c r="D224" s="61"/>
      <c r="E224" s="92"/>
      <c r="F224" s="62"/>
      <c r="G224" s="43"/>
    </row>
    <row r="225" spans="1:7" x14ac:dyDescent="0.25">
      <c r="A225" s="90"/>
      <c r="B225" s="69"/>
      <c r="C225" s="69"/>
      <c r="D225" s="69"/>
      <c r="E225" s="69"/>
      <c r="F225" s="69"/>
      <c r="G225" s="64"/>
    </row>
    <row r="226" spans="1:7" x14ac:dyDescent="0.25">
      <c r="A226" s="913"/>
      <c r="B226" s="80"/>
      <c r="C226" s="80"/>
      <c r="D226" s="80"/>
      <c r="E226" s="89"/>
      <c r="F226" s="80"/>
      <c r="G226" s="67"/>
    </row>
    <row r="227" spans="1:7" x14ac:dyDescent="0.25">
      <c r="A227" s="81"/>
      <c r="B227" s="81"/>
      <c r="C227" s="81"/>
      <c r="D227" s="81"/>
      <c r="E227" s="81"/>
      <c r="F227" s="81"/>
      <c r="G227" s="81"/>
    </row>
    <row r="228" spans="1:7" x14ac:dyDescent="0.25">
      <c r="A228" s="69"/>
      <c r="B228" s="85"/>
      <c r="C228" s="96"/>
      <c r="D228" s="62"/>
      <c r="E228" s="121"/>
      <c r="F228" s="62"/>
      <c r="G228" s="69"/>
    </row>
    <row r="229" spans="1:7" x14ac:dyDescent="0.25">
      <c r="A229" s="881"/>
      <c r="B229" s="85"/>
      <c r="C229" s="96"/>
      <c r="D229" s="62"/>
      <c r="E229" s="101"/>
      <c r="F229" s="62"/>
      <c r="G229" s="69"/>
    </row>
    <row r="230" spans="1:7" x14ac:dyDescent="0.25">
      <c r="A230" s="69"/>
      <c r="B230" s="85"/>
      <c r="C230" s="69"/>
      <c r="D230" s="62"/>
      <c r="E230" s="69"/>
      <c r="F230" s="62"/>
      <c r="G230" s="69"/>
    </row>
    <row r="231" spans="1:7" x14ac:dyDescent="0.25">
      <c r="A231" s="69"/>
      <c r="B231" s="69"/>
      <c r="C231" s="69"/>
      <c r="D231" s="69"/>
      <c r="E231" s="69"/>
      <c r="F231" s="69"/>
      <c r="G231" s="43"/>
    </row>
    <row r="232" spans="1:7" x14ac:dyDescent="0.25">
      <c r="A232" s="82"/>
      <c r="B232" s="82"/>
      <c r="C232" s="82"/>
      <c r="D232" s="82"/>
      <c r="E232" s="82"/>
      <c r="F232" s="82"/>
      <c r="G232" s="64"/>
    </row>
    <row r="233" spans="1:7" x14ac:dyDescent="0.25">
      <c r="A233" s="1230"/>
      <c r="B233" s="1230"/>
      <c r="C233" s="1230"/>
      <c r="D233" s="1230"/>
      <c r="E233" s="1230"/>
      <c r="F233" s="1230"/>
      <c r="G233" s="1233"/>
    </row>
    <row r="234" spans="1:7" x14ac:dyDescent="0.25">
      <c r="A234" s="1248"/>
      <c r="B234" s="1248"/>
      <c r="C234" s="1248"/>
      <c r="D234" s="1248"/>
      <c r="E234" s="1231"/>
      <c r="F234" s="93"/>
      <c r="G234" s="70"/>
    </row>
    <row r="235" spans="1:7" x14ac:dyDescent="0.25">
      <c r="A235" s="1232"/>
      <c r="B235" s="1232"/>
      <c r="C235" s="1222"/>
      <c r="D235" s="1222"/>
      <c r="E235" s="1222"/>
      <c r="F235" s="1222"/>
      <c r="G235" s="1222"/>
    </row>
    <row r="236" spans="1:7" x14ac:dyDescent="0.25">
      <c r="A236" s="1232"/>
      <c r="B236" s="1232"/>
      <c r="C236" s="1222"/>
      <c r="D236" s="1222"/>
      <c r="E236" s="1222"/>
      <c r="F236" s="1222"/>
      <c r="G236" s="1222"/>
    </row>
    <row r="237" spans="1:7" x14ac:dyDescent="0.25">
      <c r="A237" s="1244"/>
      <c r="B237" s="1244"/>
      <c r="C237" s="1244"/>
      <c r="D237" s="1244"/>
      <c r="E237" s="1244"/>
      <c r="F237" s="1221"/>
      <c r="G237" s="1222"/>
    </row>
    <row r="238" spans="1:7" x14ac:dyDescent="0.25">
      <c r="A238" s="1244"/>
      <c r="B238" s="1244"/>
      <c r="C238" s="1244"/>
      <c r="D238" s="1244"/>
      <c r="E238" s="1244"/>
      <c r="F238" s="1221"/>
      <c r="G238" s="1222"/>
    </row>
    <row r="239" spans="1:7" x14ac:dyDescent="0.25">
      <c r="A239" s="1244"/>
      <c r="B239" s="1244"/>
      <c r="C239" s="1244"/>
      <c r="D239" s="1244"/>
      <c r="E239" s="1244"/>
      <c r="F239" s="1221"/>
      <c r="G239" s="1222"/>
    </row>
    <row r="240" spans="1:7" x14ac:dyDescent="0.25">
      <c r="A240" s="1244"/>
      <c r="B240" s="1244"/>
      <c r="C240" s="1244"/>
      <c r="D240" s="1244"/>
      <c r="E240" s="1244"/>
      <c r="F240" s="1221"/>
      <c r="G240" s="1222"/>
    </row>
    <row r="241" spans="1:7" x14ac:dyDescent="0.25">
      <c r="A241" s="1245"/>
      <c r="B241" s="1245"/>
      <c r="C241" s="1245"/>
      <c r="D241" s="1245"/>
      <c r="E241" s="1245"/>
      <c r="F241" s="1222"/>
      <c r="G241" s="1222"/>
    </row>
    <row r="242" spans="1:7" x14ac:dyDescent="0.25">
      <c r="A242" s="1230"/>
      <c r="B242" s="1230"/>
      <c r="C242" s="1230"/>
      <c r="D242" s="1230"/>
      <c r="E242" s="1230"/>
      <c r="F242" s="1230"/>
      <c r="G242" s="1233"/>
    </row>
    <row r="243" spans="1:7" x14ac:dyDescent="0.25">
      <c r="A243" s="1248"/>
      <c r="B243" s="1248"/>
      <c r="C243" s="1248"/>
      <c r="D243" s="1248"/>
      <c r="E243" s="1231"/>
      <c r="F243" s="93"/>
      <c r="G243" s="70"/>
    </row>
    <row r="244" spans="1:7" x14ac:dyDescent="0.25">
      <c r="A244" s="1232"/>
      <c r="B244" s="1232"/>
      <c r="C244" s="1222"/>
      <c r="D244" s="1222"/>
      <c r="E244" s="1222"/>
      <c r="F244" s="1222"/>
      <c r="G244" s="1222"/>
    </row>
    <row r="245" spans="1:7" ht="33" customHeight="1" x14ac:dyDescent="0.25">
      <c r="A245" s="1232"/>
      <c r="B245" s="1232"/>
      <c r="C245" s="1222"/>
      <c r="D245" s="1222"/>
      <c r="E245" s="1222"/>
      <c r="F245" s="1222"/>
      <c r="G245" s="1222"/>
    </row>
    <row r="246" spans="1:7" x14ac:dyDescent="0.25">
      <c r="A246" s="1244"/>
      <c r="B246" s="1244"/>
      <c r="C246" s="1244"/>
      <c r="D246" s="1244"/>
      <c r="E246" s="1244"/>
      <c r="F246" s="1221"/>
      <c r="G246" s="1222"/>
    </row>
    <row r="247" spans="1:7" x14ac:dyDescent="0.25">
      <c r="A247" s="1244"/>
      <c r="B247" s="1244"/>
      <c r="C247" s="1244"/>
      <c r="D247" s="1244"/>
      <c r="E247" s="1244"/>
      <c r="F247" s="1221"/>
      <c r="G247" s="1222"/>
    </row>
    <row r="248" spans="1:7" x14ac:dyDescent="0.25">
      <c r="A248" s="95"/>
      <c r="B248" s="94"/>
      <c r="C248" s="94"/>
      <c r="D248" s="94"/>
      <c r="E248" s="94"/>
      <c r="F248" s="882"/>
      <c r="G248" s="882"/>
    </row>
    <row r="249" spans="1:7" ht="30" customHeight="1" x14ac:dyDescent="0.25">
      <c r="A249" s="1238"/>
      <c r="B249" s="1246"/>
      <c r="C249" s="1246"/>
      <c r="D249" s="1246"/>
      <c r="E249" s="1247"/>
      <c r="F249" s="880"/>
      <c r="G249" s="880"/>
    </row>
    <row r="250" spans="1:7" x14ac:dyDescent="0.25">
      <c r="A250" s="1229"/>
      <c r="B250" s="1229"/>
      <c r="C250" s="1229"/>
      <c r="D250" s="1229"/>
      <c r="E250" s="1229"/>
      <c r="F250" s="1229"/>
      <c r="G250" s="1229"/>
    </row>
    <row r="251" spans="1:7" x14ac:dyDescent="0.25">
      <c r="A251" s="1234"/>
      <c r="B251" s="1235"/>
      <c r="C251" s="80"/>
      <c r="D251" s="80"/>
      <c r="E251" s="80"/>
      <c r="F251" s="80"/>
      <c r="G251" s="67"/>
    </row>
    <row r="252" spans="1:7" x14ac:dyDescent="0.25">
      <c r="A252" s="1236"/>
      <c r="B252" s="1236"/>
      <c r="C252" s="69"/>
      <c r="D252" s="62"/>
      <c r="E252" s="62"/>
      <c r="F252" s="62"/>
      <c r="G252" s="81"/>
    </row>
    <row r="253" spans="1:7" x14ac:dyDescent="0.25">
      <c r="A253" s="1236"/>
      <c r="B253" s="1236"/>
      <c r="C253" s="69"/>
      <c r="D253" s="62"/>
      <c r="E253" s="62"/>
      <c r="F253" s="62"/>
      <c r="G253" s="69"/>
    </row>
    <row r="254" spans="1:7" x14ac:dyDescent="0.25">
      <c r="A254" s="1236"/>
      <c r="B254" s="1236"/>
      <c r="C254" s="69"/>
      <c r="D254" s="69"/>
      <c r="E254" s="69"/>
      <c r="F254" s="62"/>
      <c r="G254" s="69"/>
    </row>
    <row r="255" spans="1:7" x14ac:dyDescent="0.25">
      <c r="A255" s="1236"/>
      <c r="B255" s="1236"/>
      <c r="C255" s="69"/>
      <c r="D255" s="69"/>
      <c r="E255" s="69"/>
      <c r="F255" s="69"/>
      <c r="G255" s="69"/>
    </row>
    <row r="256" spans="1:7" x14ac:dyDescent="0.25">
      <c r="A256" s="1236"/>
      <c r="B256" s="1236"/>
      <c r="C256" s="69"/>
      <c r="D256" s="69"/>
      <c r="E256" s="69"/>
      <c r="F256" s="69"/>
      <c r="G256" s="83"/>
    </row>
    <row r="257" spans="1:7" x14ac:dyDescent="0.25">
      <c r="A257" s="1237"/>
      <c r="B257" s="1237"/>
      <c r="C257" s="82"/>
      <c r="D257" s="82"/>
      <c r="E257" s="82"/>
      <c r="F257" s="82"/>
      <c r="G257" s="64"/>
    </row>
    <row r="258" spans="1:7" x14ac:dyDescent="0.25">
      <c r="A258" s="1234"/>
      <c r="B258" s="1235"/>
      <c r="C258" s="80"/>
      <c r="D258" s="80"/>
      <c r="E258" s="80"/>
      <c r="F258" s="80"/>
      <c r="G258" s="67"/>
    </row>
    <row r="259" spans="1:7" x14ac:dyDescent="0.25">
      <c r="A259" s="1226"/>
      <c r="B259" s="1227"/>
      <c r="C259" s="43"/>
      <c r="D259" s="97"/>
      <c r="E259" s="92"/>
      <c r="F259" s="85"/>
      <c r="G259" s="69"/>
    </row>
    <row r="260" spans="1:7" x14ac:dyDescent="0.25">
      <c r="A260" s="1228"/>
      <c r="B260" s="1229"/>
      <c r="C260" s="43"/>
      <c r="D260" s="97"/>
      <c r="E260" s="92"/>
      <c r="F260" s="85"/>
      <c r="G260" s="43"/>
    </row>
    <row r="261" spans="1:7" x14ac:dyDescent="0.25">
      <c r="A261" s="1228"/>
      <c r="B261" s="1229"/>
      <c r="C261" s="69"/>
      <c r="D261" s="69"/>
      <c r="E261" s="69"/>
      <c r="F261" s="69"/>
      <c r="G261" s="65"/>
    </row>
    <row r="262" spans="1:7" x14ac:dyDescent="0.25">
      <c r="A262" s="913"/>
      <c r="B262" s="89"/>
      <c r="C262" s="89"/>
      <c r="D262" s="80"/>
      <c r="E262" s="80"/>
      <c r="F262" s="80"/>
      <c r="G262" s="67"/>
    </row>
    <row r="263" spans="1:7" x14ac:dyDescent="0.25">
      <c r="A263" s="899"/>
      <c r="B263" s="43"/>
      <c r="C263" s="43"/>
      <c r="D263" s="62"/>
      <c r="E263" s="91"/>
      <c r="F263" s="62"/>
      <c r="G263" s="69"/>
    </row>
    <row r="264" spans="1:7" x14ac:dyDescent="0.25">
      <c r="A264" s="90"/>
      <c r="B264" s="43"/>
      <c r="C264" s="43"/>
      <c r="D264" s="62"/>
      <c r="E264" s="91"/>
      <c r="F264" s="62"/>
      <c r="G264" s="69"/>
    </row>
    <row r="265" spans="1:7" x14ac:dyDescent="0.25">
      <c r="A265" s="90"/>
      <c r="B265" s="43"/>
      <c r="C265" s="43"/>
      <c r="D265" s="62"/>
      <c r="E265" s="92"/>
      <c r="F265" s="62"/>
      <c r="G265" s="69"/>
    </row>
    <row r="266" spans="1:7" x14ac:dyDescent="0.25">
      <c r="A266" s="90"/>
      <c r="B266" s="43"/>
      <c r="C266" s="43"/>
      <c r="D266" s="61"/>
      <c r="E266" s="92"/>
      <c r="F266" s="62"/>
      <c r="G266" s="43"/>
    </row>
    <row r="267" spans="1:7" x14ac:dyDescent="0.25">
      <c r="A267" s="90"/>
      <c r="B267" s="69"/>
      <c r="C267" s="69"/>
      <c r="D267" s="69"/>
      <c r="E267" s="69"/>
      <c r="F267" s="69"/>
      <c r="G267" s="64"/>
    </row>
    <row r="268" spans="1:7" x14ac:dyDescent="0.25">
      <c r="A268" s="913"/>
      <c r="B268" s="80"/>
      <c r="C268" s="80"/>
      <c r="D268" s="80"/>
      <c r="E268" s="89"/>
      <c r="F268" s="80"/>
      <c r="G268" s="67"/>
    </row>
    <row r="269" spans="1:7" x14ac:dyDescent="0.25">
      <c r="A269" s="81"/>
      <c r="B269" s="81"/>
      <c r="C269" s="81"/>
      <c r="D269" s="81"/>
      <c r="E269" s="81"/>
      <c r="F269" s="81"/>
      <c r="G269" s="81"/>
    </row>
    <row r="270" spans="1:7" x14ac:dyDescent="0.25">
      <c r="A270" s="69"/>
      <c r="B270" s="85"/>
      <c r="C270" s="96"/>
      <c r="D270" s="62"/>
      <c r="E270" s="121"/>
      <c r="F270" s="62"/>
      <c r="G270" s="69"/>
    </row>
    <row r="271" spans="1:7" x14ac:dyDescent="0.25">
      <c r="A271" s="881"/>
      <c r="B271" s="85"/>
      <c r="C271" s="96"/>
      <c r="D271" s="62"/>
      <c r="E271" s="101"/>
      <c r="F271" s="62"/>
      <c r="G271" s="69"/>
    </row>
    <row r="272" spans="1:7" x14ac:dyDescent="0.25">
      <c r="A272" s="69"/>
      <c r="B272" s="85"/>
      <c r="C272" s="69"/>
      <c r="D272" s="62"/>
      <c r="E272" s="69"/>
      <c r="F272" s="62"/>
      <c r="G272" s="69"/>
    </row>
    <row r="273" spans="1:7" x14ac:dyDescent="0.25">
      <c r="A273" s="69"/>
      <c r="B273" s="69"/>
      <c r="C273" s="69"/>
      <c r="D273" s="69"/>
      <c r="E273" s="69"/>
      <c r="F273" s="69"/>
      <c r="G273" s="43"/>
    </row>
    <row r="274" spans="1:7" x14ac:dyDescent="0.25">
      <c r="A274" s="82"/>
      <c r="B274" s="82"/>
      <c r="C274" s="82"/>
      <c r="D274" s="82"/>
      <c r="E274" s="82"/>
      <c r="F274" s="82"/>
      <c r="G274" s="64"/>
    </row>
    <row r="275" spans="1:7" x14ac:dyDescent="0.25">
      <c r="A275" s="1230"/>
      <c r="B275" s="1230"/>
      <c r="C275" s="1230"/>
      <c r="D275" s="1230"/>
      <c r="E275" s="1230"/>
      <c r="F275" s="1230"/>
      <c r="G275" s="1233"/>
    </row>
    <row r="276" spans="1:7" x14ac:dyDescent="0.25">
      <c r="A276" s="1248"/>
      <c r="B276" s="1248"/>
      <c r="C276" s="1248"/>
      <c r="D276" s="1248"/>
      <c r="E276" s="1231"/>
      <c r="F276" s="93"/>
      <c r="G276" s="70"/>
    </row>
    <row r="277" spans="1:7" x14ac:dyDescent="0.25">
      <c r="A277" s="1232"/>
      <c r="B277" s="1232"/>
      <c r="C277" s="1222"/>
      <c r="D277" s="1222"/>
      <c r="E277" s="1222"/>
      <c r="F277" s="1222"/>
      <c r="G277" s="1222"/>
    </row>
    <row r="278" spans="1:7" x14ac:dyDescent="0.25">
      <c r="A278" s="1232"/>
      <c r="B278" s="1232"/>
      <c r="C278" s="1222"/>
      <c r="D278" s="1222"/>
      <c r="E278" s="1222"/>
      <c r="F278" s="1222"/>
      <c r="G278" s="1222"/>
    </row>
    <row r="279" spans="1:7" x14ac:dyDescent="0.25">
      <c r="A279" s="1244"/>
      <c r="B279" s="1244"/>
      <c r="C279" s="1244"/>
      <c r="D279" s="1244"/>
      <c r="E279" s="1244"/>
      <c r="F279" s="1221"/>
      <c r="G279" s="1222"/>
    </row>
    <row r="280" spans="1:7" x14ac:dyDescent="0.25">
      <c r="A280" s="1244"/>
      <c r="B280" s="1244"/>
      <c r="C280" s="1244"/>
      <c r="D280" s="1244"/>
      <c r="E280" s="1244"/>
      <c r="F280" s="1221"/>
      <c r="G280" s="1222"/>
    </row>
    <row r="281" spans="1:7" x14ac:dyDescent="0.25">
      <c r="A281" s="1244"/>
      <c r="B281" s="1244"/>
      <c r="C281" s="1244"/>
      <c r="D281" s="1244"/>
      <c r="E281" s="1244"/>
      <c r="F281" s="1221"/>
      <c r="G281" s="1222"/>
    </row>
    <row r="282" spans="1:7" x14ac:dyDescent="0.25">
      <c r="A282" s="1244"/>
      <c r="B282" s="1244"/>
      <c r="C282" s="1244"/>
      <c r="D282" s="1244"/>
      <c r="E282" s="1244"/>
      <c r="F282" s="1221"/>
      <c r="G282" s="1222"/>
    </row>
    <row r="283" spans="1:7" x14ac:dyDescent="0.25">
      <c r="A283" s="1245"/>
      <c r="B283" s="1245"/>
      <c r="C283" s="1245"/>
      <c r="D283" s="1245"/>
      <c r="E283" s="1245"/>
      <c r="F283" s="1222"/>
      <c r="G283" s="1222"/>
    </row>
    <row r="284" spans="1:7" x14ac:dyDescent="0.25">
      <c r="A284" s="1230"/>
      <c r="B284" s="1230"/>
      <c r="C284" s="1230"/>
      <c r="D284" s="1230"/>
      <c r="E284" s="1230"/>
      <c r="F284" s="1230"/>
      <c r="G284" s="1233"/>
    </row>
    <row r="285" spans="1:7" x14ac:dyDescent="0.25">
      <c r="A285" s="1248"/>
      <c r="B285" s="1248"/>
      <c r="C285" s="1248"/>
      <c r="D285" s="1248"/>
      <c r="E285" s="1231"/>
      <c r="F285" s="93"/>
      <c r="G285" s="70"/>
    </row>
    <row r="286" spans="1:7" x14ac:dyDescent="0.25">
      <c r="A286" s="1232"/>
      <c r="B286" s="1232"/>
      <c r="C286" s="1222"/>
      <c r="D286" s="1222"/>
      <c r="E286" s="1222"/>
      <c r="F286" s="1222"/>
      <c r="G286" s="1222"/>
    </row>
    <row r="287" spans="1:7" x14ac:dyDescent="0.25">
      <c r="A287" s="1232"/>
      <c r="B287" s="1232"/>
      <c r="C287" s="1222"/>
      <c r="D287" s="1222"/>
      <c r="E287" s="1222"/>
      <c r="F287" s="1222"/>
      <c r="G287" s="1222"/>
    </row>
    <row r="288" spans="1:7" x14ac:dyDescent="0.25">
      <c r="A288" s="1244"/>
      <c r="B288" s="1244"/>
      <c r="C288" s="1244"/>
      <c r="D288" s="1244"/>
      <c r="E288" s="1244"/>
      <c r="F288" s="1221"/>
      <c r="G288" s="1222"/>
    </row>
    <row r="289" spans="1:7" x14ac:dyDescent="0.25">
      <c r="A289" s="1244"/>
      <c r="B289" s="1244"/>
      <c r="C289" s="1244"/>
      <c r="D289" s="1244"/>
      <c r="E289" s="1244"/>
      <c r="F289" s="1221"/>
      <c r="G289" s="1222"/>
    </row>
    <row r="290" spans="1:7" ht="21.75" customHeight="1" x14ac:dyDescent="0.25">
      <c r="A290" s="95"/>
      <c r="B290" s="94"/>
      <c r="C290" s="94"/>
      <c r="D290" s="94"/>
      <c r="E290" s="94"/>
      <c r="F290" s="882"/>
      <c r="G290" s="882"/>
    </row>
    <row r="291" spans="1:7" ht="21.75" customHeight="1" x14ac:dyDescent="0.25">
      <c r="A291" s="1238"/>
      <c r="B291" s="1246"/>
      <c r="C291" s="1246"/>
      <c r="D291" s="1246"/>
      <c r="E291" s="1247"/>
      <c r="F291" s="880"/>
      <c r="G291" s="880"/>
    </row>
    <row r="292" spans="1:7" ht="21.75" customHeight="1" x14ac:dyDescent="0.25">
      <c r="A292" s="1229"/>
      <c r="B292" s="1229"/>
      <c r="C292" s="1229"/>
      <c r="D292" s="1229"/>
      <c r="E292" s="1229"/>
      <c r="F292" s="1229"/>
      <c r="G292" s="1229"/>
    </row>
    <row r="293" spans="1:7" x14ac:dyDescent="0.25">
      <c r="A293" s="1234"/>
      <c r="B293" s="1235"/>
      <c r="C293" s="80"/>
      <c r="D293" s="80"/>
      <c r="E293" s="80"/>
      <c r="F293" s="80"/>
      <c r="G293" s="67"/>
    </row>
    <row r="294" spans="1:7" x14ac:dyDescent="0.25">
      <c r="A294" s="1236"/>
      <c r="B294" s="1236"/>
      <c r="C294" s="69"/>
      <c r="D294" s="62"/>
      <c r="E294" s="62"/>
      <c r="F294" s="62"/>
      <c r="G294" s="81"/>
    </row>
    <row r="295" spans="1:7" x14ac:dyDescent="0.25">
      <c r="A295" s="1236"/>
      <c r="B295" s="1236"/>
      <c r="C295" s="69"/>
      <c r="D295" s="62"/>
      <c r="E295" s="62"/>
      <c r="F295" s="62"/>
      <c r="G295" s="69"/>
    </row>
    <row r="296" spans="1:7" x14ac:dyDescent="0.25">
      <c r="A296" s="1236"/>
      <c r="B296" s="1236"/>
      <c r="C296" s="69"/>
      <c r="D296" s="69"/>
      <c r="E296" s="69"/>
      <c r="F296" s="62"/>
      <c r="G296" s="69"/>
    </row>
    <row r="297" spans="1:7" x14ac:dyDescent="0.25">
      <c r="A297" s="1236"/>
      <c r="B297" s="1236"/>
      <c r="C297" s="69"/>
      <c r="D297" s="69"/>
      <c r="E297" s="69"/>
      <c r="F297" s="69"/>
      <c r="G297" s="69"/>
    </row>
    <row r="298" spans="1:7" x14ac:dyDescent="0.25">
      <c r="A298" s="1236"/>
      <c r="B298" s="1236"/>
      <c r="C298" s="69"/>
      <c r="D298" s="69"/>
      <c r="E298" s="69"/>
      <c r="F298" s="69"/>
      <c r="G298" s="83"/>
    </row>
    <row r="299" spans="1:7" x14ac:dyDescent="0.25">
      <c r="A299" s="1237"/>
      <c r="B299" s="1237"/>
      <c r="C299" s="82"/>
      <c r="D299" s="82"/>
      <c r="E299" s="82"/>
      <c r="F299" s="82"/>
      <c r="G299" s="64"/>
    </row>
    <row r="300" spans="1:7" x14ac:dyDescent="0.25">
      <c r="A300" s="1234"/>
      <c r="B300" s="1235"/>
      <c r="C300" s="80"/>
      <c r="D300" s="80"/>
      <c r="E300" s="80"/>
      <c r="F300" s="80"/>
      <c r="G300" s="67"/>
    </row>
    <row r="301" spans="1:7" x14ac:dyDescent="0.25">
      <c r="A301" s="1226"/>
      <c r="B301" s="1227"/>
      <c r="C301" s="43"/>
      <c r="D301" s="97"/>
      <c r="E301" s="92"/>
      <c r="F301" s="85"/>
      <c r="G301" s="69"/>
    </row>
    <row r="302" spans="1:7" x14ac:dyDescent="0.25">
      <c r="A302" s="1228"/>
      <c r="B302" s="1229"/>
      <c r="C302" s="43"/>
      <c r="D302" s="97"/>
      <c r="E302" s="92"/>
      <c r="F302" s="85"/>
      <c r="G302" s="43"/>
    </row>
    <row r="303" spans="1:7" x14ac:dyDescent="0.25">
      <c r="A303" s="1228"/>
      <c r="B303" s="1229"/>
      <c r="C303" s="69"/>
      <c r="D303" s="69"/>
      <c r="E303" s="69"/>
      <c r="F303" s="69"/>
      <c r="G303" s="65"/>
    </row>
    <row r="304" spans="1:7" x14ac:dyDescent="0.25">
      <c r="A304" s="913"/>
      <c r="B304" s="89"/>
      <c r="C304" s="89"/>
      <c r="D304" s="80"/>
      <c r="E304" s="80"/>
      <c r="F304" s="80"/>
      <c r="G304" s="67"/>
    </row>
    <row r="305" spans="1:7" x14ac:dyDescent="0.25">
      <c r="A305" s="899"/>
      <c r="B305" s="43"/>
      <c r="C305" s="43"/>
      <c r="D305" s="62"/>
      <c r="E305" s="91"/>
      <c r="F305" s="62"/>
      <c r="G305" s="69"/>
    </row>
    <row r="306" spans="1:7" x14ac:dyDescent="0.25">
      <c r="A306" s="90"/>
      <c r="B306" s="43"/>
      <c r="C306" s="43"/>
      <c r="D306" s="62"/>
      <c r="E306" s="91"/>
      <c r="F306" s="62"/>
      <c r="G306" s="69"/>
    </row>
    <row r="307" spans="1:7" x14ac:dyDescent="0.25">
      <c r="A307" s="90"/>
      <c r="B307" s="43"/>
      <c r="C307" s="43"/>
      <c r="D307" s="62"/>
      <c r="E307" s="92"/>
      <c r="F307" s="62"/>
      <c r="G307" s="69"/>
    </row>
    <row r="308" spans="1:7" x14ac:dyDescent="0.25">
      <c r="A308" s="90"/>
      <c r="B308" s="43"/>
      <c r="C308" s="43"/>
      <c r="D308" s="61"/>
      <c r="E308" s="92"/>
      <c r="F308" s="62"/>
      <c r="G308" s="43"/>
    </row>
    <row r="309" spans="1:7" x14ac:dyDescent="0.25">
      <c r="A309" s="90"/>
      <c r="B309" s="69"/>
      <c r="C309" s="69"/>
      <c r="D309" s="69"/>
      <c r="E309" s="69"/>
      <c r="F309" s="69"/>
      <c r="G309" s="64"/>
    </row>
    <row r="310" spans="1:7" x14ac:dyDescent="0.25">
      <c r="A310" s="913"/>
      <c r="B310" s="80"/>
      <c r="C310" s="80"/>
      <c r="D310" s="80"/>
      <c r="E310" s="89"/>
      <c r="F310" s="80"/>
      <c r="G310" s="67"/>
    </row>
    <row r="311" spans="1:7" x14ac:dyDescent="0.25">
      <c r="A311" s="81"/>
      <c r="B311" s="81"/>
      <c r="C311" s="81"/>
      <c r="D311" s="81"/>
      <c r="E311" s="81"/>
      <c r="F311" s="81"/>
      <c r="G311" s="81"/>
    </row>
    <row r="312" spans="1:7" x14ac:dyDescent="0.25">
      <c r="A312" s="69"/>
      <c r="B312" s="85"/>
      <c r="C312" s="96"/>
      <c r="D312" s="62"/>
      <c r="E312" s="121"/>
      <c r="F312" s="62"/>
      <c r="G312" s="69"/>
    </row>
    <row r="313" spans="1:7" x14ac:dyDescent="0.25">
      <c r="A313" s="881"/>
      <c r="B313" s="85"/>
      <c r="C313" s="96"/>
      <c r="D313" s="62"/>
      <c r="E313" s="101"/>
      <c r="F313" s="62"/>
      <c r="G313" s="69"/>
    </row>
    <row r="314" spans="1:7" x14ac:dyDescent="0.25">
      <c r="A314" s="69"/>
      <c r="B314" s="85"/>
      <c r="C314" s="69"/>
      <c r="D314" s="62"/>
      <c r="E314" s="69"/>
      <c r="F314" s="62"/>
      <c r="G314" s="69"/>
    </row>
    <row r="315" spans="1:7" x14ac:dyDescent="0.25">
      <c r="A315" s="69"/>
      <c r="B315" s="69"/>
      <c r="C315" s="69"/>
      <c r="D315" s="69"/>
      <c r="E315" s="69"/>
      <c r="F315" s="69"/>
      <c r="G315" s="43"/>
    </row>
    <row r="316" spans="1:7" x14ac:dyDescent="0.25">
      <c r="A316" s="82"/>
      <c r="B316" s="82"/>
      <c r="C316" s="82"/>
      <c r="D316" s="82"/>
      <c r="E316" s="82"/>
      <c r="F316" s="82"/>
      <c r="G316" s="64"/>
    </row>
    <row r="317" spans="1:7" x14ac:dyDescent="0.25">
      <c r="A317" s="1230"/>
      <c r="B317" s="1230"/>
      <c r="C317" s="1230"/>
      <c r="D317" s="1230"/>
      <c r="E317" s="1230"/>
      <c r="F317" s="1230"/>
      <c r="G317" s="1233"/>
    </row>
    <row r="318" spans="1:7" x14ac:dyDescent="0.25">
      <c r="A318" s="1248"/>
      <c r="B318" s="1248"/>
      <c r="C318" s="1248"/>
      <c r="D318" s="1248"/>
      <c r="E318" s="1231"/>
      <c r="F318" s="93"/>
      <c r="G318" s="70"/>
    </row>
    <row r="319" spans="1:7" x14ac:dyDescent="0.25">
      <c r="A319" s="1232"/>
      <c r="B319" s="1232"/>
      <c r="C319" s="1222"/>
      <c r="D319" s="1222"/>
      <c r="E319" s="1222"/>
      <c r="F319" s="1222"/>
      <c r="G319" s="1222"/>
    </row>
    <row r="320" spans="1:7" x14ac:dyDescent="0.25">
      <c r="A320" s="1232"/>
      <c r="B320" s="1232"/>
      <c r="C320" s="1222"/>
      <c r="D320" s="1222"/>
      <c r="E320" s="1222"/>
      <c r="F320" s="1222"/>
      <c r="G320" s="1222"/>
    </row>
    <row r="321" spans="1:7" x14ac:dyDescent="0.25">
      <c r="A321" s="1244"/>
      <c r="B321" s="1244"/>
      <c r="C321" s="1244"/>
      <c r="D321" s="1244"/>
      <c r="E321" s="1244"/>
      <c r="F321" s="1221"/>
      <c r="G321" s="1222"/>
    </row>
    <row r="322" spans="1:7" x14ac:dyDescent="0.25">
      <c r="A322" s="1244"/>
      <c r="B322" s="1244"/>
      <c r="C322" s="1244"/>
      <c r="D322" s="1244"/>
      <c r="E322" s="1244"/>
      <c r="F322" s="1221"/>
      <c r="G322" s="1222"/>
    </row>
    <row r="323" spans="1:7" x14ac:dyDescent="0.25">
      <c r="A323" s="1244"/>
      <c r="B323" s="1244"/>
      <c r="C323" s="1244"/>
      <c r="D323" s="1244"/>
      <c r="E323" s="1244"/>
      <c r="F323" s="1221"/>
      <c r="G323" s="1222"/>
    </row>
    <row r="324" spans="1:7" x14ac:dyDescent="0.25">
      <c r="A324" s="1244"/>
      <c r="B324" s="1244"/>
      <c r="C324" s="1244"/>
      <c r="D324" s="1244"/>
      <c r="E324" s="1244"/>
      <c r="F324" s="1221"/>
      <c r="G324" s="1222"/>
    </row>
    <row r="325" spans="1:7" x14ac:dyDescent="0.25">
      <c r="A325" s="1245"/>
      <c r="B325" s="1245"/>
      <c r="C325" s="1245"/>
      <c r="D325" s="1245"/>
      <c r="E325" s="1245"/>
      <c r="F325" s="1222"/>
      <c r="G325" s="1222"/>
    </row>
    <row r="326" spans="1:7" x14ac:dyDescent="0.25">
      <c r="A326" s="1230"/>
      <c r="B326" s="1230"/>
      <c r="C326" s="1230"/>
      <c r="D326" s="1230"/>
      <c r="E326" s="1230"/>
      <c r="F326" s="1230"/>
      <c r="G326" s="1233"/>
    </row>
    <row r="327" spans="1:7" x14ac:dyDescent="0.25">
      <c r="A327" s="1248"/>
      <c r="B327" s="1248"/>
      <c r="C327" s="1248"/>
      <c r="D327" s="1248"/>
      <c r="E327" s="1231"/>
      <c r="F327" s="93"/>
      <c r="G327" s="70"/>
    </row>
    <row r="328" spans="1:7" x14ac:dyDescent="0.25">
      <c r="A328" s="1232"/>
      <c r="B328" s="1232"/>
      <c r="C328" s="1222"/>
      <c r="D328" s="1222"/>
      <c r="E328" s="1222"/>
      <c r="F328" s="1222"/>
      <c r="G328" s="1222"/>
    </row>
    <row r="329" spans="1:7" x14ac:dyDescent="0.25">
      <c r="A329" s="1232"/>
      <c r="B329" s="1232"/>
      <c r="C329" s="1222"/>
      <c r="D329" s="1222"/>
      <c r="E329" s="1222"/>
      <c r="F329" s="1222"/>
      <c r="G329" s="1222"/>
    </row>
    <row r="330" spans="1:7" x14ac:dyDescent="0.25">
      <c r="A330" s="1244"/>
      <c r="B330" s="1244"/>
      <c r="C330" s="1244"/>
      <c r="D330" s="1244"/>
      <c r="E330" s="1244"/>
      <c r="F330" s="1221"/>
      <c r="G330" s="1222"/>
    </row>
    <row r="331" spans="1:7" x14ac:dyDescent="0.25">
      <c r="A331" s="1244"/>
      <c r="B331" s="1244"/>
      <c r="C331" s="1244"/>
      <c r="D331" s="1244"/>
      <c r="E331" s="1244"/>
      <c r="F331" s="1221"/>
      <c r="G331" s="1222"/>
    </row>
    <row r="332" spans="1:7" x14ac:dyDescent="0.25">
      <c r="A332" s="95"/>
      <c r="B332" s="94"/>
      <c r="C332" s="94"/>
      <c r="D332" s="94"/>
      <c r="E332" s="94"/>
      <c r="F332" s="882"/>
      <c r="G332" s="882"/>
    </row>
    <row r="333" spans="1:7" ht="32.25" customHeight="1" x14ac:dyDescent="0.25">
      <c r="A333" s="1238"/>
      <c r="B333" s="1246"/>
      <c r="C333" s="1246"/>
      <c r="D333" s="1246"/>
      <c r="E333" s="1247"/>
      <c r="F333" s="880"/>
      <c r="G333" s="880"/>
    </row>
    <row r="334" spans="1:7" x14ac:dyDescent="0.25">
      <c r="A334" s="1229"/>
      <c r="B334" s="1229"/>
      <c r="C334" s="1229"/>
      <c r="D334" s="1229"/>
      <c r="E334" s="1229"/>
      <c r="F334" s="1229"/>
      <c r="G334" s="1229"/>
    </row>
    <row r="335" spans="1:7" x14ac:dyDescent="0.25">
      <c r="A335" s="1234"/>
      <c r="B335" s="1235"/>
      <c r="C335" s="80"/>
      <c r="D335" s="80"/>
      <c r="E335" s="80"/>
      <c r="F335" s="80"/>
      <c r="G335" s="67"/>
    </row>
    <row r="336" spans="1:7" x14ac:dyDescent="0.25">
      <c r="A336" s="1236"/>
      <c r="B336" s="1236"/>
      <c r="C336" s="69"/>
      <c r="D336" s="62"/>
      <c r="E336" s="62"/>
      <c r="F336" s="62"/>
      <c r="G336" s="81"/>
    </row>
    <row r="337" spans="1:7" x14ac:dyDescent="0.25">
      <c r="A337" s="1236"/>
      <c r="B337" s="1236"/>
      <c r="C337" s="69"/>
      <c r="D337" s="62"/>
      <c r="E337" s="62"/>
      <c r="F337" s="62"/>
      <c r="G337" s="69"/>
    </row>
    <row r="338" spans="1:7" x14ac:dyDescent="0.25">
      <c r="A338" s="1236"/>
      <c r="B338" s="1236"/>
      <c r="C338" s="69"/>
      <c r="D338" s="69"/>
      <c r="E338" s="69"/>
      <c r="F338" s="62"/>
      <c r="G338" s="69"/>
    </row>
    <row r="339" spans="1:7" x14ac:dyDescent="0.25">
      <c r="A339" s="1236"/>
      <c r="B339" s="1236"/>
      <c r="C339" s="69"/>
      <c r="D339" s="69"/>
      <c r="E339" s="69"/>
      <c r="F339" s="69"/>
      <c r="G339" s="69"/>
    </row>
    <row r="340" spans="1:7" x14ac:dyDescent="0.25">
      <c r="A340" s="1236"/>
      <c r="B340" s="1236"/>
      <c r="C340" s="69"/>
      <c r="D340" s="69"/>
      <c r="E340" s="69"/>
      <c r="F340" s="69"/>
      <c r="G340" s="83"/>
    </row>
    <row r="341" spans="1:7" x14ac:dyDescent="0.25">
      <c r="A341" s="1237"/>
      <c r="B341" s="1237"/>
      <c r="C341" s="82"/>
      <c r="D341" s="82"/>
      <c r="E341" s="82"/>
      <c r="F341" s="82"/>
      <c r="G341" s="64"/>
    </row>
    <row r="342" spans="1:7" x14ac:dyDescent="0.25">
      <c r="A342" s="1234"/>
      <c r="B342" s="1235"/>
      <c r="C342" s="80"/>
      <c r="D342" s="80"/>
      <c r="E342" s="80"/>
      <c r="F342" s="80"/>
      <c r="G342" s="67"/>
    </row>
    <row r="343" spans="1:7" x14ac:dyDescent="0.25">
      <c r="A343" s="1226"/>
      <c r="B343" s="1227"/>
      <c r="C343" s="43"/>
      <c r="D343" s="97"/>
      <c r="E343" s="92"/>
      <c r="F343" s="85"/>
      <c r="G343" s="69"/>
    </row>
    <row r="344" spans="1:7" x14ac:dyDescent="0.25">
      <c r="A344" s="1228"/>
      <c r="B344" s="1229"/>
      <c r="C344" s="43"/>
      <c r="D344" s="97"/>
      <c r="E344" s="92"/>
      <c r="F344" s="85"/>
      <c r="G344" s="43"/>
    </row>
    <row r="345" spans="1:7" x14ac:dyDescent="0.25">
      <c r="A345" s="1228"/>
      <c r="B345" s="1229"/>
      <c r="C345" s="69"/>
      <c r="D345" s="69"/>
      <c r="E345" s="69"/>
      <c r="F345" s="69"/>
      <c r="G345" s="65"/>
    </row>
    <row r="346" spans="1:7" x14ac:dyDescent="0.25">
      <c r="A346" s="913"/>
      <c r="B346" s="89"/>
      <c r="C346" s="89"/>
      <c r="D346" s="80"/>
      <c r="E346" s="80"/>
      <c r="F346" s="80"/>
      <c r="G346" s="67"/>
    </row>
    <row r="347" spans="1:7" x14ac:dyDescent="0.25">
      <c r="A347" s="899"/>
      <c r="B347" s="43"/>
      <c r="C347" s="43"/>
      <c r="D347" s="62"/>
      <c r="E347" s="91"/>
      <c r="F347" s="62"/>
      <c r="G347" s="69"/>
    </row>
    <row r="348" spans="1:7" x14ac:dyDescent="0.25">
      <c r="A348" s="90"/>
      <c r="B348" s="43"/>
      <c r="C348" s="43"/>
      <c r="D348" s="62"/>
      <c r="E348" s="91"/>
      <c r="F348" s="62"/>
      <c r="G348" s="69"/>
    </row>
    <row r="349" spans="1:7" x14ac:dyDescent="0.25">
      <c r="A349" s="90"/>
      <c r="B349" s="43"/>
      <c r="C349" s="43"/>
      <c r="D349" s="62"/>
      <c r="E349" s="92"/>
      <c r="F349" s="62"/>
      <c r="G349" s="69"/>
    </row>
    <row r="350" spans="1:7" x14ac:dyDescent="0.25">
      <c r="A350" s="90"/>
      <c r="B350" s="43"/>
      <c r="C350" s="43"/>
      <c r="D350" s="61"/>
      <c r="E350" s="92"/>
      <c r="F350" s="62"/>
      <c r="G350" s="43"/>
    </row>
    <row r="351" spans="1:7" x14ac:dyDescent="0.25">
      <c r="A351" s="90"/>
      <c r="B351" s="69"/>
      <c r="C351" s="69"/>
      <c r="D351" s="69"/>
      <c r="E351" s="69"/>
      <c r="F351" s="69"/>
      <c r="G351" s="64"/>
    </row>
    <row r="352" spans="1:7" x14ac:dyDescent="0.25">
      <c r="A352" s="913"/>
      <c r="B352" s="80"/>
      <c r="C352" s="80"/>
      <c r="D352" s="80"/>
      <c r="E352" s="89"/>
      <c r="F352" s="80"/>
      <c r="G352" s="67"/>
    </row>
    <row r="353" spans="1:7" x14ac:dyDescent="0.25">
      <c r="A353" s="81"/>
      <c r="B353" s="81"/>
      <c r="C353" s="81"/>
      <c r="D353" s="81"/>
      <c r="E353" s="81"/>
      <c r="F353" s="81"/>
      <c r="G353" s="81"/>
    </row>
    <row r="354" spans="1:7" x14ac:dyDescent="0.25">
      <c r="A354" s="69"/>
      <c r="B354" s="85"/>
      <c r="C354" s="96"/>
      <c r="D354" s="62"/>
      <c r="E354" s="121"/>
      <c r="F354" s="62"/>
      <c r="G354" s="69"/>
    </row>
    <row r="355" spans="1:7" x14ac:dyDescent="0.25">
      <c r="A355" s="881"/>
      <c r="B355" s="85"/>
      <c r="C355" s="96"/>
      <c r="D355" s="62"/>
      <c r="E355" s="101"/>
      <c r="F355" s="62"/>
      <c r="G355" s="69"/>
    </row>
    <row r="356" spans="1:7" x14ac:dyDescent="0.25">
      <c r="A356" s="69"/>
      <c r="B356" s="85"/>
      <c r="C356" s="69"/>
      <c r="D356" s="62"/>
      <c r="E356" s="69"/>
      <c r="F356" s="62"/>
      <c r="G356" s="69"/>
    </row>
    <row r="357" spans="1:7" x14ac:dyDescent="0.25">
      <c r="A357" s="69"/>
      <c r="B357" s="69"/>
      <c r="C357" s="69"/>
      <c r="D357" s="69"/>
      <c r="E357" s="69"/>
      <c r="F357" s="69"/>
      <c r="G357" s="43"/>
    </row>
    <row r="358" spans="1:7" x14ac:dyDescent="0.25">
      <c r="A358" s="82"/>
      <c r="B358" s="82"/>
      <c r="C358" s="82"/>
      <c r="D358" s="82"/>
      <c r="E358" s="82"/>
      <c r="F358" s="82"/>
      <c r="G358" s="64"/>
    </row>
    <row r="359" spans="1:7" x14ac:dyDescent="0.25">
      <c r="A359" s="1230"/>
      <c r="B359" s="1230"/>
      <c r="C359" s="1230"/>
      <c r="D359" s="1230"/>
      <c r="E359" s="1230"/>
      <c r="F359" s="1230"/>
      <c r="G359" s="1233"/>
    </row>
    <row r="360" spans="1:7" x14ac:dyDescent="0.25">
      <c r="A360" s="1248"/>
      <c r="B360" s="1248"/>
      <c r="C360" s="1248"/>
      <c r="D360" s="1248"/>
      <c r="E360" s="1231"/>
      <c r="F360" s="93"/>
      <c r="G360" s="70"/>
    </row>
    <row r="361" spans="1:7" x14ac:dyDescent="0.25">
      <c r="A361" s="1232"/>
      <c r="B361" s="1232"/>
      <c r="C361" s="1222"/>
      <c r="D361" s="1222"/>
      <c r="E361" s="1222"/>
      <c r="F361" s="1222"/>
      <c r="G361" s="1222"/>
    </row>
    <row r="362" spans="1:7" x14ac:dyDescent="0.25">
      <c r="A362" s="1232"/>
      <c r="B362" s="1232"/>
      <c r="C362" s="1222"/>
      <c r="D362" s="1222"/>
      <c r="E362" s="1222"/>
      <c r="F362" s="1222"/>
      <c r="G362" s="1222"/>
    </row>
    <row r="363" spans="1:7" x14ac:dyDescent="0.25">
      <c r="A363" s="1244"/>
      <c r="B363" s="1244"/>
      <c r="C363" s="1244"/>
      <c r="D363" s="1244"/>
      <c r="E363" s="1244"/>
      <c r="F363" s="1221"/>
      <c r="G363" s="1222"/>
    </row>
    <row r="364" spans="1:7" x14ac:dyDescent="0.25">
      <c r="A364" s="1244"/>
      <c r="B364" s="1244"/>
      <c r="C364" s="1244"/>
      <c r="D364" s="1244"/>
      <c r="E364" s="1244"/>
      <c r="F364" s="1221"/>
      <c r="G364" s="1222"/>
    </row>
    <row r="365" spans="1:7" x14ac:dyDescent="0.25">
      <c r="A365" s="1244"/>
      <c r="B365" s="1244"/>
      <c r="C365" s="1244"/>
      <c r="D365" s="1244"/>
      <c r="E365" s="1244"/>
      <c r="F365" s="1221"/>
      <c r="G365" s="1222"/>
    </row>
    <row r="366" spans="1:7" x14ac:dyDescent="0.25">
      <c r="A366" s="1244"/>
      <c r="B366" s="1244"/>
      <c r="C366" s="1244"/>
      <c r="D366" s="1244"/>
      <c r="E366" s="1244"/>
      <c r="F366" s="1221"/>
      <c r="G366" s="1222"/>
    </row>
    <row r="367" spans="1:7" x14ac:dyDescent="0.25">
      <c r="A367" s="1245"/>
      <c r="B367" s="1245"/>
      <c r="C367" s="1245"/>
      <c r="D367" s="1245"/>
      <c r="E367" s="1245"/>
      <c r="F367" s="1222"/>
      <c r="G367" s="1222"/>
    </row>
    <row r="368" spans="1:7" x14ac:dyDescent="0.25">
      <c r="A368" s="1230"/>
      <c r="B368" s="1230"/>
      <c r="C368" s="1230"/>
      <c r="D368" s="1230"/>
      <c r="E368" s="1230"/>
      <c r="F368" s="1230"/>
      <c r="G368" s="1233"/>
    </row>
    <row r="369" spans="1:7" x14ac:dyDescent="0.25">
      <c r="A369" s="1248"/>
      <c r="B369" s="1248"/>
      <c r="C369" s="1248"/>
      <c r="D369" s="1248"/>
      <c r="E369" s="1231"/>
      <c r="F369" s="93"/>
      <c r="G369" s="70"/>
    </row>
    <row r="370" spans="1:7" x14ac:dyDescent="0.25">
      <c r="A370" s="1232"/>
      <c r="B370" s="1232"/>
      <c r="C370" s="1222"/>
      <c r="D370" s="1222"/>
      <c r="E370" s="1222"/>
      <c r="F370" s="1222"/>
      <c r="G370" s="1222"/>
    </row>
    <row r="371" spans="1:7" x14ac:dyDescent="0.25">
      <c r="A371" s="1232"/>
      <c r="B371" s="1232"/>
      <c r="C371" s="1222"/>
      <c r="D371" s="1222"/>
      <c r="E371" s="1222"/>
      <c r="F371" s="1222"/>
      <c r="G371" s="1222"/>
    </row>
    <row r="372" spans="1:7" x14ac:dyDescent="0.25">
      <c r="A372" s="1244"/>
      <c r="B372" s="1244"/>
      <c r="C372" s="1244"/>
      <c r="D372" s="1244"/>
      <c r="E372" s="1244"/>
      <c r="F372" s="1221"/>
      <c r="G372" s="1222"/>
    </row>
    <row r="373" spans="1:7" x14ac:dyDescent="0.25">
      <c r="A373" s="1244"/>
      <c r="B373" s="1244"/>
      <c r="C373" s="1244"/>
      <c r="D373" s="1244"/>
      <c r="E373" s="1244"/>
      <c r="F373" s="1221"/>
      <c r="G373" s="1222"/>
    </row>
    <row r="374" spans="1:7" x14ac:dyDescent="0.25">
      <c r="A374" s="95"/>
      <c r="B374" s="94"/>
      <c r="C374" s="94"/>
      <c r="D374" s="94"/>
      <c r="E374" s="94"/>
      <c r="F374" s="882"/>
      <c r="G374" s="882"/>
    </row>
    <row r="375" spans="1:7" ht="27" customHeight="1" x14ac:dyDescent="0.25">
      <c r="A375" s="1238"/>
      <c r="B375" s="1246"/>
      <c r="C375" s="1246"/>
      <c r="D375" s="1246"/>
      <c r="E375" s="1247"/>
      <c r="F375" s="880"/>
      <c r="G375" s="880"/>
    </row>
    <row r="376" spans="1:7" x14ac:dyDescent="0.25">
      <c r="A376" s="1229"/>
      <c r="B376" s="1229"/>
      <c r="C376" s="1229"/>
      <c r="D376" s="1229"/>
      <c r="E376" s="1229"/>
      <c r="F376" s="1229"/>
      <c r="G376" s="1229"/>
    </row>
    <row r="377" spans="1:7" x14ac:dyDescent="0.25">
      <c r="A377" s="1234"/>
      <c r="B377" s="1235"/>
      <c r="C377" s="80"/>
      <c r="D377" s="80"/>
      <c r="E377" s="80"/>
      <c r="F377" s="80"/>
      <c r="G377" s="67"/>
    </row>
    <row r="378" spans="1:7" x14ac:dyDescent="0.25">
      <c r="A378" s="1236"/>
      <c r="B378" s="1236"/>
      <c r="C378" s="69"/>
      <c r="D378" s="62"/>
      <c r="E378" s="62"/>
      <c r="F378" s="62"/>
      <c r="G378" s="81"/>
    </row>
    <row r="379" spans="1:7" x14ac:dyDescent="0.25">
      <c r="A379" s="1236"/>
      <c r="B379" s="1236"/>
      <c r="C379" s="69"/>
      <c r="D379" s="62"/>
      <c r="E379" s="62"/>
      <c r="F379" s="62"/>
      <c r="G379" s="69"/>
    </row>
    <row r="380" spans="1:7" x14ac:dyDescent="0.25">
      <c r="A380" s="1236"/>
      <c r="B380" s="1236"/>
      <c r="C380" s="69"/>
      <c r="D380" s="69"/>
      <c r="E380" s="69"/>
      <c r="F380" s="62"/>
      <c r="G380" s="69"/>
    </row>
    <row r="381" spans="1:7" x14ac:dyDescent="0.25">
      <c r="A381" s="1236"/>
      <c r="B381" s="1236"/>
      <c r="C381" s="69"/>
      <c r="D381" s="69"/>
      <c r="E381" s="69"/>
      <c r="F381" s="69"/>
      <c r="G381" s="69"/>
    </row>
    <row r="382" spans="1:7" x14ac:dyDescent="0.25">
      <c r="A382" s="1236"/>
      <c r="B382" s="1236"/>
      <c r="C382" s="69"/>
      <c r="D382" s="69"/>
      <c r="E382" s="69"/>
      <c r="F382" s="69"/>
      <c r="G382" s="83"/>
    </row>
    <row r="383" spans="1:7" x14ac:dyDescent="0.25">
      <c r="A383" s="1237"/>
      <c r="B383" s="1237"/>
      <c r="C383" s="82"/>
      <c r="D383" s="82"/>
      <c r="E383" s="82"/>
      <c r="F383" s="82"/>
      <c r="G383" s="64"/>
    </row>
    <row r="384" spans="1:7" x14ac:dyDescent="0.25">
      <c r="A384" s="1234"/>
      <c r="B384" s="1235"/>
      <c r="C384" s="80"/>
      <c r="D384" s="80"/>
      <c r="E384" s="80"/>
      <c r="F384" s="80"/>
      <c r="G384" s="67"/>
    </row>
    <row r="385" spans="1:7" x14ac:dyDescent="0.25">
      <c r="A385" s="1226"/>
      <c r="B385" s="1227"/>
      <c r="C385" s="43"/>
      <c r="D385" s="97"/>
      <c r="E385" s="92"/>
      <c r="F385" s="85"/>
      <c r="G385" s="69"/>
    </row>
    <row r="386" spans="1:7" x14ac:dyDescent="0.25">
      <c r="A386" s="1228"/>
      <c r="B386" s="1229"/>
      <c r="C386" s="43"/>
      <c r="D386" s="97"/>
      <c r="E386" s="92"/>
      <c r="F386" s="85"/>
      <c r="G386" s="43"/>
    </row>
    <row r="387" spans="1:7" x14ac:dyDescent="0.25">
      <c r="A387" s="1228"/>
      <c r="B387" s="1229"/>
      <c r="C387" s="69"/>
      <c r="D387" s="69"/>
      <c r="E387" s="69"/>
      <c r="F387" s="69"/>
      <c r="G387" s="65"/>
    </row>
    <row r="388" spans="1:7" x14ac:dyDescent="0.25">
      <c r="A388" s="913"/>
      <c r="B388" s="89"/>
      <c r="C388" s="89"/>
      <c r="D388" s="80"/>
      <c r="E388" s="80"/>
      <c r="F388" s="80"/>
      <c r="G388" s="67"/>
    </row>
    <row r="389" spans="1:7" x14ac:dyDescent="0.25">
      <c r="A389" s="899"/>
      <c r="B389" s="43"/>
      <c r="C389" s="43"/>
      <c r="D389" s="62"/>
      <c r="E389" s="91"/>
      <c r="F389" s="62"/>
      <c r="G389" s="69"/>
    </row>
    <row r="390" spans="1:7" x14ac:dyDescent="0.25">
      <c r="A390" s="90"/>
      <c r="B390" s="43"/>
      <c r="C390" s="43"/>
      <c r="D390" s="62"/>
      <c r="E390" s="91"/>
      <c r="F390" s="62"/>
      <c r="G390" s="69"/>
    </row>
    <row r="391" spans="1:7" x14ac:dyDescent="0.25">
      <c r="A391" s="90"/>
      <c r="B391" s="43"/>
      <c r="C391" s="43"/>
      <c r="D391" s="62"/>
      <c r="E391" s="92"/>
      <c r="F391" s="62"/>
      <c r="G391" s="69"/>
    </row>
    <row r="392" spans="1:7" x14ac:dyDescent="0.25">
      <c r="A392" s="90"/>
      <c r="B392" s="43"/>
      <c r="C392" s="43"/>
      <c r="D392" s="61"/>
      <c r="E392" s="92"/>
      <c r="F392" s="62"/>
      <c r="G392" s="43"/>
    </row>
    <row r="393" spans="1:7" x14ac:dyDescent="0.25">
      <c r="A393" s="90"/>
      <c r="B393" s="69"/>
      <c r="C393" s="69"/>
      <c r="D393" s="69"/>
      <c r="E393" s="69"/>
      <c r="F393" s="69"/>
      <c r="G393" s="64"/>
    </row>
    <row r="394" spans="1:7" x14ac:dyDescent="0.25">
      <c r="A394" s="913"/>
      <c r="B394" s="80"/>
      <c r="C394" s="80"/>
      <c r="D394" s="80"/>
      <c r="E394" s="89"/>
      <c r="F394" s="80"/>
      <c r="G394" s="67"/>
    </row>
    <row r="395" spans="1:7" x14ac:dyDescent="0.25">
      <c r="A395" s="81"/>
      <c r="B395" s="81"/>
      <c r="C395" s="81"/>
      <c r="D395" s="81"/>
      <c r="E395" s="81"/>
      <c r="F395" s="81"/>
      <c r="G395" s="81"/>
    </row>
    <row r="396" spans="1:7" x14ac:dyDescent="0.25">
      <c r="A396" s="69"/>
      <c r="B396" s="85"/>
      <c r="C396" s="96"/>
      <c r="D396" s="62"/>
      <c r="E396" s="121"/>
      <c r="F396" s="62"/>
      <c r="G396" s="69"/>
    </row>
    <row r="397" spans="1:7" x14ac:dyDescent="0.25">
      <c r="A397" s="881"/>
      <c r="B397" s="85"/>
      <c r="C397" s="96"/>
      <c r="D397" s="62"/>
      <c r="E397" s="101"/>
      <c r="F397" s="62"/>
      <c r="G397" s="69"/>
    </row>
    <row r="398" spans="1:7" x14ac:dyDescent="0.25">
      <c r="A398" s="69"/>
      <c r="B398" s="85"/>
      <c r="C398" s="69"/>
      <c r="D398" s="62"/>
      <c r="E398" s="69"/>
      <c r="F398" s="62"/>
      <c r="G398" s="69"/>
    </row>
    <row r="399" spans="1:7" x14ac:dyDescent="0.25">
      <c r="A399" s="69"/>
      <c r="B399" s="69"/>
      <c r="C399" s="69"/>
      <c r="D399" s="69"/>
      <c r="E399" s="69"/>
      <c r="F399" s="69"/>
      <c r="G399" s="43"/>
    </row>
    <row r="400" spans="1:7" x14ac:dyDescent="0.25">
      <c r="A400" s="82"/>
      <c r="B400" s="82"/>
      <c r="C400" s="82"/>
      <c r="D400" s="82"/>
      <c r="E400" s="82"/>
      <c r="F400" s="82"/>
      <c r="G400" s="64"/>
    </row>
    <row r="401" spans="1:7" x14ac:dyDescent="0.25">
      <c r="A401" s="1230"/>
      <c r="B401" s="1230"/>
      <c r="C401" s="1230"/>
      <c r="D401" s="1230"/>
      <c r="E401" s="1230"/>
      <c r="F401" s="1230"/>
      <c r="G401" s="1233"/>
    </row>
    <row r="402" spans="1:7" x14ac:dyDescent="0.25">
      <c r="A402" s="1248"/>
      <c r="B402" s="1248"/>
      <c r="C402" s="1248"/>
      <c r="D402" s="1248"/>
      <c r="E402" s="1231"/>
      <c r="F402" s="93"/>
      <c r="G402" s="70"/>
    </row>
    <row r="403" spans="1:7" x14ac:dyDescent="0.25">
      <c r="A403" s="1232"/>
      <c r="B403" s="1232"/>
      <c r="C403" s="1222"/>
      <c r="D403" s="1222"/>
      <c r="E403" s="1222"/>
      <c r="F403" s="1222"/>
      <c r="G403" s="1222"/>
    </row>
    <row r="404" spans="1:7" x14ac:dyDescent="0.25">
      <c r="A404" s="1232"/>
      <c r="B404" s="1232"/>
      <c r="C404" s="1222"/>
      <c r="D404" s="1222"/>
      <c r="E404" s="1222"/>
      <c r="F404" s="1222"/>
      <c r="G404" s="1222"/>
    </row>
    <row r="405" spans="1:7" x14ac:dyDescent="0.25">
      <c r="A405" s="1244"/>
      <c r="B405" s="1244"/>
      <c r="C405" s="1244"/>
      <c r="D405" s="1244"/>
      <c r="E405" s="1244"/>
      <c r="F405" s="1221"/>
      <c r="G405" s="1222"/>
    </row>
    <row r="406" spans="1:7" x14ac:dyDescent="0.25">
      <c r="A406" s="1244"/>
      <c r="B406" s="1244"/>
      <c r="C406" s="1244"/>
      <c r="D406" s="1244"/>
      <c r="E406" s="1244"/>
      <c r="F406" s="1221"/>
      <c r="G406" s="1222"/>
    </row>
    <row r="407" spans="1:7" x14ac:dyDescent="0.25">
      <c r="A407" s="1244"/>
      <c r="B407" s="1244"/>
      <c r="C407" s="1244"/>
      <c r="D407" s="1244"/>
      <c r="E407" s="1244"/>
      <c r="F407" s="1221"/>
      <c r="G407" s="1222"/>
    </row>
    <row r="408" spans="1:7" x14ac:dyDescent="0.25">
      <c r="A408" s="1244"/>
      <c r="B408" s="1244"/>
      <c r="C408" s="1244"/>
      <c r="D408" s="1244"/>
      <c r="E408" s="1244"/>
      <c r="F408" s="1221"/>
      <c r="G408" s="1222"/>
    </row>
    <row r="409" spans="1:7" x14ac:dyDescent="0.25">
      <c r="A409" s="1245"/>
      <c r="B409" s="1245"/>
      <c r="C409" s="1245"/>
      <c r="D409" s="1245"/>
      <c r="E409" s="1245"/>
      <c r="F409" s="1222"/>
      <c r="G409" s="1222"/>
    </row>
    <row r="417" spans="1:7" x14ac:dyDescent="0.25">
      <c r="A417" s="95"/>
      <c r="B417" s="94"/>
      <c r="C417" s="94"/>
      <c r="D417" s="94"/>
      <c r="E417" s="94"/>
      <c r="F417" s="882"/>
      <c r="G417" s="882"/>
    </row>
    <row r="418" spans="1:7" ht="27" customHeight="1" x14ac:dyDescent="0.25">
      <c r="A418" s="1238"/>
      <c r="B418" s="1246"/>
      <c r="C418" s="1246"/>
      <c r="D418" s="1246"/>
      <c r="E418" s="1247"/>
      <c r="F418" s="880"/>
      <c r="G418" s="880"/>
    </row>
    <row r="419" spans="1:7" x14ac:dyDescent="0.25">
      <c r="A419" s="1229"/>
      <c r="B419" s="1229"/>
      <c r="C419" s="1229"/>
      <c r="D419" s="1229"/>
      <c r="E419" s="1229"/>
      <c r="F419" s="1229"/>
      <c r="G419" s="1229"/>
    </row>
    <row r="420" spans="1:7" x14ac:dyDescent="0.25">
      <c r="A420" s="1234"/>
      <c r="B420" s="1235"/>
      <c r="C420" s="80"/>
      <c r="D420" s="80"/>
      <c r="E420" s="80"/>
      <c r="F420" s="80"/>
      <c r="G420" s="67"/>
    </row>
    <row r="421" spans="1:7" x14ac:dyDescent="0.25">
      <c r="A421" s="1236"/>
      <c r="B421" s="1236"/>
      <c r="C421" s="69"/>
      <c r="D421" s="62"/>
      <c r="E421" s="62"/>
      <c r="F421" s="62"/>
      <c r="G421" s="81"/>
    </row>
    <row r="422" spans="1:7" x14ac:dyDescent="0.25">
      <c r="A422" s="1236"/>
      <c r="B422" s="1236"/>
      <c r="C422" s="69"/>
      <c r="D422" s="62"/>
      <c r="E422" s="62"/>
      <c r="F422" s="62"/>
      <c r="G422" s="69"/>
    </row>
    <row r="423" spans="1:7" x14ac:dyDescent="0.25">
      <c r="A423" s="1236"/>
      <c r="B423" s="1236"/>
      <c r="C423" s="69"/>
      <c r="D423" s="69"/>
      <c r="E423" s="69"/>
      <c r="F423" s="62"/>
      <c r="G423" s="69"/>
    </row>
    <row r="424" spans="1:7" x14ac:dyDescent="0.25">
      <c r="A424" s="1236"/>
      <c r="B424" s="1236"/>
      <c r="C424" s="69"/>
      <c r="D424" s="69"/>
      <c r="E424" s="69"/>
      <c r="F424" s="69"/>
      <c r="G424" s="69"/>
    </row>
    <row r="425" spans="1:7" x14ac:dyDescent="0.25">
      <c r="A425" s="1236"/>
      <c r="B425" s="1236"/>
      <c r="C425" s="69"/>
      <c r="D425" s="69"/>
      <c r="E425" s="69"/>
      <c r="F425" s="69"/>
      <c r="G425" s="83"/>
    </row>
    <row r="426" spans="1:7" x14ac:dyDescent="0.25">
      <c r="A426" s="1237"/>
      <c r="B426" s="1237"/>
      <c r="C426" s="82"/>
      <c r="D426" s="82"/>
      <c r="E426" s="82"/>
      <c r="F426" s="82"/>
      <c r="G426" s="64"/>
    </row>
    <row r="427" spans="1:7" x14ac:dyDescent="0.25">
      <c r="A427" s="1234"/>
      <c r="B427" s="1235"/>
      <c r="C427" s="80"/>
      <c r="D427" s="80"/>
      <c r="E427" s="80"/>
      <c r="F427" s="80"/>
      <c r="G427" s="67"/>
    </row>
    <row r="428" spans="1:7" x14ac:dyDescent="0.25">
      <c r="A428" s="1226"/>
      <c r="B428" s="1227"/>
      <c r="C428" s="43"/>
      <c r="D428" s="97"/>
      <c r="E428" s="92"/>
      <c r="F428" s="85"/>
      <c r="G428" s="69"/>
    </row>
    <row r="429" spans="1:7" x14ac:dyDescent="0.25">
      <c r="A429" s="1228"/>
      <c r="B429" s="1229"/>
      <c r="C429" s="43"/>
      <c r="D429" s="97"/>
      <c r="E429" s="92"/>
      <c r="F429" s="85"/>
      <c r="G429" s="43"/>
    </row>
    <row r="430" spans="1:7" x14ac:dyDescent="0.25">
      <c r="A430" s="1228"/>
      <c r="B430" s="1229"/>
      <c r="C430" s="69"/>
      <c r="D430" s="69"/>
      <c r="E430" s="69"/>
      <c r="F430" s="69"/>
      <c r="G430" s="65"/>
    </row>
    <row r="431" spans="1:7" x14ac:dyDescent="0.25">
      <c r="A431" s="913"/>
      <c r="B431" s="89"/>
      <c r="C431" s="89"/>
      <c r="D431" s="80"/>
      <c r="E431" s="80"/>
      <c r="F431" s="80"/>
      <c r="G431" s="67"/>
    </row>
    <row r="432" spans="1:7" x14ac:dyDescent="0.25">
      <c r="A432" s="899"/>
      <c r="B432" s="43"/>
      <c r="C432" s="43"/>
      <c r="D432" s="62"/>
      <c r="E432" s="91"/>
      <c r="F432" s="62"/>
      <c r="G432" s="69"/>
    </row>
    <row r="433" spans="1:7" x14ac:dyDescent="0.25">
      <c r="A433" s="90"/>
      <c r="B433" s="43"/>
      <c r="C433" s="43"/>
      <c r="D433" s="62"/>
      <c r="E433" s="91"/>
      <c r="F433" s="62"/>
      <c r="G433" s="69"/>
    </row>
    <row r="434" spans="1:7" x14ac:dyDescent="0.25">
      <c r="A434" s="90"/>
      <c r="B434" s="43"/>
      <c r="C434" s="43"/>
      <c r="D434" s="62"/>
      <c r="E434" s="92"/>
      <c r="F434" s="62"/>
      <c r="G434" s="69"/>
    </row>
    <row r="435" spans="1:7" x14ac:dyDescent="0.25">
      <c r="A435" s="90"/>
      <c r="B435" s="43"/>
      <c r="C435" s="43"/>
      <c r="D435" s="61"/>
      <c r="E435" s="92"/>
      <c r="F435" s="62"/>
      <c r="G435" s="43"/>
    </row>
    <row r="436" spans="1:7" x14ac:dyDescent="0.25">
      <c r="A436" s="90"/>
      <c r="B436" s="69"/>
      <c r="C436" s="69"/>
      <c r="D436" s="69"/>
      <c r="E436" s="69"/>
      <c r="F436" s="69"/>
      <c r="G436" s="64"/>
    </row>
    <row r="437" spans="1:7" x14ac:dyDescent="0.25">
      <c r="A437" s="913"/>
      <c r="B437" s="80"/>
      <c r="C437" s="80"/>
      <c r="D437" s="80"/>
      <c r="E437" s="89"/>
      <c r="F437" s="80"/>
      <c r="G437" s="67"/>
    </row>
    <row r="438" spans="1:7" x14ac:dyDescent="0.25">
      <c r="A438" s="81"/>
      <c r="B438" s="81"/>
      <c r="C438" s="81"/>
      <c r="D438" s="81"/>
      <c r="E438" s="81"/>
      <c r="F438" s="81"/>
      <c r="G438" s="81"/>
    </row>
    <row r="439" spans="1:7" x14ac:dyDescent="0.25">
      <c r="A439" s="69"/>
      <c r="B439" s="85"/>
      <c r="C439" s="96"/>
      <c r="D439" s="62"/>
      <c r="E439" s="121"/>
      <c r="F439" s="62"/>
      <c r="G439" s="69"/>
    </row>
    <row r="440" spans="1:7" x14ac:dyDescent="0.25">
      <c r="A440" s="881"/>
      <c r="B440" s="85"/>
      <c r="C440" s="96"/>
      <c r="D440" s="62"/>
      <c r="E440" s="101"/>
      <c r="F440" s="62"/>
      <c r="G440" s="69"/>
    </row>
    <row r="441" spans="1:7" x14ac:dyDescent="0.25">
      <c r="A441" s="69"/>
      <c r="B441" s="85"/>
      <c r="C441" s="69"/>
      <c r="D441" s="62"/>
      <c r="E441" s="69"/>
      <c r="F441" s="62"/>
      <c r="G441" s="69"/>
    </row>
    <row r="442" spans="1:7" x14ac:dyDescent="0.25">
      <c r="A442" s="69"/>
      <c r="B442" s="69"/>
      <c r="C442" s="69"/>
      <c r="D442" s="69"/>
      <c r="E442" s="69"/>
      <c r="F442" s="69"/>
      <c r="G442" s="43"/>
    </row>
    <row r="443" spans="1:7" x14ac:dyDescent="0.25">
      <c r="A443" s="82"/>
      <c r="B443" s="82"/>
      <c r="C443" s="82"/>
      <c r="D443" s="82"/>
      <c r="E443" s="82"/>
      <c r="F443" s="82"/>
      <c r="G443" s="64"/>
    </row>
    <row r="444" spans="1:7" x14ac:dyDescent="0.25">
      <c r="A444" s="1230"/>
      <c r="B444" s="1230"/>
      <c r="C444" s="1230"/>
      <c r="D444" s="1230"/>
      <c r="E444" s="1230"/>
      <c r="F444" s="1230"/>
      <c r="G444" s="1233"/>
    </row>
    <row r="445" spans="1:7" x14ac:dyDescent="0.25">
      <c r="A445" s="1248"/>
      <c r="B445" s="1248"/>
      <c r="C445" s="1248"/>
      <c r="D445" s="1248"/>
      <c r="E445" s="1231"/>
      <c r="F445" s="93"/>
      <c r="G445" s="70"/>
    </row>
    <row r="446" spans="1:7" x14ac:dyDescent="0.25">
      <c r="A446" s="1232"/>
      <c r="B446" s="1232"/>
      <c r="C446" s="1222"/>
      <c r="D446" s="1222"/>
      <c r="E446" s="1222"/>
      <c r="F446" s="1222"/>
      <c r="G446" s="1222"/>
    </row>
    <row r="447" spans="1:7" x14ac:dyDescent="0.25">
      <c r="A447" s="1232"/>
      <c r="B447" s="1232"/>
      <c r="C447" s="1222"/>
      <c r="D447" s="1222"/>
      <c r="E447" s="1222"/>
      <c r="F447" s="1222"/>
      <c r="G447" s="1222"/>
    </row>
    <row r="448" spans="1:7" x14ac:dyDescent="0.25">
      <c r="A448" s="1244"/>
      <c r="B448" s="1244"/>
      <c r="C448" s="1244"/>
      <c r="D448" s="1244"/>
      <c r="E448" s="1244"/>
      <c r="F448" s="1221"/>
      <c r="G448" s="1222"/>
    </row>
    <row r="449" spans="1:7" x14ac:dyDescent="0.25">
      <c r="A449" s="1244"/>
      <c r="B449" s="1244"/>
      <c r="C449" s="1244"/>
      <c r="D449" s="1244"/>
      <c r="E449" s="1244"/>
      <c r="F449" s="1221"/>
      <c r="G449" s="1222"/>
    </row>
    <row r="450" spans="1:7" x14ac:dyDescent="0.25">
      <c r="A450" s="1244"/>
      <c r="B450" s="1244"/>
      <c r="C450" s="1244"/>
      <c r="D450" s="1244"/>
      <c r="E450" s="1244"/>
      <c r="F450" s="1221"/>
      <c r="G450" s="1222"/>
    </row>
    <row r="451" spans="1:7" x14ac:dyDescent="0.25">
      <c r="A451" s="1244"/>
      <c r="B451" s="1244"/>
      <c r="C451" s="1244"/>
      <c r="D451" s="1244"/>
      <c r="E451" s="1244"/>
      <c r="F451" s="1221"/>
      <c r="G451" s="1222"/>
    </row>
    <row r="452" spans="1:7" x14ac:dyDescent="0.25">
      <c r="A452" s="1245"/>
      <c r="B452" s="1245"/>
      <c r="C452" s="1245"/>
      <c r="D452" s="1245"/>
      <c r="E452" s="1245"/>
      <c r="F452" s="1222"/>
      <c r="G452" s="1222"/>
    </row>
    <row r="460" spans="1:7" x14ac:dyDescent="0.25">
      <c r="A460" s="95"/>
      <c r="B460" s="94"/>
      <c r="C460" s="94"/>
      <c r="D460" s="94"/>
      <c r="E460" s="94"/>
      <c r="F460" s="882"/>
      <c r="G460" s="882"/>
    </row>
    <row r="461" spans="1:7" ht="28.5" customHeight="1" x14ac:dyDescent="0.25">
      <c r="A461" s="1238"/>
      <c r="B461" s="1246"/>
      <c r="C461" s="1246"/>
      <c r="D461" s="1246"/>
      <c r="E461" s="1247"/>
      <c r="F461" s="880"/>
      <c r="G461" s="880"/>
    </row>
    <row r="462" spans="1:7" x14ac:dyDescent="0.25">
      <c r="A462" s="1229"/>
      <c r="B462" s="1229"/>
      <c r="C462" s="1229"/>
      <c r="D462" s="1229"/>
      <c r="E462" s="1229"/>
      <c r="F462" s="1229"/>
      <c r="G462" s="1229"/>
    </row>
    <row r="463" spans="1:7" x14ac:dyDescent="0.25">
      <c r="A463" s="1234"/>
      <c r="B463" s="1235"/>
      <c r="C463" s="80"/>
      <c r="D463" s="80"/>
      <c r="E463" s="80"/>
      <c r="F463" s="80"/>
      <c r="G463" s="67"/>
    </row>
    <row r="464" spans="1:7" x14ac:dyDescent="0.25">
      <c r="A464" s="1236"/>
      <c r="B464" s="1236"/>
      <c r="C464" s="69"/>
      <c r="D464" s="62"/>
      <c r="E464" s="62"/>
      <c r="F464" s="62"/>
      <c r="G464" s="81"/>
    </row>
    <row r="465" spans="1:7" x14ac:dyDescent="0.25">
      <c r="A465" s="1236"/>
      <c r="B465" s="1236"/>
      <c r="C465" s="69"/>
      <c r="D465" s="62"/>
      <c r="E465" s="62"/>
      <c r="F465" s="62"/>
      <c r="G465" s="69"/>
    </row>
    <row r="466" spans="1:7" x14ac:dyDescent="0.25">
      <c r="A466" s="1236"/>
      <c r="B466" s="1236"/>
      <c r="C466" s="69"/>
      <c r="D466" s="69"/>
      <c r="E466" s="69"/>
      <c r="F466" s="62"/>
      <c r="G466" s="69"/>
    </row>
    <row r="467" spans="1:7" x14ac:dyDescent="0.25">
      <c r="A467" s="1236"/>
      <c r="B467" s="1236"/>
      <c r="C467" s="69"/>
      <c r="D467" s="69"/>
      <c r="E467" s="69"/>
      <c r="F467" s="69"/>
      <c r="G467" s="69"/>
    </row>
    <row r="468" spans="1:7" x14ac:dyDescent="0.25">
      <c r="A468" s="1236"/>
      <c r="B468" s="1236"/>
      <c r="C468" s="69"/>
      <c r="D468" s="69"/>
      <c r="E468" s="69"/>
      <c r="F468" s="69"/>
      <c r="G468" s="83"/>
    </row>
    <row r="469" spans="1:7" x14ac:dyDescent="0.25">
      <c r="A469" s="1237"/>
      <c r="B469" s="1237"/>
      <c r="C469" s="82"/>
      <c r="D469" s="82"/>
      <c r="E469" s="82"/>
      <c r="F469" s="82"/>
      <c r="G469" s="64"/>
    </row>
    <row r="470" spans="1:7" x14ac:dyDescent="0.25">
      <c r="A470" s="1234"/>
      <c r="B470" s="1235"/>
      <c r="C470" s="80"/>
      <c r="D470" s="80"/>
      <c r="E470" s="80"/>
      <c r="F470" s="80"/>
      <c r="G470" s="67"/>
    </row>
    <row r="471" spans="1:7" x14ac:dyDescent="0.25">
      <c r="A471" s="1226"/>
      <c r="B471" s="1227"/>
      <c r="C471" s="43"/>
      <c r="D471" s="97"/>
      <c r="E471" s="92"/>
      <c r="F471" s="85"/>
      <c r="G471" s="69"/>
    </row>
    <row r="472" spans="1:7" x14ac:dyDescent="0.25">
      <c r="A472" s="1228"/>
      <c r="B472" s="1229"/>
      <c r="C472" s="43"/>
      <c r="D472" s="97"/>
      <c r="E472" s="92"/>
      <c r="F472" s="85"/>
      <c r="G472" s="43"/>
    </row>
    <row r="473" spans="1:7" x14ac:dyDescent="0.25">
      <c r="A473" s="1228"/>
      <c r="B473" s="1229"/>
      <c r="C473" s="69"/>
      <c r="D473" s="69"/>
      <c r="E473" s="69"/>
      <c r="F473" s="69"/>
      <c r="G473" s="65"/>
    </row>
    <row r="474" spans="1:7" x14ac:dyDescent="0.25">
      <c r="A474" s="913"/>
      <c r="B474" s="89"/>
      <c r="C474" s="89"/>
      <c r="D474" s="80"/>
      <c r="E474" s="80"/>
      <c r="F474" s="80"/>
      <c r="G474" s="67"/>
    </row>
    <row r="475" spans="1:7" x14ac:dyDescent="0.25">
      <c r="A475" s="899"/>
      <c r="B475" s="43"/>
      <c r="C475" s="43"/>
      <c r="D475" s="62"/>
      <c r="E475" s="91"/>
      <c r="F475" s="62"/>
      <c r="G475" s="69"/>
    </row>
    <row r="476" spans="1:7" x14ac:dyDescent="0.25">
      <c r="A476" s="90"/>
      <c r="B476" s="43"/>
      <c r="C476" s="43"/>
      <c r="D476" s="62"/>
      <c r="E476" s="91"/>
      <c r="F476" s="62"/>
      <c r="G476" s="69"/>
    </row>
    <row r="477" spans="1:7" x14ac:dyDescent="0.25">
      <c r="A477" s="90"/>
      <c r="B477" s="43"/>
      <c r="C477" s="43"/>
      <c r="D477" s="62"/>
      <c r="E477" s="92"/>
      <c r="F477" s="62"/>
      <c r="G477" s="69"/>
    </row>
    <row r="478" spans="1:7" x14ac:dyDescent="0.25">
      <c r="A478" s="90"/>
      <c r="B478" s="43"/>
      <c r="C478" s="43"/>
      <c r="D478" s="61"/>
      <c r="E478" s="92"/>
      <c r="F478" s="62"/>
      <c r="G478" s="43"/>
    </row>
    <row r="479" spans="1:7" x14ac:dyDescent="0.25">
      <c r="A479" s="90"/>
      <c r="B479" s="69"/>
      <c r="C479" s="69"/>
      <c r="D479" s="69"/>
      <c r="E479" s="69"/>
      <c r="F479" s="69"/>
      <c r="G479" s="64"/>
    </row>
    <row r="480" spans="1:7" x14ac:dyDescent="0.25">
      <c r="A480" s="913"/>
      <c r="B480" s="80"/>
      <c r="C480" s="80"/>
      <c r="D480" s="80"/>
      <c r="E480" s="89"/>
      <c r="F480" s="80"/>
      <c r="G480" s="67"/>
    </row>
    <row r="481" spans="1:7" x14ac:dyDescent="0.25">
      <c r="A481" s="81"/>
      <c r="B481" s="81"/>
      <c r="C481" s="81"/>
      <c r="D481" s="81"/>
      <c r="E481" s="81"/>
      <c r="F481" s="81"/>
      <c r="G481" s="81"/>
    </row>
    <row r="482" spans="1:7" x14ac:dyDescent="0.25">
      <c r="A482" s="69"/>
      <c r="B482" s="85"/>
      <c r="C482" s="96"/>
      <c r="D482" s="62"/>
      <c r="E482" s="121"/>
      <c r="F482" s="62"/>
      <c r="G482" s="69"/>
    </row>
    <row r="483" spans="1:7" x14ac:dyDescent="0.25">
      <c r="A483" s="881"/>
      <c r="B483" s="85"/>
      <c r="C483" s="96"/>
      <c r="D483" s="62"/>
      <c r="E483" s="101"/>
      <c r="F483" s="62"/>
      <c r="G483" s="69"/>
    </row>
    <row r="484" spans="1:7" x14ac:dyDescent="0.25">
      <c r="A484" s="69"/>
      <c r="B484" s="85"/>
      <c r="C484" s="69"/>
      <c r="D484" s="62"/>
      <c r="E484" s="69"/>
      <c r="F484" s="62"/>
      <c r="G484" s="69"/>
    </row>
    <row r="485" spans="1:7" x14ac:dyDescent="0.25">
      <c r="A485" s="69"/>
      <c r="B485" s="69"/>
      <c r="C485" s="69"/>
      <c r="D485" s="69"/>
      <c r="E485" s="69"/>
      <c r="F485" s="69"/>
      <c r="G485" s="43"/>
    </row>
    <row r="486" spans="1:7" x14ac:dyDescent="0.25">
      <c r="A486" s="82"/>
      <c r="B486" s="82"/>
      <c r="C486" s="82"/>
      <c r="D486" s="82"/>
      <c r="E486" s="82"/>
      <c r="F486" s="82"/>
      <c r="G486" s="64"/>
    </row>
    <row r="487" spans="1:7" x14ac:dyDescent="0.25">
      <c r="A487" s="1230"/>
      <c r="B487" s="1230"/>
      <c r="C487" s="1230"/>
      <c r="D487" s="1230"/>
      <c r="E487" s="1230"/>
      <c r="F487" s="1230"/>
      <c r="G487" s="1233"/>
    </row>
    <row r="488" spans="1:7" x14ac:dyDescent="0.25">
      <c r="A488" s="1248"/>
      <c r="B488" s="1248"/>
      <c r="C488" s="1248"/>
      <c r="D488" s="1248"/>
      <c r="E488" s="1231"/>
      <c r="F488" s="93"/>
      <c r="G488" s="70"/>
    </row>
    <row r="489" spans="1:7" x14ac:dyDescent="0.25">
      <c r="A489" s="1232"/>
      <c r="B489" s="1232"/>
      <c r="C489" s="1222"/>
      <c r="D489" s="1222"/>
      <c r="E489" s="1222"/>
      <c r="F489" s="1222"/>
      <c r="G489" s="1222"/>
    </row>
    <row r="490" spans="1:7" x14ac:dyDescent="0.25">
      <c r="A490" s="1232"/>
      <c r="B490" s="1232"/>
      <c r="C490" s="1222"/>
      <c r="D490" s="1222"/>
      <c r="E490" s="1222"/>
      <c r="F490" s="1222"/>
      <c r="G490" s="1222"/>
    </row>
    <row r="491" spans="1:7" x14ac:dyDescent="0.25">
      <c r="A491" s="1244"/>
      <c r="B491" s="1244"/>
      <c r="C491" s="1244"/>
      <c r="D491" s="1244"/>
      <c r="E491" s="1244"/>
      <c r="F491" s="1221"/>
      <c r="G491" s="1222"/>
    </row>
    <row r="492" spans="1:7" x14ac:dyDescent="0.25">
      <c r="A492" s="1244"/>
      <c r="B492" s="1244"/>
      <c r="C492" s="1244"/>
      <c r="D492" s="1244"/>
      <c r="E492" s="1244"/>
      <c r="F492" s="1221"/>
      <c r="G492" s="1222"/>
    </row>
    <row r="493" spans="1:7" x14ac:dyDescent="0.25">
      <c r="A493" s="1244"/>
      <c r="B493" s="1244"/>
      <c r="C493" s="1244"/>
      <c r="D493" s="1244"/>
      <c r="E493" s="1244"/>
      <c r="F493" s="1221"/>
      <c r="G493" s="1222"/>
    </row>
    <row r="494" spans="1:7" x14ac:dyDescent="0.25">
      <c r="A494" s="1244"/>
      <c r="B494" s="1244"/>
      <c r="C494" s="1244"/>
      <c r="D494" s="1244"/>
      <c r="E494" s="1244"/>
      <c r="F494" s="1221"/>
      <c r="G494" s="1222"/>
    </row>
    <row r="495" spans="1:7" x14ac:dyDescent="0.25">
      <c r="A495" s="1245"/>
      <c r="B495" s="1245"/>
      <c r="C495" s="1245"/>
      <c r="D495" s="1245"/>
      <c r="E495" s="1245"/>
      <c r="F495" s="1222"/>
      <c r="G495" s="1222"/>
    </row>
    <row r="501" spans="1:7" x14ac:dyDescent="0.25">
      <c r="A501" s="95"/>
      <c r="B501" s="94"/>
      <c r="C501" s="94"/>
      <c r="D501" s="94"/>
      <c r="E501" s="94"/>
      <c r="F501" s="882"/>
      <c r="G501" s="882"/>
    </row>
    <row r="502" spans="1:7" x14ac:dyDescent="0.25">
      <c r="A502" s="1238"/>
      <c r="B502" s="1246"/>
      <c r="C502" s="1246"/>
      <c r="D502" s="1246"/>
      <c r="E502" s="1247"/>
      <c r="F502" s="880"/>
      <c r="G502" s="880"/>
    </row>
    <row r="503" spans="1:7" x14ac:dyDescent="0.25">
      <c r="A503" s="1229"/>
      <c r="B503" s="1229"/>
      <c r="C503" s="1229"/>
      <c r="D503" s="1229"/>
      <c r="E503" s="1229"/>
      <c r="F503" s="1229"/>
      <c r="G503" s="1229"/>
    </row>
    <row r="504" spans="1:7" x14ac:dyDescent="0.25">
      <c r="A504" s="1234"/>
      <c r="B504" s="1235"/>
      <c r="C504" s="80"/>
      <c r="D504" s="80"/>
      <c r="E504" s="80"/>
      <c r="F504" s="80"/>
      <c r="G504" s="67"/>
    </row>
    <row r="505" spans="1:7" x14ac:dyDescent="0.25">
      <c r="A505" s="1236"/>
      <c r="B505" s="1236"/>
      <c r="C505" s="69"/>
      <c r="D505" s="62"/>
      <c r="E505" s="62"/>
      <c r="F505" s="62"/>
      <c r="G505" s="81"/>
    </row>
    <row r="506" spans="1:7" x14ac:dyDescent="0.25">
      <c r="A506" s="1236"/>
      <c r="B506" s="1236"/>
      <c r="C506" s="69"/>
      <c r="D506" s="62"/>
      <c r="E506" s="62"/>
      <c r="F506" s="62"/>
      <c r="G506" s="69"/>
    </row>
    <row r="507" spans="1:7" x14ac:dyDescent="0.25">
      <c r="A507" s="1236"/>
      <c r="B507" s="1236"/>
      <c r="C507" s="69"/>
      <c r="D507" s="69"/>
      <c r="E507" s="69"/>
      <c r="F507" s="62"/>
      <c r="G507" s="69"/>
    </row>
    <row r="508" spans="1:7" x14ac:dyDescent="0.25">
      <c r="A508" s="1236"/>
      <c r="B508" s="1236"/>
      <c r="C508" s="69"/>
      <c r="D508" s="69"/>
      <c r="E508" s="69"/>
      <c r="F508" s="69"/>
      <c r="G508" s="69"/>
    </row>
    <row r="509" spans="1:7" x14ac:dyDescent="0.25">
      <c r="A509" s="1236"/>
      <c r="B509" s="1236"/>
      <c r="C509" s="69"/>
      <c r="D509" s="69"/>
      <c r="E509" s="69"/>
      <c r="F509" s="69"/>
      <c r="G509" s="83"/>
    </row>
    <row r="510" spans="1:7" x14ac:dyDescent="0.25">
      <c r="A510" s="1237"/>
      <c r="B510" s="1237"/>
      <c r="C510" s="82"/>
      <c r="D510" s="82"/>
      <c r="E510" s="82"/>
      <c r="F510" s="82"/>
      <c r="G510" s="64"/>
    </row>
    <row r="511" spans="1:7" x14ac:dyDescent="0.25">
      <c r="A511" s="1234"/>
      <c r="B511" s="1235"/>
      <c r="C511" s="80"/>
      <c r="D511" s="80"/>
      <c r="E511" s="80"/>
      <c r="F511" s="80"/>
      <c r="G511" s="67"/>
    </row>
    <row r="512" spans="1:7" x14ac:dyDescent="0.25">
      <c r="A512" s="1226"/>
      <c r="B512" s="1227"/>
      <c r="C512" s="43"/>
      <c r="D512" s="97"/>
      <c r="E512" s="92"/>
      <c r="F512" s="85"/>
      <c r="G512" s="69"/>
    </row>
    <row r="513" spans="1:7" x14ac:dyDescent="0.25">
      <c r="A513" s="1228"/>
      <c r="B513" s="1229"/>
      <c r="C513" s="43"/>
      <c r="D513" s="97"/>
      <c r="E513" s="92"/>
      <c r="F513" s="85"/>
      <c r="G513" s="43"/>
    </row>
    <row r="514" spans="1:7" x14ac:dyDescent="0.25">
      <c r="A514" s="1228"/>
      <c r="B514" s="1229"/>
      <c r="C514" s="69"/>
      <c r="D514" s="69"/>
      <c r="E514" s="69"/>
      <c r="F514" s="69"/>
      <c r="G514" s="65"/>
    </row>
    <row r="515" spans="1:7" x14ac:dyDescent="0.25">
      <c r="A515" s="913"/>
      <c r="B515" s="89"/>
      <c r="C515" s="89"/>
      <c r="D515" s="80"/>
      <c r="E515" s="80"/>
      <c r="F515" s="80"/>
      <c r="G515" s="67"/>
    </row>
    <row r="516" spans="1:7" x14ac:dyDescent="0.25">
      <c r="A516" s="899"/>
      <c r="B516" s="43"/>
      <c r="C516" s="43"/>
      <c r="D516" s="62"/>
      <c r="E516" s="91"/>
      <c r="F516" s="62"/>
      <c r="G516" s="69"/>
    </row>
    <row r="517" spans="1:7" x14ac:dyDescent="0.25">
      <c r="A517" s="90"/>
      <c r="B517" s="43"/>
      <c r="C517" s="43"/>
      <c r="D517" s="62"/>
      <c r="E517" s="91"/>
      <c r="F517" s="62"/>
      <c r="G517" s="69"/>
    </row>
    <row r="518" spans="1:7" x14ac:dyDescent="0.25">
      <c r="A518" s="90"/>
      <c r="B518" s="43"/>
      <c r="C518" s="43"/>
      <c r="D518" s="62"/>
      <c r="E518" s="92"/>
      <c r="F518" s="62"/>
      <c r="G518" s="69"/>
    </row>
    <row r="519" spans="1:7" x14ac:dyDescent="0.25">
      <c r="A519" s="90"/>
      <c r="B519" s="43"/>
      <c r="C519" s="43"/>
      <c r="D519" s="61"/>
      <c r="E519" s="92"/>
      <c r="F519" s="62"/>
      <c r="G519" s="43"/>
    </row>
    <row r="520" spans="1:7" x14ac:dyDescent="0.25">
      <c r="A520" s="90"/>
      <c r="B520" s="69"/>
      <c r="C520" s="69"/>
      <c r="D520" s="69"/>
      <c r="E520" s="69"/>
      <c r="F520" s="69"/>
      <c r="G520" s="64"/>
    </row>
    <row r="521" spans="1:7" x14ac:dyDescent="0.25">
      <c r="A521" s="913"/>
      <c r="B521" s="80"/>
      <c r="C521" s="80"/>
      <c r="D521" s="80"/>
      <c r="E521" s="89"/>
      <c r="F521" s="80"/>
      <c r="G521" s="67"/>
    </row>
    <row r="522" spans="1:7" x14ac:dyDescent="0.25">
      <c r="A522" s="81"/>
      <c r="B522" s="81"/>
      <c r="C522" s="81"/>
      <c r="D522" s="81"/>
      <c r="E522" s="81"/>
      <c r="F522" s="81"/>
      <c r="G522" s="81"/>
    </row>
    <row r="523" spans="1:7" x14ac:dyDescent="0.25">
      <c r="A523" s="69"/>
      <c r="B523" s="85"/>
      <c r="C523" s="96"/>
      <c r="D523" s="62"/>
      <c r="E523" s="121"/>
      <c r="F523" s="62"/>
      <c r="G523" s="69"/>
    </row>
    <row r="524" spans="1:7" x14ac:dyDescent="0.25">
      <c r="A524" s="881"/>
      <c r="B524" s="85"/>
      <c r="C524" s="96"/>
      <c r="D524" s="62"/>
      <c r="E524" s="101"/>
      <c r="F524" s="62"/>
      <c r="G524" s="69"/>
    </row>
    <row r="525" spans="1:7" x14ac:dyDescent="0.25">
      <c r="A525" s="69"/>
      <c r="B525" s="85"/>
      <c r="C525" s="69"/>
      <c r="D525" s="62"/>
      <c r="E525" s="69"/>
      <c r="F525" s="62"/>
      <c r="G525" s="69"/>
    </row>
    <row r="526" spans="1:7" x14ac:dyDescent="0.25">
      <c r="A526" s="69"/>
      <c r="B526" s="69"/>
      <c r="C526" s="69"/>
      <c r="D526" s="69"/>
      <c r="E526" s="69"/>
      <c r="F526" s="69"/>
      <c r="G526" s="43"/>
    </row>
    <row r="527" spans="1:7" x14ac:dyDescent="0.25">
      <c r="A527" s="82"/>
      <c r="B527" s="82"/>
      <c r="C527" s="82"/>
      <c r="D527" s="82"/>
      <c r="E527" s="82"/>
      <c r="F527" s="82"/>
      <c r="G527" s="64"/>
    </row>
    <row r="528" spans="1:7" x14ac:dyDescent="0.25">
      <c r="A528" s="1230"/>
      <c r="B528" s="1230"/>
      <c r="C528" s="1230"/>
      <c r="D528" s="1230"/>
      <c r="E528" s="1230"/>
      <c r="F528" s="1230"/>
      <c r="G528" s="1233"/>
    </row>
    <row r="529" spans="1:7" x14ac:dyDescent="0.25">
      <c r="A529" s="1248"/>
      <c r="B529" s="1248"/>
      <c r="C529" s="1248"/>
      <c r="D529" s="1248"/>
      <c r="E529" s="1231"/>
      <c r="F529" s="93"/>
      <c r="G529" s="70"/>
    </row>
    <row r="530" spans="1:7" x14ac:dyDescent="0.25">
      <c r="A530" s="1232"/>
      <c r="B530" s="1232"/>
      <c r="C530" s="1222"/>
      <c r="D530" s="1222"/>
      <c r="E530" s="1222"/>
      <c r="F530" s="1222"/>
      <c r="G530" s="1222"/>
    </row>
    <row r="531" spans="1:7" x14ac:dyDescent="0.25">
      <c r="A531" s="1232"/>
      <c r="B531" s="1232"/>
      <c r="C531" s="1222"/>
      <c r="D531" s="1222"/>
      <c r="E531" s="1222"/>
      <c r="F531" s="1222"/>
      <c r="G531" s="1222"/>
    </row>
    <row r="532" spans="1:7" x14ac:dyDescent="0.25">
      <c r="A532" s="1244"/>
      <c r="B532" s="1244"/>
      <c r="C532" s="1244"/>
      <c r="D532" s="1244"/>
      <c r="E532" s="1244"/>
      <c r="F532" s="1221"/>
      <c r="G532" s="1222"/>
    </row>
    <row r="533" spans="1:7" x14ac:dyDescent="0.25">
      <c r="A533" s="1244"/>
      <c r="B533" s="1244"/>
      <c r="C533" s="1244"/>
      <c r="D533" s="1244"/>
      <c r="E533" s="1244"/>
      <c r="F533" s="1221"/>
      <c r="G533" s="1222"/>
    </row>
    <row r="534" spans="1:7" x14ac:dyDescent="0.25">
      <c r="A534" s="1244"/>
      <c r="B534" s="1244"/>
      <c r="C534" s="1244"/>
      <c r="D534" s="1244"/>
      <c r="E534" s="1244"/>
      <c r="F534" s="1221"/>
      <c r="G534" s="1222"/>
    </row>
    <row r="535" spans="1:7" x14ac:dyDescent="0.25">
      <c r="A535" s="1244"/>
      <c r="B535" s="1244"/>
      <c r="C535" s="1244"/>
      <c r="D535" s="1244"/>
      <c r="E535" s="1244"/>
      <c r="F535" s="1221"/>
      <c r="G535" s="1222"/>
    </row>
    <row r="536" spans="1:7" x14ac:dyDescent="0.25">
      <c r="A536" s="1245"/>
      <c r="B536" s="1245"/>
      <c r="C536" s="1245"/>
      <c r="D536" s="1245"/>
      <c r="E536" s="1245"/>
      <c r="F536" s="1222"/>
      <c r="G536" s="1222"/>
    </row>
    <row r="544" spans="1:7" x14ac:dyDescent="0.25">
      <c r="A544" s="95"/>
      <c r="B544" s="94"/>
      <c r="C544" s="94"/>
      <c r="D544" s="94"/>
      <c r="E544" s="94"/>
      <c r="F544" s="882"/>
      <c r="G544" s="882"/>
    </row>
    <row r="545" spans="1:7" ht="27" customHeight="1" x14ac:dyDescent="0.25">
      <c r="A545" s="1238"/>
      <c r="B545" s="1246"/>
      <c r="C545" s="1246"/>
      <c r="D545" s="1246"/>
      <c r="E545" s="1247"/>
      <c r="F545" s="880"/>
      <c r="G545" s="880"/>
    </row>
    <row r="546" spans="1:7" x14ac:dyDescent="0.25">
      <c r="A546" s="1229"/>
      <c r="B546" s="1229"/>
      <c r="C546" s="1229"/>
      <c r="D546" s="1229"/>
      <c r="E546" s="1229"/>
      <c r="F546" s="1229"/>
      <c r="G546" s="1229"/>
    </row>
    <row r="547" spans="1:7" x14ac:dyDescent="0.25">
      <c r="A547" s="1234"/>
      <c r="B547" s="1235"/>
      <c r="C547" s="80"/>
      <c r="D547" s="80"/>
      <c r="E547" s="80"/>
      <c r="F547" s="80"/>
      <c r="G547" s="67"/>
    </row>
    <row r="548" spans="1:7" x14ac:dyDescent="0.25">
      <c r="A548" s="1236"/>
      <c r="B548" s="1236"/>
      <c r="C548" s="69"/>
      <c r="D548" s="62"/>
      <c r="E548" s="62"/>
      <c r="F548" s="62"/>
      <c r="G548" s="81"/>
    </row>
    <row r="549" spans="1:7" x14ac:dyDescent="0.25">
      <c r="A549" s="1236"/>
      <c r="B549" s="1236"/>
      <c r="C549" s="69"/>
      <c r="D549" s="62"/>
      <c r="E549" s="62"/>
      <c r="F549" s="62"/>
      <c r="G549" s="69"/>
    </row>
    <row r="550" spans="1:7" x14ac:dyDescent="0.25">
      <c r="A550" s="1236"/>
      <c r="B550" s="1236"/>
      <c r="C550" s="69"/>
      <c r="D550" s="69"/>
      <c r="E550" s="69"/>
      <c r="F550" s="62"/>
      <c r="G550" s="69"/>
    </row>
    <row r="551" spans="1:7" x14ac:dyDescent="0.25">
      <c r="A551" s="1236"/>
      <c r="B551" s="1236"/>
      <c r="C551" s="69"/>
      <c r="D551" s="69"/>
      <c r="E551" s="69"/>
      <c r="F551" s="69"/>
      <c r="G551" s="69"/>
    </row>
    <row r="552" spans="1:7" x14ac:dyDescent="0.25">
      <c r="A552" s="1236"/>
      <c r="B552" s="1236"/>
      <c r="C552" s="69"/>
      <c r="D552" s="69"/>
      <c r="E552" s="69"/>
      <c r="F552" s="69"/>
      <c r="G552" s="83"/>
    </row>
    <row r="553" spans="1:7" x14ac:dyDescent="0.25">
      <c r="A553" s="1237"/>
      <c r="B553" s="1237"/>
      <c r="C553" s="82"/>
      <c r="D553" s="82"/>
      <c r="E553" s="82"/>
      <c r="F553" s="82"/>
      <c r="G553" s="64"/>
    </row>
    <row r="554" spans="1:7" x14ac:dyDescent="0.25">
      <c r="A554" s="1234"/>
      <c r="B554" s="1235"/>
      <c r="C554" s="80"/>
      <c r="D554" s="80"/>
      <c r="E554" s="80"/>
      <c r="F554" s="80"/>
      <c r="G554" s="67"/>
    </row>
    <row r="555" spans="1:7" x14ac:dyDescent="0.25">
      <c r="A555" s="1226"/>
      <c r="B555" s="1227"/>
      <c r="C555" s="43"/>
      <c r="D555" s="97"/>
      <c r="E555" s="92"/>
      <c r="F555" s="85"/>
      <c r="G555" s="69"/>
    </row>
    <row r="556" spans="1:7" x14ac:dyDescent="0.25">
      <c r="A556" s="1228"/>
      <c r="B556" s="1229"/>
      <c r="C556" s="43"/>
      <c r="D556" s="97"/>
      <c r="E556" s="92"/>
      <c r="F556" s="85"/>
      <c r="G556" s="43"/>
    </row>
    <row r="557" spans="1:7" x14ac:dyDescent="0.25">
      <c r="A557" s="1228"/>
      <c r="B557" s="1229"/>
      <c r="C557" s="69"/>
      <c r="D557" s="69"/>
      <c r="E557" s="69"/>
      <c r="F557" s="69"/>
      <c r="G557" s="65"/>
    </row>
    <row r="558" spans="1:7" x14ac:dyDescent="0.25">
      <c r="A558" s="913"/>
      <c r="B558" s="89"/>
      <c r="C558" s="89"/>
      <c r="D558" s="80"/>
      <c r="E558" s="80"/>
      <c r="F558" s="80"/>
      <c r="G558" s="67"/>
    </row>
    <row r="559" spans="1:7" x14ac:dyDescent="0.25">
      <c r="A559" s="899"/>
      <c r="B559" s="43"/>
      <c r="C559" s="43"/>
      <c r="D559" s="62"/>
      <c r="E559" s="91"/>
      <c r="F559" s="62"/>
      <c r="G559" s="69"/>
    </row>
    <row r="560" spans="1:7" x14ac:dyDescent="0.25">
      <c r="A560" s="90"/>
      <c r="B560" s="43"/>
      <c r="C560" s="43"/>
      <c r="D560" s="62"/>
      <c r="E560" s="91"/>
      <c r="F560" s="62"/>
      <c r="G560" s="69"/>
    </row>
    <row r="561" spans="1:7" x14ac:dyDescent="0.25">
      <c r="A561" s="90"/>
      <c r="B561" s="43"/>
      <c r="C561" s="43"/>
      <c r="D561" s="62"/>
      <c r="E561" s="92"/>
      <c r="F561" s="62"/>
      <c r="G561" s="69"/>
    </row>
    <row r="562" spans="1:7" x14ac:dyDescent="0.25">
      <c r="A562" s="90"/>
      <c r="B562" s="43"/>
      <c r="C562" s="43"/>
      <c r="D562" s="61"/>
      <c r="E562" s="92"/>
      <c r="F562" s="62"/>
      <c r="G562" s="43"/>
    </row>
    <row r="563" spans="1:7" x14ac:dyDescent="0.25">
      <c r="A563" s="90"/>
      <c r="B563" s="69"/>
      <c r="C563" s="69"/>
      <c r="D563" s="69"/>
      <c r="E563" s="69"/>
      <c r="F563" s="69"/>
      <c r="G563" s="64"/>
    </row>
    <row r="564" spans="1:7" x14ac:dyDescent="0.25">
      <c r="A564" s="913"/>
      <c r="B564" s="80"/>
      <c r="C564" s="80"/>
      <c r="D564" s="80"/>
      <c r="E564" s="89"/>
      <c r="F564" s="80"/>
      <c r="G564" s="67"/>
    </row>
    <row r="565" spans="1:7" x14ac:dyDescent="0.25">
      <c r="A565" s="81"/>
      <c r="B565" s="81"/>
      <c r="C565" s="81"/>
      <c r="D565" s="81"/>
      <c r="E565" s="81"/>
      <c r="F565" s="81"/>
      <c r="G565" s="81"/>
    </row>
    <row r="566" spans="1:7" x14ac:dyDescent="0.25">
      <c r="A566" s="69"/>
      <c r="B566" s="85"/>
      <c r="C566" s="96"/>
      <c r="D566" s="62"/>
      <c r="E566" s="121"/>
      <c r="F566" s="62"/>
      <c r="G566" s="69"/>
    </row>
    <row r="567" spans="1:7" x14ac:dyDescent="0.25">
      <c r="A567" s="881"/>
      <c r="B567" s="85"/>
      <c r="C567" s="96"/>
      <c r="D567" s="62"/>
      <c r="E567" s="101"/>
      <c r="F567" s="62"/>
      <c r="G567" s="69"/>
    </row>
    <row r="568" spans="1:7" x14ac:dyDescent="0.25">
      <c r="A568" s="69"/>
      <c r="B568" s="85"/>
      <c r="C568" s="69"/>
      <c r="D568" s="62"/>
      <c r="E568" s="69"/>
      <c r="F568" s="62"/>
      <c r="G568" s="69"/>
    </row>
    <row r="569" spans="1:7" x14ac:dyDescent="0.25">
      <c r="A569" s="69"/>
      <c r="B569" s="69"/>
      <c r="C569" s="69"/>
      <c r="D569" s="69"/>
      <c r="E569" s="69"/>
      <c r="F569" s="69"/>
      <c r="G569" s="43"/>
    </row>
    <row r="570" spans="1:7" x14ac:dyDescent="0.25">
      <c r="A570" s="82"/>
      <c r="B570" s="82"/>
      <c r="C570" s="82"/>
      <c r="D570" s="82"/>
      <c r="E570" s="82"/>
      <c r="F570" s="82"/>
      <c r="G570" s="64"/>
    </row>
    <row r="571" spans="1:7" x14ac:dyDescent="0.25">
      <c r="A571" s="1230"/>
      <c r="B571" s="1230"/>
      <c r="C571" s="1230"/>
      <c r="D571" s="1230"/>
      <c r="E571" s="1230"/>
      <c r="F571" s="1230"/>
      <c r="G571" s="1233"/>
    </row>
    <row r="572" spans="1:7" x14ac:dyDescent="0.25">
      <c r="A572" s="1248"/>
      <c r="B572" s="1248"/>
      <c r="C572" s="1248"/>
      <c r="D572" s="1248"/>
      <c r="E572" s="1231"/>
      <c r="F572" s="93"/>
      <c r="G572" s="70"/>
    </row>
    <row r="573" spans="1:7" x14ac:dyDescent="0.25">
      <c r="A573" s="1232"/>
      <c r="B573" s="1232"/>
      <c r="C573" s="1222"/>
      <c r="D573" s="1222"/>
      <c r="E573" s="1222"/>
      <c r="F573" s="1222"/>
      <c r="G573" s="1222"/>
    </row>
    <row r="574" spans="1:7" x14ac:dyDescent="0.25">
      <c r="A574" s="1232"/>
      <c r="B574" s="1232"/>
      <c r="C574" s="1222"/>
      <c r="D574" s="1222"/>
      <c r="E574" s="1222"/>
      <c r="F574" s="1222"/>
      <c r="G574" s="1222"/>
    </row>
    <row r="575" spans="1:7" x14ac:dyDescent="0.25">
      <c r="A575" s="1244"/>
      <c r="B575" s="1244"/>
      <c r="C575" s="1244"/>
      <c r="D575" s="1244"/>
      <c r="E575" s="1244"/>
      <c r="F575" s="1221"/>
      <c r="G575" s="1222"/>
    </row>
    <row r="576" spans="1:7" x14ac:dyDescent="0.25">
      <c r="A576" s="1244"/>
      <c r="B576" s="1244"/>
      <c r="C576" s="1244"/>
      <c r="D576" s="1244"/>
      <c r="E576" s="1244"/>
      <c r="F576" s="1221"/>
      <c r="G576" s="1222"/>
    </row>
    <row r="577" spans="1:7" x14ac:dyDescent="0.25">
      <c r="A577" s="1244"/>
      <c r="B577" s="1244"/>
      <c r="C577" s="1244"/>
      <c r="D577" s="1244"/>
      <c r="E577" s="1244"/>
      <c r="F577" s="1221"/>
      <c r="G577" s="1222"/>
    </row>
    <row r="578" spans="1:7" x14ac:dyDescent="0.25">
      <c r="A578" s="1244"/>
      <c r="B578" s="1244"/>
      <c r="C578" s="1244"/>
      <c r="D578" s="1244"/>
      <c r="E578" s="1244"/>
      <c r="F578" s="1221"/>
      <c r="G578" s="1222"/>
    </row>
    <row r="579" spans="1:7" x14ac:dyDescent="0.25">
      <c r="A579" s="1245"/>
      <c r="B579" s="1245"/>
      <c r="C579" s="1245"/>
      <c r="D579" s="1245"/>
      <c r="E579" s="1245"/>
      <c r="F579" s="1222"/>
      <c r="G579" s="1222"/>
    </row>
    <row r="586" spans="1:7" x14ac:dyDescent="0.25">
      <c r="A586" s="95"/>
      <c r="B586" s="94"/>
      <c r="C586" s="94"/>
      <c r="D586" s="94"/>
      <c r="E586" s="94"/>
      <c r="F586" s="882"/>
      <c r="G586" s="882"/>
    </row>
    <row r="587" spans="1:7" ht="27" customHeight="1" x14ac:dyDescent="0.25">
      <c r="A587" s="1238"/>
      <c r="B587" s="1246"/>
      <c r="C587" s="1246"/>
      <c r="D587" s="1246"/>
      <c r="E587" s="1247"/>
      <c r="F587" s="880"/>
      <c r="G587" s="880"/>
    </row>
    <row r="588" spans="1:7" x14ac:dyDescent="0.25">
      <c r="A588" s="1229"/>
      <c r="B588" s="1229"/>
      <c r="C588" s="1229"/>
      <c r="D588" s="1229"/>
      <c r="E588" s="1229"/>
      <c r="F588" s="1229"/>
      <c r="G588" s="1229"/>
    </row>
    <row r="589" spans="1:7" x14ac:dyDescent="0.25">
      <c r="A589" s="1234"/>
      <c r="B589" s="1235"/>
      <c r="C589" s="80"/>
      <c r="D589" s="80"/>
      <c r="E589" s="80"/>
      <c r="F589" s="80"/>
      <c r="G589" s="67"/>
    </row>
    <row r="590" spans="1:7" x14ac:dyDescent="0.25">
      <c r="A590" s="1236"/>
      <c r="B590" s="1236"/>
      <c r="C590" s="69"/>
      <c r="D590" s="62"/>
      <c r="E590" s="62"/>
      <c r="F590" s="62"/>
      <c r="G590" s="81"/>
    </row>
    <row r="591" spans="1:7" x14ac:dyDescent="0.25">
      <c r="A591" s="1236"/>
      <c r="B591" s="1236"/>
      <c r="C591" s="69"/>
      <c r="D591" s="62"/>
      <c r="E591" s="62"/>
      <c r="F591" s="62"/>
      <c r="G591" s="69"/>
    </row>
    <row r="592" spans="1:7" x14ac:dyDescent="0.25">
      <c r="A592" s="1236"/>
      <c r="B592" s="1236"/>
      <c r="C592" s="69"/>
      <c r="D592" s="69"/>
      <c r="E592" s="69"/>
      <c r="F592" s="62"/>
      <c r="G592" s="69"/>
    </row>
    <row r="593" spans="1:7" x14ac:dyDescent="0.25">
      <c r="A593" s="1236"/>
      <c r="B593" s="1236"/>
      <c r="C593" s="69"/>
      <c r="D593" s="69"/>
      <c r="E593" s="69"/>
      <c r="F593" s="69"/>
      <c r="G593" s="69"/>
    </row>
    <row r="594" spans="1:7" x14ac:dyDescent="0.25">
      <c r="A594" s="1236"/>
      <c r="B594" s="1236"/>
      <c r="C594" s="69"/>
      <c r="D594" s="69"/>
      <c r="E594" s="69"/>
      <c r="F594" s="69"/>
      <c r="G594" s="83"/>
    </row>
    <row r="595" spans="1:7" x14ac:dyDescent="0.25">
      <c r="A595" s="1237"/>
      <c r="B595" s="1237"/>
      <c r="C595" s="82"/>
      <c r="D595" s="82"/>
      <c r="E595" s="82"/>
      <c r="F595" s="82"/>
      <c r="G595" s="64"/>
    </row>
    <row r="596" spans="1:7" x14ac:dyDescent="0.25">
      <c r="A596" s="1234"/>
      <c r="B596" s="1235"/>
      <c r="C596" s="80"/>
      <c r="D596" s="80"/>
      <c r="E596" s="80"/>
      <c r="F596" s="80"/>
      <c r="G596" s="67"/>
    </row>
    <row r="597" spans="1:7" x14ac:dyDescent="0.25">
      <c r="A597" s="1226"/>
      <c r="B597" s="1227"/>
      <c r="C597" s="43"/>
      <c r="D597" s="97"/>
      <c r="E597" s="92"/>
      <c r="F597" s="85"/>
      <c r="G597" s="69"/>
    </row>
    <row r="598" spans="1:7" x14ac:dyDescent="0.25">
      <c r="A598" s="1228"/>
      <c r="B598" s="1229"/>
      <c r="C598" s="43"/>
      <c r="D598" s="97"/>
      <c r="E598" s="92"/>
      <c r="F598" s="85"/>
      <c r="G598" s="43"/>
    </row>
    <row r="599" spans="1:7" x14ac:dyDescent="0.25">
      <c r="A599" s="1228"/>
      <c r="B599" s="1229"/>
      <c r="C599" s="69"/>
      <c r="D599" s="69"/>
      <c r="E599" s="69"/>
      <c r="F599" s="69"/>
      <c r="G599" s="65"/>
    </row>
    <row r="600" spans="1:7" x14ac:dyDescent="0.25">
      <c r="A600" s="913"/>
      <c r="B600" s="89"/>
      <c r="C600" s="89"/>
      <c r="D600" s="80"/>
      <c r="E600" s="80"/>
      <c r="F600" s="80"/>
      <c r="G600" s="67"/>
    </row>
    <row r="601" spans="1:7" x14ac:dyDescent="0.25">
      <c r="A601" s="899"/>
      <c r="B601" s="43"/>
      <c r="C601" s="43"/>
      <c r="D601" s="62"/>
      <c r="E601" s="91"/>
      <c r="F601" s="62"/>
      <c r="G601" s="69"/>
    </row>
    <row r="602" spans="1:7" x14ac:dyDescent="0.25">
      <c r="A602" s="90"/>
      <c r="B602" s="43"/>
      <c r="C602" s="43"/>
      <c r="D602" s="62"/>
      <c r="E602" s="91"/>
      <c r="F602" s="62"/>
      <c r="G602" s="69"/>
    </row>
    <row r="603" spans="1:7" x14ac:dyDescent="0.25">
      <c r="A603" s="90"/>
      <c r="B603" s="43"/>
      <c r="C603" s="43"/>
      <c r="D603" s="62"/>
      <c r="E603" s="92"/>
      <c r="F603" s="62"/>
      <c r="G603" s="69"/>
    </row>
    <row r="604" spans="1:7" x14ac:dyDescent="0.25">
      <c r="A604" s="90"/>
      <c r="B604" s="43"/>
      <c r="C604" s="43"/>
      <c r="D604" s="61"/>
      <c r="E604" s="92"/>
      <c r="F604" s="62"/>
      <c r="G604" s="43"/>
    </row>
    <row r="605" spans="1:7" x14ac:dyDescent="0.25">
      <c r="A605" s="90"/>
      <c r="B605" s="69"/>
      <c r="C605" s="69"/>
      <c r="D605" s="69"/>
      <c r="E605" s="69"/>
      <c r="F605" s="69"/>
      <c r="G605" s="64"/>
    </row>
    <row r="606" spans="1:7" x14ac:dyDescent="0.25">
      <c r="A606" s="913"/>
      <c r="B606" s="80"/>
      <c r="C606" s="80"/>
      <c r="D606" s="80"/>
      <c r="E606" s="89"/>
      <c r="F606" s="80"/>
      <c r="G606" s="67"/>
    </row>
    <row r="607" spans="1:7" x14ac:dyDescent="0.25">
      <c r="A607" s="81"/>
      <c r="B607" s="81"/>
      <c r="C607" s="81"/>
      <c r="D607" s="81"/>
      <c r="E607" s="81"/>
      <c r="F607" s="81"/>
      <c r="G607" s="81"/>
    </row>
    <row r="608" spans="1:7" x14ac:dyDescent="0.25">
      <c r="A608" s="69"/>
      <c r="B608" s="85"/>
      <c r="C608" s="96"/>
      <c r="D608" s="62"/>
      <c r="E608" s="121"/>
      <c r="F608" s="62"/>
      <c r="G608" s="69"/>
    </row>
    <row r="609" spans="1:7" x14ac:dyDescent="0.25">
      <c r="A609" s="881"/>
      <c r="B609" s="85"/>
      <c r="C609" s="96"/>
      <c r="D609" s="62"/>
      <c r="E609" s="101"/>
      <c r="F609" s="62"/>
      <c r="G609" s="69"/>
    </row>
    <row r="610" spans="1:7" x14ac:dyDescent="0.25">
      <c r="A610" s="69"/>
      <c r="B610" s="85"/>
      <c r="C610" s="69"/>
      <c r="D610" s="62"/>
      <c r="E610" s="69"/>
      <c r="F610" s="62"/>
      <c r="G610" s="69"/>
    </row>
    <row r="611" spans="1:7" x14ac:dyDescent="0.25">
      <c r="A611" s="69"/>
      <c r="B611" s="69"/>
      <c r="C611" s="69"/>
      <c r="D611" s="69"/>
      <c r="E611" s="69"/>
      <c r="F611" s="69"/>
      <c r="G611" s="43"/>
    </row>
    <row r="612" spans="1:7" x14ac:dyDescent="0.25">
      <c r="A612" s="82"/>
      <c r="B612" s="82"/>
      <c r="C612" s="82"/>
      <c r="D612" s="82"/>
      <c r="E612" s="82"/>
      <c r="F612" s="82"/>
      <c r="G612" s="64"/>
    </row>
    <row r="613" spans="1:7" x14ac:dyDescent="0.25">
      <c r="A613" s="1230"/>
      <c r="B613" s="1230"/>
      <c r="C613" s="1230"/>
      <c r="D613" s="1230"/>
      <c r="E613" s="1230"/>
      <c r="F613" s="1230"/>
      <c r="G613" s="1233"/>
    </row>
    <row r="614" spans="1:7" x14ac:dyDescent="0.25">
      <c r="A614" s="1248"/>
      <c r="B614" s="1248"/>
      <c r="C614" s="1248"/>
      <c r="D614" s="1248"/>
      <c r="E614" s="1231"/>
      <c r="F614" s="93"/>
      <c r="G614" s="70"/>
    </row>
    <row r="615" spans="1:7" x14ac:dyDescent="0.25">
      <c r="A615" s="1232"/>
      <c r="B615" s="1232"/>
      <c r="C615" s="1222"/>
      <c r="D615" s="1222"/>
      <c r="E615" s="1222"/>
      <c r="F615" s="1222"/>
      <c r="G615" s="1222"/>
    </row>
    <row r="616" spans="1:7" x14ac:dyDescent="0.25">
      <c r="A616" s="1232"/>
      <c r="B616" s="1232"/>
      <c r="C616" s="1222"/>
      <c r="D616" s="1222"/>
      <c r="E616" s="1222"/>
      <c r="F616" s="1222"/>
      <c r="G616" s="1222"/>
    </row>
    <row r="617" spans="1:7" x14ac:dyDescent="0.25">
      <c r="A617" s="1244"/>
      <c r="B617" s="1244"/>
      <c r="C617" s="1244"/>
      <c r="D617" s="1244"/>
      <c r="E617" s="1244"/>
      <c r="F617" s="1221"/>
      <c r="G617" s="1222"/>
    </row>
    <row r="618" spans="1:7" x14ac:dyDescent="0.25">
      <c r="A618" s="1244"/>
      <c r="B618" s="1244"/>
      <c r="C618" s="1244"/>
      <c r="D618" s="1244"/>
      <c r="E618" s="1244"/>
      <c r="F618" s="1221"/>
      <c r="G618" s="1222"/>
    </row>
    <row r="619" spans="1:7" x14ac:dyDescent="0.25">
      <c r="A619" s="1244"/>
      <c r="B619" s="1244"/>
      <c r="C619" s="1244"/>
      <c r="D619" s="1244"/>
      <c r="E619" s="1244"/>
      <c r="F619" s="1221"/>
      <c r="G619" s="1222"/>
    </row>
    <row r="620" spans="1:7" x14ac:dyDescent="0.25">
      <c r="A620" s="1244"/>
      <c r="B620" s="1244"/>
      <c r="C620" s="1244"/>
      <c r="D620" s="1244"/>
      <c r="E620" s="1244"/>
      <c r="F620" s="1221"/>
      <c r="G620" s="1222"/>
    </row>
    <row r="621" spans="1:7" x14ac:dyDescent="0.25">
      <c r="A621" s="1245"/>
      <c r="B621" s="1245"/>
      <c r="C621" s="1245"/>
      <c r="D621" s="1245"/>
      <c r="E621" s="1245"/>
      <c r="F621" s="1222"/>
      <c r="G621" s="1222"/>
    </row>
    <row r="628" spans="1:7" x14ac:dyDescent="0.25">
      <c r="A628" s="95"/>
      <c r="B628" s="94"/>
      <c r="C628" s="94"/>
      <c r="D628" s="94"/>
      <c r="E628" s="94"/>
      <c r="F628" s="882"/>
      <c r="G628" s="882"/>
    </row>
    <row r="629" spans="1:7" x14ac:dyDescent="0.25">
      <c r="A629" s="1238"/>
      <c r="B629" s="1246"/>
      <c r="C629" s="1246"/>
      <c r="D629" s="1246"/>
      <c r="E629" s="1247"/>
      <c r="F629" s="880"/>
      <c r="G629" s="880"/>
    </row>
    <row r="630" spans="1:7" x14ac:dyDescent="0.25">
      <c r="A630" s="1229"/>
      <c r="B630" s="1229"/>
      <c r="C630" s="1229"/>
      <c r="D630" s="1229"/>
      <c r="E630" s="1229"/>
      <c r="F630" s="1229"/>
      <c r="G630" s="1229"/>
    </row>
    <row r="631" spans="1:7" x14ac:dyDescent="0.25">
      <c r="A631" s="1234"/>
      <c r="B631" s="1235"/>
      <c r="C631" s="80"/>
      <c r="D631" s="80"/>
      <c r="E631" s="80"/>
      <c r="F631" s="80"/>
      <c r="G631" s="67"/>
    </row>
    <row r="632" spans="1:7" x14ac:dyDescent="0.25">
      <c r="A632" s="1236"/>
      <c r="B632" s="1236"/>
      <c r="C632" s="69"/>
      <c r="D632" s="62"/>
      <c r="E632" s="62"/>
      <c r="F632" s="62"/>
      <c r="G632" s="81"/>
    </row>
    <row r="633" spans="1:7" x14ac:dyDescent="0.25">
      <c r="A633" s="1236"/>
      <c r="B633" s="1236"/>
      <c r="C633" s="69"/>
      <c r="D633" s="62"/>
      <c r="E633" s="62"/>
      <c r="F633" s="62"/>
      <c r="G633" s="69"/>
    </row>
    <row r="634" spans="1:7" x14ac:dyDescent="0.25">
      <c r="A634" s="1236"/>
      <c r="B634" s="1236"/>
      <c r="C634" s="69"/>
      <c r="D634" s="69"/>
      <c r="E634" s="69"/>
      <c r="F634" s="62"/>
      <c r="G634" s="69"/>
    </row>
    <row r="635" spans="1:7" x14ac:dyDescent="0.25">
      <c r="A635" s="1236"/>
      <c r="B635" s="1236"/>
      <c r="C635" s="69"/>
      <c r="D635" s="69"/>
      <c r="E635" s="69"/>
      <c r="F635" s="69"/>
      <c r="G635" s="69"/>
    </row>
    <row r="636" spans="1:7" x14ac:dyDescent="0.25">
      <c r="A636" s="1236"/>
      <c r="B636" s="1236"/>
      <c r="C636" s="69"/>
      <c r="D636" s="69"/>
      <c r="E636" s="69"/>
      <c r="F636" s="69"/>
      <c r="G636" s="83"/>
    </row>
    <row r="637" spans="1:7" x14ac:dyDescent="0.25">
      <c r="A637" s="1237"/>
      <c r="B637" s="1237"/>
      <c r="C637" s="82"/>
      <c r="D637" s="82"/>
      <c r="E637" s="82"/>
      <c r="F637" s="82"/>
      <c r="G637" s="64"/>
    </row>
    <row r="638" spans="1:7" x14ac:dyDescent="0.25">
      <c r="A638" s="1234"/>
      <c r="B638" s="1235"/>
      <c r="C638" s="80"/>
      <c r="D638" s="80"/>
      <c r="E638" s="80"/>
      <c r="F638" s="80"/>
      <c r="G638" s="67"/>
    </row>
    <row r="639" spans="1:7" x14ac:dyDescent="0.25">
      <c r="A639" s="1226"/>
      <c r="B639" s="1227"/>
      <c r="C639" s="43"/>
      <c r="D639" s="97"/>
      <c r="E639" s="92"/>
      <c r="F639" s="85"/>
      <c r="G639" s="69"/>
    </row>
    <row r="640" spans="1:7" x14ac:dyDescent="0.25">
      <c r="A640" s="1228"/>
      <c r="B640" s="1229"/>
      <c r="C640" s="43"/>
      <c r="D640" s="97"/>
      <c r="E640" s="92"/>
      <c r="F640" s="85"/>
      <c r="G640" s="43"/>
    </row>
    <row r="641" spans="1:7" x14ac:dyDescent="0.25">
      <c r="A641" s="1228"/>
      <c r="B641" s="1229"/>
      <c r="C641" s="69"/>
      <c r="D641" s="69"/>
      <c r="E641" s="69"/>
      <c r="F641" s="69"/>
      <c r="G641" s="65"/>
    </row>
    <row r="642" spans="1:7" x14ac:dyDescent="0.25">
      <c r="A642" s="913"/>
      <c r="B642" s="89"/>
      <c r="C642" s="89"/>
      <c r="D642" s="80"/>
      <c r="E642" s="80"/>
      <c r="F642" s="80"/>
      <c r="G642" s="67"/>
    </row>
    <row r="643" spans="1:7" x14ac:dyDescent="0.25">
      <c r="A643" s="899"/>
      <c r="B643" s="43"/>
      <c r="C643" s="43"/>
      <c r="D643" s="62"/>
      <c r="E643" s="91"/>
      <c r="F643" s="62"/>
      <c r="G643" s="69"/>
    </row>
    <row r="644" spans="1:7" x14ac:dyDescent="0.25">
      <c r="A644" s="90"/>
      <c r="B644" s="43"/>
      <c r="C644" s="43"/>
      <c r="D644" s="62"/>
      <c r="E644" s="91"/>
      <c r="F644" s="62"/>
      <c r="G644" s="69"/>
    </row>
    <row r="645" spans="1:7" x14ac:dyDescent="0.25">
      <c r="A645" s="90"/>
      <c r="B645" s="43"/>
      <c r="C645" s="43"/>
      <c r="D645" s="62"/>
      <c r="E645" s="92"/>
      <c r="F645" s="62"/>
      <c r="G645" s="69"/>
    </row>
    <row r="646" spans="1:7" x14ac:dyDescent="0.25">
      <c r="A646" s="90"/>
      <c r="B646" s="43"/>
      <c r="C646" s="43"/>
      <c r="D646" s="61"/>
      <c r="E646" s="92"/>
      <c r="F646" s="62"/>
      <c r="G646" s="43"/>
    </row>
    <row r="647" spans="1:7" x14ac:dyDescent="0.25">
      <c r="A647" s="90"/>
      <c r="B647" s="69"/>
      <c r="C647" s="69"/>
      <c r="D647" s="69"/>
      <c r="E647" s="69"/>
      <c r="F647" s="69"/>
      <c r="G647" s="64"/>
    </row>
    <row r="648" spans="1:7" x14ac:dyDescent="0.25">
      <c r="A648" s="913"/>
      <c r="B648" s="80"/>
      <c r="C648" s="80"/>
      <c r="D648" s="80"/>
      <c r="E648" s="89"/>
      <c r="F648" s="80"/>
      <c r="G648" s="67"/>
    </row>
    <row r="649" spans="1:7" x14ac:dyDescent="0.25">
      <c r="A649" s="81"/>
      <c r="B649" s="81"/>
      <c r="C649" s="81"/>
      <c r="D649" s="81"/>
      <c r="E649" s="81"/>
      <c r="F649" s="81"/>
      <c r="G649" s="81"/>
    </row>
    <row r="650" spans="1:7" x14ac:dyDescent="0.25">
      <c r="A650" s="69"/>
      <c r="B650" s="85"/>
      <c r="C650" s="96"/>
      <c r="D650" s="62"/>
      <c r="E650" s="121"/>
      <c r="F650" s="62"/>
      <c r="G650" s="69"/>
    </row>
    <row r="651" spans="1:7" x14ac:dyDescent="0.25">
      <c r="A651" s="881"/>
      <c r="B651" s="85"/>
      <c r="C651" s="96"/>
      <c r="D651" s="62"/>
      <c r="E651" s="101"/>
      <c r="F651" s="62"/>
      <c r="G651" s="69"/>
    </row>
    <row r="652" spans="1:7" x14ac:dyDescent="0.25">
      <c r="A652" s="69"/>
      <c r="B652" s="85"/>
      <c r="C652" s="69"/>
      <c r="D652" s="62"/>
      <c r="E652" s="69"/>
      <c r="F652" s="62"/>
      <c r="G652" s="69"/>
    </row>
    <row r="653" spans="1:7" x14ac:dyDescent="0.25">
      <c r="A653" s="69"/>
      <c r="B653" s="69"/>
      <c r="C653" s="69"/>
      <c r="D653" s="69"/>
      <c r="E653" s="69"/>
      <c r="F653" s="69"/>
      <c r="G653" s="43"/>
    </row>
    <row r="654" spans="1:7" x14ac:dyDescent="0.25">
      <c r="A654" s="82"/>
      <c r="B654" s="82"/>
      <c r="C654" s="82"/>
      <c r="D654" s="82"/>
      <c r="E654" s="82"/>
      <c r="F654" s="82"/>
      <c r="G654" s="64"/>
    </row>
    <row r="655" spans="1:7" x14ac:dyDescent="0.25">
      <c r="A655" s="1230"/>
      <c r="B655" s="1230"/>
      <c r="C655" s="1230"/>
      <c r="D655" s="1230"/>
      <c r="E655" s="1230"/>
      <c r="F655" s="1230"/>
      <c r="G655" s="1233"/>
    </row>
    <row r="656" spans="1:7" x14ac:dyDescent="0.25">
      <c r="A656" s="1248"/>
      <c r="B656" s="1248"/>
      <c r="C656" s="1248"/>
      <c r="D656" s="1248"/>
      <c r="E656" s="1231"/>
      <c r="F656" s="93"/>
      <c r="G656" s="70"/>
    </row>
    <row r="657" spans="1:7" x14ac:dyDescent="0.25">
      <c r="A657" s="1232"/>
      <c r="B657" s="1232"/>
      <c r="C657" s="1222"/>
      <c r="D657" s="1222"/>
      <c r="E657" s="1222"/>
      <c r="F657" s="1222"/>
      <c r="G657" s="1222"/>
    </row>
    <row r="658" spans="1:7" x14ac:dyDescent="0.25">
      <c r="A658" s="1232"/>
      <c r="B658" s="1232"/>
      <c r="C658" s="1222"/>
      <c r="D658" s="1222"/>
      <c r="E658" s="1222"/>
      <c r="F658" s="1222"/>
      <c r="G658" s="1222"/>
    </row>
    <row r="659" spans="1:7" x14ac:dyDescent="0.25">
      <c r="A659" s="1244"/>
      <c r="B659" s="1244"/>
      <c r="C659" s="1244"/>
      <c r="D659" s="1244"/>
      <c r="E659" s="1244"/>
      <c r="F659" s="1221"/>
      <c r="G659" s="1222"/>
    </row>
    <row r="660" spans="1:7" x14ac:dyDescent="0.25">
      <c r="A660" s="1244"/>
      <c r="B660" s="1244"/>
      <c r="C660" s="1244"/>
      <c r="D660" s="1244"/>
      <c r="E660" s="1244"/>
      <c r="F660" s="1221"/>
      <c r="G660" s="1222"/>
    </row>
    <row r="661" spans="1:7" x14ac:dyDescent="0.25">
      <c r="A661" s="1244"/>
      <c r="B661" s="1244"/>
      <c r="C661" s="1244"/>
      <c r="D661" s="1244"/>
      <c r="E661" s="1244"/>
      <c r="F661" s="1221"/>
      <c r="G661" s="1222"/>
    </row>
    <row r="662" spans="1:7" x14ac:dyDescent="0.25">
      <c r="A662" s="1244"/>
      <c r="B662" s="1244"/>
      <c r="C662" s="1244"/>
      <c r="D662" s="1244"/>
      <c r="E662" s="1244"/>
      <c r="F662" s="1221"/>
      <c r="G662" s="1222"/>
    </row>
    <row r="663" spans="1:7" x14ac:dyDescent="0.25">
      <c r="A663" s="1245"/>
      <c r="B663" s="1245"/>
      <c r="C663" s="1245"/>
      <c r="D663" s="1245"/>
      <c r="E663" s="1245"/>
      <c r="F663" s="1222"/>
      <c r="G663" s="1222"/>
    </row>
    <row r="671" spans="1:7" x14ac:dyDescent="0.25">
      <c r="A671" s="95"/>
      <c r="B671" s="94"/>
      <c r="C671" s="94"/>
      <c r="D671" s="94"/>
      <c r="E671" s="94"/>
      <c r="F671" s="882"/>
      <c r="G671" s="882"/>
    </row>
    <row r="672" spans="1:7" x14ac:dyDescent="0.25">
      <c r="A672" s="1238"/>
      <c r="B672" s="1246"/>
      <c r="C672" s="1246"/>
      <c r="D672" s="1246"/>
      <c r="E672" s="1247"/>
      <c r="F672" s="880"/>
      <c r="G672" s="880"/>
    </row>
    <row r="673" spans="1:7" x14ac:dyDescent="0.25">
      <c r="A673" s="1229"/>
      <c r="B673" s="1229"/>
      <c r="C673" s="1229"/>
      <c r="D673" s="1229"/>
      <c r="E673" s="1229"/>
      <c r="F673" s="1229"/>
      <c r="G673" s="1229"/>
    </row>
    <row r="674" spans="1:7" x14ac:dyDescent="0.25">
      <c r="A674" s="1234"/>
      <c r="B674" s="1235"/>
      <c r="C674" s="80"/>
      <c r="D674" s="80"/>
      <c r="E674" s="80"/>
      <c r="F674" s="80"/>
      <c r="G674" s="67"/>
    </row>
    <row r="675" spans="1:7" x14ac:dyDescent="0.25">
      <c r="A675" s="1236"/>
      <c r="B675" s="1236"/>
      <c r="C675" s="69"/>
      <c r="D675" s="62"/>
      <c r="E675" s="62"/>
      <c r="F675" s="62"/>
      <c r="G675" s="81"/>
    </row>
    <row r="676" spans="1:7" x14ac:dyDescent="0.25">
      <c r="A676" s="1236"/>
      <c r="B676" s="1236"/>
      <c r="C676" s="69"/>
      <c r="D676" s="62"/>
      <c r="E676" s="62"/>
      <c r="F676" s="62"/>
      <c r="G676" s="69"/>
    </row>
    <row r="677" spans="1:7" x14ac:dyDescent="0.25">
      <c r="A677" s="1236"/>
      <c r="B677" s="1236"/>
      <c r="C677" s="69"/>
      <c r="D677" s="69"/>
      <c r="E677" s="69"/>
      <c r="F677" s="62"/>
      <c r="G677" s="69"/>
    </row>
    <row r="678" spans="1:7" x14ac:dyDescent="0.25">
      <c r="A678" s="1236"/>
      <c r="B678" s="1236"/>
      <c r="C678" s="69"/>
      <c r="D678" s="69"/>
      <c r="E678" s="69"/>
      <c r="F678" s="69"/>
      <c r="G678" s="69"/>
    </row>
    <row r="679" spans="1:7" x14ac:dyDescent="0.25">
      <c r="A679" s="1236"/>
      <c r="B679" s="1236"/>
      <c r="C679" s="69"/>
      <c r="D679" s="69"/>
      <c r="E679" s="69"/>
      <c r="F679" s="69"/>
      <c r="G679" s="83"/>
    </row>
    <row r="680" spans="1:7" x14ac:dyDescent="0.25">
      <c r="A680" s="1237"/>
      <c r="B680" s="1237"/>
      <c r="C680" s="82"/>
      <c r="D680" s="82"/>
      <c r="E680" s="82"/>
      <c r="F680" s="82"/>
      <c r="G680" s="64"/>
    </row>
    <row r="681" spans="1:7" x14ac:dyDescent="0.25">
      <c r="A681" s="1234"/>
      <c r="B681" s="1235"/>
      <c r="C681" s="80"/>
      <c r="D681" s="80"/>
      <c r="E681" s="80"/>
      <c r="F681" s="80"/>
      <c r="G681" s="67"/>
    </row>
    <row r="682" spans="1:7" x14ac:dyDescent="0.25">
      <c r="A682" s="1226"/>
      <c r="B682" s="1227"/>
      <c r="C682" s="43"/>
      <c r="D682" s="97"/>
      <c r="E682" s="92"/>
      <c r="F682" s="85"/>
      <c r="G682" s="69"/>
    </row>
    <row r="683" spans="1:7" x14ac:dyDescent="0.25">
      <c r="A683" s="1228"/>
      <c r="B683" s="1229"/>
      <c r="C683" s="43"/>
      <c r="D683" s="97"/>
      <c r="E683" s="92"/>
      <c r="F683" s="85"/>
      <c r="G683" s="43"/>
    </row>
    <row r="684" spans="1:7" x14ac:dyDescent="0.25">
      <c r="A684" s="1228"/>
      <c r="B684" s="1229"/>
      <c r="C684" s="69"/>
      <c r="D684" s="69"/>
      <c r="E684" s="69"/>
      <c r="F684" s="69"/>
      <c r="G684" s="65"/>
    </row>
    <row r="685" spans="1:7" x14ac:dyDescent="0.25">
      <c r="A685" s="913"/>
      <c r="B685" s="89"/>
      <c r="C685" s="89"/>
      <c r="D685" s="80"/>
      <c r="E685" s="80"/>
      <c r="F685" s="80"/>
      <c r="G685" s="67"/>
    </row>
    <row r="686" spans="1:7" x14ac:dyDescent="0.25">
      <c r="A686" s="899"/>
      <c r="B686" s="43"/>
      <c r="C686" s="43"/>
      <c r="D686" s="62"/>
      <c r="E686" s="91"/>
      <c r="F686" s="62"/>
      <c r="G686" s="69"/>
    </row>
    <row r="687" spans="1:7" x14ac:dyDescent="0.25">
      <c r="A687" s="90"/>
      <c r="B687" s="43"/>
      <c r="C687" s="43"/>
      <c r="D687" s="62"/>
      <c r="E687" s="91"/>
      <c r="F687" s="62"/>
      <c r="G687" s="69"/>
    </row>
    <row r="688" spans="1:7" x14ac:dyDescent="0.25">
      <c r="A688" s="90"/>
      <c r="B688" s="43"/>
      <c r="C688" s="43"/>
      <c r="D688" s="62"/>
      <c r="E688" s="92"/>
      <c r="F688" s="62"/>
      <c r="G688" s="69"/>
    </row>
    <row r="689" spans="1:7" x14ac:dyDescent="0.25">
      <c r="A689" s="90"/>
      <c r="B689" s="43"/>
      <c r="C689" s="43"/>
      <c r="D689" s="61"/>
      <c r="E689" s="92"/>
      <c r="F689" s="62"/>
      <c r="G689" s="43"/>
    </row>
    <row r="690" spans="1:7" x14ac:dyDescent="0.25">
      <c r="A690" s="90"/>
      <c r="B690" s="69"/>
      <c r="C690" s="69"/>
      <c r="D690" s="69"/>
      <c r="E690" s="69"/>
      <c r="F690" s="69"/>
      <c r="G690" s="64"/>
    </row>
    <row r="691" spans="1:7" x14ac:dyDescent="0.25">
      <c r="A691" s="913"/>
      <c r="B691" s="80"/>
      <c r="C691" s="80"/>
      <c r="D691" s="80"/>
      <c r="E691" s="89"/>
      <c r="F691" s="80"/>
      <c r="G691" s="67"/>
    </row>
    <row r="692" spans="1:7" x14ac:dyDescent="0.25">
      <c r="A692" s="81"/>
      <c r="B692" s="81"/>
      <c r="C692" s="81"/>
      <c r="D692" s="81"/>
      <c r="E692" s="81"/>
      <c r="F692" s="81"/>
      <c r="G692" s="81"/>
    </row>
    <row r="693" spans="1:7" x14ac:dyDescent="0.25">
      <c r="A693" s="69"/>
      <c r="B693" s="85"/>
      <c r="C693" s="96"/>
      <c r="D693" s="62"/>
      <c r="E693" s="121"/>
      <c r="F693" s="62"/>
      <c r="G693" s="69"/>
    </row>
    <row r="694" spans="1:7" x14ac:dyDescent="0.25">
      <c r="A694" s="881"/>
      <c r="B694" s="85"/>
      <c r="C694" s="96"/>
      <c r="D694" s="62"/>
      <c r="E694" s="101"/>
      <c r="F694" s="62"/>
      <c r="G694" s="69"/>
    </row>
    <row r="695" spans="1:7" x14ac:dyDescent="0.25">
      <c r="A695" s="69"/>
      <c r="B695" s="85"/>
      <c r="C695" s="69"/>
      <c r="D695" s="62"/>
      <c r="E695" s="69"/>
      <c r="F695" s="62"/>
      <c r="G695" s="69"/>
    </row>
    <row r="696" spans="1:7" x14ac:dyDescent="0.25">
      <c r="A696" s="69"/>
      <c r="B696" s="69"/>
      <c r="C696" s="69"/>
      <c r="D696" s="69"/>
      <c r="E696" s="69"/>
      <c r="F696" s="69"/>
      <c r="G696" s="43"/>
    </row>
    <row r="697" spans="1:7" x14ac:dyDescent="0.25">
      <c r="A697" s="82"/>
      <c r="B697" s="82"/>
      <c r="C697" s="82"/>
      <c r="D697" s="82"/>
      <c r="E697" s="82"/>
      <c r="F697" s="82"/>
      <c r="G697" s="64"/>
    </row>
    <row r="698" spans="1:7" x14ac:dyDescent="0.25">
      <c r="A698" s="1230"/>
      <c r="B698" s="1230"/>
      <c r="C698" s="1230"/>
      <c r="D698" s="1230"/>
      <c r="E698" s="1230"/>
      <c r="F698" s="1230"/>
      <c r="G698" s="1233"/>
    </row>
    <row r="699" spans="1:7" x14ac:dyDescent="0.25">
      <c r="A699" s="1248"/>
      <c r="B699" s="1248"/>
      <c r="C699" s="1248"/>
      <c r="D699" s="1248"/>
      <c r="E699" s="1231"/>
      <c r="F699" s="93"/>
      <c r="G699" s="70"/>
    </row>
    <row r="700" spans="1:7" x14ac:dyDescent="0.25">
      <c r="A700" s="1232"/>
      <c r="B700" s="1232"/>
      <c r="C700" s="1222"/>
      <c r="D700" s="1222"/>
      <c r="E700" s="1222"/>
      <c r="F700" s="1222"/>
      <c r="G700" s="1222"/>
    </row>
    <row r="701" spans="1:7" x14ac:dyDescent="0.25">
      <c r="A701" s="1232"/>
      <c r="B701" s="1232"/>
      <c r="C701" s="1222"/>
      <c r="D701" s="1222"/>
      <c r="E701" s="1222"/>
      <c r="F701" s="1222"/>
      <c r="G701" s="1222"/>
    </row>
    <row r="702" spans="1:7" x14ac:dyDescent="0.25">
      <c r="A702" s="1244"/>
      <c r="B702" s="1244"/>
      <c r="C702" s="1244"/>
      <c r="D702" s="1244"/>
      <c r="E702" s="1244"/>
      <c r="F702" s="1221"/>
      <c r="G702" s="1222"/>
    </row>
    <row r="703" spans="1:7" x14ac:dyDescent="0.25">
      <c r="A703" s="1244"/>
      <c r="B703" s="1244"/>
      <c r="C703" s="1244"/>
      <c r="D703" s="1244"/>
      <c r="E703" s="1244"/>
      <c r="F703" s="1221"/>
      <c r="G703" s="1222"/>
    </row>
    <row r="704" spans="1:7" x14ac:dyDescent="0.25">
      <c r="A704" s="1244"/>
      <c r="B704" s="1244"/>
      <c r="C704" s="1244"/>
      <c r="D704" s="1244"/>
      <c r="E704" s="1244"/>
      <c r="F704" s="1221"/>
      <c r="G704" s="1222"/>
    </row>
    <row r="705" spans="1:7" x14ac:dyDescent="0.25">
      <c r="A705" s="1244"/>
      <c r="B705" s="1244"/>
      <c r="C705" s="1244"/>
      <c r="D705" s="1244"/>
      <c r="E705" s="1244"/>
      <c r="F705" s="1221"/>
      <c r="G705" s="1222"/>
    </row>
    <row r="706" spans="1:7" x14ac:dyDescent="0.25">
      <c r="A706" s="1245"/>
      <c r="B706" s="1245"/>
      <c r="C706" s="1245"/>
      <c r="D706" s="1245"/>
      <c r="E706" s="1245"/>
      <c r="F706" s="1222"/>
      <c r="G706" s="1222"/>
    </row>
    <row r="714" spans="1:7" x14ac:dyDescent="0.25">
      <c r="A714" s="95"/>
      <c r="B714" s="94"/>
      <c r="C714" s="94"/>
      <c r="D714" s="94"/>
      <c r="E714" s="94"/>
      <c r="F714" s="882"/>
      <c r="G714" s="882"/>
    </row>
    <row r="715" spans="1:7" x14ac:dyDescent="0.25">
      <c r="A715" s="1238"/>
      <c r="B715" s="1246"/>
      <c r="C715" s="1246"/>
      <c r="D715" s="1246"/>
      <c r="E715" s="1247"/>
      <c r="F715" s="880"/>
      <c r="G715" s="880"/>
    </row>
    <row r="716" spans="1:7" x14ac:dyDescent="0.25">
      <c r="A716" s="1229"/>
      <c r="B716" s="1229"/>
      <c r="C716" s="1229"/>
      <c r="D716" s="1229"/>
      <c r="E716" s="1229"/>
      <c r="F716" s="1229"/>
      <c r="G716" s="1229"/>
    </row>
    <row r="717" spans="1:7" x14ac:dyDescent="0.25">
      <c r="A717" s="1234"/>
      <c r="B717" s="1235"/>
      <c r="C717" s="80"/>
      <c r="D717" s="80"/>
      <c r="E717" s="80"/>
      <c r="F717" s="80"/>
      <c r="G717" s="67"/>
    </row>
    <row r="718" spans="1:7" x14ac:dyDescent="0.25">
      <c r="A718" s="1236"/>
      <c r="B718" s="1236"/>
      <c r="C718" s="69"/>
      <c r="D718" s="62"/>
      <c r="E718" s="62"/>
      <c r="F718" s="62"/>
      <c r="G718" s="81"/>
    </row>
    <row r="719" spans="1:7" x14ac:dyDescent="0.25">
      <c r="A719" s="1236"/>
      <c r="B719" s="1236"/>
      <c r="C719" s="69"/>
      <c r="D719" s="62"/>
      <c r="E719" s="62"/>
      <c r="F719" s="62"/>
      <c r="G719" s="69"/>
    </row>
    <row r="720" spans="1:7" x14ac:dyDescent="0.25">
      <c r="A720" s="1236"/>
      <c r="B720" s="1236"/>
      <c r="C720" s="69"/>
      <c r="D720" s="69"/>
      <c r="E720" s="69"/>
      <c r="F720" s="62"/>
      <c r="G720" s="69"/>
    </row>
    <row r="721" spans="1:7" x14ac:dyDescent="0.25">
      <c r="A721" s="1236"/>
      <c r="B721" s="1236"/>
      <c r="C721" s="69"/>
      <c r="D721" s="69"/>
      <c r="E721" s="69"/>
      <c r="F721" s="69"/>
      <c r="G721" s="69"/>
    </row>
    <row r="722" spans="1:7" x14ac:dyDescent="0.25">
      <c r="A722" s="1236"/>
      <c r="B722" s="1236"/>
      <c r="C722" s="69"/>
      <c r="D722" s="69"/>
      <c r="E722" s="69"/>
      <c r="F722" s="69"/>
      <c r="G722" s="83"/>
    </row>
    <row r="723" spans="1:7" x14ac:dyDescent="0.25">
      <c r="A723" s="1237"/>
      <c r="B723" s="1237"/>
      <c r="C723" s="82"/>
      <c r="D723" s="82"/>
      <c r="E723" s="82"/>
      <c r="F723" s="82"/>
      <c r="G723" s="64"/>
    </row>
    <row r="724" spans="1:7" x14ac:dyDescent="0.25">
      <c r="A724" s="1234"/>
      <c r="B724" s="1235"/>
      <c r="C724" s="80"/>
      <c r="D724" s="80"/>
      <c r="E724" s="80"/>
      <c r="F724" s="80"/>
      <c r="G724" s="67"/>
    </row>
    <row r="725" spans="1:7" x14ac:dyDescent="0.25">
      <c r="A725" s="1226"/>
      <c r="B725" s="1227"/>
      <c r="C725" s="43"/>
      <c r="D725" s="97"/>
      <c r="E725" s="92"/>
      <c r="F725" s="85"/>
      <c r="G725" s="69"/>
    </row>
    <row r="726" spans="1:7" x14ac:dyDescent="0.25">
      <c r="A726" s="1228"/>
      <c r="B726" s="1229"/>
      <c r="C726" s="43"/>
      <c r="D726" s="97"/>
      <c r="E726" s="92"/>
      <c r="F726" s="85"/>
      <c r="G726" s="43"/>
    </row>
    <row r="727" spans="1:7" x14ac:dyDescent="0.25">
      <c r="A727" s="1228"/>
      <c r="B727" s="1229"/>
      <c r="C727" s="69"/>
      <c r="D727" s="69"/>
      <c r="E727" s="69"/>
      <c r="F727" s="69"/>
      <c r="G727" s="65"/>
    </row>
    <row r="728" spans="1:7" x14ac:dyDescent="0.25">
      <c r="A728" s="913"/>
      <c r="B728" s="89"/>
      <c r="C728" s="89"/>
      <c r="D728" s="80"/>
      <c r="E728" s="80"/>
      <c r="F728" s="80"/>
      <c r="G728" s="67"/>
    </row>
    <row r="729" spans="1:7" x14ac:dyDescent="0.25">
      <c r="A729" s="899"/>
      <c r="B729" s="43"/>
      <c r="C729" s="43"/>
      <c r="D729" s="62"/>
      <c r="E729" s="91"/>
      <c r="F729" s="62"/>
      <c r="G729" s="69"/>
    </row>
    <row r="730" spans="1:7" x14ac:dyDescent="0.25">
      <c r="A730" s="90"/>
      <c r="B730" s="43"/>
      <c r="C730" s="43"/>
      <c r="D730" s="62"/>
      <c r="E730" s="91"/>
      <c r="F730" s="62"/>
      <c r="G730" s="69"/>
    </row>
    <row r="731" spans="1:7" x14ac:dyDescent="0.25">
      <c r="A731" s="90"/>
      <c r="B731" s="43"/>
      <c r="C731" s="43"/>
      <c r="D731" s="62"/>
      <c r="E731" s="92"/>
      <c r="F731" s="62"/>
      <c r="G731" s="69"/>
    </row>
    <row r="732" spans="1:7" x14ac:dyDescent="0.25">
      <c r="A732" s="90"/>
      <c r="B732" s="43"/>
      <c r="C732" s="43"/>
      <c r="D732" s="61"/>
      <c r="E732" s="92"/>
      <c r="F732" s="62"/>
      <c r="G732" s="43"/>
    </row>
    <row r="733" spans="1:7" x14ac:dyDescent="0.25">
      <c r="A733" s="90"/>
      <c r="B733" s="69"/>
      <c r="C733" s="69"/>
      <c r="D733" s="69"/>
      <c r="E733" s="69"/>
      <c r="F733" s="69"/>
      <c r="G733" s="64"/>
    </row>
    <row r="734" spans="1:7" x14ac:dyDescent="0.25">
      <c r="A734" s="913"/>
      <c r="B734" s="80"/>
      <c r="C734" s="80"/>
      <c r="D734" s="80"/>
      <c r="E734" s="89"/>
      <c r="F734" s="80"/>
      <c r="G734" s="67"/>
    </row>
    <row r="735" spans="1:7" x14ac:dyDescent="0.25">
      <c r="A735" s="81"/>
      <c r="B735" s="81"/>
      <c r="C735" s="81"/>
      <c r="D735" s="81"/>
      <c r="E735" s="81"/>
      <c r="F735" s="81"/>
      <c r="G735" s="81"/>
    </row>
    <row r="736" spans="1:7" x14ac:dyDescent="0.25">
      <c r="A736" s="69"/>
      <c r="B736" s="85"/>
      <c r="C736" s="96"/>
      <c r="D736" s="62"/>
      <c r="E736" s="121"/>
      <c r="F736" s="62"/>
      <c r="G736" s="69"/>
    </row>
    <row r="737" spans="1:7" x14ac:dyDescent="0.25">
      <c r="A737" s="881"/>
      <c r="B737" s="85"/>
      <c r="C737" s="96"/>
      <c r="D737" s="62"/>
      <c r="E737" s="101"/>
      <c r="F737" s="62"/>
      <c r="G737" s="69"/>
    </row>
    <row r="738" spans="1:7" x14ac:dyDescent="0.25">
      <c r="A738" s="69"/>
      <c r="B738" s="85"/>
      <c r="C738" s="69"/>
      <c r="D738" s="62"/>
      <c r="E738" s="69"/>
      <c r="F738" s="62"/>
      <c r="G738" s="69"/>
    </row>
    <row r="739" spans="1:7" x14ac:dyDescent="0.25">
      <c r="A739" s="69"/>
      <c r="B739" s="69"/>
      <c r="C739" s="69"/>
      <c r="D739" s="69"/>
      <c r="E739" s="69"/>
      <c r="F739" s="69"/>
      <c r="G739" s="43"/>
    </row>
    <row r="740" spans="1:7" x14ac:dyDescent="0.25">
      <c r="A740" s="82"/>
      <c r="B740" s="82"/>
      <c r="C740" s="82"/>
      <c r="D740" s="82"/>
      <c r="E740" s="82"/>
      <c r="F740" s="82"/>
      <c r="G740" s="64"/>
    </row>
    <row r="741" spans="1:7" x14ac:dyDescent="0.25">
      <c r="A741" s="1230"/>
      <c r="B741" s="1230"/>
      <c r="C741" s="1230"/>
      <c r="D741" s="1230"/>
      <c r="E741" s="1230"/>
      <c r="F741" s="1230"/>
      <c r="G741" s="1233"/>
    </row>
    <row r="742" spans="1:7" x14ac:dyDescent="0.25">
      <c r="A742" s="1248"/>
      <c r="B742" s="1248"/>
      <c r="C742" s="1248"/>
      <c r="D742" s="1248"/>
      <c r="E742" s="1231"/>
      <c r="F742" s="93"/>
      <c r="G742" s="70"/>
    </row>
    <row r="743" spans="1:7" x14ac:dyDescent="0.25">
      <c r="A743" s="1232"/>
      <c r="B743" s="1232"/>
      <c r="C743" s="1222"/>
      <c r="D743" s="1222"/>
      <c r="E743" s="1222"/>
      <c r="F743" s="1222"/>
      <c r="G743" s="1222"/>
    </row>
    <row r="744" spans="1:7" x14ac:dyDescent="0.25">
      <c r="A744" s="1232"/>
      <c r="B744" s="1232"/>
      <c r="C744" s="1222"/>
      <c r="D744" s="1222"/>
      <c r="E744" s="1222"/>
      <c r="F744" s="1222"/>
      <c r="G744" s="1222"/>
    </row>
    <row r="745" spans="1:7" x14ac:dyDescent="0.25">
      <c r="A745" s="1244"/>
      <c r="B745" s="1244"/>
      <c r="C745" s="1244"/>
      <c r="D745" s="1244"/>
      <c r="E745" s="1244"/>
      <c r="F745" s="1221"/>
      <c r="G745" s="1222"/>
    </row>
    <row r="746" spans="1:7" x14ac:dyDescent="0.25">
      <c r="A746" s="1244"/>
      <c r="B746" s="1244"/>
      <c r="C746" s="1244"/>
      <c r="D746" s="1244"/>
      <c r="E746" s="1244"/>
      <c r="F746" s="1221"/>
      <c r="G746" s="1222"/>
    </row>
    <row r="747" spans="1:7" x14ac:dyDescent="0.25">
      <c r="A747" s="1244"/>
      <c r="B747" s="1244"/>
      <c r="C747" s="1244"/>
      <c r="D747" s="1244"/>
      <c r="E747" s="1244"/>
      <c r="F747" s="1221"/>
      <c r="G747" s="1222"/>
    </row>
    <row r="748" spans="1:7" x14ac:dyDescent="0.25">
      <c r="A748" s="1244"/>
      <c r="B748" s="1244"/>
      <c r="C748" s="1244"/>
      <c r="D748" s="1244"/>
      <c r="E748" s="1244"/>
      <c r="F748" s="1221"/>
      <c r="G748" s="1222"/>
    </row>
    <row r="749" spans="1:7" x14ac:dyDescent="0.25">
      <c r="A749" s="1245"/>
      <c r="B749" s="1245"/>
      <c r="C749" s="1245"/>
      <c r="D749" s="1245"/>
      <c r="E749" s="1245"/>
      <c r="F749" s="1222"/>
      <c r="G749" s="1222"/>
    </row>
    <row r="758" spans="1:7" x14ac:dyDescent="0.25">
      <c r="A758" s="95"/>
      <c r="B758" s="94"/>
      <c r="C758" s="94"/>
      <c r="D758" s="94"/>
      <c r="E758" s="94"/>
      <c r="F758" s="882"/>
      <c r="G758" s="882"/>
    </row>
    <row r="759" spans="1:7" x14ac:dyDescent="0.25">
      <c r="A759" s="1238"/>
      <c r="B759" s="1246"/>
      <c r="C759" s="1246"/>
      <c r="D759" s="1246"/>
      <c r="E759" s="1247"/>
      <c r="F759" s="880"/>
      <c r="G759" s="880"/>
    </row>
    <row r="760" spans="1:7" x14ac:dyDescent="0.25">
      <c r="A760" s="1229"/>
      <c r="B760" s="1229"/>
      <c r="C760" s="1229"/>
      <c r="D760" s="1229"/>
      <c r="E760" s="1229"/>
      <c r="F760" s="1229"/>
      <c r="G760" s="1229"/>
    </row>
    <row r="761" spans="1:7" x14ac:dyDescent="0.25">
      <c r="A761" s="1234"/>
      <c r="B761" s="1235"/>
      <c r="C761" s="80"/>
      <c r="D761" s="80"/>
      <c r="E761" s="80"/>
      <c r="F761" s="80"/>
      <c r="G761" s="67"/>
    </row>
    <row r="762" spans="1:7" x14ac:dyDescent="0.25">
      <c r="A762" s="1236"/>
      <c r="B762" s="1236"/>
      <c r="C762" s="69"/>
      <c r="D762" s="62"/>
      <c r="E762" s="62"/>
      <c r="F762" s="62"/>
      <c r="G762" s="81"/>
    </row>
    <row r="763" spans="1:7" x14ac:dyDescent="0.25">
      <c r="A763" s="1236"/>
      <c r="B763" s="1236"/>
      <c r="C763" s="69"/>
      <c r="D763" s="62"/>
      <c r="E763" s="62"/>
      <c r="F763" s="62"/>
      <c r="G763" s="69"/>
    </row>
    <row r="764" spans="1:7" x14ac:dyDescent="0.25">
      <c r="A764" s="1236"/>
      <c r="B764" s="1236"/>
      <c r="C764" s="69"/>
      <c r="D764" s="69"/>
      <c r="E764" s="69"/>
      <c r="F764" s="62"/>
      <c r="G764" s="69"/>
    </row>
    <row r="765" spans="1:7" x14ac:dyDescent="0.25">
      <c r="A765" s="1236"/>
      <c r="B765" s="1236"/>
      <c r="C765" s="69"/>
      <c r="D765" s="69"/>
      <c r="E765" s="69"/>
      <c r="F765" s="69"/>
      <c r="G765" s="69"/>
    </row>
    <row r="766" spans="1:7" x14ac:dyDescent="0.25">
      <c r="A766" s="1236"/>
      <c r="B766" s="1236"/>
      <c r="C766" s="69"/>
      <c r="D766" s="69"/>
      <c r="E766" s="69"/>
      <c r="F766" s="69"/>
      <c r="G766" s="83"/>
    </row>
    <row r="767" spans="1:7" x14ac:dyDescent="0.25">
      <c r="A767" s="1237"/>
      <c r="B767" s="1237"/>
      <c r="C767" s="82"/>
      <c r="D767" s="82"/>
      <c r="E767" s="82"/>
      <c r="F767" s="82"/>
      <c r="G767" s="64"/>
    </row>
    <row r="768" spans="1:7" x14ac:dyDescent="0.25">
      <c r="A768" s="1234"/>
      <c r="B768" s="1235"/>
      <c r="C768" s="80"/>
      <c r="D768" s="80"/>
      <c r="E768" s="80"/>
      <c r="F768" s="80"/>
      <c r="G768" s="67"/>
    </row>
    <row r="769" spans="1:7" x14ac:dyDescent="0.25">
      <c r="A769" s="1226"/>
      <c r="B769" s="1227"/>
      <c r="C769" s="43"/>
      <c r="D769" s="97"/>
      <c r="E769" s="92"/>
      <c r="F769" s="85"/>
      <c r="G769" s="69"/>
    </row>
    <row r="770" spans="1:7" x14ac:dyDescent="0.25">
      <c r="A770" s="1228"/>
      <c r="B770" s="1229"/>
      <c r="C770" s="43"/>
      <c r="D770" s="97"/>
      <c r="E770" s="92"/>
      <c r="F770" s="85"/>
      <c r="G770" s="43"/>
    </row>
    <row r="771" spans="1:7" x14ac:dyDescent="0.25">
      <c r="A771" s="1228"/>
      <c r="B771" s="1229"/>
      <c r="C771" s="69"/>
      <c r="D771" s="69"/>
      <c r="E771" s="69"/>
      <c r="F771" s="69"/>
      <c r="G771" s="65"/>
    </row>
    <row r="772" spans="1:7" x14ac:dyDescent="0.25">
      <c r="A772" s="913"/>
      <c r="B772" s="89"/>
      <c r="C772" s="89"/>
      <c r="D772" s="80"/>
      <c r="E772" s="80"/>
      <c r="F772" s="80"/>
      <c r="G772" s="67"/>
    </row>
    <row r="773" spans="1:7" x14ac:dyDescent="0.25">
      <c r="A773" s="899"/>
      <c r="B773" s="43"/>
      <c r="C773" s="43"/>
      <c r="D773" s="62"/>
      <c r="E773" s="91"/>
      <c r="F773" s="62"/>
      <c r="G773" s="69"/>
    </row>
    <row r="774" spans="1:7" x14ac:dyDescent="0.25">
      <c r="A774" s="90"/>
      <c r="B774" s="43"/>
      <c r="C774" s="43"/>
      <c r="D774" s="62"/>
      <c r="E774" s="91"/>
      <c r="F774" s="62"/>
      <c r="G774" s="69"/>
    </row>
    <row r="775" spans="1:7" x14ac:dyDescent="0.25">
      <c r="A775" s="90"/>
      <c r="B775" s="43"/>
      <c r="C775" s="43"/>
      <c r="D775" s="62"/>
      <c r="E775" s="92"/>
      <c r="F775" s="62"/>
      <c r="G775" s="69"/>
    </row>
    <row r="776" spans="1:7" x14ac:dyDescent="0.25">
      <c r="A776" s="90"/>
      <c r="B776" s="43"/>
      <c r="C776" s="43"/>
      <c r="D776" s="61"/>
      <c r="E776" s="92"/>
      <c r="F776" s="62"/>
      <c r="G776" s="43"/>
    </row>
    <row r="777" spans="1:7" x14ac:dyDescent="0.25">
      <c r="A777" s="90"/>
      <c r="B777" s="69"/>
      <c r="C777" s="69"/>
      <c r="D777" s="69"/>
      <c r="E777" s="69"/>
      <c r="F777" s="69"/>
      <c r="G777" s="64"/>
    </row>
    <row r="778" spans="1:7" x14ac:dyDescent="0.25">
      <c r="A778" s="913"/>
      <c r="B778" s="80"/>
      <c r="C778" s="80"/>
      <c r="D778" s="80"/>
      <c r="E778" s="89"/>
      <c r="F778" s="80"/>
      <c r="G778" s="67"/>
    </row>
    <row r="779" spans="1:7" x14ac:dyDescent="0.25">
      <c r="A779" s="81"/>
      <c r="B779" s="81"/>
      <c r="C779" s="81"/>
      <c r="D779" s="81"/>
      <c r="E779" s="81"/>
      <c r="F779" s="81"/>
      <c r="G779" s="81"/>
    </row>
    <row r="780" spans="1:7" x14ac:dyDescent="0.25">
      <c r="A780" s="69"/>
      <c r="B780" s="85"/>
      <c r="C780" s="96"/>
      <c r="D780" s="62"/>
      <c r="E780" s="121"/>
      <c r="F780" s="62"/>
      <c r="G780" s="69"/>
    </row>
    <row r="781" spans="1:7" x14ac:dyDescent="0.25">
      <c r="A781" s="881"/>
      <c r="B781" s="85"/>
      <c r="C781" s="96"/>
      <c r="D781" s="62"/>
      <c r="E781" s="101"/>
      <c r="F781" s="62"/>
      <c r="G781" s="69"/>
    </row>
    <row r="782" spans="1:7" x14ac:dyDescent="0.25">
      <c r="A782" s="69"/>
      <c r="B782" s="85"/>
      <c r="C782" s="69"/>
      <c r="D782" s="62"/>
      <c r="E782" s="69"/>
      <c r="F782" s="62"/>
      <c r="G782" s="69"/>
    </row>
    <row r="783" spans="1:7" x14ac:dyDescent="0.25">
      <c r="A783" s="69"/>
      <c r="B783" s="69"/>
      <c r="C783" s="69"/>
      <c r="D783" s="69"/>
      <c r="E783" s="69"/>
      <c r="F783" s="69"/>
      <c r="G783" s="43"/>
    </row>
    <row r="784" spans="1:7" x14ac:dyDescent="0.25">
      <c r="A784" s="82"/>
      <c r="B784" s="82"/>
      <c r="C784" s="82"/>
      <c r="D784" s="82"/>
      <c r="E784" s="82"/>
      <c r="F784" s="82"/>
      <c r="G784" s="64"/>
    </row>
    <row r="785" spans="1:7" x14ac:dyDescent="0.25">
      <c r="A785" s="1230"/>
      <c r="B785" s="1230"/>
      <c r="C785" s="1230"/>
      <c r="D785" s="1230"/>
      <c r="E785" s="1230"/>
      <c r="F785" s="1230"/>
      <c r="G785" s="1233"/>
    </row>
    <row r="786" spans="1:7" x14ac:dyDescent="0.25">
      <c r="A786" s="1248"/>
      <c r="B786" s="1248"/>
      <c r="C786" s="1248"/>
      <c r="D786" s="1248"/>
      <c r="E786" s="1231"/>
      <c r="F786" s="93"/>
      <c r="G786" s="70"/>
    </row>
    <row r="787" spans="1:7" x14ac:dyDescent="0.25">
      <c r="A787" s="1232"/>
      <c r="B787" s="1232"/>
      <c r="C787" s="1222"/>
      <c r="D787" s="1222"/>
      <c r="E787" s="1222"/>
      <c r="F787" s="1222"/>
      <c r="G787" s="1222"/>
    </row>
    <row r="788" spans="1:7" x14ac:dyDescent="0.25">
      <c r="A788" s="1232"/>
      <c r="B788" s="1232"/>
      <c r="C788" s="1222"/>
      <c r="D788" s="1222"/>
      <c r="E788" s="1222"/>
      <c r="F788" s="1222"/>
      <c r="G788" s="1222"/>
    </row>
    <row r="789" spans="1:7" x14ac:dyDescent="0.25">
      <c r="A789" s="1244"/>
      <c r="B789" s="1244"/>
      <c r="C789" s="1244"/>
      <c r="D789" s="1244"/>
      <c r="E789" s="1244"/>
      <c r="F789" s="1221"/>
      <c r="G789" s="1222"/>
    </row>
    <row r="790" spans="1:7" x14ac:dyDescent="0.25">
      <c r="A790" s="1244"/>
      <c r="B790" s="1244"/>
      <c r="C790" s="1244"/>
      <c r="D790" s="1244"/>
      <c r="E790" s="1244"/>
      <c r="F790" s="1221"/>
      <c r="G790" s="1222"/>
    </row>
    <row r="791" spans="1:7" x14ac:dyDescent="0.25">
      <c r="A791" s="1244"/>
      <c r="B791" s="1244"/>
      <c r="C791" s="1244"/>
      <c r="D791" s="1244"/>
      <c r="E791" s="1244"/>
      <c r="F791" s="1221"/>
      <c r="G791" s="1222"/>
    </row>
    <row r="792" spans="1:7" x14ac:dyDescent="0.25">
      <c r="A792" s="1244"/>
      <c r="B792" s="1244"/>
      <c r="C792" s="1244"/>
      <c r="D792" s="1244"/>
      <c r="E792" s="1244"/>
      <c r="F792" s="1221"/>
      <c r="G792" s="1222"/>
    </row>
    <row r="793" spans="1:7" x14ac:dyDescent="0.25">
      <c r="A793" s="1245"/>
      <c r="B793" s="1245"/>
      <c r="C793" s="1245"/>
      <c r="D793" s="1245"/>
      <c r="E793" s="1245"/>
      <c r="F793" s="1222"/>
      <c r="G793" s="1222"/>
    </row>
    <row r="800" spans="1:7" x14ac:dyDescent="0.25">
      <c r="A800" s="95"/>
      <c r="B800" s="94"/>
      <c r="C800" s="94"/>
      <c r="D800" s="94"/>
      <c r="E800" s="94"/>
      <c r="F800" s="882"/>
      <c r="G800" s="882"/>
    </row>
    <row r="801" spans="1:7" x14ac:dyDescent="0.25">
      <c r="A801" s="1238"/>
      <c r="B801" s="1246"/>
      <c r="C801" s="1246"/>
      <c r="D801" s="1246"/>
      <c r="E801" s="1247"/>
      <c r="F801" s="880"/>
      <c r="G801" s="880"/>
    </row>
    <row r="802" spans="1:7" x14ac:dyDescent="0.25">
      <c r="A802" s="1229"/>
      <c r="B802" s="1229"/>
      <c r="C802" s="1229"/>
      <c r="D802" s="1229"/>
      <c r="E802" s="1229"/>
      <c r="F802" s="1229"/>
      <c r="G802" s="1229"/>
    </row>
    <row r="803" spans="1:7" x14ac:dyDescent="0.25">
      <c r="A803" s="1234"/>
      <c r="B803" s="1235"/>
      <c r="C803" s="80"/>
      <c r="D803" s="80"/>
      <c r="E803" s="80"/>
      <c r="F803" s="80"/>
      <c r="G803" s="67"/>
    </row>
    <row r="804" spans="1:7" x14ac:dyDescent="0.25">
      <c r="A804" s="1236"/>
      <c r="B804" s="1236"/>
      <c r="C804" s="69"/>
      <c r="D804" s="62"/>
      <c r="E804" s="62"/>
      <c r="F804" s="62"/>
      <c r="G804" s="81"/>
    </row>
    <row r="805" spans="1:7" x14ac:dyDescent="0.25">
      <c r="A805" s="1236"/>
      <c r="B805" s="1236"/>
      <c r="C805" s="69"/>
      <c r="D805" s="62"/>
      <c r="E805" s="62"/>
      <c r="F805" s="62"/>
      <c r="G805" s="69"/>
    </row>
    <row r="806" spans="1:7" x14ac:dyDescent="0.25">
      <c r="A806" s="1236"/>
      <c r="B806" s="1236"/>
      <c r="C806" s="69"/>
      <c r="D806" s="69"/>
      <c r="E806" s="69"/>
      <c r="F806" s="62"/>
      <c r="G806" s="69"/>
    </row>
    <row r="807" spans="1:7" x14ac:dyDescent="0.25">
      <c r="A807" s="1236"/>
      <c r="B807" s="1236"/>
      <c r="C807" s="69"/>
      <c r="D807" s="69"/>
      <c r="E807" s="69"/>
      <c r="F807" s="69"/>
      <c r="G807" s="69"/>
    </row>
    <row r="808" spans="1:7" x14ac:dyDescent="0.25">
      <c r="A808" s="1236"/>
      <c r="B808" s="1236"/>
      <c r="C808" s="69"/>
      <c r="D808" s="69"/>
      <c r="E808" s="69"/>
      <c r="F808" s="69"/>
      <c r="G808" s="83"/>
    </row>
    <row r="809" spans="1:7" x14ac:dyDescent="0.25">
      <c r="A809" s="1237"/>
      <c r="B809" s="1237"/>
      <c r="C809" s="82"/>
      <c r="D809" s="82"/>
      <c r="E809" s="82"/>
      <c r="F809" s="82"/>
      <c r="G809" s="64"/>
    </row>
    <row r="810" spans="1:7" x14ac:dyDescent="0.25">
      <c r="A810" s="1234"/>
      <c r="B810" s="1235"/>
      <c r="C810" s="80"/>
      <c r="D810" s="80"/>
      <c r="E810" s="80"/>
      <c r="F810" s="80"/>
      <c r="G810" s="67"/>
    </row>
    <row r="811" spans="1:7" x14ac:dyDescent="0.25">
      <c r="A811" s="1226"/>
      <c r="B811" s="1227"/>
      <c r="C811" s="43"/>
      <c r="D811" s="97"/>
      <c r="E811" s="92"/>
      <c r="F811" s="85"/>
      <c r="G811" s="69"/>
    </row>
    <row r="812" spans="1:7" x14ac:dyDescent="0.25">
      <c r="A812" s="1228"/>
      <c r="B812" s="1229"/>
      <c r="C812" s="43"/>
      <c r="D812" s="97"/>
      <c r="E812" s="92"/>
      <c r="F812" s="85"/>
      <c r="G812" s="43"/>
    </row>
    <row r="813" spans="1:7" x14ac:dyDescent="0.25">
      <c r="A813" s="1228"/>
      <c r="B813" s="1229"/>
      <c r="C813" s="69"/>
      <c r="D813" s="69"/>
      <c r="E813" s="69"/>
      <c r="F813" s="69"/>
      <c r="G813" s="65"/>
    </row>
    <row r="814" spans="1:7" x14ac:dyDescent="0.25">
      <c r="A814" s="913"/>
      <c r="B814" s="89"/>
      <c r="C814" s="89"/>
      <c r="D814" s="80"/>
      <c r="E814" s="80"/>
      <c r="F814" s="80"/>
      <c r="G814" s="67"/>
    </row>
    <row r="815" spans="1:7" x14ac:dyDescent="0.25">
      <c r="A815" s="899"/>
      <c r="B815" s="43"/>
      <c r="C815" s="43"/>
      <c r="D815" s="62"/>
      <c r="E815" s="91"/>
      <c r="F815" s="62"/>
      <c r="G815" s="69"/>
    </row>
    <row r="816" spans="1:7" x14ac:dyDescent="0.25">
      <c r="A816" s="90"/>
      <c r="B816" s="43"/>
      <c r="C816" s="43"/>
      <c r="D816" s="62"/>
      <c r="E816" s="91"/>
      <c r="F816" s="62"/>
      <c r="G816" s="69"/>
    </row>
    <row r="817" spans="1:7" x14ac:dyDescent="0.25">
      <c r="A817" s="90"/>
      <c r="B817" s="43"/>
      <c r="C817" s="43"/>
      <c r="D817" s="62"/>
      <c r="E817" s="92"/>
      <c r="F817" s="62"/>
      <c r="G817" s="69"/>
    </row>
    <row r="818" spans="1:7" x14ac:dyDescent="0.25">
      <c r="A818" s="90"/>
      <c r="B818" s="43"/>
      <c r="C818" s="43"/>
      <c r="D818" s="61"/>
      <c r="E818" s="92"/>
      <c r="F818" s="62"/>
      <c r="G818" s="43"/>
    </row>
    <row r="819" spans="1:7" x14ac:dyDescent="0.25">
      <c r="A819" s="90"/>
      <c r="B819" s="69"/>
      <c r="C819" s="69"/>
      <c r="D819" s="69"/>
      <c r="E819" s="69"/>
      <c r="F819" s="69"/>
      <c r="G819" s="64"/>
    </row>
    <row r="820" spans="1:7" x14ac:dyDescent="0.25">
      <c r="A820" s="913"/>
      <c r="B820" s="80"/>
      <c r="C820" s="80"/>
      <c r="D820" s="80"/>
      <c r="E820" s="89"/>
      <c r="F820" s="80"/>
      <c r="G820" s="67"/>
    </row>
    <row r="821" spans="1:7" x14ac:dyDescent="0.25">
      <c r="A821" s="81"/>
      <c r="B821" s="81"/>
      <c r="C821" s="81"/>
      <c r="D821" s="81"/>
      <c r="E821" s="81"/>
      <c r="F821" s="81"/>
      <c r="G821" s="81"/>
    </row>
    <row r="822" spans="1:7" x14ac:dyDescent="0.25">
      <c r="A822" s="69"/>
      <c r="B822" s="85"/>
      <c r="C822" s="96"/>
      <c r="D822" s="62"/>
      <c r="E822" s="121"/>
      <c r="F822" s="62"/>
      <c r="G822" s="69"/>
    </row>
    <row r="823" spans="1:7" x14ac:dyDescent="0.25">
      <c r="A823" s="881"/>
      <c r="B823" s="85"/>
      <c r="C823" s="96"/>
      <c r="D823" s="62"/>
      <c r="E823" s="101"/>
      <c r="F823" s="62"/>
      <c r="G823" s="69"/>
    </row>
    <row r="824" spans="1:7" x14ac:dyDescent="0.25">
      <c r="A824" s="69"/>
      <c r="B824" s="85"/>
      <c r="C824" s="69"/>
      <c r="D824" s="62"/>
      <c r="E824" s="69"/>
      <c r="F824" s="62"/>
      <c r="G824" s="69"/>
    </row>
    <row r="825" spans="1:7" x14ac:dyDescent="0.25">
      <c r="A825" s="69"/>
      <c r="B825" s="69"/>
      <c r="C825" s="69"/>
      <c r="D825" s="69"/>
      <c r="E825" s="69"/>
      <c r="F825" s="69"/>
      <c r="G825" s="43"/>
    </row>
    <row r="826" spans="1:7" x14ac:dyDescent="0.25">
      <c r="A826" s="82"/>
      <c r="B826" s="82"/>
      <c r="C826" s="82"/>
      <c r="D826" s="82"/>
      <c r="E826" s="82"/>
      <c r="F826" s="82"/>
      <c r="G826" s="64"/>
    </row>
    <row r="827" spans="1:7" x14ac:dyDescent="0.25">
      <c r="A827" s="1230"/>
      <c r="B827" s="1230"/>
      <c r="C827" s="1230"/>
      <c r="D827" s="1230"/>
      <c r="E827" s="1230"/>
      <c r="F827" s="1230"/>
      <c r="G827" s="1233"/>
    </row>
    <row r="828" spans="1:7" x14ac:dyDescent="0.25">
      <c r="A828" s="1248"/>
      <c r="B828" s="1248"/>
      <c r="C828" s="1248"/>
      <c r="D828" s="1248"/>
      <c r="E828" s="1231"/>
      <c r="F828" s="93"/>
      <c r="G828" s="70"/>
    </row>
    <row r="829" spans="1:7" x14ac:dyDescent="0.25">
      <c r="A829" s="1232"/>
      <c r="B829" s="1232"/>
      <c r="C829" s="1222"/>
      <c r="D829" s="1222"/>
      <c r="E829" s="1222"/>
      <c r="F829" s="1222"/>
      <c r="G829" s="1222"/>
    </row>
    <row r="830" spans="1:7" x14ac:dyDescent="0.25">
      <c r="A830" s="1232"/>
      <c r="B830" s="1232"/>
      <c r="C830" s="1222"/>
      <c r="D830" s="1222"/>
      <c r="E830" s="1222"/>
      <c r="F830" s="1222"/>
      <c r="G830" s="1222"/>
    </row>
    <row r="831" spans="1:7" x14ac:dyDescent="0.25">
      <c r="A831" s="1244"/>
      <c r="B831" s="1244"/>
      <c r="C831" s="1244"/>
      <c r="D831" s="1244"/>
      <c r="E831" s="1244"/>
      <c r="F831" s="1221"/>
      <c r="G831" s="1222"/>
    </row>
    <row r="832" spans="1:7" x14ac:dyDescent="0.25">
      <c r="A832" s="1244"/>
      <c r="B832" s="1244"/>
      <c r="C832" s="1244"/>
      <c r="D832" s="1244"/>
      <c r="E832" s="1244"/>
      <c r="F832" s="1221"/>
      <c r="G832" s="1222"/>
    </row>
    <row r="833" spans="1:7" x14ac:dyDescent="0.25">
      <c r="A833" s="1244"/>
      <c r="B833" s="1244"/>
      <c r="C833" s="1244"/>
      <c r="D833" s="1244"/>
      <c r="E833" s="1244"/>
      <c r="F833" s="1221"/>
      <c r="G833" s="1222"/>
    </row>
    <row r="834" spans="1:7" x14ac:dyDescent="0.25">
      <c r="A834" s="1244"/>
      <c r="B834" s="1244"/>
      <c r="C834" s="1244"/>
      <c r="D834" s="1244"/>
      <c r="E834" s="1244"/>
      <c r="F834" s="1221"/>
      <c r="G834" s="1222"/>
    </row>
    <row r="835" spans="1:7" x14ac:dyDescent="0.25">
      <c r="A835" s="1245"/>
      <c r="B835" s="1245"/>
      <c r="C835" s="1245"/>
      <c r="D835" s="1245"/>
      <c r="E835" s="1245"/>
      <c r="F835" s="1222"/>
      <c r="G835" s="1222"/>
    </row>
    <row r="844" spans="1:7" x14ac:dyDescent="0.25">
      <c r="A844" s="95"/>
      <c r="B844" s="94"/>
      <c r="C844" s="94"/>
      <c r="D844" s="94"/>
      <c r="E844" s="94"/>
      <c r="F844" s="882"/>
      <c r="G844" s="882"/>
    </row>
    <row r="845" spans="1:7" x14ac:dyDescent="0.25">
      <c r="A845" s="1238"/>
      <c r="B845" s="1246"/>
      <c r="C845" s="1246"/>
      <c r="D845" s="1246"/>
      <c r="E845" s="1247"/>
      <c r="F845" s="880"/>
      <c r="G845" s="880"/>
    </row>
    <row r="846" spans="1:7" x14ac:dyDescent="0.25">
      <c r="A846" s="1229"/>
      <c r="B846" s="1229"/>
      <c r="C846" s="1229"/>
      <c r="D846" s="1229"/>
      <c r="E846" s="1229"/>
      <c r="F846" s="1229"/>
      <c r="G846" s="1229"/>
    </row>
    <row r="847" spans="1:7" x14ac:dyDescent="0.25">
      <c r="A847" s="1234"/>
      <c r="B847" s="1235"/>
      <c r="C847" s="80"/>
      <c r="D847" s="80"/>
      <c r="E847" s="80"/>
      <c r="F847" s="80"/>
      <c r="G847" s="67"/>
    </row>
    <row r="848" spans="1:7" x14ac:dyDescent="0.25">
      <c r="A848" s="1236"/>
      <c r="B848" s="1236"/>
      <c r="C848" s="69"/>
      <c r="D848" s="62"/>
      <c r="E848" s="62"/>
      <c r="F848" s="62"/>
      <c r="G848" s="81"/>
    </row>
    <row r="849" spans="1:7" x14ac:dyDescent="0.25">
      <c r="A849" s="1236"/>
      <c r="B849" s="1236"/>
      <c r="C849" s="69"/>
      <c r="D849" s="62"/>
      <c r="E849" s="62"/>
      <c r="F849" s="62"/>
      <c r="G849" s="69"/>
    </row>
    <row r="850" spans="1:7" x14ac:dyDescent="0.25">
      <c r="A850" s="1236"/>
      <c r="B850" s="1236"/>
      <c r="C850" s="69"/>
      <c r="D850" s="69"/>
      <c r="E850" s="69"/>
      <c r="F850" s="62"/>
      <c r="G850" s="69"/>
    </row>
    <row r="851" spans="1:7" x14ac:dyDescent="0.25">
      <c r="A851" s="1236"/>
      <c r="B851" s="1236"/>
      <c r="C851" s="69"/>
      <c r="D851" s="69"/>
      <c r="E851" s="69"/>
      <c r="F851" s="69"/>
      <c r="G851" s="69"/>
    </row>
    <row r="852" spans="1:7" x14ac:dyDescent="0.25">
      <c r="A852" s="1236"/>
      <c r="B852" s="1236"/>
      <c r="C852" s="69"/>
      <c r="D852" s="69"/>
      <c r="E852" s="69"/>
      <c r="F852" s="69"/>
      <c r="G852" s="83"/>
    </row>
    <row r="853" spans="1:7" x14ac:dyDescent="0.25">
      <c r="A853" s="1237"/>
      <c r="B853" s="1237"/>
      <c r="C853" s="82"/>
      <c r="D853" s="82"/>
      <c r="E853" s="82"/>
      <c r="F853" s="82"/>
      <c r="G853" s="64"/>
    </row>
    <row r="854" spans="1:7" x14ac:dyDescent="0.25">
      <c r="A854" s="1234"/>
      <c r="B854" s="1235"/>
      <c r="C854" s="80"/>
      <c r="D854" s="80"/>
      <c r="E854" s="80"/>
      <c r="F854" s="80"/>
      <c r="G854" s="67"/>
    </row>
    <row r="855" spans="1:7" x14ac:dyDescent="0.25">
      <c r="A855" s="1226"/>
      <c r="B855" s="1227"/>
      <c r="C855" s="43"/>
      <c r="D855" s="97"/>
      <c r="E855" s="92"/>
      <c r="F855" s="85"/>
      <c r="G855" s="69"/>
    </row>
    <row r="856" spans="1:7" x14ac:dyDescent="0.25">
      <c r="A856" s="1228"/>
      <c r="B856" s="1229"/>
      <c r="C856" s="43"/>
      <c r="D856" s="97"/>
      <c r="E856" s="92"/>
      <c r="F856" s="85"/>
      <c r="G856" s="43"/>
    </row>
    <row r="857" spans="1:7" x14ac:dyDescent="0.25">
      <c r="A857" s="1228"/>
      <c r="B857" s="1229"/>
      <c r="C857" s="69"/>
      <c r="D857" s="69"/>
      <c r="E857" s="69"/>
      <c r="F857" s="69"/>
      <c r="G857" s="65"/>
    </row>
    <row r="858" spans="1:7" x14ac:dyDescent="0.25">
      <c r="A858" s="913"/>
      <c r="B858" s="89"/>
      <c r="C858" s="89"/>
      <c r="D858" s="80"/>
      <c r="E858" s="80"/>
      <c r="F858" s="80"/>
      <c r="G858" s="67"/>
    </row>
    <row r="859" spans="1:7" x14ac:dyDescent="0.25">
      <c r="A859" s="899"/>
      <c r="B859" s="43"/>
      <c r="C859" s="43"/>
      <c r="D859" s="62"/>
      <c r="E859" s="91"/>
      <c r="F859" s="62"/>
      <c r="G859" s="69"/>
    </row>
    <row r="860" spans="1:7" x14ac:dyDescent="0.25">
      <c r="A860" s="90"/>
      <c r="B860" s="43"/>
      <c r="C860" s="43"/>
      <c r="D860" s="62"/>
      <c r="E860" s="91"/>
      <c r="F860" s="62"/>
      <c r="G860" s="69"/>
    </row>
    <row r="861" spans="1:7" x14ac:dyDescent="0.25">
      <c r="A861" s="90"/>
      <c r="B861" s="43"/>
      <c r="C861" s="43"/>
      <c r="D861" s="62"/>
      <c r="E861" s="92"/>
      <c r="F861" s="62"/>
      <c r="G861" s="69"/>
    </row>
    <row r="862" spans="1:7" x14ac:dyDescent="0.25">
      <c r="A862" s="90"/>
      <c r="B862" s="43"/>
      <c r="C862" s="43"/>
      <c r="D862" s="61"/>
      <c r="E862" s="92"/>
      <c r="F862" s="62"/>
      <c r="G862" s="43"/>
    </row>
    <row r="863" spans="1:7" x14ac:dyDescent="0.25">
      <c r="A863" s="90"/>
      <c r="B863" s="69"/>
      <c r="C863" s="69"/>
      <c r="D863" s="69"/>
      <c r="E863" s="69"/>
      <c r="F863" s="69"/>
      <c r="G863" s="64"/>
    </row>
    <row r="864" spans="1:7" x14ac:dyDescent="0.25">
      <c r="A864" s="913"/>
      <c r="B864" s="80"/>
      <c r="C864" s="80"/>
      <c r="D864" s="80"/>
      <c r="E864" s="89"/>
      <c r="F864" s="80"/>
      <c r="G864" s="67"/>
    </row>
    <row r="865" spans="1:7" x14ac:dyDescent="0.25">
      <c r="A865" s="81"/>
      <c r="B865" s="81"/>
      <c r="C865" s="81"/>
      <c r="D865" s="81"/>
      <c r="E865" s="81"/>
      <c r="F865" s="81"/>
      <c r="G865" s="81"/>
    </row>
    <row r="866" spans="1:7" x14ac:dyDescent="0.25">
      <c r="A866" s="69"/>
      <c r="B866" s="85"/>
      <c r="C866" s="96"/>
      <c r="D866" s="62"/>
      <c r="E866" s="121"/>
      <c r="F866" s="62"/>
      <c r="G866" s="69"/>
    </row>
    <row r="867" spans="1:7" x14ac:dyDescent="0.25">
      <c r="A867" s="881"/>
      <c r="B867" s="85"/>
      <c r="C867" s="96"/>
      <c r="D867" s="62"/>
      <c r="E867" s="101"/>
      <c r="F867" s="62"/>
      <c r="G867" s="69"/>
    </row>
    <row r="868" spans="1:7" x14ac:dyDescent="0.25">
      <c r="A868" s="69"/>
      <c r="B868" s="85"/>
      <c r="C868" s="69"/>
      <c r="D868" s="62"/>
      <c r="E868" s="69"/>
      <c r="F868" s="62"/>
      <c r="G868" s="69"/>
    </row>
    <row r="869" spans="1:7" x14ac:dyDescent="0.25">
      <c r="A869" s="69"/>
      <c r="B869" s="69"/>
      <c r="C869" s="69"/>
      <c r="D869" s="69"/>
      <c r="E869" s="69"/>
      <c r="F869" s="69"/>
      <c r="G869" s="43"/>
    </row>
    <row r="870" spans="1:7" x14ac:dyDescent="0.25">
      <c r="A870" s="82"/>
      <c r="B870" s="82"/>
      <c r="C870" s="82"/>
      <c r="D870" s="82"/>
      <c r="E870" s="82"/>
      <c r="F870" s="82"/>
      <c r="G870" s="64"/>
    </row>
    <row r="871" spans="1:7" x14ac:dyDescent="0.25">
      <c r="A871" s="1230"/>
      <c r="B871" s="1230"/>
      <c r="C871" s="1230"/>
      <c r="D871" s="1230"/>
      <c r="E871" s="1230"/>
      <c r="F871" s="1230"/>
      <c r="G871" s="1233"/>
    </row>
    <row r="872" spans="1:7" x14ac:dyDescent="0.25">
      <c r="A872" s="1248"/>
      <c r="B872" s="1248"/>
      <c r="C872" s="1248"/>
      <c r="D872" s="1248"/>
      <c r="E872" s="1231"/>
      <c r="F872" s="93"/>
      <c r="G872" s="70"/>
    </row>
    <row r="873" spans="1:7" x14ac:dyDescent="0.25">
      <c r="A873" s="1232"/>
      <c r="B873" s="1232"/>
      <c r="C873" s="1222"/>
      <c r="D873" s="1222"/>
      <c r="E873" s="1222"/>
      <c r="F873" s="1222"/>
      <c r="G873" s="1222"/>
    </row>
    <row r="874" spans="1:7" x14ac:dyDescent="0.25">
      <c r="A874" s="1232"/>
      <c r="B874" s="1232"/>
      <c r="C874" s="1222"/>
      <c r="D874" s="1222"/>
      <c r="E874" s="1222"/>
      <c r="F874" s="1222"/>
      <c r="G874" s="1222"/>
    </row>
    <row r="875" spans="1:7" x14ac:dyDescent="0.25">
      <c r="A875" s="1244"/>
      <c r="B875" s="1244"/>
      <c r="C875" s="1244"/>
      <c r="D875" s="1244"/>
      <c r="E875" s="1244"/>
      <c r="F875" s="1221"/>
      <c r="G875" s="1222"/>
    </row>
    <row r="876" spans="1:7" x14ac:dyDescent="0.25">
      <c r="A876" s="1244"/>
      <c r="B876" s="1244"/>
      <c r="C876" s="1244"/>
      <c r="D876" s="1244"/>
      <c r="E876" s="1244"/>
      <c r="F876" s="1221"/>
      <c r="G876" s="1222"/>
    </row>
    <row r="877" spans="1:7" x14ac:dyDescent="0.25">
      <c r="A877" s="1244"/>
      <c r="B877" s="1244"/>
      <c r="C877" s="1244"/>
      <c r="D877" s="1244"/>
      <c r="E877" s="1244"/>
      <c r="F877" s="1221"/>
      <c r="G877" s="1222"/>
    </row>
    <row r="878" spans="1:7" x14ac:dyDescent="0.25">
      <c r="A878" s="1244"/>
      <c r="B878" s="1244"/>
      <c r="C878" s="1244"/>
      <c r="D878" s="1244"/>
      <c r="E878" s="1244"/>
      <c r="F878" s="1221"/>
      <c r="G878" s="1222"/>
    </row>
    <row r="879" spans="1:7" x14ac:dyDescent="0.25">
      <c r="A879" s="1245"/>
      <c r="B879" s="1245"/>
      <c r="C879" s="1245"/>
      <c r="D879" s="1245"/>
      <c r="E879" s="1245"/>
      <c r="F879" s="1222"/>
      <c r="G879" s="1222"/>
    </row>
    <row r="886" spans="1:7" x14ac:dyDescent="0.25">
      <c r="A886" s="95"/>
      <c r="B886" s="94"/>
      <c r="C886" s="94"/>
      <c r="D886" s="94"/>
      <c r="E886" s="94"/>
      <c r="F886" s="882"/>
      <c r="G886" s="882"/>
    </row>
    <row r="887" spans="1:7" x14ac:dyDescent="0.25">
      <c r="A887" s="1238"/>
      <c r="B887" s="1246"/>
      <c r="C887" s="1246"/>
      <c r="D887" s="1246"/>
      <c r="E887" s="1247"/>
      <c r="F887" s="880"/>
      <c r="G887" s="880"/>
    </row>
    <row r="888" spans="1:7" x14ac:dyDescent="0.25">
      <c r="A888" s="1229"/>
      <c r="B888" s="1229"/>
      <c r="C888" s="1229"/>
      <c r="D888" s="1229"/>
      <c r="E888" s="1229"/>
      <c r="F888" s="1229"/>
      <c r="G888" s="1229"/>
    </row>
    <row r="889" spans="1:7" x14ac:dyDescent="0.25">
      <c r="A889" s="1234"/>
      <c r="B889" s="1235"/>
      <c r="C889" s="80"/>
      <c r="D889" s="80"/>
      <c r="E889" s="80"/>
      <c r="F889" s="80"/>
      <c r="G889" s="67"/>
    </row>
    <row r="890" spans="1:7" x14ac:dyDescent="0.25">
      <c r="A890" s="1236"/>
      <c r="B890" s="1236"/>
      <c r="C890" s="69"/>
      <c r="D890" s="62"/>
      <c r="E890" s="62"/>
      <c r="F890" s="62"/>
      <c r="G890" s="81"/>
    </row>
    <row r="891" spans="1:7" x14ac:dyDescent="0.25">
      <c r="A891" s="1236"/>
      <c r="B891" s="1236"/>
      <c r="C891" s="69"/>
      <c r="D891" s="62"/>
      <c r="E891" s="62"/>
      <c r="F891" s="62"/>
      <c r="G891" s="69"/>
    </row>
    <row r="892" spans="1:7" x14ac:dyDescent="0.25">
      <c r="A892" s="1236"/>
      <c r="B892" s="1236"/>
      <c r="C892" s="69"/>
      <c r="D892" s="69"/>
      <c r="E892" s="69"/>
      <c r="F892" s="62"/>
      <c r="G892" s="69"/>
    </row>
    <row r="893" spans="1:7" x14ac:dyDescent="0.25">
      <c r="A893" s="1236"/>
      <c r="B893" s="1236"/>
      <c r="C893" s="69"/>
      <c r="D893" s="69"/>
      <c r="E893" s="69"/>
      <c r="F893" s="69"/>
      <c r="G893" s="69"/>
    </row>
    <row r="894" spans="1:7" x14ac:dyDescent="0.25">
      <c r="A894" s="1236"/>
      <c r="B894" s="1236"/>
      <c r="C894" s="69"/>
      <c r="D894" s="69"/>
      <c r="E894" s="69"/>
      <c r="F894" s="69"/>
      <c r="G894" s="83"/>
    </row>
    <row r="895" spans="1:7" x14ac:dyDescent="0.25">
      <c r="A895" s="1237"/>
      <c r="B895" s="1237"/>
      <c r="C895" s="82"/>
      <c r="D895" s="82"/>
      <c r="E895" s="82"/>
      <c r="F895" s="82"/>
      <c r="G895" s="64"/>
    </row>
    <row r="896" spans="1:7" x14ac:dyDescent="0.25">
      <c r="A896" s="1234"/>
      <c r="B896" s="1235"/>
      <c r="C896" s="80"/>
      <c r="D896" s="80"/>
      <c r="E896" s="80"/>
      <c r="F896" s="80"/>
      <c r="G896" s="67"/>
    </row>
    <row r="897" spans="1:7" x14ac:dyDescent="0.25">
      <c r="A897" s="1226"/>
      <c r="B897" s="1227"/>
      <c r="C897" s="43"/>
      <c r="D897" s="97"/>
      <c r="E897" s="92"/>
      <c r="F897" s="85"/>
      <c r="G897" s="69"/>
    </row>
    <row r="898" spans="1:7" x14ac:dyDescent="0.25">
      <c r="A898" s="1228"/>
      <c r="B898" s="1229"/>
      <c r="C898" s="43"/>
      <c r="D898" s="97"/>
      <c r="E898" s="92"/>
      <c r="F898" s="85"/>
      <c r="G898" s="43"/>
    </row>
    <row r="899" spans="1:7" x14ac:dyDescent="0.25">
      <c r="A899" s="1228"/>
      <c r="B899" s="1229"/>
      <c r="C899" s="69"/>
      <c r="D899" s="69"/>
      <c r="E899" s="69"/>
      <c r="F899" s="69"/>
      <c r="G899" s="65"/>
    </row>
    <row r="900" spans="1:7" x14ac:dyDescent="0.25">
      <c r="A900" s="913"/>
      <c r="B900" s="89"/>
      <c r="C900" s="89"/>
      <c r="D900" s="80"/>
      <c r="E900" s="80"/>
      <c r="F900" s="80"/>
      <c r="G900" s="67"/>
    </row>
    <row r="901" spans="1:7" x14ac:dyDescent="0.25">
      <c r="A901" s="899"/>
      <c r="B901" s="43"/>
      <c r="C901" s="43"/>
      <c r="D901" s="62"/>
      <c r="E901" s="91"/>
      <c r="F901" s="62"/>
      <c r="G901" s="69"/>
    </row>
    <row r="902" spans="1:7" x14ac:dyDescent="0.25">
      <c r="A902" s="90"/>
      <c r="B902" s="43"/>
      <c r="C902" s="43"/>
      <c r="D902" s="62"/>
      <c r="E902" s="91"/>
      <c r="F902" s="62"/>
      <c r="G902" s="69"/>
    </row>
    <row r="903" spans="1:7" x14ac:dyDescent="0.25">
      <c r="A903" s="90"/>
      <c r="B903" s="43"/>
      <c r="C903" s="43"/>
      <c r="D903" s="62"/>
      <c r="E903" s="92"/>
      <c r="F903" s="62"/>
      <c r="G903" s="69"/>
    </row>
    <row r="904" spans="1:7" x14ac:dyDescent="0.25">
      <c r="A904" s="90"/>
      <c r="B904" s="43"/>
      <c r="C904" s="43"/>
      <c r="D904" s="61"/>
      <c r="E904" s="92"/>
      <c r="F904" s="62"/>
      <c r="G904" s="43"/>
    </row>
    <row r="905" spans="1:7" x14ac:dyDescent="0.25">
      <c r="A905" s="90"/>
      <c r="B905" s="69"/>
      <c r="C905" s="69"/>
      <c r="D905" s="69"/>
      <c r="E905" s="69"/>
      <c r="F905" s="69"/>
      <c r="G905" s="64"/>
    </row>
    <row r="906" spans="1:7" x14ac:dyDescent="0.25">
      <c r="A906" s="913"/>
      <c r="B906" s="80"/>
      <c r="C906" s="80"/>
      <c r="D906" s="80"/>
      <c r="E906" s="89"/>
      <c r="F906" s="80"/>
      <c r="G906" s="67"/>
    </row>
    <row r="907" spans="1:7" x14ac:dyDescent="0.25">
      <c r="A907" s="81"/>
      <c r="B907" s="81"/>
      <c r="C907" s="81"/>
      <c r="D907" s="81"/>
      <c r="E907" s="81"/>
      <c r="F907" s="81"/>
      <c r="G907" s="81"/>
    </row>
    <row r="908" spans="1:7" x14ac:dyDescent="0.25">
      <c r="A908" s="69"/>
      <c r="B908" s="85"/>
      <c r="C908" s="96"/>
      <c r="D908" s="62"/>
      <c r="E908" s="121"/>
      <c r="F908" s="62"/>
      <c r="G908" s="69"/>
    </row>
    <row r="909" spans="1:7" x14ac:dyDescent="0.25">
      <c r="A909" s="881"/>
      <c r="B909" s="85"/>
      <c r="C909" s="96"/>
      <c r="D909" s="62"/>
      <c r="E909" s="101"/>
      <c r="F909" s="62"/>
      <c r="G909" s="69"/>
    </row>
    <row r="910" spans="1:7" x14ac:dyDescent="0.25">
      <c r="A910" s="69"/>
      <c r="B910" s="85"/>
      <c r="C910" s="69"/>
      <c r="D910" s="62"/>
      <c r="E910" s="69"/>
      <c r="F910" s="62"/>
      <c r="G910" s="69"/>
    </row>
    <row r="911" spans="1:7" x14ac:dyDescent="0.25">
      <c r="A911" s="69"/>
      <c r="B911" s="69"/>
      <c r="C911" s="69"/>
      <c r="D911" s="69"/>
      <c r="E911" s="69"/>
      <c r="F911" s="69"/>
      <c r="G911" s="43"/>
    </row>
    <row r="912" spans="1:7" x14ac:dyDescent="0.25">
      <c r="A912" s="82"/>
      <c r="B912" s="82"/>
      <c r="C912" s="82"/>
      <c r="D912" s="82"/>
      <c r="E912" s="82"/>
      <c r="F912" s="82"/>
      <c r="G912" s="64"/>
    </row>
    <row r="913" spans="1:7" x14ac:dyDescent="0.25">
      <c r="A913" s="1230"/>
      <c r="B913" s="1230"/>
      <c r="C913" s="1230"/>
      <c r="D913" s="1230"/>
      <c r="E913" s="1230"/>
      <c r="F913" s="1230"/>
      <c r="G913" s="1233"/>
    </row>
    <row r="914" spans="1:7" x14ac:dyDescent="0.25">
      <c r="A914" s="1248"/>
      <c r="B914" s="1248"/>
      <c r="C914" s="1248"/>
      <c r="D914" s="1248"/>
      <c r="E914" s="1231"/>
      <c r="F914" s="93"/>
      <c r="G914" s="70"/>
    </row>
    <row r="915" spans="1:7" x14ac:dyDescent="0.25">
      <c r="A915" s="1232"/>
      <c r="B915" s="1232"/>
      <c r="C915" s="1222"/>
      <c r="D915" s="1222"/>
      <c r="E915" s="1222"/>
      <c r="F915" s="1222"/>
      <c r="G915" s="1222"/>
    </row>
    <row r="916" spans="1:7" x14ac:dyDescent="0.25">
      <c r="A916" s="1232"/>
      <c r="B916" s="1232"/>
      <c r="C916" s="1222"/>
      <c r="D916" s="1222"/>
      <c r="E916" s="1222"/>
      <c r="F916" s="1222"/>
      <c r="G916" s="1222"/>
    </row>
    <row r="917" spans="1:7" x14ac:dyDescent="0.25">
      <c r="A917" s="1244"/>
      <c r="B917" s="1244"/>
      <c r="C917" s="1244"/>
      <c r="D917" s="1244"/>
      <c r="E917" s="1244"/>
      <c r="F917" s="1221"/>
      <c r="G917" s="1222"/>
    </row>
    <row r="918" spans="1:7" x14ac:dyDescent="0.25">
      <c r="A918" s="1244"/>
      <c r="B918" s="1244"/>
      <c r="C918" s="1244"/>
      <c r="D918" s="1244"/>
      <c r="E918" s="1244"/>
      <c r="F918" s="1221"/>
      <c r="G918" s="1222"/>
    </row>
    <row r="919" spans="1:7" x14ac:dyDescent="0.25">
      <c r="A919" s="1244"/>
      <c r="B919" s="1244"/>
      <c r="C919" s="1244"/>
      <c r="D919" s="1244"/>
      <c r="E919" s="1244"/>
      <c r="F919" s="1221"/>
      <c r="G919" s="1222"/>
    </row>
    <row r="920" spans="1:7" x14ac:dyDescent="0.25">
      <c r="A920" s="1244"/>
      <c r="B920" s="1244"/>
      <c r="C920" s="1244"/>
      <c r="D920" s="1244"/>
      <c r="E920" s="1244"/>
      <c r="F920" s="1221"/>
      <c r="G920" s="1222"/>
    </row>
    <row r="921" spans="1:7" x14ac:dyDescent="0.25">
      <c r="A921" s="1245"/>
      <c r="B921" s="1245"/>
      <c r="C921" s="1245"/>
      <c r="D921" s="1245"/>
      <c r="E921" s="1245"/>
      <c r="F921" s="1222"/>
      <c r="G921" s="1222"/>
    </row>
    <row r="929" spans="1:7" x14ac:dyDescent="0.25">
      <c r="A929" s="95"/>
      <c r="B929" s="94"/>
      <c r="C929" s="94"/>
      <c r="D929" s="94"/>
      <c r="E929" s="94"/>
      <c r="F929" s="882"/>
      <c r="G929" s="882"/>
    </row>
    <row r="930" spans="1:7" x14ac:dyDescent="0.25">
      <c r="A930" s="1238"/>
      <c r="B930" s="1246"/>
      <c r="C930" s="1246"/>
      <c r="D930" s="1246"/>
      <c r="E930" s="1247"/>
      <c r="F930" s="880"/>
      <c r="G930" s="880"/>
    </row>
    <row r="931" spans="1:7" x14ac:dyDescent="0.25">
      <c r="A931" s="1229"/>
      <c r="B931" s="1229"/>
      <c r="C931" s="1229"/>
      <c r="D931" s="1229"/>
      <c r="E931" s="1229"/>
      <c r="F931" s="1229"/>
      <c r="G931" s="1229"/>
    </row>
    <row r="932" spans="1:7" x14ac:dyDescent="0.25">
      <c r="A932" s="1234"/>
      <c r="B932" s="1235"/>
      <c r="C932" s="80"/>
      <c r="D932" s="80"/>
      <c r="E932" s="80"/>
      <c r="F932" s="80"/>
      <c r="G932" s="67"/>
    </row>
    <row r="933" spans="1:7" x14ac:dyDescent="0.25">
      <c r="A933" s="1236"/>
      <c r="B933" s="1236"/>
      <c r="C933" s="69"/>
      <c r="D933" s="62"/>
      <c r="E933" s="62"/>
      <c r="F933" s="62"/>
      <c r="G933" s="81"/>
    </row>
    <row r="934" spans="1:7" x14ac:dyDescent="0.25">
      <c r="A934" s="1236"/>
      <c r="B934" s="1236"/>
      <c r="C934" s="69"/>
      <c r="D934" s="62"/>
      <c r="E934" s="62"/>
      <c r="F934" s="62"/>
      <c r="G934" s="69"/>
    </row>
    <row r="935" spans="1:7" x14ac:dyDescent="0.25">
      <c r="A935" s="1236"/>
      <c r="B935" s="1236"/>
      <c r="C935" s="69"/>
      <c r="D935" s="69"/>
      <c r="E935" s="69"/>
      <c r="F935" s="62"/>
      <c r="G935" s="69"/>
    </row>
    <row r="936" spans="1:7" x14ac:dyDescent="0.25">
      <c r="A936" s="1236"/>
      <c r="B936" s="1236"/>
      <c r="C936" s="69"/>
      <c r="D936" s="69"/>
      <c r="E936" s="69"/>
      <c r="F936" s="69"/>
      <c r="G936" s="69"/>
    </row>
    <row r="937" spans="1:7" x14ac:dyDescent="0.25">
      <c r="A937" s="1236"/>
      <c r="B937" s="1236"/>
      <c r="C937" s="69"/>
      <c r="D937" s="69"/>
      <c r="E937" s="69"/>
      <c r="F937" s="69"/>
      <c r="G937" s="83"/>
    </row>
    <row r="938" spans="1:7" x14ac:dyDescent="0.25">
      <c r="A938" s="1237"/>
      <c r="B938" s="1237"/>
      <c r="C938" s="82"/>
      <c r="D938" s="82"/>
      <c r="E938" s="82"/>
      <c r="F938" s="82"/>
      <c r="G938" s="64"/>
    </row>
    <row r="939" spans="1:7" x14ac:dyDescent="0.25">
      <c r="A939" s="1234"/>
      <c r="B939" s="1235"/>
      <c r="C939" s="80"/>
      <c r="D939" s="80"/>
      <c r="E939" s="80"/>
      <c r="F939" s="80"/>
      <c r="G939" s="67"/>
    </row>
    <row r="940" spans="1:7" x14ac:dyDescent="0.25">
      <c r="A940" s="1226"/>
      <c r="B940" s="1227"/>
      <c r="C940" s="43"/>
      <c r="D940" s="97"/>
      <c r="E940" s="92"/>
      <c r="F940" s="85"/>
      <c r="G940" s="69"/>
    </row>
    <row r="941" spans="1:7" x14ac:dyDescent="0.25">
      <c r="A941" s="1228"/>
      <c r="B941" s="1229"/>
      <c r="C941" s="43"/>
      <c r="D941" s="97"/>
      <c r="E941" s="92"/>
      <c r="F941" s="85"/>
      <c r="G941" s="43"/>
    </row>
    <row r="942" spans="1:7" x14ac:dyDescent="0.25">
      <c r="A942" s="1228"/>
      <c r="B942" s="1229"/>
      <c r="C942" s="69"/>
      <c r="D942" s="69"/>
      <c r="E942" s="69"/>
      <c r="F942" s="69"/>
      <c r="G942" s="65"/>
    </row>
    <row r="943" spans="1:7" x14ac:dyDescent="0.25">
      <c r="A943" s="913"/>
      <c r="B943" s="89"/>
      <c r="C943" s="89"/>
      <c r="D943" s="80"/>
      <c r="E943" s="80"/>
      <c r="F943" s="80"/>
      <c r="G943" s="67"/>
    </row>
    <row r="944" spans="1:7" x14ac:dyDescent="0.25">
      <c r="A944" s="899"/>
      <c r="B944" s="43"/>
      <c r="C944" s="43"/>
      <c r="D944" s="62"/>
      <c r="E944" s="91"/>
      <c r="F944" s="62"/>
      <c r="G944" s="69"/>
    </row>
    <row r="945" spans="1:7" x14ac:dyDescent="0.25">
      <c r="A945" s="90"/>
      <c r="B945" s="43"/>
      <c r="C945" s="43"/>
      <c r="D945" s="62"/>
      <c r="E945" s="91"/>
      <c r="F945" s="62"/>
      <c r="G945" s="69"/>
    </row>
    <row r="946" spans="1:7" x14ac:dyDescent="0.25">
      <c r="A946" s="90"/>
      <c r="B946" s="43"/>
      <c r="C946" s="43"/>
      <c r="D946" s="62"/>
      <c r="E946" s="92"/>
      <c r="F946" s="62"/>
      <c r="G946" s="69"/>
    </row>
    <row r="947" spans="1:7" x14ac:dyDescent="0.25">
      <c r="A947" s="90"/>
      <c r="B947" s="43"/>
      <c r="C947" s="43"/>
      <c r="D947" s="61"/>
      <c r="E947" s="92"/>
      <c r="F947" s="62"/>
      <c r="G947" s="43"/>
    </row>
    <row r="948" spans="1:7" x14ac:dyDescent="0.25">
      <c r="A948" s="90"/>
      <c r="B948" s="69"/>
      <c r="C948" s="69"/>
      <c r="D948" s="69"/>
      <c r="E948" s="69"/>
      <c r="F948" s="69"/>
      <c r="G948" s="64"/>
    </row>
    <row r="949" spans="1:7" x14ac:dyDescent="0.25">
      <c r="A949" s="913"/>
      <c r="B949" s="80"/>
      <c r="C949" s="80"/>
      <c r="D949" s="80"/>
      <c r="E949" s="89"/>
      <c r="F949" s="80"/>
      <c r="G949" s="67"/>
    </row>
    <row r="950" spans="1:7" x14ac:dyDescent="0.25">
      <c r="A950" s="81"/>
      <c r="B950" s="81"/>
      <c r="C950" s="81"/>
      <c r="D950" s="81"/>
      <c r="E950" s="81"/>
      <c r="F950" s="81"/>
      <c r="G950" s="81"/>
    </row>
    <row r="951" spans="1:7" x14ac:dyDescent="0.25">
      <c r="A951" s="69"/>
      <c r="B951" s="85"/>
      <c r="C951" s="96"/>
      <c r="D951" s="62"/>
      <c r="E951" s="121"/>
      <c r="F951" s="62"/>
      <c r="G951" s="69"/>
    </row>
    <row r="952" spans="1:7" x14ac:dyDescent="0.25">
      <c r="A952" s="881"/>
      <c r="B952" s="85"/>
      <c r="C952" s="96"/>
      <c r="D952" s="62"/>
      <c r="E952" s="101"/>
      <c r="F952" s="62"/>
      <c r="G952" s="69"/>
    </row>
    <row r="953" spans="1:7" x14ac:dyDescent="0.25">
      <c r="A953" s="69"/>
      <c r="B953" s="85"/>
      <c r="C953" s="69"/>
      <c r="D953" s="62"/>
      <c r="E953" s="69"/>
      <c r="F953" s="62"/>
      <c r="G953" s="69"/>
    </row>
    <row r="954" spans="1:7" x14ac:dyDescent="0.25">
      <c r="A954" s="69"/>
      <c r="B954" s="69"/>
      <c r="C954" s="69"/>
      <c r="D954" s="69"/>
      <c r="E954" s="69"/>
      <c r="F954" s="69"/>
      <c r="G954" s="43"/>
    </row>
    <row r="955" spans="1:7" x14ac:dyDescent="0.25">
      <c r="A955" s="82"/>
      <c r="B955" s="82"/>
      <c r="C955" s="82"/>
      <c r="D955" s="82"/>
      <c r="E955" s="82"/>
      <c r="F955" s="82"/>
      <c r="G955" s="64"/>
    </row>
    <row r="956" spans="1:7" x14ac:dyDescent="0.25">
      <c r="A956" s="1230"/>
      <c r="B956" s="1230"/>
      <c r="C956" s="1230"/>
      <c r="D956" s="1230"/>
      <c r="E956" s="1230"/>
      <c r="F956" s="1230"/>
      <c r="G956" s="1233"/>
    </row>
    <row r="957" spans="1:7" x14ac:dyDescent="0.25">
      <c r="A957" s="1248"/>
      <c r="B957" s="1248"/>
      <c r="C957" s="1248"/>
      <c r="D957" s="1248"/>
      <c r="E957" s="1231"/>
      <c r="F957" s="93"/>
      <c r="G957" s="70"/>
    </row>
    <row r="958" spans="1:7" x14ac:dyDescent="0.25">
      <c r="A958" s="1232"/>
      <c r="B958" s="1232"/>
      <c r="C958" s="1222"/>
      <c r="D958" s="1222"/>
      <c r="E958" s="1222"/>
      <c r="F958" s="1222"/>
      <c r="G958" s="1222"/>
    </row>
    <row r="959" spans="1:7" x14ac:dyDescent="0.25">
      <c r="A959" s="1232"/>
      <c r="B959" s="1232"/>
      <c r="C959" s="1222"/>
      <c r="D959" s="1222"/>
      <c r="E959" s="1222"/>
      <c r="F959" s="1222"/>
      <c r="G959" s="1222"/>
    </row>
    <row r="960" spans="1:7" x14ac:dyDescent="0.25">
      <c r="A960" s="1244"/>
      <c r="B960" s="1244"/>
      <c r="C960" s="1244"/>
      <c r="D960" s="1244"/>
      <c r="E960" s="1244"/>
      <c r="F960" s="1221"/>
      <c r="G960" s="1222"/>
    </row>
    <row r="961" spans="1:7" x14ac:dyDescent="0.25">
      <c r="A961" s="1244"/>
      <c r="B961" s="1244"/>
      <c r="C961" s="1244"/>
      <c r="D961" s="1244"/>
      <c r="E961" s="1244"/>
      <c r="F961" s="1221"/>
      <c r="G961" s="1222"/>
    </row>
    <row r="962" spans="1:7" x14ac:dyDescent="0.25">
      <c r="A962" s="1244"/>
      <c r="B962" s="1244"/>
      <c r="C962" s="1244"/>
      <c r="D962" s="1244"/>
      <c r="E962" s="1244"/>
      <c r="F962" s="1221"/>
      <c r="G962" s="1222"/>
    </row>
    <row r="963" spans="1:7" x14ac:dyDescent="0.25">
      <c r="A963" s="1244"/>
      <c r="B963" s="1244"/>
      <c r="C963" s="1244"/>
      <c r="D963" s="1244"/>
      <c r="E963" s="1244"/>
      <c r="F963" s="1221"/>
      <c r="G963" s="1222"/>
    </row>
    <row r="964" spans="1:7" x14ac:dyDescent="0.25">
      <c r="A964" s="1245"/>
      <c r="B964" s="1245"/>
      <c r="C964" s="1245"/>
      <c r="D964" s="1245"/>
      <c r="E964" s="1245"/>
      <c r="F964" s="1222"/>
      <c r="G964" s="1222"/>
    </row>
    <row r="972" spans="1:7" x14ac:dyDescent="0.25">
      <c r="A972" s="95"/>
      <c r="B972" s="94"/>
      <c r="C972" s="94"/>
      <c r="D972" s="94"/>
      <c r="E972" s="94"/>
      <c r="F972" s="882"/>
      <c r="G972" s="882"/>
    </row>
    <row r="973" spans="1:7" ht="27" customHeight="1" x14ac:dyDescent="0.25">
      <c r="A973" s="1238"/>
      <c r="B973" s="1246"/>
      <c r="C973" s="1246"/>
      <c r="D973" s="1246"/>
      <c r="E973" s="1247"/>
      <c r="F973" s="880"/>
      <c r="G973" s="880"/>
    </row>
    <row r="974" spans="1:7" x14ac:dyDescent="0.25">
      <c r="A974" s="1229"/>
      <c r="B974" s="1229"/>
      <c r="C974" s="1229"/>
      <c r="D974" s="1229"/>
      <c r="E974" s="1229"/>
      <c r="F974" s="1229"/>
      <c r="G974" s="1229"/>
    </row>
    <row r="975" spans="1:7" x14ac:dyDescent="0.25">
      <c r="A975" s="1234"/>
      <c r="B975" s="1235"/>
      <c r="C975" s="80"/>
      <c r="D975" s="80"/>
      <c r="E975" s="80"/>
      <c r="F975" s="80"/>
      <c r="G975" s="67"/>
    </row>
    <row r="976" spans="1:7" x14ac:dyDescent="0.25">
      <c r="A976" s="1236"/>
      <c r="B976" s="1236"/>
      <c r="C976" s="69"/>
      <c r="D976" s="62"/>
      <c r="E976" s="62"/>
      <c r="F976" s="62"/>
      <c r="G976" s="81"/>
    </row>
    <row r="977" spans="1:7" x14ac:dyDescent="0.25">
      <c r="A977" s="1236"/>
      <c r="B977" s="1236"/>
      <c r="C977" s="69"/>
      <c r="D977" s="62"/>
      <c r="E977" s="62"/>
      <c r="F977" s="62"/>
      <c r="G977" s="69"/>
    </row>
    <row r="978" spans="1:7" x14ac:dyDescent="0.25">
      <c r="A978" s="1236"/>
      <c r="B978" s="1236"/>
      <c r="C978" s="69"/>
      <c r="D978" s="69"/>
      <c r="E978" s="69"/>
      <c r="F978" s="62"/>
      <c r="G978" s="69"/>
    </row>
    <row r="979" spans="1:7" x14ac:dyDescent="0.25">
      <c r="A979" s="1236"/>
      <c r="B979" s="1236"/>
      <c r="C979" s="69"/>
      <c r="D979" s="69"/>
      <c r="E979" s="69"/>
      <c r="F979" s="69"/>
      <c r="G979" s="69"/>
    </row>
    <row r="980" spans="1:7" x14ac:dyDescent="0.25">
      <c r="A980" s="1236"/>
      <c r="B980" s="1236"/>
      <c r="C980" s="69"/>
      <c r="D980" s="69"/>
      <c r="E980" s="69"/>
      <c r="F980" s="69"/>
      <c r="G980" s="83"/>
    </row>
    <row r="981" spans="1:7" x14ac:dyDescent="0.25">
      <c r="A981" s="1237"/>
      <c r="B981" s="1237"/>
      <c r="C981" s="82"/>
      <c r="D981" s="82"/>
      <c r="E981" s="82"/>
      <c r="F981" s="82"/>
      <c r="G981" s="64"/>
    </row>
    <row r="982" spans="1:7" x14ac:dyDescent="0.25">
      <c r="A982" s="1234"/>
      <c r="B982" s="1235"/>
      <c r="C982" s="80"/>
      <c r="D982" s="80"/>
      <c r="E982" s="80"/>
      <c r="F982" s="80"/>
      <c r="G982" s="67"/>
    </row>
    <row r="983" spans="1:7" x14ac:dyDescent="0.25">
      <c r="A983" s="1226"/>
      <c r="B983" s="1227"/>
      <c r="C983" s="43"/>
      <c r="D983" s="97"/>
      <c r="E983" s="92"/>
      <c r="F983" s="85"/>
      <c r="G983" s="69"/>
    </row>
    <row r="984" spans="1:7" x14ac:dyDescent="0.25">
      <c r="A984" s="1228"/>
      <c r="B984" s="1229"/>
      <c r="C984" s="43"/>
      <c r="D984" s="97"/>
      <c r="E984" s="92"/>
      <c r="F984" s="85"/>
      <c r="G984" s="43"/>
    </row>
    <row r="985" spans="1:7" x14ac:dyDescent="0.25">
      <c r="A985" s="1228"/>
      <c r="B985" s="1229"/>
      <c r="C985" s="69"/>
      <c r="D985" s="69"/>
      <c r="E985" s="69"/>
      <c r="F985" s="69"/>
      <c r="G985" s="65"/>
    </row>
    <row r="986" spans="1:7" x14ac:dyDescent="0.25">
      <c r="A986" s="913"/>
      <c r="B986" s="89"/>
      <c r="C986" s="89"/>
      <c r="D986" s="80"/>
      <c r="E986" s="80"/>
      <c r="F986" s="80"/>
      <c r="G986" s="67"/>
    </row>
    <row r="987" spans="1:7" x14ac:dyDescent="0.25">
      <c r="A987" s="899"/>
      <c r="B987" s="43"/>
      <c r="C987" s="43"/>
      <c r="D987" s="62"/>
      <c r="E987" s="91"/>
      <c r="F987" s="62"/>
      <c r="G987" s="69"/>
    </row>
    <row r="988" spans="1:7" x14ac:dyDescent="0.25">
      <c r="A988" s="90"/>
      <c r="B988" s="43"/>
      <c r="C988" s="43"/>
      <c r="D988" s="62"/>
      <c r="E988" s="91"/>
      <c r="F988" s="62"/>
      <c r="G988" s="69"/>
    </row>
    <row r="989" spans="1:7" x14ac:dyDescent="0.25">
      <c r="A989" s="90"/>
      <c r="B989" s="43"/>
      <c r="C989" s="43"/>
      <c r="D989" s="62"/>
      <c r="E989" s="92"/>
      <c r="F989" s="62"/>
      <c r="G989" s="69"/>
    </row>
    <row r="990" spans="1:7" x14ac:dyDescent="0.25">
      <c r="A990" s="90"/>
      <c r="B990" s="43"/>
      <c r="C990" s="43"/>
      <c r="D990" s="61"/>
      <c r="E990" s="92"/>
      <c r="F990" s="62"/>
      <c r="G990" s="43"/>
    </row>
    <row r="991" spans="1:7" x14ac:dyDescent="0.25">
      <c r="A991" s="90"/>
      <c r="B991" s="69"/>
      <c r="C991" s="69"/>
      <c r="D991" s="69"/>
      <c r="E991" s="69"/>
      <c r="F991" s="69"/>
      <c r="G991" s="64"/>
    </row>
    <row r="992" spans="1:7" x14ac:dyDescent="0.25">
      <c r="A992" s="913"/>
      <c r="B992" s="80"/>
      <c r="C992" s="80"/>
      <c r="D992" s="80"/>
      <c r="E992" s="89"/>
      <c r="F992" s="80"/>
      <c r="G992" s="67"/>
    </row>
    <row r="993" spans="1:7" x14ac:dyDescent="0.25">
      <c r="A993" s="81"/>
      <c r="B993" s="81"/>
      <c r="C993" s="81"/>
      <c r="D993" s="81"/>
      <c r="E993" s="81"/>
      <c r="F993" s="81"/>
      <c r="G993" s="81"/>
    </row>
    <row r="994" spans="1:7" x14ac:dyDescent="0.25">
      <c r="A994" s="69"/>
      <c r="B994" s="85"/>
      <c r="C994" s="96"/>
      <c r="D994" s="62"/>
      <c r="E994" s="121"/>
      <c r="F994" s="62"/>
      <c r="G994" s="69"/>
    </row>
    <row r="995" spans="1:7" x14ac:dyDescent="0.25">
      <c r="A995" s="881"/>
      <c r="B995" s="85"/>
      <c r="C995" s="96"/>
      <c r="D995" s="62"/>
      <c r="E995" s="101"/>
      <c r="F995" s="62"/>
      <c r="G995" s="69"/>
    </row>
    <row r="996" spans="1:7" x14ac:dyDescent="0.25">
      <c r="A996" s="69"/>
      <c r="B996" s="85"/>
      <c r="C996" s="69"/>
      <c r="D996" s="62"/>
      <c r="E996" s="69"/>
      <c r="F996" s="62"/>
      <c r="G996" s="69"/>
    </row>
    <row r="997" spans="1:7" x14ac:dyDescent="0.25">
      <c r="A997" s="69"/>
      <c r="B997" s="69"/>
      <c r="C997" s="69"/>
      <c r="D997" s="69"/>
      <c r="E997" s="69"/>
      <c r="F997" s="69"/>
      <c r="G997" s="43"/>
    </row>
    <row r="998" spans="1:7" x14ac:dyDescent="0.25">
      <c r="A998" s="82"/>
      <c r="B998" s="82"/>
      <c r="C998" s="82"/>
      <c r="D998" s="82"/>
      <c r="E998" s="82"/>
      <c r="F998" s="82"/>
      <c r="G998" s="64"/>
    </row>
    <row r="999" spans="1:7" x14ac:dyDescent="0.25">
      <c r="A999" s="1230"/>
      <c r="B999" s="1230"/>
      <c r="C999" s="1230"/>
      <c r="D999" s="1230"/>
      <c r="E999" s="1230"/>
      <c r="F999" s="1230"/>
      <c r="G999" s="1233"/>
    </row>
    <row r="1000" spans="1:7" x14ac:dyDescent="0.25">
      <c r="A1000" s="1248"/>
      <c r="B1000" s="1248"/>
      <c r="C1000" s="1248"/>
      <c r="D1000" s="1248"/>
      <c r="E1000" s="1231"/>
      <c r="F1000" s="93"/>
      <c r="G1000" s="70"/>
    </row>
    <row r="1001" spans="1:7" x14ac:dyDescent="0.25">
      <c r="A1001" s="1232"/>
      <c r="B1001" s="1232"/>
      <c r="C1001" s="1222"/>
      <c r="D1001" s="1222"/>
      <c r="E1001" s="1222"/>
      <c r="F1001" s="1222"/>
      <c r="G1001" s="1222"/>
    </row>
    <row r="1002" spans="1:7" x14ac:dyDescent="0.25">
      <c r="A1002" s="1232"/>
      <c r="B1002" s="1232"/>
      <c r="C1002" s="1222"/>
      <c r="D1002" s="1222"/>
      <c r="E1002" s="1222"/>
      <c r="F1002" s="1222"/>
      <c r="G1002" s="1222"/>
    </row>
    <row r="1003" spans="1:7" x14ac:dyDescent="0.25">
      <c r="A1003" s="1244"/>
      <c r="B1003" s="1244"/>
      <c r="C1003" s="1244"/>
      <c r="D1003" s="1244"/>
      <c r="E1003" s="1244"/>
      <c r="F1003" s="1221"/>
      <c r="G1003" s="1222"/>
    </row>
    <row r="1004" spans="1:7" x14ac:dyDescent="0.25">
      <c r="A1004" s="1244"/>
      <c r="B1004" s="1244"/>
      <c r="C1004" s="1244"/>
      <c r="D1004" s="1244"/>
      <c r="E1004" s="1244"/>
      <c r="F1004" s="1221"/>
      <c r="G1004" s="1222"/>
    </row>
    <row r="1005" spans="1:7" x14ac:dyDescent="0.25">
      <c r="A1005" s="1244"/>
      <c r="B1005" s="1244"/>
      <c r="C1005" s="1244"/>
      <c r="D1005" s="1244"/>
      <c r="E1005" s="1244"/>
      <c r="F1005" s="1221"/>
      <c r="G1005" s="1222"/>
    </row>
    <row r="1006" spans="1:7" x14ac:dyDescent="0.25">
      <c r="A1006" s="1244"/>
      <c r="B1006" s="1244"/>
      <c r="C1006" s="1244"/>
      <c r="D1006" s="1244"/>
      <c r="E1006" s="1244"/>
      <c r="F1006" s="1221"/>
      <c r="G1006" s="1222"/>
    </row>
    <row r="1007" spans="1:7" x14ac:dyDescent="0.25">
      <c r="A1007" s="1245"/>
      <c r="B1007" s="1245"/>
      <c r="C1007" s="1245"/>
      <c r="D1007" s="1245"/>
      <c r="E1007" s="1245"/>
      <c r="F1007" s="1222"/>
      <c r="G1007" s="1222"/>
    </row>
    <row r="1014" spans="1:7" x14ac:dyDescent="0.25">
      <c r="A1014" s="95"/>
      <c r="B1014" s="94"/>
      <c r="C1014" s="94"/>
      <c r="D1014" s="94"/>
      <c r="E1014" s="94"/>
      <c r="F1014" s="882"/>
      <c r="G1014" s="882"/>
    </row>
    <row r="1015" spans="1:7" x14ac:dyDescent="0.25">
      <c r="A1015" s="1238"/>
      <c r="B1015" s="1246"/>
      <c r="C1015" s="1246"/>
      <c r="D1015" s="1246"/>
      <c r="E1015" s="1247"/>
      <c r="F1015" s="880"/>
      <c r="G1015" s="880"/>
    </row>
    <row r="1016" spans="1:7" x14ac:dyDescent="0.25">
      <c r="A1016" s="1229"/>
      <c r="B1016" s="1229"/>
      <c r="C1016" s="1229"/>
      <c r="D1016" s="1229"/>
      <c r="E1016" s="1229"/>
      <c r="F1016" s="1229"/>
      <c r="G1016" s="1229"/>
    </row>
    <row r="1017" spans="1:7" x14ac:dyDescent="0.25">
      <c r="A1017" s="1234"/>
      <c r="B1017" s="1235"/>
      <c r="C1017" s="80"/>
      <c r="D1017" s="80"/>
      <c r="E1017" s="80"/>
      <c r="F1017" s="80"/>
      <c r="G1017" s="67"/>
    </row>
    <row r="1018" spans="1:7" x14ac:dyDescent="0.25">
      <c r="A1018" s="1236"/>
      <c r="B1018" s="1236"/>
      <c r="C1018" s="69"/>
      <c r="D1018" s="62"/>
      <c r="E1018" s="62"/>
      <c r="F1018" s="62"/>
      <c r="G1018" s="81"/>
    </row>
    <row r="1019" spans="1:7" x14ac:dyDescent="0.25">
      <c r="A1019" s="1236"/>
      <c r="B1019" s="1236"/>
      <c r="C1019" s="69"/>
      <c r="D1019" s="62"/>
      <c r="E1019" s="62"/>
      <c r="F1019" s="62"/>
      <c r="G1019" s="69"/>
    </row>
    <row r="1020" spans="1:7" x14ac:dyDescent="0.25">
      <c r="A1020" s="1236"/>
      <c r="B1020" s="1236"/>
      <c r="C1020" s="69"/>
      <c r="D1020" s="69"/>
      <c r="E1020" s="69"/>
      <c r="F1020" s="62"/>
      <c r="G1020" s="69"/>
    </row>
    <row r="1021" spans="1:7" x14ac:dyDescent="0.25">
      <c r="A1021" s="1236"/>
      <c r="B1021" s="1236"/>
      <c r="C1021" s="69"/>
      <c r="D1021" s="69"/>
      <c r="E1021" s="69"/>
      <c r="F1021" s="69"/>
      <c r="G1021" s="69"/>
    </row>
    <row r="1022" spans="1:7" x14ac:dyDescent="0.25">
      <c r="A1022" s="1236"/>
      <c r="B1022" s="1236"/>
      <c r="C1022" s="69"/>
      <c r="D1022" s="69"/>
      <c r="E1022" s="69"/>
      <c r="F1022" s="69"/>
      <c r="G1022" s="83"/>
    </row>
    <row r="1023" spans="1:7" x14ac:dyDescent="0.25">
      <c r="A1023" s="1237"/>
      <c r="B1023" s="1237"/>
      <c r="C1023" s="82"/>
      <c r="D1023" s="82"/>
      <c r="E1023" s="82"/>
      <c r="F1023" s="82"/>
      <c r="G1023" s="64"/>
    </row>
    <row r="1024" spans="1:7" x14ac:dyDescent="0.25">
      <c r="A1024" s="1234"/>
      <c r="B1024" s="1235"/>
      <c r="C1024" s="80"/>
      <c r="D1024" s="80"/>
      <c r="E1024" s="80"/>
      <c r="F1024" s="80"/>
      <c r="G1024" s="67"/>
    </row>
    <row r="1025" spans="1:7" x14ac:dyDescent="0.25">
      <c r="A1025" s="1226"/>
      <c r="B1025" s="1227"/>
      <c r="C1025" s="43"/>
      <c r="D1025" s="97"/>
      <c r="E1025" s="92"/>
      <c r="F1025" s="85"/>
      <c r="G1025" s="69"/>
    </row>
    <row r="1026" spans="1:7" x14ac:dyDescent="0.25">
      <c r="A1026" s="1228"/>
      <c r="B1026" s="1229"/>
      <c r="C1026" s="43"/>
      <c r="D1026" s="97"/>
      <c r="E1026" s="92"/>
      <c r="F1026" s="85"/>
      <c r="G1026" s="43"/>
    </row>
    <row r="1027" spans="1:7" x14ac:dyDescent="0.25">
      <c r="A1027" s="1228"/>
      <c r="B1027" s="1229"/>
      <c r="C1027" s="69"/>
      <c r="D1027" s="69"/>
      <c r="E1027" s="69"/>
      <c r="F1027" s="69"/>
      <c r="G1027" s="65"/>
    </row>
    <row r="1028" spans="1:7" x14ac:dyDescent="0.25">
      <c r="A1028" s="913"/>
      <c r="B1028" s="89"/>
      <c r="C1028" s="89"/>
      <c r="D1028" s="80"/>
      <c r="E1028" s="80"/>
      <c r="F1028" s="80"/>
      <c r="G1028" s="67"/>
    </row>
    <row r="1029" spans="1:7" x14ac:dyDescent="0.25">
      <c r="A1029" s="899"/>
      <c r="B1029" s="43"/>
      <c r="C1029" s="43"/>
      <c r="D1029" s="62"/>
      <c r="E1029" s="91"/>
      <c r="F1029" s="62"/>
      <c r="G1029" s="69"/>
    </row>
    <row r="1030" spans="1:7" x14ac:dyDescent="0.25">
      <c r="A1030" s="90"/>
      <c r="B1030" s="43"/>
      <c r="C1030" s="43"/>
      <c r="D1030" s="62"/>
      <c r="E1030" s="91"/>
      <c r="F1030" s="62"/>
      <c r="G1030" s="69"/>
    </row>
    <row r="1031" spans="1:7" x14ac:dyDescent="0.25">
      <c r="A1031" s="90"/>
      <c r="B1031" s="43"/>
      <c r="C1031" s="43"/>
      <c r="D1031" s="62"/>
      <c r="E1031" s="92"/>
      <c r="F1031" s="62"/>
      <c r="G1031" s="69"/>
    </row>
    <row r="1032" spans="1:7" x14ac:dyDescent="0.25">
      <c r="A1032" s="90"/>
      <c r="B1032" s="43"/>
      <c r="C1032" s="43"/>
      <c r="D1032" s="61"/>
      <c r="E1032" s="92"/>
      <c r="F1032" s="62"/>
      <c r="G1032" s="43"/>
    </row>
    <row r="1033" spans="1:7" x14ac:dyDescent="0.25">
      <c r="A1033" s="90"/>
      <c r="B1033" s="69"/>
      <c r="C1033" s="69"/>
      <c r="D1033" s="69"/>
      <c r="E1033" s="69"/>
      <c r="F1033" s="69"/>
      <c r="G1033" s="64"/>
    </row>
    <row r="1034" spans="1:7" x14ac:dyDescent="0.25">
      <c r="A1034" s="913"/>
      <c r="B1034" s="80"/>
      <c r="C1034" s="80"/>
      <c r="D1034" s="80"/>
      <c r="E1034" s="89"/>
      <c r="F1034" s="80"/>
      <c r="G1034" s="67"/>
    </row>
    <row r="1035" spans="1:7" x14ac:dyDescent="0.25">
      <c r="A1035" s="81"/>
      <c r="B1035" s="81"/>
      <c r="C1035" s="81"/>
      <c r="D1035" s="81"/>
      <c r="E1035" s="81"/>
      <c r="F1035" s="81"/>
      <c r="G1035" s="81"/>
    </row>
    <row r="1036" spans="1:7" x14ac:dyDescent="0.25">
      <c r="A1036" s="69"/>
      <c r="B1036" s="85"/>
      <c r="C1036" s="96"/>
      <c r="D1036" s="62"/>
      <c r="E1036" s="121"/>
      <c r="F1036" s="62"/>
      <c r="G1036" s="69"/>
    </row>
    <row r="1037" spans="1:7" x14ac:dyDescent="0.25">
      <c r="A1037" s="881"/>
      <c r="B1037" s="85"/>
      <c r="C1037" s="96"/>
      <c r="D1037" s="62"/>
      <c r="E1037" s="101"/>
      <c r="F1037" s="62"/>
      <c r="G1037" s="69"/>
    </row>
    <row r="1038" spans="1:7" x14ac:dyDescent="0.25">
      <c r="A1038" s="69"/>
      <c r="B1038" s="85"/>
      <c r="C1038" s="69"/>
      <c r="D1038" s="62"/>
      <c r="E1038" s="69"/>
      <c r="F1038" s="62"/>
      <c r="G1038" s="69"/>
    </row>
    <row r="1039" spans="1:7" x14ac:dyDescent="0.25">
      <c r="A1039" s="69"/>
      <c r="B1039" s="69"/>
      <c r="C1039" s="69"/>
      <c r="D1039" s="69"/>
      <c r="E1039" s="69"/>
      <c r="F1039" s="69"/>
      <c r="G1039" s="43"/>
    </row>
    <row r="1040" spans="1:7" x14ac:dyDescent="0.25">
      <c r="A1040" s="82"/>
      <c r="B1040" s="82"/>
      <c r="C1040" s="82"/>
      <c r="D1040" s="82"/>
      <c r="E1040" s="82"/>
      <c r="F1040" s="82"/>
      <c r="G1040" s="64"/>
    </row>
    <row r="1041" spans="1:7" x14ac:dyDescent="0.25">
      <c r="A1041" s="1230"/>
      <c r="B1041" s="1230"/>
      <c r="C1041" s="1230"/>
      <c r="D1041" s="1230"/>
      <c r="E1041" s="1230"/>
      <c r="F1041" s="1230"/>
      <c r="G1041" s="1233"/>
    </row>
    <row r="1042" spans="1:7" x14ac:dyDescent="0.25">
      <c r="A1042" s="1248"/>
      <c r="B1042" s="1248"/>
      <c r="C1042" s="1248"/>
      <c r="D1042" s="1248"/>
      <c r="E1042" s="1231"/>
      <c r="F1042" s="93"/>
      <c r="G1042" s="70"/>
    </row>
    <row r="1043" spans="1:7" x14ac:dyDescent="0.25">
      <c r="A1043" s="1232"/>
      <c r="B1043" s="1232"/>
      <c r="C1043" s="1222"/>
      <c r="D1043" s="1222"/>
      <c r="E1043" s="1222"/>
      <c r="F1043" s="1222"/>
      <c r="G1043" s="1222"/>
    </row>
    <row r="1044" spans="1:7" x14ac:dyDescent="0.25">
      <c r="A1044" s="1232"/>
      <c r="B1044" s="1232"/>
      <c r="C1044" s="1222"/>
      <c r="D1044" s="1222"/>
      <c r="E1044" s="1222"/>
      <c r="F1044" s="1222"/>
      <c r="G1044" s="1222"/>
    </row>
    <row r="1045" spans="1:7" x14ac:dyDescent="0.25">
      <c r="A1045" s="1244"/>
      <c r="B1045" s="1244"/>
      <c r="C1045" s="1244"/>
      <c r="D1045" s="1244"/>
      <c r="E1045" s="1244"/>
      <c r="F1045" s="1221"/>
      <c r="G1045" s="1222"/>
    </row>
    <row r="1046" spans="1:7" x14ac:dyDescent="0.25">
      <c r="A1046" s="1244"/>
      <c r="B1046" s="1244"/>
      <c r="C1046" s="1244"/>
      <c r="D1046" s="1244"/>
      <c r="E1046" s="1244"/>
      <c r="F1046" s="1221"/>
      <c r="G1046" s="1222"/>
    </row>
    <row r="1047" spans="1:7" x14ac:dyDescent="0.25">
      <c r="A1047" s="1244"/>
      <c r="B1047" s="1244"/>
      <c r="C1047" s="1244"/>
      <c r="D1047" s="1244"/>
      <c r="E1047" s="1244"/>
      <c r="F1047" s="1221"/>
      <c r="G1047" s="1222"/>
    </row>
    <row r="1048" spans="1:7" x14ac:dyDescent="0.25">
      <c r="A1048" s="1244"/>
      <c r="B1048" s="1244"/>
      <c r="C1048" s="1244"/>
      <c r="D1048" s="1244"/>
      <c r="E1048" s="1244"/>
      <c r="F1048" s="1221"/>
      <c r="G1048" s="1222"/>
    </row>
    <row r="1049" spans="1:7" x14ac:dyDescent="0.25">
      <c r="A1049" s="1245"/>
      <c r="B1049" s="1245"/>
      <c r="C1049" s="1245"/>
      <c r="D1049" s="1245"/>
      <c r="E1049" s="1245"/>
      <c r="F1049" s="1222"/>
      <c r="G1049" s="1222"/>
    </row>
    <row r="1058" spans="1:7" x14ac:dyDescent="0.25">
      <c r="A1058" s="95"/>
      <c r="B1058" s="94"/>
      <c r="C1058" s="94"/>
      <c r="D1058" s="94"/>
      <c r="E1058" s="94"/>
      <c r="F1058" s="882"/>
      <c r="G1058" s="882"/>
    </row>
    <row r="1059" spans="1:7" x14ac:dyDescent="0.25">
      <c r="A1059" s="1238"/>
      <c r="B1059" s="1246"/>
      <c r="C1059" s="1246"/>
      <c r="D1059" s="1246"/>
      <c r="E1059" s="1247"/>
      <c r="F1059" s="880"/>
      <c r="G1059" s="880"/>
    </row>
    <row r="1060" spans="1:7" x14ac:dyDescent="0.25">
      <c r="A1060" s="1229"/>
      <c r="B1060" s="1229"/>
      <c r="C1060" s="1229"/>
      <c r="D1060" s="1229"/>
      <c r="E1060" s="1229"/>
      <c r="F1060" s="1229"/>
      <c r="G1060" s="1229"/>
    </row>
    <row r="1061" spans="1:7" x14ac:dyDescent="0.25">
      <c r="A1061" s="1234"/>
      <c r="B1061" s="1235"/>
      <c r="C1061" s="80"/>
      <c r="D1061" s="80"/>
      <c r="E1061" s="80"/>
      <c r="F1061" s="80"/>
      <c r="G1061" s="67"/>
    </row>
    <row r="1062" spans="1:7" x14ac:dyDescent="0.25">
      <c r="A1062" s="1236"/>
      <c r="B1062" s="1236"/>
      <c r="C1062" s="69"/>
      <c r="D1062" s="62"/>
      <c r="E1062" s="62"/>
      <c r="F1062" s="62"/>
      <c r="G1062" s="81"/>
    </row>
    <row r="1063" spans="1:7" x14ac:dyDescent="0.25">
      <c r="A1063" s="1236"/>
      <c r="B1063" s="1236"/>
      <c r="C1063" s="69"/>
      <c r="D1063" s="62"/>
      <c r="E1063" s="62"/>
      <c r="F1063" s="62"/>
      <c r="G1063" s="69"/>
    </row>
    <row r="1064" spans="1:7" x14ac:dyDescent="0.25">
      <c r="A1064" s="1236"/>
      <c r="B1064" s="1236"/>
      <c r="C1064" s="69"/>
      <c r="D1064" s="69"/>
      <c r="E1064" s="69"/>
      <c r="F1064" s="62"/>
      <c r="G1064" s="69"/>
    </row>
    <row r="1065" spans="1:7" x14ac:dyDescent="0.25">
      <c r="A1065" s="1236"/>
      <c r="B1065" s="1236"/>
      <c r="C1065" s="69"/>
      <c r="D1065" s="69"/>
      <c r="E1065" s="69"/>
      <c r="F1065" s="69"/>
      <c r="G1065" s="69"/>
    </row>
    <row r="1066" spans="1:7" x14ac:dyDescent="0.25">
      <c r="A1066" s="1236"/>
      <c r="B1066" s="1236"/>
      <c r="C1066" s="69"/>
      <c r="D1066" s="69"/>
      <c r="E1066" s="69"/>
      <c r="F1066" s="69"/>
      <c r="G1066" s="83"/>
    </row>
    <row r="1067" spans="1:7" x14ac:dyDescent="0.25">
      <c r="A1067" s="1237"/>
      <c r="B1067" s="1237"/>
      <c r="C1067" s="82"/>
      <c r="D1067" s="82"/>
      <c r="E1067" s="82"/>
      <c r="F1067" s="82"/>
      <c r="G1067" s="64"/>
    </row>
    <row r="1068" spans="1:7" x14ac:dyDescent="0.25">
      <c r="A1068" s="1234"/>
      <c r="B1068" s="1235"/>
      <c r="C1068" s="80"/>
      <c r="D1068" s="80"/>
      <c r="E1068" s="80"/>
      <c r="F1068" s="80"/>
      <c r="G1068" s="67"/>
    </row>
    <row r="1069" spans="1:7" x14ac:dyDescent="0.25">
      <c r="A1069" s="1226"/>
      <c r="B1069" s="1227"/>
      <c r="C1069" s="43"/>
      <c r="D1069" s="97"/>
      <c r="E1069" s="92"/>
      <c r="F1069" s="85"/>
      <c r="G1069" s="69"/>
    </row>
    <row r="1070" spans="1:7" x14ac:dyDescent="0.25">
      <c r="A1070" s="1228"/>
      <c r="B1070" s="1229"/>
      <c r="C1070" s="43"/>
      <c r="D1070" s="97"/>
      <c r="E1070" s="92"/>
      <c r="F1070" s="85"/>
      <c r="G1070" s="43"/>
    </row>
    <row r="1071" spans="1:7" x14ac:dyDescent="0.25">
      <c r="A1071" s="1228"/>
      <c r="B1071" s="1229"/>
      <c r="C1071" s="69"/>
      <c r="D1071" s="69"/>
      <c r="E1071" s="69"/>
      <c r="F1071" s="69"/>
      <c r="G1071" s="65"/>
    </row>
    <row r="1072" spans="1:7" x14ac:dyDescent="0.25">
      <c r="A1072" s="913"/>
      <c r="B1072" s="89"/>
      <c r="C1072" s="89"/>
      <c r="D1072" s="80"/>
      <c r="E1072" s="80"/>
      <c r="F1072" s="80"/>
      <c r="G1072" s="67"/>
    </row>
    <row r="1073" spans="1:7" x14ac:dyDescent="0.25">
      <c r="A1073" s="899"/>
      <c r="B1073" s="43"/>
      <c r="C1073" s="43"/>
      <c r="D1073" s="62"/>
      <c r="E1073" s="91"/>
      <c r="F1073" s="62"/>
      <c r="G1073" s="69"/>
    </row>
    <row r="1074" spans="1:7" x14ac:dyDescent="0.25">
      <c r="A1074" s="90"/>
      <c r="B1074" s="43"/>
      <c r="C1074" s="43"/>
      <c r="D1074" s="62"/>
      <c r="E1074" s="91"/>
      <c r="F1074" s="62"/>
      <c r="G1074" s="69"/>
    </row>
    <row r="1075" spans="1:7" x14ac:dyDescent="0.25">
      <c r="A1075" s="90"/>
      <c r="B1075" s="43"/>
      <c r="C1075" s="43"/>
      <c r="D1075" s="62"/>
      <c r="E1075" s="92"/>
      <c r="F1075" s="62"/>
      <c r="G1075" s="69"/>
    </row>
    <row r="1076" spans="1:7" x14ac:dyDescent="0.25">
      <c r="A1076" s="90"/>
      <c r="B1076" s="43"/>
      <c r="C1076" s="43"/>
      <c r="D1076" s="61"/>
      <c r="E1076" s="92"/>
      <c r="F1076" s="62"/>
      <c r="G1076" s="43"/>
    </row>
    <row r="1077" spans="1:7" x14ac:dyDescent="0.25">
      <c r="A1077" s="90"/>
      <c r="B1077" s="69"/>
      <c r="C1077" s="69"/>
      <c r="D1077" s="69"/>
      <c r="E1077" s="69"/>
      <c r="F1077" s="69"/>
      <c r="G1077" s="64"/>
    </row>
    <row r="1078" spans="1:7" x14ac:dyDescent="0.25">
      <c r="A1078" s="913"/>
      <c r="B1078" s="80"/>
      <c r="C1078" s="80"/>
      <c r="D1078" s="80"/>
      <c r="E1078" s="89"/>
      <c r="F1078" s="80"/>
      <c r="G1078" s="67"/>
    </row>
    <row r="1079" spans="1:7" x14ac:dyDescent="0.25">
      <c r="A1079" s="81"/>
      <c r="B1079" s="81"/>
      <c r="C1079" s="81"/>
      <c r="D1079" s="81"/>
      <c r="E1079" s="81"/>
      <c r="F1079" s="81"/>
      <c r="G1079" s="81"/>
    </row>
    <row r="1080" spans="1:7" x14ac:dyDescent="0.25">
      <c r="A1080" s="69"/>
      <c r="B1080" s="85"/>
      <c r="C1080" s="96"/>
      <c r="D1080" s="62"/>
      <c r="E1080" s="121"/>
      <c r="F1080" s="62"/>
      <c r="G1080" s="69"/>
    </row>
    <row r="1081" spans="1:7" x14ac:dyDescent="0.25">
      <c r="A1081" s="881"/>
      <c r="B1081" s="85"/>
      <c r="C1081" s="96"/>
      <c r="D1081" s="62"/>
      <c r="E1081" s="101"/>
      <c r="F1081" s="62"/>
      <c r="G1081" s="69"/>
    </row>
    <row r="1082" spans="1:7" x14ac:dyDescent="0.25">
      <c r="A1082" s="69"/>
      <c r="B1082" s="85"/>
      <c r="C1082" s="69"/>
      <c r="D1082" s="62"/>
      <c r="E1082" s="69"/>
      <c r="F1082" s="62"/>
      <c r="G1082" s="69"/>
    </row>
    <row r="1083" spans="1:7" x14ac:dyDescent="0.25">
      <c r="A1083" s="69"/>
      <c r="B1083" s="69"/>
      <c r="C1083" s="69"/>
      <c r="D1083" s="69"/>
      <c r="E1083" s="69"/>
      <c r="F1083" s="69"/>
      <c r="G1083" s="43"/>
    </row>
    <row r="1084" spans="1:7" x14ac:dyDescent="0.25">
      <c r="A1084" s="82"/>
      <c r="B1084" s="82"/>
      <c r="C1084" s="82"/>
      <c r="D1084" s="82"/>
      <c r="E1084" s="82"/>
      <c r="F1084" s="82"/>
      <c r="G1084" s="64"/>
    </row>
    <row r="1085" spans="1:7" x14ac:dyDescent="0.25">
      <c r="A1085" s="1230"/>
      <c r="B1085" s="1230"/>
      <c r="C1085" s="1230"/>
      <c r="D1085" s="1230"/>
      <c r="E1085" s="1230"/>
      <c r="F1085" s="1230"/>
      <c r="G1085" s="1233"/>
    </row>
    <row r="1086" spans="1:7" x14ac:dyDescent="0.25">
      <c r="A1086" s="1248"/>
      <c r="B1086" s="1248"/>
      <c r="C1086" s="1248"/>
      <c r="D1086" s="1248"/>
      <c r="E1086" s="1231"/>
      <c r="F1086" s="93"/>
      <c r="G1086" s="70"/>
    </row>
    <row r="1087" spans="1:7" x14ac:dyDescent="0.25">
      <c r="A1087" s="1232"/>
      <c r="B1087" s="1232"/>
      <c r="C1087" s="1222"/>
      <c r="D1087" s="1222"/>
      <c r="E1087" s="1222"/>
      <c r="F1087" s="1222"/>
      <c r="G1087" s="1222"/>
    </row>
    <row r="1088" spans="1:7" x14ac:dyDescent="0.25">
      <c r="A1088" s="1232"/>
      <c r="B1088" s="1232"/>
      <c r="C1088" s="1222"/>
      <c r="D1088" s="1222"/>
      <c r="E1088" s="1222"/>
      <c r="F1088" s="1222"/>
      <c r="G1088" s="1222"/>
    </row>
    <row r="1089" spans="1:7" x14ac:dyDescent="0.25">
      <c r="A1089" s="1244"/>
      <c r="B1089" s="1244"/>
      <c r="C1089" s="1244"/>
      <c r="D1089" s="1244"/>
      <c r="E1089" s="1244"/>
      <c r="F1089" s="1221"/>
      <c r="G1089" s="1222"/>
    </row>
    <row r="1090" spans="1:7" x14ac:dyDescent="0.25">
      <c r="A1090" s="1244"/>
      <c r="B1090" s="1244"/>
      <c r="C1090" s="1244"/>
      <c r="D1090" s="1244"/>
      <c r="E1090" s="1244"/>
      <c r="F1090" s="1221"/>
      <c r="G1090" s="1222"/>
    </row>
    <row r="1091" spans="1:7" x14ac:dyDescent="0.25">
      <c r="A1091" s="1244"/>
      <c r="B1091" s="1244"/>
      <c r="C1091" s="1244"/>
      <c r="D1091" s="1244"/>
      <c r="E1091" s="1244"/>
      <c r="F1091" s="1221"/>
      <c r="G1091" s="1222"/>
    </row>
    <row r="1092" spans="1:7" x14ac:dyDescent="0.25">
      <c r="A1092" s="1244"/>
      <c r="B1092" s="1244"/>
      <c r="C1092" s="1244"/>
      <c r="D1092" s="1244"/>
      <c r="E1092" s="1244"/>
      <c r="F1092" s="1221"/>
      <c r="G1092" s="1222"/>
    </row>
    <row r="1093" spans="1:7" x14ac:dyDescent="0.25">
      <c r="A1093" s="1245"/>
      <c r="B1093" s="1245"/>
      <c r="C1093" s="1245"/>
      <c r="D1093" s="1245"/>
      <c r="E1093" s="1245"/>
      <c r="F1093" s="1222"/>
      <c r="G1093" s="1222"/>
    </row>
    <row r="1100" spans="1:7" x14ac:dyDescent="0.25">
      <c r="A1100" s="95"/>
      <c r="B1100" s="94"/>
      <c r="C1100" s="94"/>
      <c r="D1100" s="94"/>
      <c r="E1100" s="94"/>
      <c r="F1100" s="882"/>
      <c r="G1100" s="882"/>
    </row>
    <row r="1101" spans="1:7" x14ac:dyDescent="0.25">
      <c r="A1101" s="1238"/>
      <c r="B1101" s="1246"/>
      <c r="C1101" s="1246"/>
      <c r="D1101" s="1246"/>
      <c r="E1101" s="1247"/>
      <c r="F1101" s="880"/>
      <c r="G1101" s="880"/>
    </row>
    <row r="1102" spans="1:7" x14ac:dyDescent="0.25">
      <c r="A1102" s="1229"/>
      <c r="B1102" s="1229"/>
      <c r="C1102" s="1229"/>
      <c r="D1102" s="1229"/>
      <c r="E1102" s="1229"/>
      <c r="F1102" s="1229"/>
      <c r="G1102" s="1229"/>
    </row>
    <row r="1103" spans="1:7" x14ac:dyDescent="0.25">
      <c r="A1103" s="1234"/>
      <c r="B1103" s="1235"/>
      <c r="C1103" s="80"/>
      <c r="D1103" s="80"/>
      <c r="E1103" s="80"/>
      <c r="F1103" s="80"/>
      <c r="G1103" s="67"/>
    </row>
    <row r="1104" spans="1:7" x14ac:dyDescent="0.25">
      <c r="A1104" s="1236"/>
      <c r="B1104" s="1236"/>
      <c r="C1104" s="69"/>
      <c r="D1104" s="62"/>
      <c r="E1104" s="62"/>
      <c r="F1104" s="62"/>
      <c r="G1104" s="81"/>
    </row>
    <row r="1105" spans="1:7" x14ac:dyDescent="0.25">
      <c r="A1105" s="1236"/>
      <c r="B1105" s="1236"/>
      <c r="C1105" s="69"/>
      <c r="D1105" s="62"/>
      <c r="E1105" s="62"/>
      <c r="F1105" s="62"/>
      <c r="G1105" s="69"/>
    </row>
    <row r="1106" spans="1:7" x14ac:dyDescent="0.25">
      <c r="A1106" s="1236"/>
      <c r="B1106" s="1236"/>
      <c r="C1106" s="69"/>
      <c r="D1106" s="69"/>
      <c r="E1106" s="69"/>
      <c r="F1106" s="62"/>
      <c r="G1106" s="69"/>
    </row>
    <row r="1107" spans="1:7" x14ac:dyDescent="0.25">
      <c r="A1107" s="1236"/>
      <c r="B1107" s="1236"/>
      <c r="C1107" s="69"/>
      <c r="D1107" s="69"/>
      <c r="E1107" s="69"/>
      <c r="F1107" s="69"/>
      <c r="G1107" s="69"/>
    </row>
    <row r="1108" spans="1:7" x14ac:dyDescent="0.25">
      <c r="A1108" s="1236"/>
      <c r="B1108" s="1236"/>
      <c r="C1108" s="69"/>
      <c r="D1108" s="69"/>
      <c r="E1108" s="69"/>
      <c r="F1108" s="69"/>
      <c r="G1108" s="83"/>
    </row>
    <row r="1109" spans="1:7" x14ac:dyDescent="0.25">
      <c r="A1109" s="1237"/>
      <c r="B1109" s="1237"/>
      <c r="C1109" s="82"/>
      <c r="D1109" s="82"/>
      <c r="E1109" s="82"/>
      <c r="F1109" s="82"/>
      <c r="G1109" s="64"/>
    </row>
    <row r="1110" spans="1:7" x14ac:dyDescent="0.25">
      <c r="A1110" s="1234"/>
      <c r="B1110" s="1235"/>
      <c r="C1110" s="80"/>
      <c r="D1110" s="80"/>
      <c r="E1110" s="80"/>
      <c r="F1110" s="80"/>
      <c r="G1110" s="67"/>
    </row>
    <row r="1111" spans="1:7" x14ac:dyDescent="0.25">
      <c r="A1111" s="1226"/>
      <c r="B1111" s="1227"/>
      <c r="C1111" s="43"/>
      <c r="D1111" s="97"/>
      <c r="E1111" s="92"/>
      <c r="F1111" s="85"/>
      <c r="G1111" s="69"/>
    </row>
    <row r="1112" spans="1:7" x14ac:dyDescent="0.25">
      <c r="A1112" s="1228"/>
      <c r="B1112" s="1229"/>
      <c r="C1112" s="43"/>
      <c r="D1112" s="97"/>
      <c r="E1112" s="92"/>
      <c r="F1112" s="85"/>
      <c r="G1112" s="43"/>
    </row>
    <row r="1113" spans="1:7" x14ac:dyDescent="0.25">
      <c r="A1113" s="1228"/>
      <c r="B1113" s="1229"/>
      <c r="C1113" s="69"/>
      <c r="D1113" s="69"/>
      <c r="E1113" s="69"/>
      <c r="F1113" s="69"/>
      <c r="G1113" s="65"/>
    </row>
    <row r="1114" spans="1:7" x14ac:dyDescent="0.25">
      <c r="A1114" s="913"/>
      <c r="B1114" s="89"/>
      <c r="C1114" s="89"/>
      <c r="D1114" s="80"/>
      <c r="E1114" s="80"/>
      <c r="F1114" s="80"/>
      <c r="G1114" s="67"/>
    </row>
    <row r="1115" spans="1:7" x14ac:dyDescent="0.25">
      <c r="A1115" s="899"/>
      <c r="B1115" s="43"/>
      <c r="C1115" s="43"/>
      <c r="D1115" s="62"/>
      <c r="E1115" s="91"/>
      <c r="F1115" s="62"/>
      <c r="G1115" s="69"/>
    </row>
    <row r="1116" spans="1:7" x14ac:dyDescent="0.25">
      <c r="A1116" s="90"/>
      <c r="B1116" s="43"/>
      <c r="C1116" s="43"/>
      <c r="D1116" s="62"/>
      <c r="E1116" s="91"/>
      <c r="F1116" s="62"/>
      <c r="G1116" s="69"/>
    </row>
    <row r="1117" spans="1:7" x14ac:dyDescent="0.25">
      <c r="A1117" s="90"/>
      <c r="B1117" s="43"/>
      <c r="C1117" s="43"/>
      <c r="D1117" s="62"/>
      <c r="E1117" s="92"/>
      <c r="F1117" s="62"/>
      <c r="G1117" s="69"/>
    </row>
    <row r="1118" spans="1:7" x14ac:dyDescent="0.25">
      <c r="A1118" s="90"/>
      <c r="B1118" s="43"/>
      <c r="C1118" s="43"/>
      <c r="D1118" s="61"/>
      <c r="E1118" s="92"/>
      <c r="F1118" s="62"/>
      <c r="G1118" s="43"/>
    </row>
    <row r="1119" spans="1:7" x14ac:dyDescent="0.25">
      <c r="A1119" s="90"/>
      <c r="B1119" s="69"/>
      <c r="C1119" s="69"/>
      <c r="D1119" s="69"/>
      <c r="E1119" s="69"/>
      <c r="F1119" s="69"/>
      <c r="G1119" s="64"/>
    </row>
    <row r="1120" spans="1:7" x14ac:dyDescent="0.25">
      <c r="A1120" s="913"/>
      <c r="B1120" s="80"/>
      <c r="C1120" s="80"/>
      <c r="D1120" s="80"/>
      <c r="E1120" s="89"/>
      <c r="F1120" s="80"/>
      <c r="G1120" s="67"/>
    </row>
    <row r="1121" spans="1:7" x14ac:dyDescent="0.25">
      <c r="A1121" s="81"/>
      <c r="B1121" s="81"/>
      <c r="C1121" s="81"/>
      <c r="D1121" s="81"/>
      <c r="E1121" s="81"/>
      <c r="F1121" s="81"/>
      <c r="G1121" s="81"/>
    </row>
    <row r="1122" spans="1:7" x14ac:dyDescent="0.25">
      <c r="A1122" s="69"/>
      <c r="B1122" s="85"/>
      <c r="C1122" s="96"/>
      <c r="D1122" s="62"/>
      <c r="E1122" s="121"/>
      <c r="F1122" s="62"/>
      <c r="G1122" s="69"/>
    </row>
    <row r="1123" spans="1:7" x14ac:dyDescent="0.25">
      <c r="A1123" s="881"/>
      <c r="B1123" s="85"/>
      <c r="C1123" s="96"/>
      <c r="D1123" s="62"/>
      <c r="E1123" s="101"/>
      <c r="F1123" s="62"/>
      <c r="G1123" s="69"/>
    </row>
    <row r="1124" spans="1:7" x14ac:dyDescent="0.25">
      <c r="A1124" s="69"/>
      <c r="B1124" s="85"/>
      <c r="C1124" s="69"/>
      <c r="D1124" s="62"/>
      <c r="E1124" s="69"/>
      <c r="F1124" s="62"/>
      <c r="G1124" s="69"/>
    </row>
    <row r="1125" spans="1:7" x14ac:dyDescent="0.25">
      <c r="A1125" s="69"/>
      <c r="B1125" s="69"/>
      <c r="C1125" s="69"/>
      <c r="D1125" s="69"/>
      <c r="E1125" s="69"/>
      <c r="F1125" s="69"/>
      <c r="G1125" s="43"/>
    </row>
    <row r="1126" spans="1:7" x14ac:dyDescent="0.25">
      <c r="A1126" s="82"/>
      <c r="B1126" s="82"/>
      <c r="C1126" s="82"/>
      <c r="D1126" s="82"/>
      <c r="E1126" s="82"/>
      <c r="F1126" s="82"/>
      <c r="G1126" s="64"/>
    </row>
    <row r="1127" spans="1:7" x14ac:dyDescent="0.25">
      <c r="A1127" s="1230"/>
      <c r="B1127" s="1230"/>
      <c r="C1127" s="1230"/>
      <c r="D1127" s="1230"/>
      <c r="E1127" s="1230"/>
      <c r="F1127" s="1230"/>
      <c r="G1127" s="1233"/>
    </row>
    <row r="1128" spans="1:7" x14ac:dyDescent="0.25">
      <c r="A1128" s="1248"/>
      <c r="B1128" s="1248"/>
      <c r="C1128" s="1248"/>
      <c r="D1128" s="1248"/>
      <c r="E1128" s="1231"/>
      <c r="F1128" s="93"/>
      <c r="G1128" s="70"/>
    </row>
    <row r="1129" spans="1:7" x14ac:dyDescent="0.25">
      <c r="A1129" s="1232"/>
      <c r="B1129" s="1232"/>
      <c r="C1129" s="1222"/>
      <c r="D1129" s="1222"/>
      <c r="E1129" s="1222"/>
      <c r="F1129" s="1222"/>
      <c r="G1129" s="1222"/>
    </row>
    <row r="1130" spans="1:7" x14ac:dyDescent="0.25">
      <c r="A1130" s="1232"/>
      <c r="B1130" s="1232"/>
      <c r="C1130" s="1222"/>
      <c r="D1130" s="1222"/>
      <c r="E1130" s="1222"/>
      <c r="F1130" s="1222"/>
      <c r="G1130" s="1222"/>
    </row>
    <row r="1131" spans="1:7" x14ac:dyDescent="0.25">
      <c r="A1131" s="1244"/>
      <c r="B1131" s="1244"/>
      <c r="C1131" s="1244"/>
      <c r="D1131" s="1244"/>
      <c r="E1131" s="1244"/>
      <c r="F1131" s="1221"/>
      <c r="G1131" s="1222"/>
    </row>
    <row r="1132" spans="1:7" x14ac:dyDescent="0.25">
      <c r="A1132" s="1244"/>
      <c r="B1132" s="1244"/>
      <c r="C1132" s="1244"/>
      <c r="D1132" s="1244"/>
      <c r="E1132" s="1244"/>
      <c r="F1132" s="1221"/>
      <c r="G1132" s="1222"/>
    </row>
    <row r="1133" spans="1:7" x14ac:dyDescent="0.25">
      <c r="A1133" s="1244"/>
      <c r="B1133" s="1244"/>
      <c r="C1133" s="1244"/>
      <c r="D1133" s="1244"/>
      <c r="E1133" s="1244"/>
      <c r="F1133" s="1221"/>
      <c r="G1133" s="1222"/>
    </row>
    <row r="1134" spans="1:7" x14ac:dyDescent="0.25">
      <c r="A1134" s="1244"/>
      <c r="B1134" s="1244"/>
      <c r="C1134" s="1244"/>
      <c r="D1134" s="1244"/>
      <c r="E1134" s="1244"/>
      <c r="F1134" s="1221"/>
      <c r="G1134" s="1222"/>
    </row>
    <row r="1135" spans="1:7" x14ac:dyDescent="0.25">
      <c r="A1135" s="1245"/>
      <c r="B1135" s="1245"/>
      <c r="C1135" s="1245"/>
      <c r="D1135" s="1245"/>
      <c r="E1135" s="1245"/>
      <c r="F1135" s="1222"/>
      <c r="G1135" s="1222"/>
    </row>
    <row r="1143" spans="1:7" x14ac:dyDescent="0.25">
      <c r="A1143" s="95"/>
      <c r="B1143" s="94"/>
      <c r="C1143" s="94"/>
      <c r="D1143" s="94"/>
      <c r="E1143" s="94"/>
      <c r="F1143" s="882"/>
      <c r="G1143" s="882"/>
    </row>
    <row r="1144" spans="1:7" x14ac:dyDescent="0.25">
      <c r="A1144" s="1238"/>
      <c r="B1144" s="1246"/>
      <c r="C1144" s="1246"/>
      <c r="D1144" s="1246"/>
      <c r="E1144" s="1247"/>
      <c r="F1144" s="880"/>
      <c r="G1144" s="880"/>
    </row>
    <row r="1145" spans="1:7" x14ac:dyDescent="0.25">
      <c r="A1145" s="1229"/>
      <c r="B1145" s="1229"/>
      <c r="C1145" s="1229"/>
      <c r="D1145" s="1229"/>
      <c r="E1145" s="1229"/>
      <c r="F1145" s="1229"/>
      <c r="G1145" s="1229"/>
    </row>
    <row r="1146" spans="1:7" x14ac:dyDescent="0.25">
      <c r="A1146" s="1234"/>
      <c r="B1146" s="1235"/>
      <c r="C1146" s="80"/>
      <c r="D1146" s="80"/>
      <c r="E1146" s="80"/>
      <c r="F1146" s="80"/>
      <c r="G1146" s="67"/>
    </row>
    <row r="1147" spans="1:7" x14ac:dyDescent="0.25">
      <c r="A1147" s="1236"/>
      <c r="B1147" s="1236"/>
      <c r="C1147" s="69"/>
      <c r="D1147" s="62"/>
      <c r="E1147" s="62"/>
      <c r="F1147" s="62"/>
      <c r="G1147" s="81"/>
    </row>
    <row r="1148" spans="1:7" x14ac:dyDescent="0.25">
      <c r="A1148" s="1236"/>
      <c r="B1148" s="1236"/>
      <c r="C1148" s="69"/>
      <c r="D1148" s="62"/>
      <c r="E1148" s="62"/>
      <c r="F1148" s="62"/>
      <c r="G1148" s="69"/>
    </row>
    <row r="1149" spans="1:7" x14ac:dyDescent="0.25">
      <c r="A1149" s="1236"/>
      <c r="B1149" s="1236"/>
      <c r="C1149" s="69"/>
      <c r="D1149" s="69"/>
      <c r="E1149" s="69"/>
      <c r="F1149" s="62"/>
      <c r="G1149" s="69"/>
    </row>
    <row r="1150" spans="1:7" x14ac:dyDescent="0.25">
      <c r="A1150" s="1236"/>
      <c r="B1150" s="1236"/>
      <c r="C1150" s="69"/>
      <c r="D1150" s="69"/>
      <c r="E1150" s="69"/>
      <c r="F1150" s="69"/>
      <c r="G1150" s="69"/>
    </row>
    <row r="1151" spans="1:7" x14ac:dyDescent="0.25">
      <c r="A1151" s="1236"/>
      <c r="B1151" s="1236"/>
      <c r="C1151" s="69"/>
      <c r="D1151" s="69"/>
      <c r="E1151" s="69"/>
      <c r="F1151" s="69"/>
      <c r="G1151" s="83"/>
    </row>
    <row r="1152" spans="1:7" x14ac:dyDescent="0.25">
      <c r="A1152" s="1237"/>
      <c r="B1152" s="1237"/>
      <c r="C1152" s="82"/>
      <c r="D1152" s="82"/>
      <c r="E1152" s="82"/>
      <c r="F1152" s="82"/>
      <c r="G1152" s="64"/>
    </row>
    <row r="1153" spans="1:7" x14ac:dyDescent="0.25">
      <c r="A1153" s="1234"/>
      <c r="B1153" s="1235"/>
      <c r="C1153" s="80"/>
      <c r="D1153" s="80"/>
      <c r="E1153" s="80"/>
      <c r="F1153" s="80"/>
      <c r="G1153" s="67"/>
    </row>
    <row r="1154" spans="1:7" x14ac:dyDescent="0.25">
      <c r="A1154" s="1226"/>
      <c r="B1154" s="1227"/>
      <c r="C1154" s="43"/>
      <c r="D1154" s="97"/>
      <c r="E1154" s="92"/>
      <c r="F1154" s="85"/>
      <c r="G1154" s="69"/>
    </row>
    <row r="1155" spans="1:7" x14ac:dyDescent="0.25">
      <c r="A1155" s="1228"/>
      <c r="B1155" s="1229"/>
      <c r="C1155" s="43"/>
      <c r="D1155" s="97"/>
      <c r="E1155" s="92"/>
      <c r="F1155" s="85"/>
      <c r="G1155" s="43"/>
    </row>
    <row r="1156" spans="1:7" x14ac:dyDescent="0.25">
      <c r="A1156" s="1228"/>
      <c r="B1156" s="1229"/>
      <c r="C1156" s="69"/>
      <c r="D1156" s="69"/>
      <c r="E1156" s="69"/>
      <c r="F1156" s="69"/>
      <c r="G1156" s="65"/>
    </row>
    <row r="1157" spans="1:7" x14ac:dyDescent="0.25">
      <c r="A1157" s="913"/>
      <c r="B1157" s="89"/>
      <c r="C1157" s="89"/>
      <c r="D1157" s="80"/>
      <c r="E1157" s="80"/>
      <c r="F1157" s="80"/>
      <c r="G1157" s="67"/>
    </row>
    <row r="1158" spans="1:7" x14ac:dyDescent="0.25">
      <c r="A1158" s="899"/>
      <c r="B1158" s="43"/>
      <c r="C1158" s="43"/>
      <c r="D1158" s="62"/>
      <c r="E1158" s="91"/>
      <c r="F1158" s="62"/>
      <c r="G1158" s="69"/>
    </row>
    <row r="1159" spans="1:7" x14ac:dyDescent="0.25">
      <c r="A1159" s="90"/>
      <c r="B1159" s="43"/>
      <c r="C1159" s="43"/>
      <c r="D1159" s="62"/>
      <c r="E1159" s="91"/>
      <c r="F1159" s="62"/>
      <c r="G1159" s="69"/>
    </row>
    <row r="1160" spans="1:7" x14ac:dyDescent="0.25">
      <c r="A1160" s="90"/>
      <c r="B1160" s="43"/>
      <c r="C1160" s="43"/>
      <c r="D1160" s="62"/>
      <c r="E1160" s="92"/>
      <c r="F1160" s="62"/>
      <c r="G1160" s="69"/>
    </row>
    <row r="1161" spans="1:7" x14ac:dyDescent="0.25">
      <c r="A1161" s="90"/>
      <c r="B1161" s="43"/>
      <c r="C1161" s="43"/>
      <c r="D1161" s="61"/>
      <c r="E1161" s="92"/>
      <c r="F1161" s="62"/>
      <c r="G1161" s="43"/>
    </row>
    <row r="1162" spans="1:7" x14ac:dyDescent="0.25">
      <c r="A1162" s="90"/>
      <c r="B1162" s="69"/>
      <c r="C1162" s="69"/>
      <c r="D1162" s="69"/>
      <c r="E1162" s="69"/>
      <c r="F1162" s="69"/>
      <c r="G1162" s="64"/>
    </row>
    <row r="1163" spans="1:7" x14ac:dyDescent="0.25">
      <c r="A1163" s="913"/>
      <c r="B1163" s="80"/>
      <c r="C1163" s="80"/>
      <c r="D1163" s="80"/>
      <c r="E1163" s="89"/>
      <c r="F1163" s="80"/>
      <c r="G1163" s="67"/>
    </row>
    <row r="1164" spans="1:7" x14ac:dyDescent="0.25">
      <c r="A1164" s="81"/>
      <c r="B1164" s="81"/>
      <c r="C1164" s="81"/>
      <c r="D1164" s="81"/>
      <c r="E1164" s="81"/>
      <c r="F1164" s="81"/>
      <c r="G1164" s="81"/>
    </row>
    <row r="1165" spans="1:7" x14ac:dyDescent="0.25">
      <c r="A1165" s="69"/>
      <c r="B1165" s="85"/>
      <c r="C1165" s="96"/>
      <c r="D1165" s="62"/>
      <c r="E1165" s="121"/>
      <c r="F1165" s="62"/>
      <c r="G1165" s="69"/>
    </row>
    <row r="1166" spans="1:7" x14ac:dyDescent="0.25">
      <c r="A1166" s="881"/>
      <c r="B1166" s="85"/>
      <c r="C1166" s="96"/>
      <c r="D1166" s="62"/>
      <c r="E1166" s="101"/>
      <c r="F1166" s="62"/>
      <c r="G1166" s="69"/>
    </row>
    <row r="1167" spans="1:7" x14ac:dyDescent="0.25">
      <c r="A1167" s="69"/>
      <c r="B1167" s="85"/>
      <c r="C1167" s="69"/>
      <c r="D1167" s="62"/>
      <c r="E1167" s="69"/>
      <c r="F1167" s="62"/>
      <c r="G1167" s="69"/>
    </row>
    <row r="1168" spans="1:7" x14ac:dyDescent="0.25">
      <c r="A1168" s="69"/>
      <c r="B1168" s="69"/>
      <c r="C1168" s="69"/>
      <c r="D1168" s="69"/>
      <c r="E1168" s="69"/>
      <c r="F1168" s="69"/>
      <c r="G1168" s="43"/>
    </row>
    <row r="1169" spans="1:7" x14ac:dyDescent="0.25">
      <c r="A1169" s="82"/>
      <c r="B1169" s="82"/>
      <c r="C1169" s="82"/>
      <c r="D1169" s="82"/>
      <c r="E1169" s="82"/>
      <c r="F1169" s="82"/>
      <c r="G1169" s="64"/>
    </row>
    <row r="1170" spans="1:7" x14ac:dyDescent="0.25">
      <c r="A1170" s="1230"/>
      <c r="B1170" s="1230"/>
      <c r="C1170" s="1230"/>
      <c r="D1170" s="1230"/>
      <c r="E1170" s="1230"/>
      <c r="F1170" s="1230"/>
      <c r="G1170" s="1233"/>
    </row>
    <row r="1171" spans="1:7" x14ac:dyDescent="0.25">
      <c r="A1171" s="1248"/>
      <c r="B1171" s="1248"/>
      <c r="C1171" s="1248"/>
      <c r="D1171" s="1248"/>
      <c r="E1171" s="1231"/>
      <c r="F1171" s="93"/>
      <c r="G1171" s="70"/>
    </row>
    <row r="1172" spans="1:7" x14ac:dyDescent="0.25">
      <c r="A1172" s="1232"/>
      <c r="B1172" s="1232"/>
      <c r="C1172" s="1222"/>
      <c r="D1172" s="1222"/>
      <c r="E1172" s="1222"/>
      <c r="F1172" s="1222"/>
      <c r="G1172" s="1222"/>
    </row>
    <row r="1173" spans="1:7" x14ac:dyDescent="0.25">
      <c r="A1173" s="1232"/>
      <c r="B1173" s="1232"/>
      <c r="C1173" s="1222"/>
      <c r="D1173" s="1222"/>
      <c r="E1173" s="1222"/>
      <c r="F1173" s="1222"/>
      <c r="G1173" s="1222"/>
    </row>
    <row r="1174" spans="1:7" x14ac:dyDescent="0.25">
      <c r="A1174" s="1244"/>
      <c r="B1174" s="1244"/>
      <c r="C1174" s="1244"/>
      <c r="D1174" s="1244"/>
      <c r="E1174" s="1244"/>
      <c r="F1174" s="1221"/>
      <c r="G1174" s="1222"/>
    </row>
    <row r="1175" spans="1:7" x14ac:dyDescent="0.25">
      <c r="A1175" s="1244"/>
      <c r="B1175" s="1244"/>
      <c r="C1175" s="1244"/>
      <c r="D1175" s="1244"/>
      <c r="E1175" s="1244"/>
      <c r="F1175" s="1221"/>
      <c r="G1175" s="1222"/>
    </row>
    <row r="1176" spans="1:7" x14ac:dyDescent="0.25">
      <c r="A1176" s="1244"/>
      <c r="B1176" s="1244"/>
      <c r="C1176" s="1244"/>
      <c r="D1176" s="1244"/>
      <c r="E1176" s="1244"/>
      <c r="F1176" s="1221"/>
      <c r="G1176" s="1222"/>
    </row>
    <row r="1177" spans="1:7" x14ac:dyDescent="0.25">
      <c r="A1177" s="1244"/>
      <c r="B1177" s="1244"/>
      <c r="C1177" s="1244"/>
      <c r="D1177" s="1244"/>
      <c r="E1177" s="1244"/>
      <c r="F1177" s="1221"/>
      <c r="G1177" s="1222"/>
    </row>
    <row r="1178" spans="1:7" x14ac:dyDescent="0.25">
      <c r="A1178" s="1245"/>
      <c r="B1178" s="1245"/>
      <c r="C1178" s="1245"/>
      <c r="D1178" s="1245"/>
      <c r="E1178" s="1245"/>
      <c r="F1178" s="1222"/>
      <c r="G1178" s="1222"/>
    </row>
    <row r="1186" spans="1:7" x14ac:dyDescent="0.25">
      <c r="A1186" s="95"/>
      <c r="B1186" s="94"/>
      <c r="C1186" s="94"/>
      <c r="D1186" s="94"/>
      <c r="E1186" s="94"/>
      <c r="F1186" s="882"/>
      <c r="G1186" s="882"/>
    </row>
    <row r="1187" spans="1:7" x14ac:dyDescent="0.25">
      <c r="A1187" s="1238"/>
      <c r="B1187" s="1246"/>
      <c r="C1187" s="1246"/>
      <c r="D1187" s="1246"/>
      <c r="E1187" s="1247"/>
      <c r="F1187" s="880"/>
      <c r="G1187" s="880"/>
    </row>
    <row r="1188" spans="1:7" x14ac:dyDescent="0.25">
      <c r="A1188" s="1229"/>
      <c r="B1188" s="1229"/>
      <c r="C1188" s="1229"/>
      <c r="D1188" s="1229"/>
      <c r="E1188" s="1229"/>
      <c r="F1188" s="1229"/>
      <c r="G1188" s="1229"/>
    </row>
    <row r="1189" spans="1:7" x14ac:dyDescent="0.25">
      <c r="A1189" s="1234"/>
      <c r="B1189" s="1235"/>
      <c r="C1189" s="80"/>
      <c r="D1189" s="80"/>
      <c r="E1189" s="80"/>
      <c r="F1189" s="80"/>
      <c r="G1189" s="67"/>
    </row>
    <row r="1190" spans="1:7" x14ac:dyDescent="0.25">
      <c r="A1190" s="1236"/>
      <c r="B1190" s="1236"/>
      <c r="C1190" s="69"/>
      <c r="D1190" s="62"/>
      <c r="E1190" s="62"/>
      <c r="F1190" s="62"/>
      <c r="G1190" s="81"/>
    </row>
    <row r="1191" spans="1:7" x14ac:dyDescent="0.25">
      <c r="A1191" s="1236"/>
      <c r="B1191" s="1236"/>
      <c r="C1191" s="69"/>
      <c r="D1191" s="62"/>
      <c r="E1191" s="62"/>
      <c r="F1191" s="62"/>
      <c r="G1191" s="69"/>
    </row>
    <row r="1192" spans="1:7" x14ac:dyDescent="0.25">
      <c r="A1192" s="1236"/>
      <c r="B1192" s="1236"/>
      <c r="C1192" s="69"/>
      <c r="D1192" s="69"/>
      <c r="E1192" s="69"/>
      <c r="F1192" s="62"/>
      <c r="G1192" s="69"/>
    </row>
    <row r="1193" spans="1:7" x14ac:dyDescent="0.25">
      <c r="A1193" s="1236"/>
      <c r="B1193" s="1236"/>
      <c r="C1193" s="69"/>
      <c r="D1193" s="69"/>
      <c r="E1193" s="69"/>
      <c r="F1193" s="69"/>
      <c r="G1193" s="69"/>
    </row>
    <row r="1194" spans="1:7" x14ac:dyDescent="0.25">
      <c r="A1194" s="1236"/>
      <c r="B1194" s="1236"/>
      <c r="C1194" s="69"/>
      <c r="D1194" s="69"/>
      <c r="E1194" s="69"/>
      <c r="F1194" s="69"/>
      <c r="G1194" s="83"/>
    </row>
    <row r="1195" spans="1:7" x14ac:dyDescent="0.25">
      <c r="A1195" s="1237"/>
      <c r="B1195" s="1237"/>
      <c r="C1195" s="82"/>
      <c r="D1195" s="82"/>
      <c r="E1195" s="82"/>
      <c r="F1195" s="82"/>
      <c r="G1195" s="64"/>
    </row>
    <row r="1196" spans="1:7" x14ac:dyDescent="0.25">
      <c r="A1196" s="1234"/>
      <c r="B1196" s="1235"/>
      <c r="C1196" s="80"/>
      <c r="D1196" s="80"/>
      <c r="E1196" s="80"/>
      <c r="F1196" s="80"/>
      <c r="G1196" s="67"/>
    </row>
    <row r="1197" spans="1:7" x14ac:dyDescent="0.25">
      <c r="A1197" s="1226"/>
      <c r="B1197" s="1227"/>
      <c r="C1197" s="43"/>
      <c r="D1197" s="97"/>
      <c r="E1197" s="92"/>
      <c r="F1197" s="85"/>
      <c r="G1197" s="69"/>
    </row>
    <row r="1198" spans="1:7" x14ac:dyDescent="0.25">
      <c r="A1198" s="1228"/>
      <c r="B1198" s="1229"/>
      <c r="C1198" s="43"/>
      <c r="D1198" s="97"/>
      <c r="E1198" s="92"/>
      <c r="F1198" s="85"/>
      <c r="G1198" s="43"/>
    </row>
    <row r="1199" spans="1:7" x14ac:dyDescent="0.25">
      <c r="A1199" s="1228"/>
      <c r="B1199" s="1229"/>
      <c r="C1199" s="69"/>
      <c r="D1199" s="69"/>
      <c r="E1199" s="69"/>
      <c r="F1199" s="69"/>
      <c r="G1199" s="65"/>
    </row>
    <row r="1200" spans="1:7" x14ac:dyDescent="0.25">
      <c r="A1200" s="913"/>
      <c r="B1200" s="89"/>
      <c r="C1200" s="89"/>
      <c r="D1200" s="80"/>
      <c r="E1200" s="80"/>
      <c r="F1200" s="80"/>
      <c r="G1200" s="67"/>
    </row>
    <row r="1201" spans="1:7" x14ac:dyDescent="0.25">
      <c r="A1201" s="899"/>
      <c r="B1201" s="43"/>
      <c r="C1201" s="43"/>
      <c r="D1201" s="62"/>
      <c r="E1201" s="91"/>
      <c r="F1201" s="62"/>
      <c r="G1201" s="69"/>
    </row>
    <row r="1202" spans="1:7" x14ac:dyDescent="0.25">
      <c r="A1202" s="90"/>
      <c r="B1202" s="43"/>
      <c r="C1202" s="43"/>
      <c r="D1202" s="62"/>
      <c r="E1202" s="91"/>
      <c r="F1202" s="62"/>
      <c r="G1202" s="69"/>
    </row>
    <row r="1203" spans="1:7" x14ac:dyDescent="0.25">
      <c r="A1203" s="90"/>
      <c r="B1203" s="43"/>
      <c r="C1203" s="43"/>
      <c r="D1203" s="62"/>
      <c r="E1203" s="92"/>
      <c r="F1203" s="62"/>
      <c r="G1203" s="69"/>
    </row>
    <row r="1204" spans="1:7" x14ac:dyDescent="0.25">
      <c r="A1204" s="90"/>
      <c r="B1204" s="43"/>
      <c r="C1204" s="43"/>
      <c r="D1204" s="61"/>
      <c r="E1204" s="92"/>
      <c r="F1204" s="62"/>
      <c r="G1204" s="43"/>
    </row>
    <row r="1205" spans="1:7" x14ac:dyDescent="0.25">
      <c r="A1205" s="90"/>
      <c r="B1205" s="69"/>
      <c r="C1205" s="69"/>
      <c r="D1205" s="69"/>
      <c r="E1205" s="69"/>
      <c r="F1205" s="69"/>
      <c r="G1205" s="64"/>
    </row>
    <row r="1206" spans="1:7" x14ac:dyDescent="0.25">
      <c r="A1206" s="913"/>
      <c r="B1206" s="80"/>
      <c r="C1206" s="80"/>
      <c r="D1206" s="80"/>
      <c r="E1206" s="89"/>
      <c r="F1206" s="80"/>
      <c r="G1206" s="67"/>
    </row>
    <row r="1207" spans="1:7" x14ac:dyDescent="0.25">
      <c r="A1207" s="81"/>
      <c r="B1207" s="81"/>
      <c r="C1207" s="81"/>
      <c r="D1207" s="81"/>
      <c r="E1207" s="81"/>
      <c r="F1207" s="81"/>
      <c r="G1207" s="81"/>
    </row>
    <row r="1208" spans="1:7" x14ac:dyDescent="0.25">
      <c r="A1208" s="69"/>
      <c r="B1208" s="85"/>
      <c r="C1208" s="96"/>
      <c r="D1208" s="62"/>
      <c r="E1208" s="121"/>
      <c r="F1208" s="62"/>
      <c r="G1208" s="69"/>
    </row>
    <row r="1209" spans="1:7" x14ac:dyDescent="0.25">
      <c r="A1209" s="881"/>
      <c r="B1209" s="85"/>
      <c r="C1209" s="96"/>
      <c r="D1209" s="62"/>
      <c r="E1209" s="101"/>
      <c r="F1209" s="62"/>
      <c r="G1209" s="69"/>
    </row>
    <row r="1210" spans="1:7" x14ac:dyDescent="0.25">
      <c r="A1210" s="69"/>
      <c r="B1210" s="85"/>
      <c r="C1210" s="69"/>
      <c r="D1210" s="62"/>
      <c r="E1210" s="69"/>
      <c r="F1210" s="62"/>
      <c r="G1210" s="69"/>
    </row>
    <row r="1211" spans="1:7" x14ac:dyDescent="0.25">
      <c r="A1211" s="69"/>
      <c r="B1211" s="69"/>
      <c r="C1211" s="69"/>
      <c r="D1211" s="69"/>
      <c r="E1211" s="69"/>
      <c r="F1211" s="69"/>
      <c r="G1211" s="43"/>
    </row>
    <row r="1212" spans="1:7" x14ac:dyDescent="0.25">
      <c r="A1212" s="82"/>
      <c r="B1212" s="82"/>
      <c r="C1212" s="82"/>
      <c r="D1212" s="82"/>
      <c r="E1212" s="82"/>
      <c r="F1212" s="82"/>
      <c r="G1212" s="64"/>
    </row>
    <row r="1213" spans="1:7" x14ac:dyDescent="0.25">
      <c r="A1213" s="1230"/>
      <c r="B1213" s="1230"/>
      <c r="C1213" s="1230"/>
      <c r="D1213" s="1230"/>
      <c r="E1213" s="1230"/>
      <c r="F1213" s="1230"/>
      <c r="G1213" s="1233"/>
    </row>
    <row r="1214" spans="1:7" x14ac:dyDescent="0.25">
      <c r="A1214" s="1248"/>
      <c r="B1214" s="1248"/>
      <c r="C1214" s="1248"/>
      <c r="D1214" s="1248"/>
      <c r="E1214" s="1231"/>
      <c r="F1214" s="93"/>
      <c r="G1214" s="70"/>
    </row>
    <row r="1215" spans="1:7" x14ac:dyDescent="0.25">
      <c r="A1215" s="1232"/>
      <c r="B1215" s="1232"/>
      <c r="C1215" s="1222"/>
      <c r="D1215" s="1222"/>
      <c r="E1215" s="1222"/>
      <c r="F1215" s="1222"/>
      <c r="G1215" s="1222"/>
    </row>
    <row r="1216" spans="1:7" x14ac:dyDescent="0.25">
      <c r="A1216" s="1232"/>
      <c r="B1216" s="1232"/>
      <c r="C1216" s="1222"/>
      <c r="D1216" s="1222"/>
      <c r="E1216" s="1222"/>
      <c r="F1216" s="1222"/>
      <c r="G1216" s="1222"/>
    </row>
    <row r="1217" spans="1:7" x14ac:dyDescent="0.25">
      <c r="A1217" s="1244"/>
      <c r="B1217" s="1244"/>
      <c r="C1217" s="1244"/>
      <c r="D1217" s="1244"/>
      <c r="E1217" s="1244"/>
      <c r="F1217" s="1221"/>
      <c r="G1217" s="1222"/>
    </row>
    <row r="1218" spans="1:7" x14ac:dyDescent="0.25">
      <c r="A1218" s="1244"/>
      <c r="B1218" s="1244"/>
      <c r="C1218" s="1244"/>
      <c r="D1218" s="1244"/>
      <c r="E1218" s="1244"/>
      <c r="F1218" s="1221"/>
      <c r="G1218" s="1222"/>
    </row>
    <row r="1219" spans="1:7" x14ac:dyDescent="0.25">
      <c r="A1219" s="1244"/>
      <c r="B1219" s="1244"/>
      <c r="C1219" s="1244"/>
      <c r="D1219" s="1244"/>
      <c r="E1219" s="1244"/>
      <c r="F1219" s="1221"/>
      <c r="G1219" s="1222"/>
    </row>
    <row r="1220" spans="1:7" x14ac:dyDescent="0.25">
      <c r="A1220" s="1244"/>
      <c r="B1220" s="1244"/>
      <c r="C1220" s="1244"/>
      <c r="D1220" s="1244"/>
      <c r="E1220" s="1244"/>
      <c r="F1220" s="1221"/>
      <c r="G1220" s="1222"/>
    </row>
    <row r="1221" spans="1:7" x14ac:dyDescent="0.25">
      <c r="A1221" s="1245"/>
      <c r="B1221" s="1245"/>
      <c r="C1221" s="1245"/>
      <c r="D1221" s="1245"/>
      <c r="E1221" s="1245"/>
      <c r="F1221" s="1222"/>
      <c r="G1221" s="1222"/>
    </row>
    <row r="1229" spans="1:7" x14ac:dyDescent="0.25">
      <c r="A1229" s="95"/>
      <c r="B1229" s="94"/>
      <c r="C1229" s="94"/>
      <c r="D1229" s="94"/>
      <c r="E1229" s="94"/>
      <c r="F1229" s="882"/>
      <c r="G1229" s="882"/>
    </row>
    <row r="1230" spans="1:7" x14ac:dyDescent="0.25">
      <c r="A1230" s="1238"/>
      <c r="B1230" s="1246"/>
      <c r="C1230" s="1246"/>
      <c r="D1230" s="1246"/>
      <c r="E1230" s="1247"/>
      <c r="F1230" s="880"/>
      <c r="G1230" s="880"/>
    </row>
    <row r="1231" spans="1:7" x14ac:dyDescent="0.25">
      <c r="A1231" s="1229"/>
      <c r="B1231" s="1229"/>
      <c r="C1231" s="1229"/>
      <c r="D1231" s="1229"/>
      <c r="E1231" s="1229"/>
      <c r="F1231" s="1229"/>
      <c r="G1231" s="1229"/>
    </row>
    <row r="1232" spans="1:7" x14ac:dyDescent="0.25">
      <c r="A1232" s="1234"/>
      <c r="B1232" s="1235"/>
      <c r="C1232" s="80"/>
      <c r="D1232" s="80"/>
      <c r="E1232" s="80"/>
      <c r="F1232" s="80"/>
      <c r="G1232" s="67"/>
    </row>
    <row r="1233" spans="1:7" x14ac:dyDescent="0.25">
      <c r="A1233" s="1236"/>
      <c r="B1233" s="1236"/>
      <c r="C1233" s="69"/>
      <c r="D1233" s="62"/>
      <c r="E1233" s="62"/>
      <c r="F1233" s="62"/>
      <c r="G1233" s="81"/>
    </row>
    <row r="1234" spans="1:7" x14ac:dyDescent="0.25">
      <c r="A1234" s="1236"/>
      <c r="B1234" s="1236"/>
      <c r="C1234" s="69"/>
      <c r="D1234" s="62"/>
      <c r="E1234" s="62"/>
      <c r="F1234" s="62"/>
      <c r="G1234" s="69"/>
    </row>
    <row r="1235" spans="1:7" x14ac:dyDescent="0.25">
      <c r="A1235" s="1236"/>
      <c r="B1235" s="1236"/>
      <c r="C1235" s="69"/>
      <c r="D1235" s="69"/>
      <c r="E1235" s="69"/>
      <c r="F1235" s="62"/>
      <c r="G1235" s="69"/>
    </row>
    <row r="1236" spans="1:7" x14ac:dyDescent="0.25">
      <c r="A1236" s="1236"/>
      <c r="B1236" s="1236"/>
      <c r="C1236" s="69"/>
      <c r="D1236" s="69"/>
      <c r="E1236" s="69"/>
      <c r="F1236" s="69"/>
      <c r="G1236" s="69"/>
    </row>
    <row r="1237" spans="1:7" x14ac:dyDescent="0.25">
      <c r="A1237" s="1236"/>
      <c r="B1237" s="1236"/>
      <c r="C1237" s="69"/>
      <c r="D1237" s="69"/>
      <c r="E1237" s="69"/>
      <c r="F1237" s="69"/>
      <c r="G1237" s="83"/>
    </row>
    <row r="1238" spans="1:7" x14ac:dyDescent="0.25">
      <c r="A1238" s="1237"/>
      <c r="B1238" s="1237"/>
      <c r="C1238" s="82"/>
      <c r="D1238" s="82"/>
      <c r="E1238" s="82"/>
      <c r="F1238" s="82"/>
      <c r="G1238" s="64"/>
    </row>
    <row r="1239" spans="1:7" x14ac:dyDescent="0.25">
      <c r="A1239" s="1234"/>
      <c r="B1239" s="1235"/>
      <c r="C1239" s="80"/>
      <c r="D1239" s="80"/>
      <c r="E1239" s="80"/>
      <c r="F1239" s="80"/>
      <c r="G1239" s="67"/>
    </row>
    <row r="1240" spans="1:7" x14ac:dyDescent="0.25">
      <c r="A1240" s="1226"/>
      <c r="B1240" s="1227"/>
      <c r="C1240" s="43"/>
      <c r="D1240" s="97"/>
      <c r="E1240" s="92"/>
      <c r="F1240" s="85"/>
      <c r="G1240" s="69"/>
    </row>
    <row r="1241" spans="1:7" x14ac:dyDescent="0.25">
      <c r="A1241" s="1228"/>
      <c r="B1241" s="1229"/>
      <c r="C1241" s="43"/>
      <c r="D1241" s="97"/>
      <c r="E1241" s="92"/>
      <c r="F1241" s="85"/>
      <c r="G1241" s="43"/>
    </row>
    <row r="1242" spans="1:7" x14ac:dyDescent="0.25">
      <c r="A1242" s="1228"/>
      <c r="B1242" s="1229"/>
      <c r="C1242" s="69"/>
      <c r="D1242" s="69"/>
      <c r="E1242" s="69"/>
      <c r="F1242" s="69"/>
      <c r="G1242" s="65"/>
    </row>
    <row r="1243" spans="1:7" x14ac:dyDescent="0.25">
      <c r="A1243" s="913"/>
      <c r="B1243" s="89"/>
      <c r="C1243" s="89"/>
      <c r="D1243" s="80"/>
      <c r="E1243" s="80"/>
      <c r="F1243" s="80"/>
      <c r="G1243" s="67"/>
    </row>
    <row r="1244" spans="1:7" x14ac:dyDescent="0.25">
      <c r="A1244" s="899"/>
      <c r="B1244" s="43"/>
      <c r="C1244" s="43"/>
      <c r="D1244" s="62"/>
      <c r="E1244" s="91"/>
      <c r="F1244" s="62"/>
      <c r="G1244" s="69"/>
    </row>
    <row r="1245" spans="1:7" x14ac:dyDescent="0.25">
      <c r="A1245" s="90"/>
      <c r="B1245" s="43"/>
      <c r="C1245" s="43"/>
      <c r="D1245" s="62"/>
      <c r="E1245" s="91"/>
      <c r="F1245" s="62"/>
      <c r="G1245" s="69"/>
    </row>
    <row r="1246" spans="1:7" x14ac:dyDescent="0.25">
      <c r="A1246" s="90"/>
      <c r="B1246" s="43"/>
      <c r="C1246" s="43"/>
      <c r="D1246" s="62"/>
      <c r="E1246" s="92"/>
      <c r="F1246" s="62"/>
      <c r="G1246" s="69"/>
    </row>
    <row r="1247" spans="1:7" x14ac:dyDescent="0.25">
      <c r="A1247" s="90"/>
      <c r="B1247" s="43"/>
      <c r="C1247" s="43"/>
      <c r="D1247" s="61"/>
      <c r="E1247" s="92"/>
      <c r="F1247" s="62"/>
      <c r="G1247" s="43"/>
    </row>
    <row r="1248" spans="1:7" x14ac:dyDescent="0.25">
      <c r="A1248" s="90"/>
      <c r="B1248" s="69"/>
      <c r="C1248" s="69"/>
      <c r="D1248" s="69"/>
      <c r="E1248" s="69"/>
      <c r="F1248" s="69"/>
      <c r="G1248" s="64"/>
    </row>
    <row r="1249" spans="1:7" x14ac:dyDescent="0.25">
      <c r="A1249" s="913"/>
      <c r="B1249" s="80"/>
      <c r="C1249" s="80"/>
      <c r="D1249" s="80"/>
      <c r="E1249" s="89"/>
      <c r="F1249" s="80"/>
      <c r="G1249" s="67"/>
    </row>
    <row r="1250" spans="1:7" x14ac:dyDescent="0.25">
      <c r="A1250" s="81"/>
      <c r="B1250" s="81"/>
      <c r="C1250" s="81"/>
      <c r="D1250" s="81"/>
      <c r="E1250" s="81"/>
      <c r="F1250" s="81"/>
      <c r="G1250" s="81"/>
    </row>
    <row r="1251" spans="1:7" x14ac:dyDescent="0.25">
      <c r="A1251" s="69"/>
      <c r="B1251" s="85"/>
      <c r="C1251" s="96"/>
      <c r="D1251" s="62"/>
      <c r="E1251" s="121"/>
      <c r="F1251" s="62"/>
      <c r="G1251" s="69"/>
    </row>
    <row r="1252" spans="1:7" x14ac:dyDescent="0.25">
      <c r="A1252" s="881"/>
      <c r="B1252" s="85"/>
      <c r="C1252" s="96"/>
      <c r="D1252" s="62"/>
      <c r="E1252" s="101"/>
      <c r="F1252" s="62"/>
      <c r="G1252" s="69"/>
    </row>
    <row r="1253" spans="1:7" x14ac:dyDescent="0.25">
      <c r="A1253" s="69"/>
      <c r="B1253" s="85"/>
      <c r="C1253" s="69"/>
      <c r="D1253" s="62"/>
      <c r="E1253" s="69"/>
      <c r="F1253" s="62"/>
      <c r="G1253" s="69"/>
    </row>
    <row r="1254" spans="1:7" x14ac:dyDescent="0.25">
      <c r="A1254" s="69"/>
      <c r="B1254" s="69"/>
      <c r="C1254" s="69"/>
      <c r="D1254" s="69"/>
      <c r="E1254" s="69"/>
      <c r="F1254" s="69"/>
      <c r="G1254" s="43"/>
    </row>
    <row r="1255" spans="1:7" x14ac:dyDescent="0.25">
      <c r="A1255" s="82"/>
      <c r="B1255" s="82"/>
      <c r="C1255" s="82"/>
      <c r="D1255" s="82"/>
      <c r="E1255" s="82"/>
      <c r="F1255" s="82"/>
      <c r="G1255" s="64"/>
    </row>
    <row r="1256" spans="1:7" x14ac:dyDescent="0.25">
      <c r="A1256" s="1230"/>
      <c r="B1256" s="1230"/>
      <c r="C1256" s="1230"/>
      <c r="D1256" s="1230"/>
      <c r="E1256" s="1230"/>
      <c r="F1256" s="1230"/>
      <c r="G1256" s="1233"/>
    </row>
    <row r="1257" spans="1:7" x14ac:dyDescent="0.25">
      <c r="A1257" s="1248"/>
      <c r="B1257" s="1248"/>
      <c r="C1257" s="1248"/>
      <c r="D1257" s="1248"/>
      <c r="E1257" s="1231"/>
      <c r="F1257" s="93"/>
      <c r="G1257" s="70"/>
    </row>
    <row r="1258" spans="1:7" x14ac:dyDescent="0.25">
      <c r="A1258" s="1232"/>
      <c r="B1258" s="1232"/>
      <c r="C1258" s="1222"/>
      <c r="D1258" s="1222"/>
      <c r="E1258" s="1222"/>
      <c r="F1258" s="1222"/>
      <c r="G1258" s="1222"/>
    </row>
    <row r="1259" spans="1:7" x14ac:dyDescent="0.25">
      <c r="A1259" s="1232"/>
      <c r="B1259" s="1232"/>
      <c r="C1259" s="1222"/>
      <c r="D1259" s="1222"/>
      <c r="E1259" s="1222"/>
      <c r="F1259" s="1222"/>
      <c r="G1259" s="1222"/>
    </row>
    <row r="1260" spans="1:7" x14ac:dyDescent="0.25">
      <c r="A1260" s="1244"/>
      <c r="B1260" s="1244"/>
      <c r="C1260" s="1244"/>
      <c r="D1260" s="1244"/>
      <c r="E1260" s="1244"/>
      <c r="F1260" s="1221"/>
      <c r="G1260" s="1222"/>
    </row>
    <row r="1261" spans="1:7" x14ac:dyDescent="0.25">
      <c r="A1261" s="1244"/>
      <c r="B1261" s="1244"/>
      <c r="C1261" s="1244"/>
      <c r="D1261" s="1244"/>
      <c r="E1261" s="1244"/>
      <c r="F1261" s="1221"/>
      <c r="G1261" s="1222"/>
    </row>
    <row r="1262" spans="1:7" x14ac:dyDescent="0.25">
      <c r="A1262" s="1244"/>
      <c r="B1262" s="1244"/>
      <c r="C1262" s="1244"/>
      <c r="D1262" s="1244"/>
      <c r="E1262" s="1244"/>
      <c r="F1262" s="1221"/>
      <c r="G1262" s="1222"/>
    </row>
    <row r="1263" spans="1:7" x14ac:dyDescent="0.25">
      <c r="A1263" s="1244"/>
      <c r="B1263" s="1244"/>
      <c r="C1263" s="1244"/>
      <c r="D1263" s="1244"/>
      <c r="E1263" s="1244"/>
      <c r="F1263" s="1221"/>
      <c r="G1263" s="1222"/>
    </row>
    <row r="1264" spans="1:7" x14ac:dyDescent="0.25">
      <c r="A1264" s="1245"/>
      <c r="B1264" s="1245"/>
      <c r="C1264" s="1245"/>
      <c r="D1264" s="1245"/>
      <c r="E1264" s="1245"/>
      <c r="F1264" s="1222"/>
      <c r="G1264" s="1222"/>
    </row>
    <row r="1273" spans="1:7" x14ac:dyDescent="0.25">
      <c r="A1273" s="95"/>
      <c r="B1273" s="94"/>
      <c r="C1273" s="94"/>
      <c r="D1273" s="94"/>
      <c r="E1273" s="94"/>
      <c r="F1273" s="882"/>
      <c r="G1273" s="882"/>
    </row>
    <row r="1274" spans="1:7" x14ac:dyDescent="0.25">
      <c r="A1274" s="1238"/>
      <c r="B1274" s="1246"/>
      <c r="C1274" s="1246"/>
      <c r="D1274" s="1246"/>
      <c r="E1274" s="1247"/>
      <c r="F1274" s="880"/>
      <c r="G1274" s="880"/>
    </row>
    <row r="1275" spans="1:7" x14ac:dyDescent="0.25">
      <c r="A1275" s="1229"/>
      <c r="B1275" s="1229"/>
      <c r="C1275" s="1229"/>
      <c r="D1275" s="1229"/>
      <c r="E1275" s="1229"/>
      <c r="F1275" s="1229"/>
      <c r="G1275" s="1229"/>
    </row>
    <row r="1276" spans="1:7" x14ac:dyDescent="0.25">
      <c r="A1276" s="1234"/>
      <c r="B1276" s="1235"/>
      <c r="C1276" s="80"/>
      <c r="D1276" s="80"/>
      <c r="E1276" s="80"/>
      <c r="F1276" s="80"/>
      <c r="G1276" s="67"/>
    </row>
    <row r="1277" spans="1:7" x14ac:dyDescent="0.25">
      <c r="A1277" s="1236"/>
      <c r="B1277" s="1236"/>
      <c r="C1277" s="69"/>
      <c r="D1277" s="62"/>
      <c r="E1277" s="62"/>
      <c r="F1277" s="62"/>
      <c r="G1277" s="81"/>
    </row>
    <row r="1278" spans="1:7" x14ac:dyDescent="0.25">
      <c r="A1278" s="1236"/>
      <c r="B1278" s="1236"/>
      <c r="C1278" s="69"/>
      <c r="D1278" s="62"/>
      <c r="E1278" s="62"/>
      <c r="F1278" s="62"/>
      <c r="G1278" s="69"/>
    </row>
    <row r="1279" spans="1:7" x14ac:dyDescent="0.25">
      <c r="A1279" s="1236"/>
      <c r="B1279" s="1236"/>
      <c r="C1279" s="69"/>
      <c r="D1279" s="69"/>
      <c r="E1279" s="69"/>
      <c r="F1279" s="62"/>
      <c r="G1279" s="69"/>
    </row>
    <row r="1280" spans="1:7" x14ac:dyDescent="0.25">
      <c r="A1280" s="1236"/>
      <c r="B1280" s="1236"/>
      <c r="C1280" s="69"/>
      <c r="D1280" s="69"/>
      <c r="E1280" s="69"/>
      <c r="F1280" s="69"/>
      <c r="G1280" s="69"/>
    </row>
    <row r="1281" spans="1:7" x14ac:dyDescent="0.25">
      <c r="A1281" s="1236"/>
      <c r="B1281" s="1236"/>
      <c r="C1281" s="69"/>
      <c r="D1281" s="69"/>
      <c r="E1281" s="69"/>
      <c r="F1281" s="69"/>
      <c r="G1281" s="83"/>
    </row>
    <row r="1282" spans="1:7" x14ac:dyDescent="0.25">
      <c r="A1282" s="1237"/>
      <c r="B1282" s="1237"/>
      <c r="C1282" s="82"/>
      <c r="D1282" s="82"/>
      <c r="E1282" s="82"/>
      <c r="F1282" s="82"/>
      <c r="G1282" s="64"/>
    </row>
    <row r="1283" spans="1:7" x14ac:dyDescent="0.25">
      <c r="A1283" s="1234"/>
      <c r="B1283" s="1235"/>
      <c r="C1283" s="80"/>
      <c r="D1283" s="80"/>
      <c r="E1283" s="80"/>
      <c r="F1283" s="80"/>
      <c r="G1283" s="67"/>
    </row>
    <row r="1284" spans="1:7" x14ac:dyDescent="0.25">
      <c r="A1284" s="1226"/>
      <c r="B1284" s="1227"/>
      <c r="C1284" s="43"/>
      <c r="D1284" s="97"/>
      <c r="E1284" s="92"/>
      <c r="F1284" s="85"/>
      <c r="G1284" s="69"/>
    </row>
    <row r="1285" spans="1:7" x14ac:dyDescent="0.25">
      <c r="A1285" s="1228"/>
      <c r="B1285" s="1229"/>
      <c r="C1285" s="43"/>
      <c r="D1285" s="97"/>
      <c r="E1285" s="92"/>
      <c r="F1285" s="85"/>
      <c r="G1285" s="43"/>
    </row>
    <row r="1286" spans="1:7" x14ac:dyDescent="0.25">
      <c r="A1286" s="1228"/>
      <c r="B1286" s="1229"/>
      <c r="C1286" s="69"/>
      <c r="D1286" s="69"/>
      <c r="E1286" s="69"/>
      <c r="F1286" s="69"/>
      <c r="G1286" s="65"/>
    </row>
    <row r="1287" spans="1:7" x14ac:dyDescent="0.25">
      <c r="A1287" s="913"/>
      <c r="B1287" s="89"/>
      <c r="C1287" s="89"/>
      <c r="D1287" s="80"/>
      <c r="E1287" s="80"/>
      <c r="F1287" s="80"/>
      <c r="G1287" s="67"/>
    </row>
    <row r="1288" spans="1:7" x14ac:dyDescent="0.25">
      <c r="A1288" s="899"/>
      <c r="B1288" s="43"/>
      <c r="C1288" s="43"/>
      <c r="D1288" s="62"/>
      <c r="E1288" s="91"/>
      <c r="F1288" s="62"/>
      <c r="G1288" s="69"/>
    </row>
    <row r="1289" spans="1:7" x14ac:dyDescent="0.25">
      <c r="A1289" s="90"/>
      <c r="B1289" s="43"/>
      <c r="C1289" s="43"/>
      <c r="D1289" s="62"/>
      <c r="E1289" s="91"/>
      <c r="F1289" s="62"/>
      <c r="G1289" s="69"/>
    </row>
    <row r="1290" spans="1:7" x14ac:dyDescent="0.25">
      <c r="A1290" s="90"/>
      <c r="B1290" s="43"/>
      <c r="C1290" s="43"/>
      <c r="D1290" s="62"/>
      <c r="E1290" s="92"/>
      <c r="F1290" s="62"/>
      <c r="G1290" s="69"/>
    </row>
    <row r="1291" spans="1:7" x14ac:dyDescent="0.25">
      <c r="A1291" s="90"/>
      <c r="B1291" s="43"/>
      <c r="C1291" s="43"/>
      <c r="D1291" s="61"/>
      <c r="E1291" s="92"/>
      <c r="F1291" s="62"/>
      <c r="G1291" s="43"/>
    </row>
    <row r="1292" spans="1:7" x14ac:dyDescent="0.25">
      <c r="A1292" s="90"/>
      <c r="B1292" s="69"/>
      <c r="C1292" s="69"/>
      <c r="D1292" s="69"/>
      <c r="E1292" s="69"/>
      <c r="F1292" s="69"/>
      <c r="G1292" s="64"/>
    </row>
    <row r="1293" spans="1:7" x14ac:dyDescent="0.25">
      <c r="A1293" s="913"/>
      <c r="B1293" s="80"/>
      <c r="C1293" s="80"/>
      <c r="D1293" s="80"/>
      <c r="E1293" s="89"/>
      <c r="F1293" s="80"/>
      <c r="G1293" s="67"/>
    </row>
    <row r="1294" spans="1:7" x14ac:dyDescent="0.25">
      <c r="A1294" s="81"/>
      <c r="B1294" s="81"/>
      <c r="C1294" s="81"/>
      <c r="D1294" s="81"/>
      <c r="E1294" s="81"/>
      <c r="F1294" s="81"/>
      <c r="G1294" s="81"/>
    </row>
    <row r="1295" spans="1:7" x14ac:dyDescent="0.25">
      <c r="A1295" s="69"/>
      <c r="B1295" s="85"/>
      <c r="C1295" s="96"/>
      <c r="D1295" s="62"/>
      <c r="E1295" s="121"/>
      <c r="F1295" s="62"/>
      <c r="G1295" s="69"/>
    </row>
    <row r="1296" spans="1:7" x14ac:dyDescent="0.25">
      <c r="A1296" s="881"/>
      <c r="B1296" s="85"/>
      <c r="C1296" s="96"/>
      <c r="D1296" s="62"/>
      <c r="E1296" s="101"/>
      <c r="F1296" s="62"/>
      <c r="G1296" s="69"/>
    </row>
    <row r="1297" spans="1:7" x14ac:dyDescent="0.25">
      <c r="A1297" s="69"/>
      <c r="B1297" s="85"/>
      <c r="C1297" s="69"/>
      <c r="D1297" s="62"/>
      <c r="E1297" s="69"/>
      <c r="F1297" s="62"/>
      <c r="G1297" s="69"/>
    </row>
    <row r="1298" spans="1:7" x14ac:dyDescent="0.25">
      <c r="A1298" s="69"/>
      <c r="B1298" s="69"/>
      <c r="C1298" s="69"/>
      <c r="D1298" s="69"/>
      <c r="E1298" s="69"/>
      <c r="F1298" s="69"/>
      <c r="G1298" s="43"/>
    </row>
    <row r="1299" spans="1:7" x14ac:dyDescent="0.25">
      <c r="A1299" s="82"/>
      <c r="B1299" s="82"/>
      <c r="C1299" s="82"/>
      <c r="D1299" s="82"/>
      <c r="E1299" s="82"/>
      <c r="F1299" s="82"/>
      <c r="G1299" s="64"/>
    </row>
    <row r="1300" spans="1:7" x14ac:dyDescent="0.25">
      <c r="A1300" s="1230"/>
      <c r="B1300" s="1230"/>
      <c r="C1300" s="1230"/>
      <c r="D1300" s="1230"/>
      <c r="E1300" s="1230"/>
      <c r="F1300" s="1230"/>
      <c r="G1300" s="1233"/>
    </row>
    <row r="1301" spans="1:7" x14ac:dyDescent="0.25">
      <c r="A1301" s="1248"/>
      <c r="B1301" s="1248"/>
      <c r="C1301" s="1248"/>
      <c r="D1301" s="1248"/>
      <c r="E1301" s="1231"/>
      <c r="F1301" s="93"/>
      <c r="G1301" s="70"/>
    </row>
    <row r="1302" spans="1:7" x14ac:dyDescent="0.25">
      <c r="A1302" s="1232"/>
      <c r="B1302" s="1232"/>
      <c r="C1302" s="1222"/>
      <c r="D1302" s="1222"/>
      <c r="E1302" s="1222"/>
      <c r="F1302" s="1222"/>
      <c r="G1302" s="1222"/>
    </row>
    <row r="1303" spans="1:7" x14ac:dyDescent="0.25">
      <c r="A1303" s="1232"/>
      <c r="B1303" s="1232"/>
      <c r="C1303" s="1222"/>
      <c r="D1303" s="1222"/>
      <c r="E1303" s="1222"/>
      <c r="F1303" s="1222"/>
      <c r="G1303" s="1222"/>
    </row>
    <row r="1304" spans="1:7" x14ac:dyDescent="0.25">
      <c r="A1304" s="1244"/>
      <c r="B1304" s="1244"/>
      <c r="C1304" s="1244"/>
      <c r="D1304" s="1244"/>
      <c r="E1304" s="1244"/>
      <c r="F1304" s="1221"/>
      <c r="G1304" s="1222"/>
    </row>
    <row r="1305" spans="1:7" x14ac:dyDescent="0.25">
      <c r="A1305" s="1244"/>
      <c r="B1305" s="1244"/>
      <c r="C1305" s="1244"/>
      <c r="D1305" s="1244"/>
      <c r="E1305" s="1244"/>
      <c r="F1305" s="1221"/>
      <c r="G1305" s="1222"/>
    </row>
    <row r="1306" spans="1:7" x14ac:dyDescent="0.25">
      <c r="A1306" s="1244"/>
      <c r="B1306" s="1244"/>
      <c r="C1306" s="1244"/>
      <c r="D1306" s="1244"/>
      <c r="E1306" s="1244"/>
      <c r="F1306" s="1221"/>
      <c r="G1306" s="1222"/>
    </row>
    <row r="1307" spans="1:7" x14ac:dyDescent="0.25">
      <c r="A1307" s="1244"/>
      <c r="B1307" s="1244"/>
      <c r="C1307" s="1244"/>
      <c r="D1307" s="1244"/>
      <c r="E1307" s="1244"/>
      <c r="F1307" s="1221"/>
      <c r="G1307" s="1222"/>
    </row>
    <row r="1308" spans="1:7" x14ac:dyDescent="0.25">
      <c r="A1308" s="1245"/>
      <c r="B1308" s="1245"/>
      <c r="C1308" s="1245"/>
      <c r="D1308" s="1245"/>
      <c r="E1308" s="1245"/>
      <c r="F1308" s="1222"/>
      <c r="G1308" s="1222"/>
    </row>
  </sheetData>
  <mergeCells count="951">
    <mergeCell ref="A103:B103"/>
    <mergeCell ref="A117:G117"/>
    <mergeCell ref="A118:E118"/>
    <mergeCell ref="A119:B120"/>
    <mergeCell ref="C119:C120"/>
    <mergeCell ref="D119:D120"/>
    <mergeCell ref="E119:E120"/>
    <mergeCell ref="F119:F120"/>
    <mergeCell ref="G119:G120"/>
    <mergeCell ref="E75:E76"/>
    <mergeCell ref="F75:F76"/>
    <mergeCell ref="G75:G76"/>
    <mergeCell ref="F77:F80"/>
    <mergeCell ref="G77:G80"/>
    <mergeCell ref="A80:E80"/>
    <mergeCell ref="A1308:E1308"/>
    <mergeCell ref="F1308:G1308"/>
    <mergeCell ref="A44:E44"/>
    <mergeCell ref="A45:G45"/>
    <mergeCell ref="A53:B53"/>
    <mergeCell ref="A54:B54"/>
    <mergeCell ref="A58:B58"/>
    <mergeCell ref="A59:B59"/>
    <mergeCell ref="A73:G73"/>
    <mergeCell ref="A74:E74"/>
    <mergeCell ref="G1302:G1303"/>
    <mergeCell ref="A1304:E1304"/>
    <mergeCell ref="F1304:F1307"/>
    <mergeCell ref="G1304:G1307"/>
    <mergeCell ref="A1305:E1305"/>
    <mergeCell ref="A1306:E1306"/>
    <mergeCell ref="A1307:E1307"/>
    <mergeCell ref="A1284:B1284"/>
    <mergeCell ref="A1285:B1285"/>
    <mergeCell ref="A1286:B1286"/>
    <mergeCell ref="A1300:G1300"/>
    <mergeCell ref="A1301:E1301"/>
    <mergeCell ref="A1302:B1303"/>
    <mergeCell ref="C1302:C1303"/>
    <mergeCell ref="D1302:D1303"/>
    <mergeCell ref="E1302:E1303"/>
    <mergeCell ref="F1302:F1303"/>
    <mergeCell ref="A1278:B1278"/>
    <mergeCell ref="A1279:B1279"/>
    <mergeCell ref="A1280:B1280"/>
    <mergeCell ref="A1281:B1281"/>
    <mergeCell ref="A1282:B1282"/>
    <mergeCell ref="A1283:B1283"/>
    <mergeCell ref="A1264:E1264"/>
    <mergeCell ref="F1264:G1264"/>
    <mergeCell ref="A1274:E1274"/>
    <mergeCell ref="A1275:G1275"/>
    <mergeCell ref="A1276:B1276"/>
    <mergeCell ref="A1277:B1277"/>
    <mergeCell ref="G1258:G1259"/>
    <mergeCell ref="A1260:E1260"/>
    <mergeCell ref="F1260:F1263"/>
    <mergeCell ref="G1260:G1263"/>
    <mergeCell ref="A1261:E1261"/>
    <mergeCell ref="A1262:E1262"/>
    <mergeCell ref="A1263:E1263"/>
    <mergeCell ref="A1240:B1240"/>
    <mergeCell ref="A1241:B1241"/>
    <mergeCell ref="A1242:B1242"/>
    <mergeCell ref="A1256:G1256"/>
    <mergeCell ref="A1257:E1257"/>
    <mergeCell ref="A1258:B1259"/>
    <mergeCell ref="C1258:C1259"/>
    <mergeCell ref="D1258:D1259"/>
    <mergeCell ref="E1258:E1259"/>
    <mergeCell ref="F1258:F1259"/>
    <mergeCell ref="A1234:B1234"/>
    <mergeCell ref="A1235:B1235"/>
    <mergeCell ref="A1236:B1236"/>
    <mergeCell ref="A1237:B1237"/>
    <mergeCell ref="A1238:B1238"/>
    <mergeCell ref="A1239:B1239"/>
    <mergeCell ref="A1221:E1221"/>
    <mergeCell ref="F1221:G1221"/>
    <mergeCell ref="A1230:E1230"/>
    <mergeCell ref="A1231:G1231"/>
    <mergeCell ref="A1232:B1232"/>
    <mergeCell ref="A1233:B1233"/>
    <mergeCell ref="G1215:G1216"/>
    <mergeCell ref="A1217:E1217"/>
    <mergeCell ref="F1217:F1220"/>
    <mergeCell ref="G1217:G1220"/>
    <mergeCell ref="A1218:E1218"/>
    <mergeCell ref="A1219:E1219"/>
    <mergeCell ref="A1220:E1220"/>
    <mergeCell ref="A1197:B1197"/>
    <mergeCell ref="A1198:B1198"/>
    <mergeCell ref="A1199:B1199"/>
    <mergeCell ref="A1213:G1213"/>
    <mergeCell ref="A1214:E1214"/>
    <mergeCell ref="A1215:B1216"/>
    <mergeCell ref="C1215:C1216"/>
    <mergeCell ref="D1215:D1216"/>
    <mergeCell ref="E1215:E1216"/>
    <mergeCell ref="F1215:F1216"/>
    <mergeCell ref="A1191:B1191"/>
    <mergeCell ref="A1192:B1192"/>
    <mergeCell ref="A1193:B1193"/>
    <mergeCell ref="A1194:B1194"/>
    <mergeCell ref="A1195:B1195"/>
    <mergeCell ref="A1196:B1196"/>
    <mergeCell ref="A1178:E1178"/>
    <mergeCell ref="F1178:G1178"/>
    <mergeCell ref="A1187:E1187"/>
    <mergeCell ref="A1188:G1188"/>
    <mergeCell ref="A1189:B1189"/>
    <mergeCell ref="A1190:B1190"/>
    <mergeCell ref="G1172:G1173"/>
    <mergeCell ref="A1174:E1174"/>
    <mergeCell ref="F1174:F1177"/>
    <mergeCell ref="G1174:G1177"/>
    <mergeCell ref="A1175:E1175"/>
    <mergeCell ref="A1176:E1176"/>
    <mergeCell ref="A1177:E1177"/>
    <mergeCell ref="A1154:B1154"/>
    <mergeCell ref="A1155:B1155"/>
    <mergeCell ref="A1156:B1156"/>
    <mergeCell ref="A1170:G1170"/>
    <mergeCell ref="A1171:E1171"/>
    <mergeCell ref="A1172:B1173"/>
    <mergeCell ref="C1172:C1173"/>
    <mergeCell ref="D1172:D1173"/>
    <mergeCell ref="E1172:E1173"/>
    <mergeCell ref="F1172:F1173"/>
    <mergeCell ref="A1148:B1148"/>
    <mergeCell ref="A1149:B1149"/>
    <mergeCell ref="A1150:B1150"/>
    <mergeCell ref="A1151:B1151"/>
    <mergeCell ref="A1152:B1152"/>
    <mergeCell ref="A1153:B1153"/>
    <mergeCell ref="A1135:E1135"/>
    <mergeCell ref="F1135:G1135"/>
    <mergeCell ref="A1144:E1144"/>
    <mergeCell ref="A1145:G1145"/>
    <mergeCell ref="A1146:B1146"/>
    <mergeCell ref="A1147:B1147"/>
    <mergeCell ref="G1129:G1130"/>
    <mergeCell ref="A1131:E1131"/>
    <mergeCell ref="F1131:F1134"/>
    <mergeCell ref="G1131:G1134"/>
    <mergeCell ref="A1132:E1132"/>
    <mergeCell ref="A1133:E1133"/>
    <mergeCell ref="A1134:E1134"/>
    <mergeCell ref="A1111:B1111"/>
    <mergeCell ref="A1112:B1112"/>
    <mergeCell ref="A1113:B1113"/>
    <mergeCell ref="A1127:G1127"/>
    <mergeCell ref="A1128:E1128"/>
    <mergeCell ref="A1129:B1130"/>
    <mergeCell ref="C1129:C1130"/>
    <mergeCell ref="D1129:D1130"/>
    <mergeCell ref="E1129:E1130"/>
    <mergeCell ref="F1129:F1130"/>
    <mergeCell ref="A1105:B1105"/>
    <mergeCell ref="A1106:B1106"/>
    <mergeCell ref="A1107:B1107"/>
    <mergeCell ref="A1108:B1108"/>
    <mergeCell ref="A1109:B1109"/>
    <mergeCell ref="A1110:B1110"/>
    <mergeCell ref="A1093:E1093"/>
    <mergeCell ref="F1093:G1093"/>
    <mergeCell ref="A1101:E1101"/>
    <mergeCell ref="A1102:G1102"/>
    <mergeCell ref="A1103:B1103"/>
    <mergeCell ref="A1104:B1104"/>
    <mergeCell ref="G1087:G1088"/>
    <mergeCell ref="A1089:E1089"/>
    <mergeCell ref="F1089:F1092"/>
    <mergeCell ref="G1089:G1092"/>
    <mergeCell ref="A1090:E1090"/>
    <mergeCell ref="A1091:E1091"/>
    <mergeCell ref="A1092:E1092"/>
    <mergeCell ref="A1069:B1069"/>
    <mergeCell ref="A1070:B1070"/>
    <mergeCell ref="A1071:B1071"/>
    <mergeCell ref="A1085:G1085"/>
    <mergeCell ref="A1086:E1086"/>
    <mergeCell ref="A1087:B1088"/>
    <mergeCell ref="C1087:C1088"/>
    <mergeCell ref="D1087:D1088"/>
    <mergeCell ref="E1087:E1088"/>
    <mergeCell ref="F1087:F1088"/>
    <mergeCell ref="A1063:B1063"/>
    <mergeCell ref="A1064:B1064"/>
    <mergeCell ref="A1065:B1065"/>
    <mergeCell ref="A1066:B1066"/>
    <mergeCell ref="A1067:B1067"/>
    <mergeCell ref="A1068:B1068"/>
    <mergeCell ref="A1049:E1049"/>
    <mergeCell ref="F1049:G1049"/>
    <mergeCell ref="A1059:E1059"/>
    <mergeCell ref="A1060:G1060"/>
    <mergeCell ref="A1061:B1061"/>
    <mergeCell ref="A1062:B1062"/>
    <mergeCell ref="G1043:G1044"/>
    <mergeCell ref="A1045:E1045"/>
    <mergeCell ref="F1045:F1048"/>
    <mergeCell ref="G1045:G1048"/>
    <mergeCell ref="A1046:E1046"/>
    <mergeCell ref="A1047:E1047"/>
    <mergeCell ref="A1048:E1048"/>
    <mergeCell ref="A1025:B1025"/>
    <mergeCell ref="A1026:B1026"/>
    <mergeCell ref="A1027:B1027"/>
    <mergeCell ref="A1041:G1041"/>
    <mergeCell ref="A1042:E1042"/>
    <mergeCell ref="A1043:B1044"/>
    <mergeCell ref="C1043:C1044"/>
    <mergeCell ref="D1043:D1044"/>
    <mergeCell ref="E1043:E1044"/>
    <mergeCell ref="F1043:F1044"/>
    <mergeCell ref="A1019:B1019"/>
    <mergeCell ref="A1020:B1020"/>
    <mergeCell ref="A1021:B1021"/>
    <mergeCell ref="A1022:B1022"/>
    <mergeCell ref="A1023:B1023"/>
    <mergeCell ref="A1024:B1024"/>
    <mergeCell ref="A1007:E1007"/>
    <mergeCell ref="F1007:G1007"/>
    <mergeCell ref="A1015:E1015"/>
    <mergeCell ref="A1016:G1016"/>
    <mergeCell ref="A1017:B1017"/>
    <mergeCell ref="A1018:B1018"/>
    <mergeCell ref="G1001:G1002"/>
    <mergeCell ref="A1003:E1003"/>
    <mergeCell ref="F1003:F1006"/>
    <mergeCell ref="G1003:G1006"/>
    <mergeCell ref="A1004:E1004"/>
    <mergeCell ref="A1005:E1005"/>
    <mergeCell ref="A1006:E1006"/>
    <mergeCell ref="A983:B983"/>
    <mergeCell ref="A984:B984"/>
    <mergeCell ref="A985:B985"/>
    <mergeCell ref="A999:G999"/>
    <mergeCell ref="A1000:E1000"/>
    <mergeCell ref="A1001:B1002"/>
    <mergeCell ref="C1001:C1002"/>
    <mergeCell ref="D1001:D1002"/>
    <mergeCell ref="E1001:E1002"/>
    <mergeCell ref="F1001:F1002"/>
    <mergeCell ref="A977:B977"/>
    <mergeCell ref="A978:B978"/>
    <mergeCell ref="A979:B979"/>
    <mergeCell ref="A980:B980"/>
    <mergeCell ref="A981:B981"/>
    <mergeCell ref="A982:B982"/>
    <mergeCell ref="A964:E964"/>
    <mergeCell ref="F964:G964"/>
    <mergeCell ref="A973:E973"/>
    <mergeCell ref="A974:G974"/>
    <mergeCell ref="A975:B975"/>
    <mergeCell ref="A976:B976"/>
    <mergeCell ref="G958:G959"/>
    <mergeCell ref="A960:E960"/>
    <mergeCell ref="F960:F963"/>
    <mergeCell ref="G960:G963"/>
    <mergeCell ref="A961:E961"/>
    <mergeCell ref="A962:E962"/>
    <mergeCell ref="A963:E963"/>
    <mergeCell ref="A940:B940"/>
    <mergeCell ref="A941:B941"/>
    <mergeCell ref="A942:B942"/>
    <mergeCell ref="A956:G956"/>
    <mergeCell ref="A957:E957"/>
    <mergeCell ref="A958:B959"/>
    <mergeCell ref="C958:C959"/>
    <mergeCell ref="D958:D959"/>
    <mergeCell ref="E958:E959"/>
    <mergeCell ref="F958:F959"/>
    <mergeCell ref="A934:B934"/>
    <mergeCell ref="A935:B935"/>
    <mergeCell ref="A936:B936"/>
    <mergeCell ref="A937:B937"/>
    <mergeCell ref="A938:B938"/>
    <mergeCell ref="A939:B939"/>
    <mergeCell ref="A921:E921"/>
    <mergeCell ref="F921:G921"/>
    <mergeCell ref="A930:E930"/>
    <mergeCell ref="A931:G931"/>
    <mergeCell ref="A932:B932"/>
    <mergeCell ref="A933:B933"/>
    <mergeCell ref="G915:G916"/>
    <mergeCell ref="A917:E917"/>
    <mergeCell ref="F917:F920"/>
    <mergeCell ref="G917:G920"/>
    <mergeCell ref="A918:E918"/>
    <mergeCell ref="A919:E919"/>
    <mergeCell ref="A920:E920"/>
    <mergeCell ref="A897:B897"/>
    <mergeCell ref="A898:B898"/>
    <mergeCell ref="A899:B899"/>
    <mergeCell ref="A913:G913"/>
    <mergeCell ref="A914:E914"/>
    <mergeCell ref="A915:B916"/>
    <mergeCell ref="C915:C916"/>
    <mergeCell ref="D915:D916"/>
    <mergeCell ref="E915:E916"/>
    <mergeCell ref="F915:F916"/>
    <mergeCell ref="A891:B891"/>
    <mergeCell ref="A892:B892"/>
    <mergeCell ref="A893:B893"/>
    <mergeCell ref="A894:B894"/>
    <mergeCell ref="A895:B895"/>
    <mergeCell ref="A896:B896"/>
    <mergeCell ref="A879:E879"/>
    <mergeCell ref="F879:G879"/>
    <mergeCell ref="A887:E887"/>
    <mergeCell ref="A888:G888"/>
    <mergeCell ref="A889:B889"/>
    <mergeCell ref="A890:B890"/>
    <mergeCell ref="G873:G874"/>
    <mergeCell ref="A875:E875"/>
    <mergeCell ref="F875:F878"/>
    <mergeCell ref="G875:G878"/>
    <mergeCell ref="A876:E876"/>
    <mergeCell ref="A877:E877"/>
    <mergeCell ref="A878:E878"/>
    <mergeCell ref="A855:B855"/>
    <mergeCell ref="A856:B856"/>
    <mergeCell ref="A857:B857"/>
    <mergeCell ref="A871:G871"/>
    <mergeCell ref="A872:E872"/>
    <mergeCell ref="A873:B874"/>
    <mergeCell ref="C873:C874"/>
    <mergeCell ref="D873:D874"/>
    <mergeCell ref="E873:E874"/>
    <mergeCell ref="F873:F874"/>
    <mergeCell ref="A849:B849"/>
    <mergeCell ref="A850:B850"/>
    <mergeCell ref="A851:B851"/>
    <mergeCell ref="A852:B852"/>
    <mergeCell ref="A853:B853"/>
    <mergeCell ref="A854:B854"/>
    <mergeCell ref="A835:E835"/>
    <mergeCell ref="F835:G835"/>
    <mergeCell ref="A845:E845"/>
    <mergeCell ref="A846:G846"/>
    <mergeCell ref="A847:B847"/>
    <mergeCell ref="A848:B848"/>
    <mergeCell ref="G829:G830"/>
    <mergeCell ref="A831:E831"/>
    <mergeCell ref="F831:F834"/>
    <mergeCell ref="G831:G834"/>
    <mergeCell ref="A832:E832"/>
    <mergeCell ref="A833:E833"/>
    <mergeCell ref="A834:E834"/>
    <mergeCell ref="A811:B811"/>
    <mergeCell ref="A812:B812"/>
    <mergeCell ref="A813:B813"/>
    <mergeCell ref="A827:G827"/>
    <mergeCell ref="A828:E828"/>
    <mergeCell ref="A829:B830"/>
    <mergeCell ref="C829:C830"/>
    <mergeCell ref="D829:D830"/>
    <mergeCell ref="E829:E830"/>
    <mergeCell ref="F829:F830"/>
    <mergeCell ref="A805:B805"/>
    <mergeCell ref="A806:B806"/>
    <mergeCell ref="A807:B807"/>
    <mergeCell ref="A808:B808"/>
    <mergeCell ref="A809:B809"/>
    <mergeCell ref="A810:B810"/>
    <mergeCell ref="A793:E793"/>
    <mergeCell ref="F793:G793"/>
    <mergeCell ref="A801:E801"/>
    <mergeCell ref="A802:G802"/>
    <mergeCell ref="A803:B803"/>
    <mergeCell ref="A804:B804"/>
    <mergeCell ref="G787:G788"/>
    <mergeCell ref="A789:E789"/>
    <mergeCell ref="F789:F792"/>
    <mergeCell ref="G789:G792"/>
    <mergeCell ref="A790:E790"/>
    <mergeCell ref="A791:E791"/>
    <mergeCell ref="A792:E792"/>
    <mergeCell ref="A769:B769"/>
    <mergeCell ref="A770:B770"/>
    <mergeCell ref="A771:B771"/>
    <mergeCell ref="A785:G785"/>
    <mergeCell ref="A786:E786"/>
    <mergeCell ref="A787:B788"/>
    <mergeCell ref="C787:C788"/>
    <mergeCell ref="D787:D788"/>
    <mergeCell ref="E787:E788"/>
    <mergeCell ref="F787:F788"/>
    <mergeCell ref="A763:B763"/>
    <mergeCell ref="A764:B764"/>
    <mergeCell ref="A765:B765"/>
    <mergeCell ref="A766:B766"/>
    <mergeCell ref="A767:B767"/>
    <mergeCell ref="A768:B768"/>
    <mergeCell ref="A749:E749"/>
    <mergeCell ref="F749:G749"/>
    <mergeCell ref="A759:E759"/>
    <mergeCell ref="A760:G760"/>
    <mergeCell ref="A761:B761"/>
    <mergeCell ref="A762:B762"/>
    <mergeCell ref="G743:G744"/>
    <mergeCell ref="A745:E745"/>
    <mergeCell ref="F745:F748"/>
    <mergeCell ref="G745:G748"/>
    <mergeCell ref="A746:E746"/>
    <mergeCell ref="A747:E747"/>
    <mergeCell ref="A748:E748"/>
    <mergeCell ref="A725:B725"/>
    <mergeCell ref="A726:B726"/>
    <mergeCell ref="A727:B727"/>
    <mergeCell ref="A741:G741"/>
    <mergeCell ref="A742:E742"/>
    <mergeCell ref="A743:B744"/>
    <mergeCell ref="C743:C744"/>
    <mergeCell ref="D743:D744"/>
    <mergeCell ref="E743:E744"/>
    <mergeCell ref="F743:F744"/>
    <mergeCell ref="A719:B719"/>
    <mergeCell ref="A720:B720"/>
    <mergeCell ref="A721:B721"/>
    <mergeCell ref="A722:B722"/>
    <mergeCell ref="A723:B723"/>
    <mergeCell ref="A724:B724"/>
    <mergeCell ref="A706:E706"/>
    <mergeCell ref="F706:G706"/>
    <mergeCell ref="A715:E715"/>
    <mergeCell ref="A716:G716"/>
    <mergeCell ref="A717:B717"/>
    <mergeCell ref="A718:B718"/>
    <mergeCell ref="G700:G701"/>
    <mergeCell ref="A702:E702"/>
    <mergeCell ref="F702:F705"/>
    <mergeCell ref="G702:G705"/>
    <mergeCell ref="A703:E703"/>
    <mergeCell ref="A704:E704"/>
    <mergeCell ref="A705:E705"/>
    <mergeCell ref="A682:B682"/>
    <mergeCell ref="A683:B683"/>
    <mergeCell ref="A684:B684"/>
    <mergeCell ref="A698:G698"/>
    <mergeCell ref="A699:E699"/>
    <mergeCell ref="A700:B701"/>
    <mergeCell ref="C700:C701"/>
    <mergeCell ref="D700:D701"/>
    <mergeCell ref="E700:E701"/>
    <mergeCell ref="F700:F701"/>
    <mergeCell ref="A676:B676"/>
    <mergeCell ref="A677:B677"/>
    <mergeCell ref="A678:B678"/>
    <mergeCell ref="A679:B679"/>
    <mergeCell ref="A680:B680"/>
    <mergeCell ref="A681:B681"/>
    <mergeCell ref="A663:E663"/>
    <mergeCell ref="F663:G663"/>
    <mergeCell ref="A672:E672"/>
    <mergeCell ref="A673:G673"/>
    <mergeCell ref="A674:B674"/>
    <mergeCell ref="A675:B675"/>
    <mergeCell ref="G657:G658"/>
    <mergeCell ref="A659:E659"/>
    <mergeCell ref="F659:F662"/>
    <mergeCell ref="G659:G662"/>
    <mergeCell ref="A660:E660"/>
    <mergeCell ref="A661:E661"/>
    <mergeCell ref="A662:E662"/>
    <mergeCell ref="A639:B639"/>
    <mergeCell ref="A640:B640"/>
    <mergeCell ref="A641:B641"/>
    <mergeCell ref="A655:G655"/>
    <mergeCell ref="A656:E656"/>
    <mergeCell ref="A657:B658"/>
    <mergeCell ref="C657:C658"/>
    <mergeCell ref="D657:D658"/>
    <mergeCell ref="E657:E658"/>
    <mergeCell ref="F657:F658"/>
    <mergeCell ref="A633:B633"/>
    <mergeCell ref="A634:B634"/>
    <mergeCell ref="A635:B635"/>
    <mergeCell ref="A636:B636"/>
    <mergeCell ref="A637:B637"/>
    <mergeCell ref="A638:B638"/>
    <mergeCell ref="A621:E621"/>
    <mergeCell ref="F621:G621"/>
    <mergeCell ref="A629:E629"/>
    <mergeCell ref="A630:G630"/>
    <mergeCell ref="A631:B631"/>
    <mergeCell ref="A632:B632"/>
    <mergeCell ref="G615:G616"/>
    <mergeCell ref="A617:E617"/>
    <mergeCell ref="F617:F620"/>
    <mergeCell ref="G617:G620"/>
    <mergeCell ref="A618:E618"/>
    <mergeCell ref="A619:E619"/>
    <mergeCell ref="A620:E620"/>
    <mergeCell ref="A597:B597"/>
    <mergeCell ref="A598:B598"/>
    <mergeCell ref="A599:B599"/>
    <mergeCell ref="A613:G613"/>
    <mergeCell ref="A614:E614"/>
    <mergeCell ref="A615:B616"/>
    <mergeCell ref="C615:C616"/>
    <mergeCell ref="D615:D616"/>
    <mergeCell ref="E615:E616"/>
    <mergeCell ref="F615:F616"/>
    <mergeCell ref="A591:B591"/>
    <mergeCell ref="A592:B592"/>
    <mergeCell ref="A593:B593"/>
    <mergeCell ref="A594:B594"/>
    <mergeCell ref="A595:B595"/>
    <mergeCell ref="A596:B596"/>
    <mergeCell ref="A579:E579"/>
    <mergeCell ref="F579:G579"/>
    <mergeCell ref="A587:E587"/>
    <mergeCell ref="A588:G588"/>
    <mergeCell ref="A589:B589"/>
    <mergeCell ref="A590:B590"/>
    <mergeCell ref="G573:G574"/>
    <mergeCell ref="A575:E575"/>
    <mergeCell ref="F575:F578"/>
    <mergeCell ref="G575:G578"/>
    <mergeCell ref="A576:E576"/>
    <mergeCell ref="A577:E577"/>
    <mergeCell ref="A578:E578"/>
    <mergeCell ref="A555:B555"/>
    <mergeCell ref="A556:B556"/>
    <mergeCell ref="A557:B557"/>
    <mergeCell ref="A571:G571"/>
    <mergeCell ref="A572:E572"/>
    <mergeCell ref="A573:B574"/>
    <mergeCell ref="C573:C574"/>
    <mergeCell ref="D573:D574"/>
    <mergeCell ref="E573:E574"/>
    <mergeCell ref="F573:F574"/>
    <mergeCell ref="A549:B549"/>
    <mergeCell ref="A550:B550"/>
    <mergeCell ref="A551:B551"/>
    <mergeCell ref="A552:B552"/>
    <mergeCell ref="A553:B553"/>
    <mergeCell ref="A554:B554"/>
    <mergeCell ref="A536:E536"/>
    <mergeCell ref="F536:G536"/>
    <mergeCell ref="A545:E545"/>
    <mergeCell ref="A546:G546"/>
    <mergeCell ref="A547:B547"/>
    <mergeCell ref="A548:B548"/>
    <mergeCell ref="G530:G531"/>
    <mergeCell ref="A532:E532"/>
    <mergeCell ref="F532:F535"/>
    <mergeCell ref="G532:G535"/>
    <mergeCell ref="A533:E533"/>
    <mergeCell ref="A534:E534"/>
    <mergeCell ref="A535:E535"/>
    <mergeCell ref="A512:B512"/>
    <mergeCell ref="A513:B513"/>
    <mergeCell ref="A514:B514"/>
    <mergeCell ref="A528:G528"/>
    <mergeCell ref="A529:E529"/>
    <mergeCell ref="A530:B531"/>
    <mergeCell ref="C530:C531"/>
    <mergeCell ref="D530:D531"/>
    <mergeCell ref="E530:E531"/>
    <mergeCell ref="F530:F531"/>
    <mergeCell ref="A506:B506"/>
    <mergeCell ref="A507:B507"/>
    <mergeCell ref="A508:B508"/>
    <mergeCell ref="A509:B509"/>
    <mergeCell ref="A510:B510"/>
    <mergeCell ref="A511:B511"/>
    <mergeCell ref="A495:E495"/>
    <mergeCell ref="F495:G495"/>
    <mergeCell ref="A502:E502"/>
    <mergeCell ref="A503:G503"/>
    <mergeCell ref="A504:B504"/>
    <mergeCell ref="A505:B505"/>
    <mergeCell ref="G489:G490"/>
    <mergeCell ref="A491:E491"/>
    <mergeCell ref="F491:F494"/>
    <mergeCell ref="G491:G494"/>
    <mergeCell ref="A492:E492"/>
    <mergeCell ref="A493:E493"/>
    <mergeCell ref="A494:E494"/>
    <mergeCell ref="A471:B471"/>
    <mergeCell ref="A472:B472"/>
    <mergeCell ref="A473:B473"/>
    <mergeCell ref="A487:G487"/>
    <mergeCell ref="A488:E488"/>
    <mergeCell ref="A489:B490"/>
    <mergeCell ref="C489:C490"/>
    <mergeCell ref="D489:D490"/>
    <mergeCell ref="E489:E490"/>
    <mergeCell ref="F489:F490"/>
    <mergeCell ref="A465:B465"/>
    <mergeCell ref="A466:B466"/>
    <mergeCell ref="A467:B467"/>
    <mergeCell ref="A468:B468"/>
    <mergeCell ref="A469:B469"/>
    <mergeCell ref="A470:B470"/>
    <mergeCell ref="A452:E452"/>
    <mergeCell ref="F452:G452"/>
    <mergeCell ref="A461:E461"/>
    <mergeCell ref="A462:G462"/>
    <mergeCell ref="A463:B463"/>
    <mergeCell ref="A464:B464"/>
    <mergeCell ref="G446:G447"/>
    <mergeCell ref="A448:E448"/>
    <mergeCell ref="F448:F451"/>
    <mergeCell ref="G448:G451"/>
    <mergeCell ref="A449:E449"/>
    <mergeCell ref="A450:E450"/>
    <mergeCell ref="A451:E451"/>
    <mergeCell ref="A428:B428"/>
    <mergeCell ref="A429:B429"/>
    <mergeCell ref="A430:B430"/>
    <mergeCell ref="A444:G444"/>
    <mergeCell ref="A445:E445"/>
    <mergeCell ref="A446:B447"/>
    <mergeCell ref="C446:C447"/>
    <mergeCell ref="D446:D447"/>
    <mergeCell ref="E446:E447"/>
    <mergeCell ref="F446:F447"/>
    <mergeCell ref="A422:B422"/>
    <mergeCell ref="A423:B423"/>
    <mergeCell ref="A424:B424"/>
    <mergeCell ref="A425:B425"/>
    <mergeCell ref="A426:B426"/>
    <mergeCell ref="A427:B427"/>
    <mergeCell ref="A409:E409"/>
    <mergeCell ref="F409:G409"/>
    <mergeCell ref="A418:E418"/>
    <mergeCell ref="A419:G419"/>
    <mergeCell ref="A420:B420"/>
    <mergeCell ref="A421:B421"/>
    <mergeCell ref="G403:G404"/>
    <mergeCell ref="A405:E405"/>
    <mergeCell ref="F405:F408"/>
    <mergeCell ref="G405:G408"/>
    <mergeCell ref="A406:E406"/>
    <mergeCell ref="A407:E407"/>
    <mergeCell ref="A408:E408"/>
    <mergeCell ref="A402:E402"/>
    <mergeCell ref="A403:B404"/>
    <mergeCell ref="C403:C404"/>
    <mergeCell ref="D403:D404"/>
    <mergeCell ref="E403:E404"/>
    <mergeCell ref="F403:F404"/>
    <mergeCell ref="A383:B383"/>
    <mergeCell ref="A384:B384"/>
    <mergeCell ref="A385:B385"/>
    <mergeCell ref="A386:B386"/>
    <mergeCell ref="A387:B387"/>
    <mergeCell ref="A401:G401"/>
    <mergeCell ref="A377:B377"/>
    <mergeCell ref="A378:B378"/>
    <mergeCell ref="A379:B379"/>
    <mergeCell ref="A380:B380"/>
    <mergeCell ref="A381:B381"/>
    <mergeCell ref="A382:B382"/>
    <mergeCell ref="A372:E372"/>
    <mergeCell ref="F372:F373"/>
    <mergeCell ref="G372:G373"/>
    <mergeCell ref="A373:E373"/>
    <mergeCell ref="A375:E375"/>
    <mergeCell ref="A376:G376"/>
    <mergeCell ref="A367:E367"/>
    <mergeCell ref="F367:G367"/>
    <mergeCell ref="A368:G368"/>
    <mergeCell ref="A369:E369"/>
    <mergeCell ref="A370:B371"/>
    <mergeCell ref="C370:C371"/>
    <mergeCell ref="D370:D371"/>
    <mergeCell ref="E370:E371"/>
    <mergeCell ref="F370:F371"/>
    <mergeCell ref="G370:G371"/>
    <mergeCell ref="G361:G362"/>
    <mergeCell ref="A363:E363"/>
    <mergeCell ref="F363:F366"/>
    <mergeCell ref="G363:G366"/>
    <mergeCell ref="A364:E364"/>
    <mergeCell ref="A365:E365"/>
    <mergeCell ref="A366:E366"/>
    <mergeCell ref="A360:E360"/>
    <mergeCell ref="A361:B362"/>
    <mergeCell ref="C361:C362"/>
    <mergeCell ref="D361:D362"/>
    <mergeCell ref="E361:E362"/>
    <mergeCell ref="F361:F362"/>
    <mergeCell ref="A341:B341"/>
    <mergeCell ref="A342:B342"/>
    <mergeCell ref="A343:B343"/>
    <mergeCell ref="A344:B344"/>
    <mergeCell ref="A345:B345"/>
    <mergeCell ref="A359:G359"/>
    <mergeCell ref="A335:B335"/>
    <mergeCell ref="A336:B336"/>
    <mergeCell ref="A337:B337"/>
    <mergeCell ref="A338:B338"/>
    <mergeCell ref="A339:B339"/>
    <mergeCell ref="A340:B340"/>
    <mergeCell ref="A330:E330"/>
    <mergeCell ref="F330:F331"/>
    <mergeCell ref="G330:G331"/>
    <mergeCell ref="A331:E331"/>
    <mergeCell ref="A333:E333"/>
    <mergeCell ref="A334:G334"/>
    <mergeCell ref="A325:E325"/>
    <mergeCell ref="F325:G325"/>
    <mergeCell ref="A326:G326"/>
    <mergeCell ref="A327:E327"/>
    <mergeCell ref="A328:B329"/>
    <mergeCell ref="C328:C329"/>
    <mergeCell ref="D328:D329"/>
    <mergeCell ref="E328:E329"/>
    <mergeCell ref="F328:F329"/>
    <mergeCell ref="G328:G329"/>
    <mergeCell ref="G319:G320"/>
    <mergeCell ref="A321:E321"/>
    <mergeCell ref="F321:F324"/>
    <mergeCell ref="G321:G324"/>
    <mergeCell ref="A322:E322"/>
    <mergeCell ref="A323:E323"/>
    <mergeCell ref="A324:E324"/>
    <mergeCell ref="A318:E318"/>
    <mergeCell ref="A319:B320"/>
    <mergeCell ref="C319:C320"/>
    <mergeCell ref="D319:D320"/>
    <mergeCell ref="E319:E320"/>
    <mergeCell ref="F319:F320"/>
    <mergeCell ref="A299:B299"/>
    <mergeCell ref="A300:B300"/>
    <mergeCell ref="A301:B301"/>
    <mergeCell ref="A302:B302"/>
    <mergeCell ref="A303:B303"/>
    <mergeCell ref="A317:G317"/>
    <mergeCell ref="A293:B293"/>
    <mergeCell ref="A294:B294"/>
    <mergeCell ref="A295:B295"/>
    <mergeCell ref="A296:B296"/>
    <mergeCell ref="A297:B297"/>
    <mergeCell ref="A298:B298"/>
    <mergeCell ref="A288:E288"/>
    <mergeCell ref="F288:F289"/>
    <mergeCell ref="G288:G289"/>
    <mergeCell ref="A289:E289"/>
    <mergeCell ref="A291:E291"/>
    <mergeCell ref="A292:G292"/>
    <mergeCell ref="A283:E283"/>
    <mergeCell ref="F283:G283"/>
    <mergeCell ref="A284:G284"/>
    <mergeCell ref="A285:E285"/>
    <mergeCell ref="A286:B287"/>
    <mergeCell ref="C286:C287"/>
    <mergeCell ref="D286:D287"/>
    <mergeCell ref="E286:E287"/>
    <mergeCell ref="F286:F287"/>
    <mergeCell ref="G286:G287"/>
    <mergeCell ref="G277:G278"/>
    <mergeCell ref="A279:E279"/>
    <mergeCell ref="F279:F282"/>
    <mergeCell ref="G279:G282"/>
    <mergeCell ref="A280:E280"/>
    <mergeCell ref="A281:E281"/>
    <mergeCell ref="A282:E282"/>
    <mergeCell ref="A276:E276"/>
    <mergeCell ref="A277:B278"/>
    <mergeCell ref="C277:C278"/>
    <mergeCell ref="D277:D278"/>
    <mergeCell ref="E277:E278"/>
    <mergeCell ref="F277:F278"/>
    <mergeCell ref="A257:B257"/>
    <mergeCell ref="A258:B258"/>
    <mergeCell ref="A259:B259"/>
    <mergeCell ref="A260:B260"/>
    <mergeCell ref="A261:B261"/>
    <mergeCell ref="A275:G275"/>
    <mergeCell ref="A251:B251"/>
    <mergeCell ref="A252:B252"/>
    <mergeCell ref="A253:B253"/>
    <mergeCell ref="A254:B254"/>
    <mergeCell ref="A255:B255"/>
    <mergeCell ref="A256:B256"/>
    <mergeCell ref="A246:E246"/>
    <mergeCell ref="F246:F247"/>
    <mergeCell ref="G246:G247"/>
    <mergeCell ref="A247:E247"/>
    <mergeCell ref="A249:E249"/>
    <mergeCell ref="A250:G250"/>
    <mergeCell ref="A241:E241"/>
    <mergeCell ref="F241:G241"/>
    <mergeCell ref="A242:G242"/>
    <mergeCell ref="A243:E243"/>
    <mergeCell ref="A244:B245"/>
    <mergeCell ref="C244:C245"/>
    <mergeCell ref="D244:D245"/>
    <mergeCell ref="E244:E245"/>
    <mergeCell ref="F244:F245"/>
    <mergeCell ref="G244:G245"/>
    <mergeCell ref="G235:G236"/>
    <mergeCell ref="A237:E237"/>
    <mergeCell ref="F237:F240"/>
    <mergeCell ref="G237:G240"/>
    <mergeCell ref="A238:E238"/>
    <mergeCell ref="A239:E239"/>
    <mergeCell ref="A240:E240"/>
    <mergeCell ref="A217:B217"/>
    <mergeCell ref="A218:B218"/>
    <mergeCell ref="A219:B219"/>
    <mergeCell ref="A233:G233"/>
    <mergeCell ref="A234:E234"/>
    <mergeCell ref="A235:B236"/>
    <mergeCell ref="C235:C236"/>
    <mergeCell ref="D235:D236"/>
    <mergeCell ref="E235:E236"/>
    <mergeCell ref="F235:F236"/>
    <mergeCell ref="A212:E212"/>
    <mergeCell ref="F212:G212"/>
    <mergeCell ref="A213:B213"/>
    <mergeCell ref="A214:B214"/>
    <mergeCell ref="A215:B215"/>
    <mergeCell ref="A216:B216"/>
    <mergeCell ref="A208:E208"/>
    <mergeCell ref="F208:F211"/>
    <mergeCell ref="G208:G211"/>
    <mergeCell ref="A209:E209"/>
    <mergeCell ref="A210:E210"/>
    <mergeCell ref="A211:E211"/>
    <mergeCell ref="A204:G204"/>
    <mergeCell ref="A205:E205"/>
    <mergeCell ref="A206:B207"/>
    <mergeCell ref="C206:C207"/>
    <mergeCell ref="D206:D207"/>
    <mergeCell ref="E206:E207"/>
    <mergeCell ref="F206:F207"/>
    <mergeCell ref="G206:G207"/>
    <mergeCell ref="A182:B182"/>
    <mergeCell ref="A183:B183"/>
    <mergeCell ref="A184:B184"/>
    <mergeCell ref="A185:B185"/>
    <mergeCell ref="A189:B189"/>
    <mergeCell ref="A190:B190"/>
    <mergeCell ref="A176:G176"/>
    <mergeCell ref="A177:B177"/>
    <mergeCell ref="A178:B178"/>
    <mergeCell ref="A179:B179"/>
    <mergeCell ref="A180:B180"/>
    <mergeCell ref="A181:B181"/>
    <mergeCell ref="A169:E169"/>
    <mergeCell ref="F169:G169"/>
    <mergeCell ref="A171:B171"/>
    <mergeCell ref="A172:B172"/>
    <mergeCell ref="A173:B173"/>
    <mergeCell ref="A175:E175"/>
    <mergeCell ref="A165:E165"/>
    <mergeCell ref="F165:F168"/>
    <mergeCell ref="G165:G168"/>
    <mergeCell ref="A166:E166"/>
    <mergeCell ref="A167:E167"/>
    <mergeCell ref="A168:E168"/>
    <mergeCell ref="A161:G161"/>
    <mergeCell ref="A162:E162"/>
    <mergeCell ref="A163:B164"/>
    <mergeCell ref="C163:C164"/>
    <mergeCell ref="D163:D164"/>
    <mergeCell ref="E163:E164"/>
    <mergeCell ref="F163:F164"/>
    <mergeCell ref="G163:G164"/>
    <mergeCell ref="A139:B139"/>
    <mergeCell ref="A140:B140"/>
    <mergeCell ref="A141:B141"/>
    <mergeCell ref="A142:B142"/>
    <mergeCell ref="A146:B146"/>
    <mergeCell ref="A147:B147"/>
    <mergeCell ref="A133:G133"/>
    <mergeCell ref="A134:B134"/>
    <mergeCell ref="A135:B135"/>
    <mergeCell ref="A136:B136"/>
    <mergeCell ref="A137:B137"/>
    <mergeCell ref="A138:B138"/>
    <mergeCell ref="A124:E124"/>
    <mergeCell ref="A128:B128"/>
    <mergeCell ref="A129:B129"/>
    <mergeCell ref="A130:B130"/>
    <mergeCell ref="A132:E132"/>
    <mergeCell ref="F121:F124"/>
    <mergeCell ref="G121:G124"/>
    <mergeCell ref="A125:E125"/>
    <mergeCell ref="F125:G125"/>
    <mergeCell ref="A121:E121"/>
    <mergeCell ref="A122:E122"/>
    <mergeCell ref="A123:E123"/>
    <mergeCell ref="A94:B94"/>
    <mergeCell ref="A95:B95"/>
    <mergeCell ref="A96:B96"/>
    <mergeCell ref="A97:B97"/>
    <mergeCell ref="A102:B102"/>
    <mergeCell ref="A98:B98"/>
    <mergeCell ref="A90:B90"/>
    <mergeCell ref="A91:B91"/>
    <mergeCell ref="A92:B92"/>
    <mergeCell ref="A93:B93"/>
    <mergeCell ref="A88:E88"/>
    <mergeCell ref="A89:G89"/>
    <mergeCell ref="A79:E79"/>
    <mergeCell ref="A83:E83"/>
    <mergeCell ref="A84:G84"/>
    <mergeCell ref="A85:B85"/>
    <mergeCell ref="A81:E81"/>
    <mergeCell ref="F81:G81"/>
    <mergeCell ref="A77:E77"/>
    <mergeCell ref="A78:E78"/>
    <mergeCell ref="A75:B76"/>
    <mergeCell ref="C75:C76"/>
    <mergeCell ref="D75:D76"/>
    <mergeCell ref="A52:B52"/>
    <mergeCell ref="A46:B46"/>
    <mergeCell ref="A47:B47"/>
    <mergeCell ref="A48:B48"/>
    <mergeCell ref="A49:B49"/>
    <mergeCell ref="A50:B50"/>
    <mergeCell ref="A51:B51"/>
    <mergeCell ref="A39:E39"/>
    <mergeCell ref="F39:G39"/>
    <mergeCell ref="A42:E42"/>
    <mergeCell ref="A35:E35"/>
    <mergeCell ref="F35:F38"/>
    <mergeCell ref="G35:G38"/>
    <mergeCell ref="A36:E36"/>
    <mergeCell ref="A37:E37"/>
    <mergeCell ref="A38:E38"/>
    <mergeCell ref="A17:B17"/>
    <mergeCell ref="A31:G31"/>
    <mergeCell ref="A32:E32"/>
    <mergeCell ref="A33:B34"/>
    <mergeCell ref="C33:C34"/>
    <mergeCell ref="D33:D34"/>
    <mergeCell ref="E33:E34"/>
    <mergeCell ref="F33:F34"/>
    <mergeCell ref="G33:G34"/>
    <mergeCell ref="A8:B8"/>
    <mergeCell ref="A9:B9"/>
    <mergeCell ref="A10:B10"/>
    <mergeCell ref="A11:B11"/>
    <mergeCell ref="A12:B12"/>
    <mergeCell ref="A16:B16"/>
    <mergeCell ref="A2:E2"/>
    <mergeCell ref="A3:G3"/>
    <mergeCell ref="A4:B4"/>
    <mergeCell ref="A5:B5"/>
    <mergeCell ref="A6:B6"/>
    <mergeCell ref="A7:B7"/>
  </mergeCells>
  <pageMargins left="0.7" right="0.7" top="0.75" bottom="0.75" header="0.3" footer="0.3"/>
  <pageSetup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G1384"/>
  <sheetViews>
    <sheetView view="pageBreakPreview" topLeftCell="A1025" zoomScale="90" zoomScaleNormal="100" zoomScaleSheetLayoutView="90" workbookViewId="0">
      <selection activeCell="E1055" sqref="E1055"/>
    </sheetView>
  </sheetViews>
  <sheetFormatPr baseColWidth="10" defaultRowHeight="12" x14ac:dyDescent="0.2"/>
  <cols>
    <col min="1" max="1" width="32" style="77" customWidth="1"/>
    <col min="2" max="2" width="10" style="77" customWidth="1"/>
    <col min="3" max="3" width="8.85546875" style="77" customWidth="1"/>
    <col min="4" max="4" width="11.42578125" style="77" customWidth="1"/>
    <col min="5" max="5" width="12.140625" style="77" customWidth="1"/>
    <col min="6" max="6" width="13.28515625" style="77" customWidth="1"/>
    <col min="7" max="7" width="13" style="119" customWidth="1"/>
    <col min="8" max="8" width="12.28515625" style="77" customWidth="1"/>
    <col min="9" max="253" width="11.42578125" style="77"/>
    <col min="254" max="254" width="32" style="77" customWidth="1"/>
    <col min="255" max="255" width="8.7109375" style="77" customWidth="1"/>
    <col min="256" max="256" width="5.28515625" style="77" customWidth="1"/>
    <col min="257" max="257" width="10.28515625" style="77" customWidth="1"/>
    <col min="258" max="258" width="8.85546875" style="77" customWidth="1"/>
    <col min="259" max="259" width="9.7109375" style="77" customWidth="1"/>
    <col min="260" max="260" width="13" style="77" customWidth="1"/>
    <col min="261" max="261" width="0" style="77" hidden="1" customWidth="1"/>
    <col min="262" max="509" width="11.42578125" style="77"/>
    <col min="510" max="510" width="32" style="77" customWidth="1"/>
    <col min="511" max="511" width="8.7109375" style="77" customWidth="1"/>
    <col min="512" max="512" width="5.28515625" style="77" customWidth="1"/>
    <col min="513" max="513" width="10.28515625" style="77" customWidth="1"/>
    <col min="514" max="514" width="8.85546875" style="77" customWidth="1"/>
    <col min="515" max="515" width="9.7109375" style="77" customWidth="1"/>
    <col min="516" max="516" width="13" style="77" customWidth="1"/>
    <col min="517" max="517" width="0" style="77" hidden="1" customWidth="1"/>
    <col min="518" max="765" width="11.42578125" style="77"/>
    <col min="766" max="766" width="32" style="77" customWidth="1"/>
    <col min="767" max="767" width="8.7109375" style="77" customWidth="1"/>
    <col min="768" max="768" width="5.28515625" style="77" customWidth="1"/>
    <col min="769" max="769" width="10.28515625" style="77" customWidth="1"/>
    <col min="770" max="770" width="8.85546875" style="77" customWidth="1"/>
    <col min="771" max="771" width="9.7109375" style="77" customWidth="1"/>
    <col min="772" max="772" width="13" style="77" customWidth="1"/>
    <col min="773" max="773" width="0" style="77" hidden="1" customWidth="1"/>
    <col min="774" max="1021" width="11.42578125" style="77"/>
    <col min="1022" max="1022" width="32" style="77" customWidth="1"/>
    <col min="1023" max="1023" width="8.7109375" style="77" customWidth="1"/>
    <col min="1024" max="1024" width="5.28515625" style="77" customWidth="1"/>
    <col min="1025" max="1025" width="10.28515625" style="77" customWidth="1"/>
    <col min="1026" max="1026" width="8.85546875" style="77" customWidth="1"/>
    <col min="1027" max="1027" width="9.7109375" style="77" customWidth="1"/>
    <col min="1028" max="1028" width="13" style="77" customWidth="1"/>
    <col min="1029" max="1029" width="0" style="77" hidden="1" customWidth="1"/>
    <col min="1030" max="1277" width="11.42578125" style="77"/>
    <col min="1278" max="1278" width="32" style="77" customWidth="1"/>
    <col min="1279" max="1279" width="8.7109375" style="77" customWidth="1"/>
    <col min="1280" max="1280" width="5.28515625" style="77" customWidth="1"/>
    <col min="1281" max="1281" width="10.28515625" style="77" customWidth="1"/>
    <col min="1282" max="1282" width="8.85546875" style="77" customWidth="1"/>
    <col min="1283" max="1283" width="9.7109375" style="77" customWidth="1"/>
    <col min="1284" max="1284" width="13" style="77" customWidth="1"/>
    <col min="1285" max="1285" width="0" style="77" hidden="1" customWidth="1"/>
    <col min="1286" max="1533" width="11.42578125" style="77"/>
    <col min="1534" max="1534" width="32" style="77" customWidth="1"/>
    <col min="1535" max="1535" width="8.7109375" style="77" customWidth="1"/>
    <col min="1536" max="1536" width="5.28515625" style="77" customWidth="1"/>
    <col min="1537" max="1537" width="10.28515625" style="77" customWidth="1"/>
    <col min="1538" max="1538" width="8.85546875" style="77" customWidth="1"/>
    <col min="1539" max="1539" width="9.7109375" style="77" customWidth="1"/>
    <col min="1540" max="1540" width="13" style="77" customWidth="1"/>
    <col min="1541" max="1541" width="0" style="77" hidden="1" customWidth="1"/>
    <col min="1542" max="1789" width="11.42578125" style="77"/>
    <col min="1790" max="1790" width="32" style="77" customWidth="1"/>
    <col min="1791" max="1791" width="8.7109375" style="77" customWidth="1"/>
    <col min="1792" max="1792" width="5.28515625" style="77" customWidth="1"/>
    <col min="1793" max="1793" width="10.28515625" style="77" customWidth="1"/>
    <col min="1794" max="1794" width="8.85546875" style="77" customWidth="1"/>
    <col min="1795" max="1795" width="9.7109375" style="77" customWidth="1"/>
    <col min="1796" max="1796" width="13" style="77" customWidth="1"/>
    <col min="1797" max="1797" width="0" style="77" hidden="1" customWidth="1"/>
    <col min="1798" max="2045" width="11.42578125" style="77"/>
    <col min="2046" max="2046" width="32" style="77" customWidth="1"/>
    <col min="2047" max="2047" width="8.7109375" style="77" customWidth="1"/>
    <col min="2048" max="2048" width="5.28515625" style="77" customWidth="1"/>
    <col min="2049" max="2049" width="10.28515625" style="77" customWidth="1"/>
    <col min="2050" max="2050" width="8.85546875" style="77" customWidth="1"/>
    <col min="2051" max="2051" width="9.7109375" style="77" customWidth="1"/>
    <col min="2052" max="2052" width="13" style="77" customWidth="1"/>
    <col min="2053" max="2053" width="0" style="77" hidden="1" customWidth="1"/>
    <col min="2054" max="2301" width="11.42578125" style="77"/>
    <col min="2302" max="2302" width="32" style="77" customWidth="1"/>
    <col min="2303" max="2303" width="8.7109375" style="77" customWidth="1"/>
    <col min="2304" max="2304" width="5.28515625" style="77" customWidth="1"/>
    <col min="2305" max="2305" width="10.28515625" style="77" customWidth="1"/>
    <col min="2306" max="2306" width="8.85546875" style="77" customWidth="1"/>
    <col min="2307" max="2307" width="9.7109375" style="77" customWidth="1"/>
    <col min="2308" max="2308" width="13" style="77" customWidth="1"/>
    <col min="2309" max="2309" width="0" style="77" hidden="1" customWidth="1"/>
    <col min="2310" max="2557" width="11.42578125" style="77"/>
    <col min="2558" max="2558" width="32" style="77" customWidth="1"/>
    <col min="2559" max="2559" width="8.7109375" style="77" customWidth="1"/>
    <col min="2560" max="2560" width="5.28515625" style="77" customWidth="1"/>
    <col min="2561" max="2561" width="10.28515625" style="77" customWidth="1"/>
    <col min="2562" max="2562" width="8.85546875" style="77" customWidth="1"/>
    <col min="2563" max="2563" width="9.7109375" style="77" customWidth="1"/>
    <col min="2564" max="2564" width="13" style="77" customWidth="1"/>
    <col min="2565" max="2565" width="0" style="77" hidden="1" customWidth="1"/>
    <col min="2566" max="2813" width="11.42578125" style="77"/>
    <col min="2814" max="2814" width="32" style="77" customWidth="1"/>
    <col min="2815" max="2815" width="8.7109375" style="77" customWidth="1"/>
    <col min="2816" max="2816" width="5.28515625" style="77" customWidth="1"/>
    <col min="2817" max="2817" width="10.28515625" style="77" customWidth="1"/>
    <col min="2818" max="2818" width="8.85546875" style="77" customWidth="1"/>
    <col min="2819" max="2819" width="9.7109375" style="77" customWidth="1"/>
    <col min="2820" max="2820" width="13" style="77" customWidth="1"/>
    <col min="2821" max="2821" width="0" style="77" hidden="1" customWidth="1"/>
    <col min="2822" max="3069" width="11.42578125" style="77"/>
    <col min="3070" max="3070" width="32" style="77" customWidth="1"/>
    <col min="3071" max="3071" width="8.7109375" style="77" customWidth="1"/>
    <col min="3072" max="3072" width="5.28515625" style="77" customWidth="1"/>
    <col min="3073" max="3073" width="10.28515625" style="77" customWidth="1"/>
    <col min="3074" max="3074" width="8.85546875" style="77" customWidth="1"/>
    <col min="3075" max="3075" width="9.7109375" style="77" customWidth="1"/>
    <col min="3076" max="3076" width="13" style="77" customWidth="1"/>
    <col min="3077" max="3077" width="0" style="77" hidden="1" customWidth="1"/>
    <col min="3078" max="3325" width="11.42578125" style="77"/>
    <col min="3326" max="3326" width="32" style="77" customWidth="1"/>
    <col min="3327" max="3327" width="8.7109375" style="77" customWidth="1"/>
    <col min="3328" max="3328" width="5.28515625" style="77" customWidth="1"/>
    <col min="3329" max="3329" width="10.28515625" style="77" customWidth="1"/>
    <col min="3330" max="3330" width="8.85546875" style="77" customWidth="1"/>
    <col min="3331" max="3331" width="9.7109375" style="77" customWidth="1"/>
    <col min="3332" max="3332" width="13" style="77" customWidth="1"/>
    <col min="3333" max="3333" width="0" style="77" hidden="1" customWidth="1"/>
    <col min="3334" max="3581" width="11.42578125" style="77"/>
    <col min="3582" max="3582" width="32" style="77" customWidth="1"/>
    <col min="3583" max="3583" width="8.7109375" style="77" customWidth="1"/>
    <col min="3584" max="3584" width="5.28515625" style="77" customWidth="1"/>
    <col min="3585" max="3585" width="10.28515625" style="77" customWidth="1"/>
    <col min="3586" max="3586" width="8.85546875" style="77" customWidth="1"/>
    <col min="3587" max="3587" width="9.7109375" style="77" customWidth="1"/>
    <col min="3588" max="3588" width="13" style="77" customWidth="1"/>
    <col min="3589" max="3589" width="0" style="77" hidden="1" customWidth="1"/>
    <col min="3590" max="3837" width="11.42578125" style="77"/>
    <col min="3838" max="3838" width="32" style="77" customWidth="1"/>
    <col min="3839" max="3839" width="8.7109375" style="77" customWidth="1"/>
    <col min="3840" max="3840" width="5.28515625" style="77" customWidth="1"/>
    <col min="3841" max="3841" width="10.28515625" style="77" customWidth="1"/>
    <col min="3842" max="3842" width="8.85546875" style="77" customWidth="1"/>
    <col min="3843" max="3843" width="9.7109375" style="77" customWidth="1"/>
    <col min="3844" max="3844" width="13" style="77" customWidth="1"/>
    <col min="3845" max="3845" width="0" style="77" hidden="1" customWidth="1"/>
    <col min="3846" max="4093" width="11.42578125" style="77"/>
    <col min="4094" max="4094" width="32" style="77" customWidth="1"/>
    <col min="4095" max="4095" width="8.7109375" style="77" customWidth="1"/>
    <col min="4096" max="4096" width="5.28515625" style="77" customWidth="1"/>
    <col min="4097" max="4097" width="10.28515625" style="77" customWidth="1"/>
    <col min="4098" max="4098" width="8.85546875" style="77" customWidth="1"/>
    <col min="4099" max="4099" width="9.7109375" style="77" customWidth="1"/>
    <col min="4100" max="4100" width="13" style="77" customWidth="1"/>
    <col min="4101" max="4101" width="0" style="77" hidden="1" customWidth="1"/>
    <col min="4102" max="4349" width="11.42578125" style="77"/>
    <col min="4350" max="4350" width="32" style="77" customWidth="1"/>
    <col min="4351" max="4351" width="8.7109375" style="77" customWidth="1"/>
    <col min="4352" max="4352" width="5.28515625" style="77" customWidth="1"/>
    <col min="4353" max="4353" width="10.28515625" style="77" customWidth="1"/>
    <col min="4354" max="4354" width="8.85546875" style="77" customWidth="1"/>
    <col min="4355" max="4355" width="9.7109375" style="77" customWidth="1"/>
    <col min="4356" max="4356" width="13" style="77" customWidth="1"/>
    <col min="4357" max="4357" width="0" style="77" hidden="1" customWidth="1"/>
    <col min="4358" max="4605" width="11.42578125" style="77"/>
    <col min="4606" max="4606" width="32" style="77" customWidth="1"/>
    <col min="4607" max="4607" width="8.7109375" style="77" customWidth="1"/>
    <col min="4608" max="4608" width="5.28515625" style="77" customWidth="1"/>
    <col min="4609" max="4609" width="10.28515625" style="77" customWidth="1"/>
    <col min="4610" max="4610" width="8.85546875" style="77" customWidth="1"/>
    <col min="4611" max="4611" width="9.7109375" style="77" customWidth="1"/>
    <col min="4612" max="4612" width="13" style="77" customWidth="1"/>
    <col min="4613" max="4613" width="0" style="77" hidden="1" customWidth="1"/>
    <col min="4614" max="4861" width="11.42578125" style="77"/>
    <col min="4862" max="4862" width="32" style="77" customWidth="1"/>
    <col min="4863" max="4863" width="8.7109375" style="77" customWidth="1"/>
    <col min="4864" max="4864" width="5.28515625" style="77" customWidth="1"/>
    <col min="4865" max="4865" width="10.28515625" style="77" customWidth="1"/>
    <col min="4866" max="4866" width="8.85546875" style="77" customWidth="1"/>
    <col min="4867" max="4867" width="9.7109375" style="77" customWidth="1"/>
    <col min="4868" max="4868" width="13" style="77" customWidth="1"/>
    <col min="4869" max="4869" width="0" style="77" hidden="1" customWidth="1"/>
    <col min="4870" max="5117" width="11.42578125" style="77"/>
    <col min="5118" max="5118" width="32" style="77" customWidth="1"/>
    <col min="5119" max="5119" width="8.7109375" style="77" customWidth="1"/>
    <col min="5120" max="5120" width="5.28515625" style="77" customWidth="1"/>
    <col min="5121" max="5121" width="10.28515625" style="77" customWidth="1"/>
    <col min="5122" max="5122" width="8.85546875" style="77" customWidth="1"/>
    <col min="5123" max="5123" width="9.7109375" style="77" customWidth="1"/>
    <col min="5124" max="5124" width="13" style="77" customWidth="1"/>
    <col min="5125" max="5125" width="0" style="77" hidden="1" customWidth="1"/>
    <col min="5126" max="5373" width="11.42578125" style="77"/>
    <col min="5374" max="5374" width="32" style="77" customWidth="1"/>
    <col min="5375" max="5375" width="8.7109375" style="77" customWidth="1"/>
    <col min="5376" max="5376" width="5.28515625" style="77" customWidth="1"/>
    <col min="5377" max="5377" width="10.28515625" style="77" customWidth="1"/>
    <col min="5378" max="5378" width="8.85546875" style="77" customWidth="1"/>
    <col min="5379" max="5379" width="9.7109375" style="77" customWidth="1"/>
    <col min="5380" max="5380" width="13" style="77" customWidth="1"/>
    <col min="5381" max="5381" width="0" style="77" hidden="1" customWidth="1"/>
    <col min="5382" max="5629" width="11.42578125" style="77"/>
    <col min="5630" max="5630" width="32" style="77" customWidth="1"/>
    <col min="5631" max="5631" width="8.7109375" style="77" customWidth="1"/>
    <col min="5632" max="5632" width="5.28515625" style="77" customWidth="1"/>
    <col min="5633" max="5633" width="10.28515625" style="77" customWidth="1"/>
    <col min="5634" max="5634" width="8.85546875" style="77" customWidth="1"/>
    <col min="5635" max="5635" width="9.7109375" style="77" customWidth="1"/>
    <col min="5636" max="5636" width="13" style="77" customWidth="1"/>
    <col min="5637" max="5637" width="0" style="77" hidden="1" customWidth="1"/>
    <col min="5638" max="5885" width="11.42578125" style="77"/>
    <col min="5886" max="5886" width="32" style="77" customWidth="1"/>
    <col min="5887" max="5887" width="8.7109375" style="77" customWidth="1"/>
    <col min="5888" max="5888" width="5.28515625" style="77" customWidth="1"/>
    <col min="5889" max="5889" width="10.28515625" style="77" customWidth="1"/>
    <col min="5890" max="5890" width="8.85546875" style="77" customWidth="1"/>
    <col min="5891" max="5891" width="9.7109375" style="77" customWidth="1"/>
    <col min="5892" max="5892" width="13" style="77" customWidth="1"/>
    <col min="5893" max="5893" width="0" style="77" hidden="1" customWidth="1"/>
    <col min="5894" max="6141" width="11.42578125" style="77"/>
    <col min="6142" max="6142" width="32" style="77" customWidth="1"/>
    <col min="6143" max="6143" width="8.7109375" style="77" customWidth="1"/>
    <col min="6144" max="6144" width="5.28515625" style="77" customWidth="1"/>
    <col min="6145" max="6145" width="10.28515625" style="77" customWidth="1"/>
    <col min="6146" max="6146" width="8.85546875" style="77" customWidth="1"/>
    <col min="6147" max="6147" width="9.7109375" style="77" customWidth="1"/>
    <col min="6148" max="6148" width="13" style="77" customWidth="1"/>
    <col min="6149" max="6149" width="0" style="77" hidden="1" customWidth="1"/>
    <col min="6150" max="6397" width="11.42578125" style="77"/>
    <col min="6398" max="6398" width="32" style="77" customWidth="1"/>
    <col min="6399" max="6399" width="8.7109375" style="77" customWidth="1"/>
    <col min="6400" max="6400" width="5.28515625" style="77" customWidth="1"/>
    <col min="6401" max="6401" width="10.28515625" style="77" customWidth="1"/>
    <col min="6402" max="6402" width="8.85546875" style="77" customWidth="1"/>
    <col min="6403" max="6403" width="9.7109375" style="77" customWidth="1"/>
    <col min="6404" max="6404" width="13" style="77" customWidth="1"/>
    <col min="6405" max="6405" width="0" style="77" hidden="1" customWidth="1"/>
    <col min="6406" max="6653" width="11.42578125" style="77"/>
    <col min="6654" max="6654" width="32" style="77" customWidth="1"/>
    <col min="6655" max="6655" width="8.7109375" style="77" customWidth="1"/>
    <col min="6656" max="6656" width="5.28515625" style="77" customWidth="1"/>
    <col min="6657" max="6657" width="10.28515625" style="77" customWidth="1"/>
    <col min="6658" max="6658" width="8.85546875" style="77" customWidth="1"/>
    <col min="6659" max="6659" width="9.7109375" style="77" customWidth="1"/>
    <col min="6660" max="6660" width="13" style="77" customWidth="1"/>
    <col min="6661" max="6661" width="0" style="77" hidden="1" customWidth="1"/>
    <col min="6662" max="6909" width="11.42578125" style="77"/>
    <col min="6910" max="6910" width="32" style="77" customWidth="1"/>
    <col min="6911" max="6911" width="8.7109375" style="77" customWidth="1"/>
    <col min="6912" max="6912" width="5.28515625" style="77" customWidth="1"/>
    <col min="6913" max="6913" width="10.28515625" style="77" customWidth="1"/>
    <col min="6914" max="6914" width="8.85546875" style="77" customWidth="1"/>
    <col min="6915" max="6915" width="9.7109375" style="77" customWidth="1"/>
    <col min="6916" max="6916" width="13" style="77" customWidth="1"/>
    <col min="6917" max="6917" width="0" style="77" hidden="1" customWidth="1"/>
    <col min="6918" max="7165" width="11.42578125" style="77"/>
    <col min="7166" max="7166" width="32" style="77" customWidth="1"/>
    <col min="7167" max="7167" width="8.7109375" style="77" customWidth="1"/>
    <col min="7168" max="7168" width="5.28515625" style="77" customWidth="1"/>
    <col min="7169" max="7169" width="10.28515625" style="77" customWidth="1"/>
    <col min="7170" max="7170" width="8.85546875" style="77" customWidth="1"/>
    <col min="7171" max="7171" width="9.7109375" style="77" customWidth="1"/>
    <col min="7172" max="7172" width="13" style="77" customWidth="1"/>
    <col min="7173" max="7173" width="0" style="77" hidden="1" customWidth="1"/>
    <col min="7174" max="7421" width="11.42578125" style="77"/>
    <col min="7422" max="7422" width="32" style="77" customWidth="1"/>
    <col min="7423" max="7423" width="8.7109375" style="77" customWidth="1"/>
    <col min="7424" max="7424" width="5.28515625" style="77" customWidth="1"/>
    <col min="7425" max="7425" width="10.28515625" style="77" customWidth="1"/>
    <col min="7426" max="7426" width="8.85546875" style="77" customWidth="1"/>
    <col min="7427" max="7427" width="9.7109375" style="77" customWidth="1"/>
    <col min="7428" max="7428" width="13" style="77" customWidth="1"/>
    <col min="7429" max="7429" width="0" style="77" hidden="1" customWidth="1"/>
    <col min="7430" max="7677" width="11.42578125" style="77"/>
    <col min="7678" max="7678" width="32" style="77" customWidth="1"/>
    <col min="7679" max="7679" width="8.7109375" style="77" customWidth="1"/>
    <col min="7680" max="7680" width="5.28515625" style="77" customWidth="1"/>
    <col min="7681" max="7681" width="10.28515625" style="77" customWidth="1"/>
    <col min="7682" max="7682" width="8.85546875" style="77" customWidth="1"/>
    <col min="7683" max="7683" width="9.7109375" style="77" customWidth="1"/>
    <col min="7684" max="7684" width="13" style="77" customWidth="1"/>
    <col min="7685" max="7685" width="0" style="77" hidden="1" customWidth="1"/>
    <col min="7686" max="7933" width="11.42578125" style="77"/>
    <col min="7934" max="7934" width="32" style="77" customWidth="1"/>
    <col min="7935" max="7935" width="8.7109375" style="77" customWidth="1"/>
    <col min="7936" max="7936" width="5.28515625" style="77" customWidth="1"/>
    <col min="7937" max="7937" width="10.28515625" style="77" customWidth="1"/>
    <col min="7938" max="7938" width="8.85546875" style="77" customWidth="1"/>
    <col min="7939" max="7939" width="9.7109375" style="77" customWidth="1"/>
    <col min="7940" max="7940" width="13" style="77" customWidth="1"/>
    <col min="7941" max="7941" width="0" style="77" hidden="1" customWidth="1"/>
    <col min="7942" max="8189" width="11.42578125" style="77"/>
    <col min="8190" max="8190" width="32" style="77" customWidth="1"/>
    <col min="8191" max="8191" width="8.7109375" style="77" customWidth="1"/>
    <col min="8192" max="8192" width="5.28515625" style="77" customWidth="1"/>
    <col min="8193" max="8193" width="10.28515625" style="77" customWidth="1"/>
    <col min="8194" max="8194" width="8.85546875" style="77" customWidth="1"/>
    <col min="8195" max="8195" width="9.7109375" style="77" customWidth="1"/>
    <col min="8196" max="8196" width="13" style="77" customWidth="1"/>
    <col min="8197" max="8197" width="0" style="77" hidden="1" customWidth="1"/>
    <col min="8198" max="8445" width="11.42578125" style="77"/>
    <col min="8446" max="8446" width="32" style="77" customWidth="1"/>
    <col min="8447" max="8447" width="8.7109375" style="77" customWidth="1"/>
    <col min="8448" max="8448" width="5.28515625" style="77" customWidth="1"/>
    <col min="8449" max="8449" width="10.28515625" style="77" customWidth="1"/>
    <col min="8450" max="8450" width="8.85546875" style="77" customWidth="1"/>
    <col min="8451" max="8451" width="9.7109375" style="77" customWidth="1"/>
    <col min="8452" max="8452" width="13" style="77" customWidth="1"/>
    <col min="8453" max="8453" width="0" style="77" hidden="1" customWidth="1"/>
    <col min="8454" max="8701" width="11.42578125" style="77"/>
    <col min="8702" max="8702" width="32" style="77" customWidth="1"/>
    <col min="8703" max="8703" width="8.7109375" style="77" customWidth="1"/>
    <col min="8704" max="8704" width="5.28515625" style="77" customWidth="1"/>
    <col min="8705" max="8705" width="10.28515625" style="77" customWidth="1"/>
    <col min="8706" max="8706" width="8.85546875" style="77" customWidth="1"/>
    <col min="8707" max="8707" width="9.7109375" style="77" customWidth="1"/>
    <col min="8708" max="8708" width="13" style="77" customWidth="1"/>
    <col min="8709" max="8709" width="0" style="77" hidden="1" customWidth="1"/>
    <col min="8710" max="8957" width="11.42578125" style="77"/>
    <col min="8958" max="8958" width="32" style="77" customWidth="1"/>
    <col min="8959" max="8959" width="8.7109375" style="77" customWidth="1"/>
    <col min="8960" max="8960" width="5.28515625" style="77" customWidth="1"/>
    <col min="8961" max="8961" width="10.28515625" style="77" customWidth="1"/>
    <col min="8962" max="8962" width="8.85546875" style="77" customWidth="1"/>
    <col min="8963" max="8963" width="9.7109375" style="77" customWidth="1"/>
    <col min="8964" max="8964" width="13" style="77" customWidth="1"/>
    <col min="8965" max="8965" width="0" style="77" hidden="1" customWidth="1"/>
    <col min="8966" max="9213" width="11.42578125" style="77"/>
    <col min="9214" max="9214" width="32" style="77" customWidth="1"/>
    <col min="9215" max="9215" width="8.7109375" style="77" customWidth="1"/>
    <col min="9216" max="9216" width="5.28515625" style="77" customWidth="1"/>
    <col min="9217" max="9217" width="10.28515625" style="77" customWidth="1"/>
    <col min="9218" max="9218" width="8.85546875" style="77" customWidth="1"/>
    <col min="9219" max="9219" width="9.7109375" style="77" customWidth="1"/>
    <col min="9220" max="9220" width="13" style="77" customWidth="1"/>
    <col min="9221" max="9221" width="0" style="77" hidden="1" customWidth="1"/>
    <col min="9222" max="9469" width="11.42578125" style="77"/>
    <col min="9470" max="9470" width="32" style="77" customWidth="1"/>
    <col min="9471" max="9471" width="8.7109375" style="77" customWidth="1"/>
    <col min="9472" max="9472" width="5.28515625" style="77" customWidth="1"/>
    <col min="9473" max="9473" width="10.28515625" style="77" customWidth="1"/>
    <col min="9474" max="9474" width="8.85546875" style="77" customWidth="1"/>
    <col min="9475" max="9475" width="9.7109375" style="77" customWidth="1"/>
    <col min="9476" max="9476" width="13" style="77" customWidth="1"/>
    <col min="9477" max="9477" width="0" style="77" hidden="1" customWidth="1"/>
    <col min="9478" max="9725" width="11.42578125" style="77"/>
    <col min="9726" max="9726" width="32" style="77" customWidth="1"/>
    <col min="9727" max="9727" width="8.7109375" style="77" customWidth="1"/>
    <col min="9728" max="9728" width="5.28515625" style="77" customWidth="1"/>
    <col min="9729" max="9729" width="10.28515625" style="77" customWidth="1"/>
    <col min="9730" max="9730" width="8.85546875" style="77" customWidth="1"/>
    <col min="9731" max="9731" width="9.7109375" style="77" customWidth="1"/>
    <col min="9732" max="9732" width="13" style="77" customWidth="1"/>
    <col min="9733" max="9733" width="0" style="77" hidden="1" customWidth="1"/>
    <col min="9734" max="9981" width="11.42578125" style="77"/>
    <col min="9982" max="9982" width="32" style="77" customWidth="1"/>
    <col min="9983" max="9983" width="8.7109375" style="77" customWidth="1"/>
    <col min="9984" max="9984" width="5.28515625" style="77" customWidth="1"/>
    <col min="9985" max="9985" width="10.28515625" style="77" customWidth="1"/>
    <col min="9986" max="9986" width="8.85546875" style="77" customWidth="1"/>
    <col min="9987" max="9987" width="9.7109375" style="77" customWidth="1"/>
    <col min="9988" max="9988" width="13" style="77" customWidth="1"/>
    <col min="9989" max="9989" width="0" style="77" hidden="1" customWidth="1"/>
    <col min="9990" max="10237" width="11.42578125" style="77"/>
    <col min="10238" max="10238" width="32" style="77" customWidth="1"/>
    <col min="10239" max="10239" width="8.7109375" style="77" customWidth="1"/>
    <col min="10240" max="10240" width="5.28515625" style="77" customWidth="1"/>
    <col min="10241" max="10241" width="10.28515625" style="77" customWidth="1"/>
    <col min="10242" max="10242" width="8.85546875" style="77" customWidth="1"/>
    <col min="10243" max="10243" width="9.7109375" style="77" customWidth="1"/>
    <col min="10244" max="10244" width="13" style="77" customWidth="1"/>
    <col min="10245" max="10245" width="0" style="77" hidden="1" customWidth="1"/>
    <col min="10246" max="10493" width="11.42578125" style="77"/>
    <col min="10494" max="10494" width="32" style="77" customWidth="1"/>
    <col min="10495" max="10495" width="8.7109375" style="77" customWidth="1"/>
    <col min="10496" max="10496" width="5.28515625" style="77" customWidth="1"/>
    <col min="10497" max="10497" width="10.28515625" style="77" customWidth="1"/>
    <col min="10498" max="10498" width="8.85546875" style="77" customWidth="1"/>
    <col min="10499" max="10499" width="9.7109375" style="77" customWidth="1"/>
    <col min="10500" max="10500" width="13" style="77" customWidth="1"/>
    <col min="10501" max="10501" width="0" style="77" hidden="1" customWidth="1"/>
    <col min="10502" max="10749" width="11.42578125" style="77"/>
    <col min="10750" max="10750" width="32" style="77" customWidth="1"/>
    <col min="10751" max="10751" width="8.7109375" style="77" customWidth="1"/>
    <col min="10752" max="10752" width="5.28515625" style="77" customWidth="1"/>
    <col min="10753" max="10753" width="10.28515625" style="77" customWidth="1"/>
    <col min="10754" max="10754" width="8.85546875" style="77" customWidth="1"/>
    <col min="10755" max="10755" width="9.7109375" style="77" customWidth="1"/>
    <col min="10756" max="10756" width="13" style="77" customWidth="1"/>
    <col min="10757" max="10757" width="0" style="77" hidden="1" customWidth="1"/>
    <col min="10758" max="11005" width="11.42578125" style="77"/>
    <col min="11006" max="11006" width="32" style="77" customWidth="1"/>
    <col min="11007" max="11007" width="8.7109375" style="77" customWidth="1"/>
    <col min="11008" max="11008" width="5.28515625" style="77" customWidth="1"/>
    <col min="11009" max="11009" width="10.28515625" style="77" customWidth="1"/>
    <col min="11010" max="11010" width="8.85546875" style="77" customWidth="1"/>
    <col min="11011" max="11011" width="9.7109375" style="77" customWidth="1"/>
    <col min="11012" max="11012" width="13" style="77" customWidth="1"/>
    <col min="11013" max="11013" width="0" style="77" hidden="1" customWidth="1"/>
    <col min="11014" max="11261" width="11.42578125" style="77"/>
    <col min="11262" max="11262" width="32" style="77" customWidth="1"/>
    <col min="11263" max="11263" width="8.7109375" style="77" customWidth="1"/>
    <col min="11264" max="11264" width="5.28515625" style="77" customWidth="1"/>
    <col min="11265" max="11265" width="10.28515625" style="77" customWidth="1"/>
    <col min="11266" max="11266" width="8.85546875" style="77" customWidth="1"/>
    <col min="11267" max="11267" width="9.7109375" style="77" customWidth="1"/>
    <col min="11268" max="11268" width="13" style="77" customWidth="1"/>
    <col min="11269" max="11269" width="0" style="77" hidden="1" customWidth="1"/>
    <col min="11270" max="11517" width="11.42578125" style="77"/>
    <col min="11518" max="11518" width="32" style="77" customWidth="1"/>
    <col min="11519" max="11519" width="8.7109375" style="77" customWidth="1"/>
    <col min="11520" max="11520" width="5.28515625" style="77" customWidth="1"/>
    <col min="11521" max="11521" width="10.28515625" style="77" customWidth="1"/>
    <col min="11522" max="11522" width="8.85546875" style="77" customWidth="1"/>
    <col min="11523" max="11523" width="9.7109375" style="77" customWidth="1"/>
    <col min="11524" max="11524" width="13" style="77" customWidth="1"/>
    <col min="11525" max="11525" width="0" style="77" hidden="1" customWidth="1"/>
    <col min="11526" max="11773" width="11.42578125" style="77"/>
    <col min="11774" max="11774" width="32" style="77" customWidth="1"/>
    <col min="11775" max="11775" width="8.7109375" style="77" customWidth="1"/>
    <col min="11776" max="11776" width="5.28515625" style="77" customWidth="1"/>
    <col min="11777" max="11777" width="10.28515625" style="77" customWidth="1"/>
    <col min="11778" max="11778" width="8.85546875" style="77" customWidth="1"/>
    <col min="11779" max="11779" width="9.7109375" style="77" customWidth="1"/>
    <col min="11780" max="11780" width="13" style="77" customWidth="1"/>
    <col min="11781" max="11781" width="0" style="77" hidden="1" customWidth="1"/>
    <col min="11782" max="12029" width="11.42578125" style="77"/>
    <col min="12030" max="12030" width="32" style="77" customWidth="1"/>
    <col min="12031" max="12031" width="8.7109375" style="77" customWidth="1"/>
    <col min="12032" max="12032" width="5.28515625" style="77" customWidth="1"/>
    <col min="12033" max="12033" width="10.28515625" style="77" customWidth="1"/>
    <col min="12034" max="12034" width="8.85546875" style="77" customWidth="1"/>
    <col min="12035" max="12035" width="9.7109375" style="77" customWidth="1"/>
    <col min="12036" max="12036" width="13" style="77" customWidth="1"/>
    <col min="12037" max="12037" width="0" style="77" hidden="1" customWidth="1"/>
    <col min="12038" max="12285" width="11.42578125" style="77"/>
    <col min="12286" max="12286" width="32" style="77" customWidth="1"/>
    <col min="12287" max="12287" width="8.7109375" style="77" customWidth="1"/>
    <col min="12288" max="12288" width="5.28515625" style="77" customWidth="1"/>
    <col min="12289" max="12289" width="10.28515625" style="77" customWidth="1"/>
    <col min="12290" max="12290" width="8.85546875" style="77" customWidth="1"/>
    <col min="12291" max="12291" width="9.7109375" style="77" customWidth="1"/>
    <col min="12292" max="12292" width="13" style="77" customWidth="1"/>
    <col min="12293" max="12293" width="0" style="77" hidden="1" customWidth="1"/>
    <col min="12294" max="12541" width="11.42578125" style="77"/>
    <col min="12542" max="12542" width="32" style="77" customWidth="1"/>
    <col min="12543" max="12543" width="8.7109375" style="77" customWidth="1"/>
    <col min="12544" max="12544" width="5.28515625" style="77" customWidth="1"/>
    <col min="12545" max="12545" width="10.28515625" style="77" customWidth="1"/>
    <col min="12546" max="12546" width="8.85546875" style="77" customWidth="1"/>
    <col min="12547" max="12547" width="9.7109375" style="77" customWidth="1"/>
    <col min="12548" max="12548" width="13" style="77" customWidth="1"/>
    <col min="12549" max="12549" width="0" style="77" hidden="1" customWidth="1"/>
    <col min="12550" max="12797" width="11.42578125" style="77"/>
    <col min="12798" max="12798" width="32" style="77" customWidth="1"/>
    <col min="12799" max="12799" width="8.7109375" style="77" customWidth="1"/>
    <col min="12800" max="12800" width="5.28515625" style="77" customWidth="1"/>
    <col min="12801" max="12801" width="10.28515625" style="77" customWidth="1"/>
    <col min="12802" max="12802" width="8.85546875" style="77" customWidth="1"/>
    <col min="12803" max="12803" width="9.7109375" style="77" customWidth="1"/>
    <col min="12804" max="12804" width="13" style="77" customWidth="1"/>
    <col min="12805" max="12805" width="0" style="77" hidden="1" customWidth="1"/>
    <col min="12806" max="13053" width="11.42578125" style="77"/>
    <col min="13054" max="13054" width="32" style="77" customWidth="1"/>
    <col min="13055" max="13055" width="8.7109375" style="77" customWidth="1"/>
    <col min="13056" max="13056" width="5.28515625" style="77" customWidth="1"/>
    <col min="13057" max="13057" width="10.28515625" style="77" customWidth="1"/>
    <col min="13058" max="13058" width="8.85546875" style="77" customWidth="1"/>
    <col min="13059" max="13059" width="9.7109375" style="77" customWidth="1"/>
    <col min="13060" max="13060" width="13" style="77" customWidth="1"/>
    <col min="13061" max="13061" width="0" style="77" hidden="1" customWidth="1"/>
    <col min="13062" max="13309" width="11.42578125" style="77"/>
    <col min="13310" max="13310" width="32" style="77" customWidth="1"/>
    <col min="13311" max="13311" width="8.7109375" style="77" customWidth="1"/>
    <col min="13312" max="13312" width="5.28515625" style="77" customWidth="1"/>
    <col min="13313" max="13313" width="10.28515625" style="77" customWidth="1"/>
    <col min="13314" max="13314" width="8.85546875" style="77" customWidth="1"/>
    <col min="13315" max="13315" width="9.7109375" style="77" customWidth="1"/>
    <col min="13316" max="13316" width="13" style="77" customWidth="1"/>
    <col min="13317" max="13317" width="0" style="77" hidden="1" customWidth="1"/>
    <col min="13318" max="13565" width="11.42578125" style="77"/>
    <col min="13566" max="13566" width="32" style="77" customWidth="1"/>
    <col min="13567" max="13567" width="8.7109375" style="77" customWidth="1"/>
    <col min="13568" max="13568" width="5.28515625" style="77" customWidth="1"/>
    <col min="13569" max="13569" width="10.28515625" style="77" customWidth="1"/>
    <col min="13570" max="13570" width="8.85546875" style="77" customWidth="1"/>
    <col min="13571" max="13571" width="9.7109375" style="77" customWidth="1"/>
    <col min="13572" max="13572" width="13" style="77" customWidth="1"/>
    <col min="13573" max="13573" width="0" style="77" hidden="1" customWidth="1"/>
    <col min="13574" max="13821" width="11.42578125" style="77"/>
    <col min="13822" max="13822" width="32" style="77" customWidth="1"/>
    <col min="13823" max="13823" width="8.7109375" style="77" customWidth="1"/>
    <col min="13824" max="13824" width="5.28515625" style="77" customWidth="1"/>
    <col min="13825" max="13825" width="10.28515625" style="77" customWidth="1"/>
    <col min="13826" max="13826" width="8.85546875" style="77" customWidth="1"/>
    <col min="13827" max="13827" width="9.7109375" style="77" customWidth="1"/>
    <col min="13828" max="13828" width="13" style="77" customWidth="1"/>
    <col min="13829" max="13829" width="0" style="77" hidden="1" customWidth="1"/>
    <col min="13830" max="14077" width="11.42578125" style="77"/>
    <col min="14078" max="14078" width="32" style="77" customWidth="1"/>
    <col min="14079" max="14079" width="8.7109375" style="77" customWidth="1"/>
    <col min="14080" max="14080" width="5.28515625" style="77" customWidth="1"/>
    <col min="14081" max="14081" width="10.28515625" style="77" customWidth="1"/>
    <col min="14082" max="14082" width="8.85546875" style="77" customWidth="1"/>
    <col min="14083" max="14083" width="9.7109375" style="77" customWidth="1"/>
    <col min="14084" max="14084" width="13" style="77" customWidth="1"/>
    <col min="14085" max="14085" width="0" style="77" hidden="1" customWidth="1"/>
    <col min="14086" max="14333" width="11.42578125" style="77"/>
    <col min="14334" max="14334" width="32" style="77" customWidth="1"/>
    <col min="14335" max="14335" width="8.7109375" style="77" customWidth="1"/>
    <col min="14336" max="14336" width="5.28515625" style="77" customWidth="1"/>
    <col min="14337" max="14337" width="10.28515625" style="77" customWidth="1"/>
    <col min="14338" max="14338" width="8.85546875" style="77" customWidth="1"/>
    <col min="14339" max="14339" width="9.7109375" style="77" customWidth="1"/>
    <col min="14340" max="14340" width="13" style="77" customWidth="1"/>
    <col min="14341" max="14341" width="0" style="77" hidden="1" customWidth="1"/>
    <col min="14342" max="14589" width="11.42578125" style="77"/>
    <col min="14590" max="14590" width="32" style="77" customWidth="1"/>
    <col min="14591" max="14591" width="8.7109375" style="77" customWidth="1"/>
    <col min="14592" max="14592" width="5.28515625" style="77" customWidth="1"/>
    <col min="14593" max="14593" width="10.28515625" style="77" customWidth="1"/>
    <col min="14594" max="14594" width="8.85546875" style="77" customWidth="1"/>
    <col min="14595" max="14595" width="9.7109375" style="77" customWidth="1"/>
    <col min="14596" max="14596" width="13" style="77" customWidth="1"/>
    <col min="14597" max="14597" width="0" style="77" hidden="1" customWidth="1"/>
    <col min="14598" max="14845" width="11.42578125" style="77"/>
    <col min="14846" max="14846" width="32" style="77" customWidth="1"/>
    <col min="14847" max="14847" width="8.7109375" style="77" customWidth="1"/>
    <col min="14848" max="14848" width="5.28515625" style="77" customWidth="1"/>
    <col min="14849" max="14849" width="10.28515625" style="77" customWidth="1"/>
    <col min="14850" max="14850" width="8.85546875" style="77" customWidth="1"/>
    <col min="14851" max="14851" width="9.7109375" style="77" customWidth="1"/>
    <col min="14852" max="14852" width="13" style="77" customWidth="1"/>
    <col min="14853" max="14853" width="0" style="77" hidden="1" customWidth="1"/>
    <col min="14854" max="15101" width="11.42578125" style="77"/>
    <col min="15102" max="15102" width="32" style="77" customWidth="1"/>
    <col min="15103" max="15103" width="8.7109375" style="77" customWidth="1"/>
    <col min="15104" max="15104" width="5.28515625" style="77" customWidth="1"/>
    <col min="15105" max="15105" width="10.28515625" style="77" customWidth="1"/>
    <col min="15106" max="15106" width="8.85546875" style="77" customWidth="1"/>
    <col min="15107" max="15107" width="9.7109375" style="77" customWidth="1"/>
    <col min="15108" max="15108" width="13" style="77" customWidth="1"/>
    <col min="15109" max="15109" width="0" style="77" hidden="1" customWidth="1"/>
    <col min="15110" max="15357" width="11.42578125" style="77"/>
    <col min="15358" max="15358" width="32" style="77" customWidth="1"/>
    <col min="15359" max="15359" width="8.7109375" style="77" customWidth="1"/>
    <col min="15360" max="15360" width="5.28515625" style="77" customWidth="1"/>
    <col min="15361" max="15361" width="10.28515625" style="77" customWidth="1"/>
    <col min="15362" max="15362" width="8.85546875" style="77" customWidth="1"/>
    <col min="15363" max="15363" width="9.7109375" style="77" customWidth="1"/>
    <col min="15364" max="15364" width="13" style="77" customWidth="1"/>
    <col min="15365" max="15365" width="0" style="77" hidden="1" customWidth="1"/>
    <col min="15366" max="15613" width="11.42578125" style="77"/>
    <col min="15614" max="15614" width="32" style="77" customWidth="1"/>
    <col min="15615" max="15615" width="8.7109375" style="77" customWidth="1"/>
    <col min="15616" max="15616" width="5.28515625" style="77" customWidth="1"/>
    <col min="15617" max="15617" width="10.28515625" style="77" customWidth="1"/>
    <col min="15618" max="15618" width="8.85546875" style="77" customWidth="1"/>
    <col min="15619" max="15619" width="9.7109375" style="77" customWidth="1"/>
    <col min="15620" max="15620" width="13" style="77" customWidth="1"/>
    <col min="15621" max="15621" width="0" style="77" hidden="1" customWidth="1"/>
    <col min="15622" max="15869" width="11.42578125" style="77"/>
    <col min="15870" max="15870" width="32" style="77" customWidth="1"/>
    <col min="15871" max="15871" width="8.7109375" style="77" customWidth="1"/>
    <col min="15872" max="15872" width="5.28515625" style="77" customWidth="1"/>
    <col min="15873" max="15873" width="10.28515625" style="77" customWidth="1"/>
    <col min="15874" max="15874" width="8.85546875" style="77" customWidth="1"/>
    <col min="15875" max="15875" width="9.7109375" style="77" customWidth="1"/>
    <col min="15876" max="15876" width="13" style="77" customWidth="1"/>
    <col min="15877" max="15877" width="0" style="77" hidden="1" customWidth="1"/>
    <col min="15878" max="16125" width="11.42578125" style="77"/>
    <col min="16126" max="16126" width="32" style="77" customWidth="1"/>
    <col min="16127" max="16127" width="8.7109375" style="77" customWidth="1"/>
    <col min="16128" max="16128" width="5.28515625" style="77" customWidth="1"/>
    <col min="16129" max="16129" width="10.28515625" style="77" customWidth="1"/>
    <col min="16130" max="16130" width="8.85546875" style="77" customWidth="1"/>
    <col min="16131" max="16131" width="9.7109375" style="77" customWidth="1"/>
    <col min="16132" max="16132" width="13" style="77" customWidth="1"/>
    <col min="16133" max="16133" width="0" style="77" hidden="1" customWidth="1"/>
    <col min="16134" max="16384" width="11.42578125" style="77"/>
  </cols>
  <sheetData>
    <row r="1" spans="1:7" ht="18" customHeight="1" x14ac:dyDescent="0.2">
      <c r="A1" s="1380" t="s">
        <v>474</v>
      </c>
      <c r="B1" s="1381"/>
      <c r="C1" s="1381"/>
      <c r="D1" s="80" t="s">
        <v>300</v>
      </c>
      <c r="E1" s="1222"/>
      <c r="F1" s="1222"/>
      <c r="G1" s="1222"/>
    </row>
    <row r="2" spans="1:7" ht="14.25" customHeight="1" x14ac:dyDescent="0.2">
      <c r="A2" s="1380" t="s">
        <v>301</v>
      </c>
      <c r="B2" s="1381"/>
      <c r="C2" s="1382"/>
      <c r="D2" s="80" t="s">
        <v>302</v>
      </c>
      <c r="E2" s="1222"/>
      <c r="F2" s="1222"/>
      <c r="G2" s="1222"/>
    </row>
    <row r="3" spans="1:7" ht="16.5" customHeight="1" x14ac:dyDescent="0.2">
      <c r="A3" s="1380" t="s">
        <v>472</v>
      </c>
      <c r="B3" s="1381"/>
      <c r="C3" s="1381"/>
      <c r="D3" s="80" t="s">
        <v>303</v>
      </c>
      <c r="E3" s="106"/>
      <c r="F3" s="106"/>
      <c r="G3" s="106"/>
    </row>
    <row r="4" spans="1:7" ht="15.75" customHeight="1" x14ac:dyDescent="0.2">
      <c r="A4" s="1383" t="s">
        <v>473</v>
      </c>
      <c r="B4" s="1384"/>
      <c r="C4" s="1385"/>
      <c r="D4" s="80" t="s">
        <v>304</v>
      </c>
      <c r="E4" s="106"/>
      <c r="F4" s="106"/>
      <c r="G4" s="106"/>
    </row>
    <row r="5" spans="1:7" ht="20.25" customHeight="1" x14ac:dyDescent="0.2">
      <c r="A5" s="1378" t="s">
        <v>23</v>
      </c>
      <c r="B5" s="1379"/>
      <c r="C5" s="1379"/>
      <c r="D5" s="1379"/>
      <c r="E5" s="107"/>
      <c r="F5" s="107"/>
      <c r="G5" s="107"/>
    </row>
    <row r="6" spans="1:7" x14ac:dyDescent="0.2">
      <c r="A6" s="1228"/>
      <c r="B6" s="1229"/>
      <c r="C6" s="1229"/>
      <c r="D6" s="1229"/>
      <c r="E6" s="1229"/>
      <c r="F6" s="1229"/>
      <c r="G6" s="1365"/>
    </row>
    <row r="7" spans="1:7" x14ac:dyDescent="0.2">
      <c r="A7" s="1375" t="s">
        <v>1900</v>
      </c>
      <c r="B7" s="1376"/>
      <c r="C7" s="1376"/>
      <c r="D7" s="1376"/>
      <c r="E7" s="1377"/>
      <c r="F7" s="447" t="s">
        <v>24</v>
      </c>
      <c r="G7" s="446" t="s">
        <v>311</v>
      </c>
    </row>
    <row r="8" spans="1:7" x14ac:dyDescent="0.2">
      <c r="A8" s="1370" t="s">
        <v>25</v>
      </c>
      <c r="B8" s="1233"/>
      <c r="C8" s="1233"/>
      <c r="D8" s="1233"/>
      <c r="E8" s="1233"/>
      <c r="F8" s="1233"/>
      <c r="G8" s="1371"/>
    </row>
    <row r="9" spans="1:7" x14ac:dyDescent="0.2">
      <c r="A9" s="1372" t="s">
        <v>469</v>
      </c>
      <c r="B9" s="1373"/>
      <c r="C9" s="80" t="s">
        <v>26</v>
      </c>
      <c r="D9" s="80" t="s">
        <v>27</v>
      </c>
      <c r="E9" s="80" t="s">
        <v>28</v>
      </c>
      <c r="F9" s="89" t="s">
        <v>29</v>
      </c>
      <c r="G9" s="83"/>
    </row>
    <row r="10" spans="1:7" x14ac:dyDescent="0.2">
      <c r="A10" s="1374"/>
      <c r="B10" s="1227"/>
      <c r="C10" s="81"/>
      <c r="D10" s="81"/>
      <c r="E10" s="81"/>
      <c r="F10" s="81"/>
      <c r="G10" s="84"/>
    </row>
    <row r="11" spans="1:7" ht="21.75" customHeight="1" x14ac:dyDescent="0.2">
      <c r="A11" s="1228"/>
      <c r="B11" s="1365"/>
      <c r="C11" s="69"/>
      <c r="D11" s="62"/>
      <c r="E11" s="62"/>
      <c r="F11" s="62"/>
      <c r="G11" s="43"/>
    </row>
    <row r="12" spans="1:7" x14ac:dyDescent="0.2">
      <c r="A12" s="1228" t="s">
        <v>30</v>
      </c>
      <c r="B12" s="1365"/>
      <c r="C12" s="69"/>
      <c r="D12" s="69"/>
      <c r="E12" s="69"/>
      <c r="F12" s="62">
        <f>G39*0.05</f>
        <v>369.72222222222229</v>
      </c>
      <c r="G12" s="43"/>
    </row>
    <row r="13" spans="1:7" x14ac:dyDescent="0.2">
      <c r="A13" s="1236"/>
      <c r="B13" s="1236"/>
      <c r="C13" s="69"/>
      <c r="D13" s="69"/>
      <c r="E13" s="69"/>
      <c r="F13" s="69"/>
      <c r="G13" s="43"/>
    </row>
    <row r="14" spans="1:7" x14ac:dyDescent="0.2">
      <c r="A14" s="1236"/>
      <c r="B14" s="1236"/>
      <c r="C14" s="69"/>
      <c r="D14" s="69"/>
      <c r="E14" s="69"/>
      <c r="F14" s="69"/>
      <c r="G14" s="43"/>
    </row>
    <row r="15" spans="1:7" x14ac:dyDescent="0.2">
      <c r="A15" s="1236"/>
      <c r="B15" s="1236"/>
      <c r="C15" s="69"/>
      <c r="D15" s="69"/>
      <c r="E15" s="69"/>
      <c r="F15" s="69"/>
      <c r="G15" s="110"/>
    </row>
    <row r="16" spans="1:7" x14ac:dyDescent="0.2">
      <c r="A16" s="1236" t="s">
        <v>25</v>
      </c>
      <c r="B16" s="1236"/>
      <c r="C16" s="69"/>
      <c r="D16" s="69"/>
      <c r="E16" s="69"/>
      <c r="F16" s="69"/>
      <c r="G16" s="83" t="s">
        <v>31</v>
      </c>
    </row>
    <row r="17" spans="1:7" x14ac:dyDescent="0.2">
      <c r="A17" s="1237"/>
      <c r="B17" s="1237"/>
      <c r="C17" s="82"/>
      <c r="D17" s="82"/>
      <c r="E17" s="82"/>
      <c r="F17" s="82"/>
      <c r="G17" s="59">
        <f>F12</f>
        <v>369.72222222222229</v>
      </c>
    </row>
    <row r="18" spans="1:7" x14ac:dyDescent="0.2">
      <c r="A18" s="1234" t="s">
        <v>470</v>
      </c>
      <c r="B18" s="1235"/>
      <c r="C18" s="80" t="s">
        <v>32</v>
      </c>
      <c r="D18" s="80" t="s">
        <v>33</v>
      </c>
      <c r="E18" s="80" t="s">
        <v>34</v>
      </c>
      <c r="F18" s="80" t="s">
        <v>35</v>
      </c>
      <c r="G18" s="83"/>
    </row>
    <row r="19" spans="1:7" x14ac:dyDescent="0.2">
      <c r="A19" s="1374"/>
      <c r="B19" s="1386"/>
      <c r="C19" s="84"/>
      <c r="D19" s="84"/>
      <c r="E19" s="84"/>
      <c r="F19" s="84"/>
      <c r="G19" s="84"/>
    </row>
    <row r="20" spans="1:7" ht="13.5" customHeight="1" x14ac:dyDescent="0.2">
      <c r="A20" s="1236" t="s">
        <v>312</v>
      </c>
      <c r="B20" s="1236"/>
      <c r="C20" s="43" t="s">
        <v>55</v>
      </c>
      <c r="D20" s="87">
        <f>'[17]Precios '!H49</f>
        <v>56832.316666666673</v>
      </c>
      <c r="E20" s="43">
        <v>1</v>
      </c>
      <c r="F20" s="85">
        <f>D20*E20</f>
        <v>56832.316666666673</v>
      </c>
      <c r="G20" s="43"/>
    </row>
    <row r="21" spans="1:7" x14ac:dyDescent="0.2">
      <c r="A21" s="1228" t="s">
        <v>313</v>
      </c>
      <c r="B21" s="1229"/>
      <c r="C21" s="43" t="s">
        <v>36</v>
      </c>
      <c r="D21" s="87">
        <f>'[17]Precios '!E83</f>
        <v>43620.226650000011</v>
      </c>
      <c r="E21" s="43">
        <v>0.17</v>
      </c>
      <c r="F21" s="85">
        <f>D21*E21</f>
        <v>7415.4385305000023</v>
      </c>
      <c r="G21" s="43"/>
    </row>
    <row r="22" spans="1:7" x14ac:dyDescent="0.2">
      <c r="A22" s="1228" t="s">
        <v>56</v>
      </c>
      <c r="B22" s="1229"/>
      <c r="C22" s="43" t="s">
        <v>54</v>
      </c>
      <c r="D22" s="87">
        <f>'[17]Precios '!I160</f>
        <v>3014.5915800000007</v>
      </c>
      <c r="E22" s="86">
        <v>0.15</v>
      </c>
      <c r="F22" s="85">
        <f>D22*E22</f>
        <v>452.18873700000012</v>
      </c>
      <c r="G22" s="43"/>
    </row>
    <row r="23" spans="1:7" x14ac:dyDescent="0.2">
      <c r="A23" s="1228" t="s">
        <v>57</v>
      </c>
      <c r="B23" s="1229"/>
      <c r="C23" s="63">
        <v>0.75</v>
      </c>
      <c r="D23" s="87">
        <f>'[17]Precios '!I137</f>
        <v>60173.689826250011</v>
      </c>
      <c r="E23" s="86">
        <v>0.1</v>
      </c>
      <c r="F23" s="85">
        <f>D23*E23</f>
        <v>6017.3689826250011</v>
      </c>
      <c r="G23" s="43"/>
    </row>
    <row r="24" spans="1:7" ht="15" customHeight="1" x14ac:dyDescent="0.2">
      <c r="A24" s="1228" t="s">
        <v>59</v>
      </c>
      <c r="B24" s="1229"/>
      <c r="C24" s="63">
        <v>0.75</v>
      </c>
      <c r="D24" s="103">
        <f>'[17]Precios '!I138</f>
        <v>124798.03060725004</v>
      </c>
      <c r="E24" s="101">
        <v>0.1</v>
      </c>
      <c r="F24" s="85">
        <f>D24*E24</f>
        <v>12479.803060725004</v>
      </c>
      <c r="G24" s="43"/>
    </row>
    <row r="25" spans="1:7" x14ac:dyDescent="0.2">
      <c r="A25" s="1228"/>
      <c r="B25" s="1229"/>
      <c r="C25" s="43"/>
      <c r="D25" s="43"/>
      <c r="E25" s="43"/>
      <c r="F25" s="43"/>
      <c r="G25" s="43" t="s">
        <v>31</v>
      </c>
    </row>
    <row r="26" spans="1:7" ht="21.75" customHeight="1" x14ac:dyDescent="0.2">
      <c r="A26" s="1228"/>
      <c r="B26" s="1229"/>
      <c r="C26" s="69"/>
      <c r="D26" s="69"/>
      <c r="E26" s="69"/>
      <c r="F26" s="69"/>
      <c r="G26" s="60">
        <f>F24+F23+F22+F21+F20</f>
        <v>83197.115977516689</v>
      </c>
    </row>
    <row r="27" spans="1:7" ht="24" x14ac:dyDescent="0.2">
      <c r="A27" s="88" t="s">
        <v>305</v>
      </c>
      <c r="B27" s="89" t="s">
        <v>38</v>
      </c>
      <c r="C27" s="89" t="s">
        <v>39</v>
      </c>
      <c r="D27" s="80" t="s">
        <v>40</v>
      </c>
      <c r="E27" s="80" t="s">
        <v>34</v>
      </c>
      <c r="F27" s="80" t="s">
        <v>35</v>
      </c>
      <c r="G27" s="83"/>
    </row>
    <row r="28" spans="1:7" x14ac:dyDescent="0.2">
      <c r="A28" s="90"/>
      <c r="B28" s="43"/>
      <c r="C28" s="43"/>
      <c r="D28" s="62"/>
      <c r="E28" s="91"/>
      <c r="F28" s="62"/>
      <c r="G28" s="43"/>
    </row>
    <row r="29" spans="1:7" x14ac:dyDescent="0.2">
      <c r="A29" s="90"/>
      <c r="B29" s="43"/>
      <c r="C29" s="43"/>
      <c r="D29" s="62"/>
      <c r="E29" s="92"/>
      <c r="F29" s="62"/>
      <c r="G29" s="43"/>
    </row>
    <row r="30" spans="1:7" x14ac:dyDescent="0.2">
      <c r="A30" s="90"/>
      <c r="B30" s="43"/>
      <c r="C30" s="43"/>
      <c r="D30" s="62"/>
      <c r="E30" s="92"/>
      <c r="F30" s="62"/>
      <c r="G30" s="43"/>
    </row>
    <row r="31" spans="1:7" ht="15" customHeight="1" x14ac:dyDescent="0.2">
      <c r="A31" s="90" t="s">
        <v>25</v>
      </c>
      <c r="B31" s="43" t="s">
        <v>25</v>
      </c>
      <c r="C31" s="43" t="s">
        <v>25</v>
      </c>
      <c r="D31" s="61" t="s">
        <v>25</v>
      </c>
      <c r="E31" s="92" t="s">
        <v>25</v>
      </c>
      <c r="F31" s="62" t="s">
        <v>25</v>
      </c>
      <c r="G31" s="43" t="s">
        <v>31</v>
      </c>
    </row>
    <row r="32" spans="1:7" x14ac:dyDescent="0.2">
      <c r="A32" s="90"/>
      <c r="B32" s="69"/>
      <c r="C32" s="69"/>
      <c r="D32" s="69"/>
      <c r="E32" s="69"/>
      <c r="F32" s="69"/>
      <c r="G32" s="59"/>
    </row>
    <row r="33" spans="1:7" ht="15.75" customHeight="1" x14ac:dyDescent="0.2">
      <c r="A33" s="88" t="s">
        <v>41</v>
      </c>
      <c r="B33" s="80" t="s">
        <v>42</v>
      </c>
      <c r="C33" s="80" t="s">
        <v>43</v>
      </c>
      <c r="D33" s="80" t="s">
        <v>44</v>
      </c>
      <c r="E33" s="89" t="s">
        <v>306</v>
      </c>
      <c r="F33" s="89" t="s">
        <v>29</v>
      </c>
      <c r="G33" s="83"/>
    </row>
    <row r="34" spans="1:7" x14ac:dyDescent="0.2">
      <c r="A34" s="81"/>
      <c r="B34" s="81"/>
      <c r="C34" s="81"/>
      <c r="D34" s="81"/>
      <c r="E34" s="81"/>
      <c r="F34" s="81"/>
      <c r="G34" s="84"/>
    </row>
    <row r="35" spans="1:7" x14ac:dyDescent="0.2">
      <c r="A35" s="69" t="s">
        <v>25</v>
      </c>
      <c r="B35" s="85"/>
      <c r="C35" s="69"/>
      <c r="D35" s="62"/>
      <c r="E35" s="69"/>
      <c r="F35" s="62"/>
      <c r="G35" s="43"/>
    </row>
    <row r="36" spans="1:7" x14ac:dyDescent="0.2">
      <c r="A36" s="69" t="s">
        <v>314</v>
      </c>
      <c r="B36" s="85">
        <f>'[17]Jornal día'!B36</f>
        <v>44000</v>
      </c>
      <c r="C36" s="111">
        <v>0.9</v>
      </c>
      <c r="D36" s="62">
        <f>B36*'[17]Jornal día'!D51</f>
        <v>83600</v>
      </c>
      <c r="E36" s="43">
        <v>18</v>
      </c>
      <c r="F36" s="62">
        <f>D36/E36</f>
        <v>4644.4444444444443</v>
      </c>
      <c r="G36" s="43" t="s">
        <v>25</v>
      </c>
    </row>
    <row r="37" spans="1:7" x14ac:dyDescent="0.2">
      <c r="A37" s="69" t="s">
        <v>315</v>
      </c>
      <c r="B37" s="85">
        <f>'[17]Jornal día'!B37</f>
        <v>27500.000000000004</v>
      </c>
      <c r="C37" s="111">
        <f>C36</f>
        <v>0.9</v>
      </c>
      <c r="D37" s="62">
        <f>B37*'[17]Jornal día'!D52</f>
        <v>49500.000000000007</v>
      </c>
      <c r="E37" s="43">
        <v>18</v>
      </c>
      <c r="F37" s="62">
        <f>D37/E37</f>
        <v>2750.0000000000005</v>
      </c>
      <c r="G37" s="43"/>
    </row>
    <row r="38" spans="1:7" x14ac:dyDescent="0.2">
      <c r="A38" s="69"/>
      <c r="B38" s="69"/>
      <c r="C38" s="69"/>
      <c r="D38" s="69"/>
      <c r="E38" s="69"/>
      <c r="F38" s="69"/>
      <c r="G38" s="43" t="s">
        <v>31</v>
      </c>
    </row>
    <row r="39" spans="1:7" x14ac:dyDescent="0.2">
      <c r="A39" s="82"/>
      <c r="B39" s="82"/>
      <c r="C39" s="82"/>
      <c r="D39" s="82"/>
      <c r="E39" s="82"/>
      <c r="F39" s="82"/>
      <c r="G39" s="59">
        <f xml:space="preserve"> F37+F36</f>
        <v>7394.4444444444453</v>
      </c>
    </row>
    <row r="40" spans="1:7" x14ac:dyDescent="0.2">
      <c r="A40" s="1231" t="s">
        <v>25</v>
      </c>
      <c r="B40" s="1230"/>
      <c r="C40" s="1230"/>
      <c r="D40" s="1230"/>
      <c r="E40" s="1230"/>
      <c r="F40" s="1230"/>
      <c r="G40" s="1371"/>
    </row>
    <row r="41" spans="1:7" x14ac:dyDescent="0.2">
      <c r="A41" s="1248" t="s">
        <v>45</v>
      </c>
      <c r="B41" s="1248"/>
      <c r="C41" s="1248"/>
      <c r="D41" s="1248"/>
      <c r="E41" s="1231"/>
      <c r="F41" s="93"/>
      <c r="G41" s="70">
        <f>G39+G26+G17</f>
        <v>90961.282644183346</v>
      </c>
    </row>
    <row r="42" spans="1:7" ht="3" customHeight="1" x14ac:dyDescent="0.2">
      <c r="A42" s="1232" t="s">
        <v>476</v>
      </c>
      <c r="B42" s="1232"/>
      <c r="C42" s="1222"/>
      <c r="D42" s="1222"/>
      <c r="E42" s="1222" t="s">
        <v>44</v>
      </c>
      <c r="F42" s="1222" t="s">
        <v>51</v>
      </c>
      <c r="G42" s="1222" t="s">
        <v>307</v>
      </c>
    </row>
    <row r="43" spans="1:7" x14ac:dyDescent="0.2">
      <c r="A43" s="1232"/>
      <c r="B43" s="1232"/>
      <c r="C43" s="1222"/>
      <c r="D43" s="1222"/>
      <c r="E43" s="1222"/>
      <c r="F43" s="1222"/>
      <c r="G43" s="1222"/>
    </row>
    <row r="44" spans="1:7" x14ac:dyDescent="0.2">
      <c r="A44" s="1244" t="s">
        <v>17</v>
      </c>
      <c r="B44" s="1244"/>
      <c r="C44" s="1244"/>
      <c r="D44" s="1244"/>
      <c r="E44" s="1244"/>
      <c r="F44" s="1221"/>
      <c r="G44" s="1222"/>
    </row>
    <row r="45" spans="1:7" x14ac:dyDescent="0.2">
      <c r="A45" s="1244" t="s">
        <v>308</v>
      </c>
      <c r="B45" s="1244"/>
      <c r="C45" s="1244"/>
      <c r="D45" s="1244"/>
      <c r="E45" s="1244"/>
      <c r="F45" s="1221"/>
      <c r="G45" s="1222"/>
    </row>
    <row r="46" spans="1:7" x14ac:dyDescent="0.2">
      <c r="A46" s="1244" t="s">
        <v>19</v>
      </c>
      <c r="B46" s="1244"/>
      <c r="C46" s="1244"/>
      <c r="D46" s="1244"/>
      <c r="E46" s="1244"/>
      <c r="F46" s="1221"/>
      <c r="G46" s="1222"/>
    </row>
    <row r="47" spans="1:7" x14ac:dyDescent="0.2">
      <c r="A47" s="1244" t="s">
        <v>309</v>
      </c>
      <c r="B47" s="1244"/>
      <c r="C47" s="1244"/>
      <c r="D47" s="1244"/>
      <c r="E47" s="1244"/>
      <c r="F47" s="1221"/>
      <c r="G47" s="1222"/>
    </row>
    <row r="48" spans="1:7" x14ac:dyDescent="0.2">
      <c r="A48" s="1245" t="s">
        <v>310</v>
      </c>
      <c r="B48" s="1245"/>
      <c r="C48" s="1245"/>
      <c r="D48" s="1245"/>
      <c r="E48" s="1245"/>
      <c r="F48" s="1222"/>
      <c r="G48" s="1222"/>
    </row>
    <row r="49" spans="1:7" x14ac:dyDescent="0.2">
      <c r="A49" s="1387" t="s">
        <v>1901</v>
      </c>
      <c r="B49" s="1388"/>
      <c r="C49" s="1388"/>
      <c r="D49" s="1388"/>
      <c r="E49" s="1389"/>
      <c r="F49" s="78" t="s">
        <v>24</v>
      </c>
      <c r="G49" s="109" t="s">
        <v>311</v>
      </c>
    </row>
    <row r="50" spans="1:7" x14ac:dyDescent="0.2">
      <c r="A50" s="1228" t="s">
        <v>25</v>
      </c>
      <c r="B50" s="1229"/>
      <c r="C50" s="1229"/>
      <c r="D50" s="1229"/>
      <c r="E50" s="1229"/>
      <c r="F50" s="1229"/>
      <c r="G50" s="1365"/>
    </row>
    <row r="51" spans="1:7" x14ac:dyDescent="0.2">
      <c r="A51" s="1234" t="s">
        <v>469</v>
      </c>
      <c r="B51" s="1235"/>
      <c r="C51" s="80" t="s">
        <v>26</v>
      </c>
      <c r="D51" s="80" t="s">
        <v>27</v>
      </c>
      <c r="E51" s="80" t="s">
        <v>28</v>
      </c>
      <c r="F51" s="89" t="s">
        <v>29</v>
      </c>
      <c r="G51" s="83"/>
    </row>
    <row r="52" spans="1:7" x14ac:dyDescent="0.2">
      <c r="A52" s="1390"/>
      <c r="B52" s="1390"/>
      <c r="C52" s="81"/>
      <c r="D52" s="81"/>
      <c r="E52" s="81"/>
      <c r="F52" s="81"/>
      <c r="G52" s="84"/>
    </row>
    <row r="53" spans="1:7" x14ac:dyDescent="0.2">
      <c r="A53" s="1236"/>
      <c r="B53" s="1236"/>
      <c r="C53" s="69"/>
      <c r="D53" s="62"/>
      <c r="E53" s="62"/>
      <c r="F53" s="62"/>
      <c r="G53" s="43"/>
    </row>
    <row r="54" spans="1:7" x14ac:dyDescent="0.2">
      <c r="A54" s="1236" t="s">
        <v>30</v>
      </c>
      <c r="B54" s="1236"/>
      <c r="C54" s="69"/>
      <c r="D54" s="69"/>
      <c r="E54" s="69"/>
      <c r="F54" s="62">
        <f>G81*0.05</f>
        <v>377.36111111111114</v>
      </c>
      <c r="G54" s="43"/>
    </row>
    <row r="55" spans="1:7" x14ac:dyDescent="0.2">
      <c r="A55" s="1236"/>
      <c r="B55" s="1236"/>
      <c r="C55" s="69"/>
      <c r="D55" s="69"/>
      <c r="E55" s="69"/>
      <c r="F55" s="69"/>
      <c r="G55" s="43"/>
    </row>
    <row r="56" spans="1:7" x14ac:dyDescent="0.2">
      <c r="A56" s="1236"/>
      <c r="B56" s="1236"/>
      <c r="C56" s="69"/>
      <c r="D56" s="69"/>
      <c r="E56" s="69"/>
      <c r="F56" s="69"/>
      <c r="G56" s="43"/>
    </row>
    <row r="57" spans="1:7" x14ac:dyDescent="0.2">
      <c r="A57" s="1236"/>
      <c r="B57" s="1236"/>
      <c r="C57" s="69"/>
      <c r="D57" s="69"/>
      <c r="E57" s="69"/>
      <c r="F57" s="69"/>
      <c r="G57" s="110"/>
    </row>
    <row r="58" spans="1:7" x14ac:dyDescent="0.2">
      <c r="A58" s="1236" t="s">
        <v>25</v>
      </c>
      <c r="B58" s="1236"/>
      <c r="C58" s="69"/>
      <c r="D58" s="69"/>
      <c r="E58" s="69"/>
      <c r="F58" s="69"/>
      <c r="G58" s="83" t="s">
        <v>31</v>
      </c>
    </row>
    <row r="59" spans="1:7" x14ac:dyDescent="0.2">
      <c r="A59" s="1237"/>
      <c r="B59" s="1237"/>
      <c r="C59" s="82"/>
      <c r="D59" s="82"/>
      <c r="E59" s="82"/>
      <c r="F59" s="82"/>
      <c r="G59" s="59">
        <f>F54</f>
        <v>377.36111111111114</v>
      </c>
    </row>
    <row r="60" spans="1:7" x14ac:dyDescent="0.2">
      <c r="A60" s="1234" t="s">
        <v>470</v>
      </c>
      <c r="B60" s="1235"/>
      <c r="C60" s="80" t="s">
        <v>32</v>
      </c>
      <c r="D60" s="80" t="s">
        <v>33</v>
      </c>
      <c r="E60" s="80" t="s">
        <v>34</v>
      </c>
      <c r="F60" s="80" t="s">
        <v>35</v>
      </c>
      <c r="G60" s="83"/>
    </row>
    <row r="61" spans="1:7" x14ac:dyDescent="0.2">
      <c r="A61" s="1374"/>
      <c r="B61" s="1386"/>
      <c r="C61" s="84"/>
      <c r="D61" s="84"/>
      <c r="E61" s="84"/>
      <c r="F61" s="84"/>
      <c r="G61" s="84"/>
    </row>
    <row r="62" spans="1:7" x14ac:dyDescent="0.2">
      <c r="A62" s="1236" t="s">
        <v>316</v>
      </c>
      <c r="B62" s="1236"/>
      <c r="C62" s="43" t="s">
        <v>55</v>
      </c>
      <c r="D62" s="87">
        <f>'[17]Precios '!H47</f>
        <v>19175</v>
      </c>
      <c r="E62" s="43">
        <v>1</v>
      </c>
      <c r="F62" s="85">
        <f>D62*E62</f>
        <v>19175</v>
      </c>
      <c r="G62" s="43"/>
    </row>
    <row r="63" spans="1:7" x14ac:dyDescent="0.2">
      <c r="A63" s="1228" t="s">
        <v>317</v>
      </c>
      <c r="B63" s="1229"/>
      <c r="C63" s="43" t="s">
        <v>36</v>
      </c>
      <c r="D63" s="87">
        <f>'[17]Precios '!E64</f>
        <v>9310.8015000000014</v>
      </c>
      <c r="E63" s="43">
        <v>0.2</v>
      </c>
      <c r="F63" s="85">
        <f>D63*E63</f>
        <v>1862.1603000000005</v>
      </c>
      <c r="G63" s="43"/>
    </row>
    <row r="64" spans="1:7" x14ac:dyDescent="0.2">
      <c r="A64" s="1228" t="s">
        <v>56</v>
      </c>
      <c r="B64" s="1229"/>
      <c r="C64" s="43" t="s">
        <v>54</v>
      </c>
      <c r="D64" s="87">
        <f>'[17]Precios '!E139</f>
        <v>3250</v>
      </c>
      <c r="E64" s="86">
        <v>0.1</v>
      </c>
      <c r="F64" s="85">
        <f>D64*E64</f>
        <v>325</v>
      </c>
      <c r="G64" s="43"/>
    </row>
    <row r="65" spans="1:7" x14ac:dyDescent="0.2">
      <c r="A65" s="1228" t="s">
        <v>57</v>
      </c>
      <c r="B65" s="1229"/>
      <c r="C65" s="63">
        <v>0.75</v>
      </c>
      <c r="D65" s="87">
        <f>'[17]Precios '!E137</f>
        <v>52324.94767500001</v>
      </c>
      <c r="E65" s="86">
        <v>0.08</v>
      </c>
      <c r="F65" s="85">
        <f>D65*E65</f>
        <v>4185.9958140000008</v>
      </c>
      <c r="G65" s="43"/>
    </row>
    <row r="66" spans="1:7" x14ac:dyDescent="0.2">
      <c r="A66" s="1228" t="s">
        <v>59</v>
      </c>
      <c r="B66" s="1229"/>
      <c r="C66" s="63">
        <v>0.75</v>
      </c>
      <c r="D66" s="87">
        <f>'[17]Precios '!E138</f>
        <v>108520.02661500004</v>
      </c>
      <c r="E66" s="43">
        <v>0.08</v>
      </c>
      <c r="F66" s="85">
        <f>D66*E66</f>
        <v>8681.6021292000041</v>
      </c>
      <c r="G66" s="43"/>
    </row>
    <row r="67" spans="1:7" x14ac:dyDescent="0.2">
      <c r="A67" s="1228"/>
      <c r="B67" s="1229"/>
      <c r="C67" s="43"/>
      <c r="D67" s="43"/>
      <c r="E67" s="43"/>
      <c r="F67" s="43"/>
      <c r="G67" s="43" t="s">
        <v>31</v>
      </c>
    </row>
    <row r="68" spans="1:7" x14ac:dyDescent="0.2">
      <c r="A68" s="1228"/>
      <c r="B68" s="1229"/>
      <c r="C68" s="69"/>
      <c r="D68" s="69"/>
      <c r="E68" s="69"/>
      <c r="F68" s="69"/>
      <c r="G68" s="60">
        <f>F66+F65+F64+F63+F62</f>
        <v>34229.758243200005</v>
      </c>
    </row>
    <row r="69" spans="1:7" ht="24" x14ac:dyDescent="0.2">
      <c r="A69" s="88" t="s">
        <v>305</v>
      </c>
      <c r="B69" s="89" t="s">
        <v>38</v>
      </c>
      <c r="C69" s="89" t="s">
        <v>39</v>
      </c>
      <c r="D69" s="80" t="s">
        <v>40</v>
      </c>
      <c r="E69" s="80" t="s">
        <v>34</v>
      </c>
      <c r="F69" s="80" t="s">
        <v>35</v>
      </c>
      <c r="G69" s="83"/>
    </row>
    <row r="70" spans="1:7" x14ac:dyDescent="0.2">
      <c r="A70" s="90"/>
      <c r="B70" s="43"/>
      <c r="C70" s="43"/>
      <c r="D70" s="62"/>
      <c r="E70" s="91"/>
      <c r="F70" s="62"/>
      <c r="G70" s="43"/>
    </row>
    <row r="71" spans="1:7" x14ac:dyDescent="0.2">
      <c r="A71" s="90"/>
      <c r="B71" s="43"/>
      <c r="C71" s="43"/>
      <c r="D71" s="62"/>
      <c r="E71" s="92"/>
      <c r="F71" s="62"/>
      <c r="G71" s="43"/>
    </row>
    <row r="72" spans="1:7" x14ac:dyDescent="0.2">
      <c r="A72" s="90"/>
      <c r="B72" s="43"/>
      <c r="C72" s="43"/>
      <c r="D72" s="62"/>
      <c r="E72" s="92"/>
      <c r="F72" s="62"/>
      <c r="G72" s="43"/>
    </row>
    <row r="73" spans="1:7" x14ac:dyDescent="0.2">
      <c r="A73" s="90" t="s">
        <v>25</v>
      </c>
      <c r="B73" s="43" t="s">
        <v>25</v>
      </c>
      <c r="C73" s="43" t="s">
        <v>25</v>
      </c>
      <c r="D73" s="61" t="s">
        <v>25</v>
      </c>
      <c r="E73" s="92" t="s">
        <v>25</v>
      </c>
      <c r="F73" s="62" t="s">
        <v>25</v>
      </c>
      <c r="G73" s="43" t="s">
        <v>31</v>
      </c>
    </row>
    <row r="74" spans="1:7" x14ac:dyDescent="0.2">
      <c r="A74" s="90"/>
      <c r="B74" s="69"/>
      <c r="C74" s="69"/>
      <c r="D74" s="69"/>
      <c r="E74" s="69"/>
      <c r="F74" s="69"/>
      <c r="G74" s="59"/>
    </row>
    <row r="75" spans="1:7" ht="24" x14ac:dyDescent="0.2">
      <c r="A75" s="88" t="s">
        <v>41</v>
      </c>
      <c r="B75" s="80" t="s">
        <v>42</v>
      </c>
      <c r="C75" s="80" t="s">
        <v>43</v>
      </c>
      <c r="D75" s="80" t="s">
        <v>44</v>
      </c>
      <c r="E75" s="89" t="s">
        <v>306</v>
      </c>
      <c r="F75" s="89" t="s">
        <v>29</v>
      </c>
      <c r="G75" s="83"/>
    </row>
    <row r="76" spans="1:7" x14ac:dyDescent="0.2">
      <c r="A76" s="81"/>
      <c r="B76" s="81"/>
      <c r="C76" s="81"/>
      <c r="D76" s="81"/>
      <c r="E76" s="81"/>
      <c r="F76" s="81"/>
      <c r="G76" s="84"/>
    </row>
    <row r="77" spans="1:7" x14ac:dyDescent="0.2">
      <c r="A77" s="69" t="s">
        <v>25</v>
      </c>
      <c r="B77" s="85"/>
      <c r="C77" s="69"/>
      <c r="D77" s="62"/>
      <c r="E77" s="69"/>
      <c r="F77" s="62"/>
      <c r="G77" s="43"/>
    </row>
    <row r="78" spans="1:7" x14ac:dyDescent="0.2">
      <c r="A78" s="69" t="s">
        <v>314</v>
      </c>
      <c r="B78" s="85">
        <f>B36</f>
        <v>44000</v>
      </c>
      <c r="C78" s="96">
        <v>0.9</v>
      </c>
      <c r="D78" s="62">
        <f>B78*1.9</f>
        <v>83600</v>
      </c>
      <c r="E78" s="43">
        <v>18</v>
      </c>
      <c r="F78" s="62">
        <f>D78/E78</f>
        <v>4644.4444444444443</v>
      </c>
      <c r="G78" s="43" t="s">
        <v>25</v>
      </c>
    </row>
    <row r="79" spans="1:7" x14ac:dyDescent="0.2">
      <c r="A79" s="69" t="s">
        <v>315</v>
      </c>
      <c r="B79" s="85">
        <f>B37</f>
        <v>27500.000000000004</v>
      </c>
      <c r="C79" s="96">
        <f>C78</f>
        <v>0.9</v>
      </c>
      <c r="D79" s="62">
        <f>B79*1.9</f>
        <v>52250.000000000007</v>
      </c>
      <c r="E79" s="43">
        <v>18</v>
      </c>
      <c r="F79" s="62">
        <f>D79/E79</f>
        <v>2902.7777777777783</v>
      </c>
      <c r="G79" s="43"/>
    </row>
    <row r="80" spans="1:7" x14ac:dyDescent="0.2">
      <c r="A80" s="69"/>
      <c r="B80" s="69"/>
      <c r="C80" s="69"/>
      <c r="D80" s="69"/>
      <c r="E80" s="69"/>
      <c r="F80" s="69"/>
      <c r="G80" s="43" t="s">
        <v>31</v>
      </c>
    </row>
    <row r="81" spans="1:7" x14ac:dyDescent="0.2">
      <c r="A81" s="82"/>
      <c r="B81" s="82"/>
      <c r="C81" s="82"/>
      <c r="D81" s="82"/>
      <c r="E81" s="82"/>
      <c r="F81" s="82"/>
      <c r="G81" s="59">
        <f xml:space="preserve"> F79+F78</f>
        <v>7547.2222222222226</v>
      </c>
    </row>
    <row r="82" spans="1:7" x14ac:dyDescent="0.2">
      <c r="A82" s="1231" t="s">
        <v>25</v>
      </c>
      <c r="B82" s="1230"/>
      <c r="C82" s="1230"/>
      <c r="D82" s="1230"/>
      <c r="E82" s="1230"/>
      <c r="F82" s="1230"/>
      <c r="G82" s="1371"/>
    </row>
    <row r="83" spans="1:7" x14ac:dyDescent="0.2">
      <c r="A83" s="1248" t="s">
        <v>45</v>
      </c>
      <c r="B83" s="1248"/>
      <c r="C83" s="1248"/>
      <c r="D83" s="1248"/>
      <c r="E83" s="1231"/>
      <c r="F83" s="93"/>
      <c r="G83" s="70">
        <f>G81+G68+G59</f>
        <v>42154.341576533334</v>
      </c>
    </row>
    <row r="84" spans="1:7" x14ac:dyDescent="0.2">
      <c r="A84" s="1232" t="s">
        <v>476</v>
      </c>
      <c r="B84" s="1232"/>
      <c r="C84" s="1222"/>
      <c r="D84" s="1222"/>
      <c r="E84" s="1222" t="s">
        <v>44</v>
      </c>
      <c r="F84" s="1222" t="s">
        <v>51</v>
      </c>
      <c r="G84" s="1222" t="s">
        <v>307</v>
      </c>
    </row>
    <row r="85" spans="1:7" x14ac:dyDescent="0.2">
      <c r="A85" s="1232"/>
      <c r="B85" s="1232"/>
      <c r="C85" s="1222"/>
      <c r="D85" s="1222"/>
      <c r="E85" s="1222"/>
      <c r="F85" s="1222"/>
      <c r="G85" s="1222"/>
    </row>
    <row r="86" spans="1:7" x14ac:dyDescent="0.2">
      <c r="A86" s="1244" t="s">
        <v>17</v>
      </c>
      <c r="B86" s="1244"/>
      <c r="C86" s="1244"/>
      <c r="D86" s="1244"/>
      <c r="E86" s="1244"/>
      <c r="F86" s="1221"/>
      <c r="G86" s="1222"/>
    </row>
    <row r="87" spans="1:7" x14ac:dyDescent="0.2">
      <c r="A87" s="1244" t="s">
        <v>308</v>
      </c>
      <c r="B87" s="1244"/>
      <c r="C87" s="1244"/>
      <c r="D87" s="1244"/>
      <c r="E87" s="1244"/>
      <c r="F87" s="1221"/>
      <c r="G87" s="1222"/>
    </row>
    <row r="88" spans="1:7" x14ac:dyDescent="0.2">
      <c r="A88" s="1244" t="s">
        <v>19</v>
      </c>
      <c r="B88" s="1244"/>
      <c r="C88" s="1244"/>
      <c r="D88" s="1244"/>
      <c r="E88" s="1244"/>
      <c r="F88" s="1221"/>
      <c r="G88" s="1222"/>
    </row>
    <row r="89" spans="1:7" x14ac:dyDescent="0.2">
      <c r="A89" s="1244" t="s">
        <v>309</v>
      </c>
      <c r="B89" s="1244"/>
      <c r="C89" s="1244"/>
      <c r="D89" s="1244"/>
      <c r="E89" s="1244"/>
      <c r="F89" s="1221"/>
      <c r="G89" s="1222"/>
    </row>
    <row r="90" spans="1:7" x14ac:dyDescent="0.2">
      <c r="A90" s="1245" t="s">
        <v>310</v>
      </c>
      <c r="B90" s="1245"/>
      <c r="C90" s="1245"/>
      <c r="D90" s="1245"/>
      <c r="E90" s="1245"/>
      <c r="F90" s="1222"/>
      <c r="G90" s="1222"/>
    </row>
    <row r="91" spans="1:7" x14ac:dyDescent="0.2">
      <c r="A91" s="1375" t="s">
        <v>1902</v>
      </c>
      <c r="B91" s="1376"/>
      <c r="C91" s="1376"/>
      <c r="D91" s="1376"/>
      <c r="E91" s="1377"/>
      <c r="F91" s="447" t="s">
        <v>24</v>
      </c>
      <c r="G91" s="446" t="s">
        <v>311</v>
      </c>
    </row>
    <row r="92" spans="1:7" x14ac:dyDescent="0.2">
      <c r="A92" s="1228" t="s">
        <v>25</v>
      </c>
      <c r="B92" s="1229"/>
      <c r="C92" s="1229"/>
      <c r="D92" s="1229"/>
      <c r="E92" s="1229"/>
      <c r="F92" s="1229"/>
      <c r="G92" s="1365"/>
    </row>
    <row r="93" spans="1:7" x14ac:dyDescent="0.2">
      <c r="A93" s="1234" t="s">
        <v>469</v>
      </c>
      <c r="B93" s="1235"/>
      <c r="C93" s="80" t="s">
        <v>26</v>
      </c>
      <c r="D93" s="80" t="s">
        <v>27</v>
      </c>
      <c r="E93" s="80" t="s">
        <v>28</v>
      </c>
      <c r="F93" s="89" t="s">
        <v>29</v>
      </c>
      <c r="G93" s="83"/>
    </row>
    <row r="94" spans="1:7" x14ac:dyDescent="0.2">
      <c r="A94" s="1390"/>
      <c r="B94" s="1390"/>
      <c r="C94" s="81"/>
      <c r="D94" s="81"/>
      <c r="E94" s="81"/>
      <c r="F94" s="81"/>
      <c r="G94" s="84"/>
    </row>
    <row r="95" spans="1:7" x14ac:dyDescent="0.2">
      <c r="A95" s="1236"/>
      <c r="B95" s="1236"/>
      <c r="C95" s="69"/>
      <c r="D95" s="62"/>
      <c r="E95" s="62"/>
      <c r="F95" s="62"/>
      <c r="G95" s="43"/>
    </row>
    <row r="96" spans="1:7" x14ac:dyDescent="0.2">
      <c r="A96" s="1236" t="s">
        <v>30</v>
      </c>
      <c r="B96" s="1236"/>
      <c r="C96" s="69"/>
      <c r="D96" s="69"/>
      <c r="E96" s="69"/>
      <c r="F96" s="62">
        <f>G123*0.05</f>
        <v>377.36111111111114</v>
      </c>
      <c r="G96" s="43"/>
    </row>
    <row r="97" spans="1:7" x14ac:dyDescent="0.2">
      <c r="A97" s="1236"/>
      <c r="B97" s="1236"/>
      <c r="C97" s="69"/>
      <c r="D97" s="69"/>
      <c r="E97" s="69"/>
      <c r="F97" s="69"/>
      <c r="G97" s="43"/>
    </row>
    <row r="98" spans="1:7" x14ac:dyDescent="0.2">
      <c r="A98" s="1236"/>
      <c r="B98" s="1236"/>
      <c r="C98" s="69"/>
      <c r="D98" s="69"/>
      <c r="E98" s="69"/>
      <c r="F98" s="69"/>
      <c r="G98" s="43"/>
    </row>
    <row r="99" spans="1:7" x14ac:dyDescent="0.2">
      <c r="A99" s="1236"/>
      <c r="B99" s="1236"/>
      <c r="C99" s="69"/>
      <c r="D99" s="69"/>
      <c r="E99" s="69"/>
      <c r="F99" s="69"/>
      <c r="G99" s="110"/>
    </row>
    <row r="100" spans="1:7" x14ac:dyDescent="0.2">
      <c r="A100" s="1236" t="s">
        <v>25</v>
      </c>
      <c r="B100" s="1236"/>
      <c r="C100" s="69"/>
      <c r="D100" s="69"/>
      <c r="E100" s="69"/>
      <c r="F100" s="69"/>
      <c r="G100" s="83" t="s">
        <v>31</v>
      </c>
    </row>
    <row r="101" spans="1:7" x14ac:dyDescent="0.2">
      <c r="A101" s="1237"/>
      <c r="B101" s="1237"/>
      <c r="C101" s="82"/>
      <c r="D101" s="82"/>
      <c r="E101" s="82"/>
      <c r="F101" s="82"/>
      <c r="G101" s="59">
        <f>F96</f>
        <v>377.36111111111114</v>
      </c>
    </row>
    <row r="102" spans="1:7" x14ac:dyDescent="0.2">
      <c r="A102" s="1234" t="s">
        <v>470</v>
      </c>
      <c r="B102" s="1235"/>
      <c r="C102" s="80" t="s">
        <v>32</v>
      </c>
      <c r="D102" s="80" t="s">
        <v>33</v>
      </c>
      <c r="E102" s="80" t="s">
        <v>34</v>
      </c>
      <c r="F102" s="80" t="s">
        <v>35</v>
      </c>
      <c r="G102" s="83"/>
    </row>
    <row r="103" spans="1:7" x14ac:dyDescent="0.2">
      <c r="A103" s="1374"/>
      <c r="B103" s="1386"/>
      <c r="C103" s="84"/>
      <c r="D103" s="84"/>
      <c r="E103" s="84"/>
      <c r="F103" s="84"/>
      <c r="G103" s="84"/>
    </row>
    <row r="104" spans="1:7" x14ac:dyDescent="0.2">
      <c r="A104" s="1236" t="s">
        <v>318</v>
      </c>
      <c r="B104" s="1236"/>
      <c r="C104" s="43" t="s">
        <v>55</v>
      </c>
      <c r="D104" s="87">
        <f>'[17]Precios '!H48</f>
        <v>26837.200000000001</v>
      </c>
      <c r="E104" s="43">
        <v>1</v>
      </c>
      <c r="F104" s="85">
        <f>D104*E104</f>
        <v>26837.200000000001</v>
      </c>
      <c r="G104" s="43"/>
    </row>
    <row r="105" spans="1:7" x14ac:dyDescent="0.2">
      <c r="A105" s="1228" t="s">
        <v>319</v>
      </c>
      <c r="B105" s="1229"/>
      <c r="C105" s="43" t="s">
        <v>36</v>
      </c>
      <c r="D105" s="87">
        <f>'[17]Precios '!E75</f>
        <v>9948.5035650000009</v>
      </c>
      <c r="E105" s="43">
        <v>0.17</v>
      </c>
      <c r="F105" s="85">
        <f>D105*E105</f>
        <v>1691.2456060500003</v>
      </c>
      <c r="G105" s="43"/>
    </row>
    <row r="106" spans="1:7" x14ac:dyDescent="0.2">
      <c r="A106" s="1228" t="s">
        <v>56</v>
      </c>
      <c r="B106" s="1229"/>
      <c r="C106" s="43" t="s">
        <v>54</v>
      </c>
      <c r="D106" s="87">
        <f>'[17]Precios '!I160</f>
        <v>3014.5915800000007</v>
      </c>
      <c r="E106" s="86">
        <v>0.1</v>
      </c>
      <c r="F106" s="85">
        <f>D106*E106</f>
        <v>301.45915800000006</v>
      </c>
      <c r="G106" s="43"/>
    </row>
    <row r="107" spans="1:7" x14ac:dyDescent="0.2">
      <c r="A107" s="1228" t="s">
        <v>57</v>
      </c>
      <c r="B107" s="1229"/>
      <c r="C107" s="63">
        <v>0.75</v>
      </c>
      <c r="D107" s="87">
        <f>D23</f>
        <v>60173.689826250011</v>
      </c>
      <c r="E107" s="86">
        <v>0.08</v>
      </c>
      <c r="F107" s="85">
        <f>D107*E107</f>
        <v>4813.8951861000014</v>
      </c>
      <c r="G107" s="43"/>
    </row>
    <row r="108" spans="1:7" x14ac:dyDescent="0.2">
      <c r="A108" s="1228" t="s">
        <v>59</v>
      </c>
      <c r="B108" s="1229"/>
      <c r="C108" s="63">
        <v>0.75</v>
      </c>
      <c r="D108" s="103">
        <f>D24</f>
        <v>124798.03060725004</v>
      </c>
      <c r="E108" s="43">
        <v>0.08</v>
      </c>
      <c r="F108" s="85">
        <f>D108*E108</f>
        <v>9983.8424485800042</v>
      </c>
      <c r="G108" s="43"/>
    </row>
    <row r="109" spans="1:7" x14ac:dyDescent="0.2">
      <c r="A109" s="1228"/>
      <c r="B109" s="1229"/>
      <c r="C109" s="43"/>
      <c r="D109" s="43"/>
      <c r="E109" s="43"/>
      <c r="F109" s="43"/>
      <c r="G109" s="43" t="s">
        <v>31</v>
      </c>
    </row>
    <row r="110" spans="1:7" x14ac:dyDescent="0.2">
      <c r="A110" s="1228"/>
      <c r="B110" s="1229"/>
      <c r="C110" s="69"/>
      <c r="D110" s="69"/>
      <c r="E110" s="69"/>
      <c r="F110" s="69"/>
      <c r="G110" s="60">
        <f>F108+F107+F106+F105+F104</f>
        <v>43627.642398730008</v>
      </c>
    </row>
    <row r="111" spans="1:7" ht="24" x14ac:dyDescent="0.2">
      <c r="A111" s="88" t="s">
        <v>305</v>
      </c>
      <c r="B111" s="89" t="s">
        <v>38</v>
      </c>
      <c r="C111" s="89" t="s">
        <v>39</v>
      </c>
      <c r="D111" s="80" t="s">
        <v>40</v>
      </c>
      <c r="E111" s="80" t="s">
        <v>34</v>
      </c>
      <c r="F111" s="80" t="s">
        <v>35</v>
      </c>
      <c r="G111" s="83"/>
    </row>
    <row r="112" spans="1:7" x14ac:dyDescent="0.2">
      <c r="A112" s="90"/>
      <c r="B112" s="43"/>
      <c r="C112" s="43"/>
      <c r="D112" s="62"/>
      <c r="E112" s="91"/>
      <c r="F112" s="62"/>
      <c r="G112" s="43"/>
    </row>
    <row r="113" spans="1:7" x14ac:dyDescent="0.2">
      <c r="A113" s="90"/>
      <c r="B113" s="43"/>
      <c r="C113" s="43"/>
      <c r="D113" s="62"/>
      <c r="E113" s="92"/>
      <c r="F113" s="62"/>
      <c r="G113" s="43"/>
    </row>
    <row r="114" spans="1:7" x14ac:dyDescent="0.2">
      <c r="A114" s="90"/>
      <c r="B114" s="43"/>
      <c r="C114" s="43"/>
      <c r="D114" s="62"/>
      <c r="E114" s="92"/>
      <c r="F114" s="62"/>
      <c r="G114" s="43"/>
    </row>
    <row r="115" spans="1:7" x14ac:dyDescent="0.2">
      <c r="A115" s="90" t="s">
        <v>25</v>
      </c>
      <c r="B115" s="43" t="s">
        <v>25</v>
      </c>
      <c r="C115" s="43" t="s">
        <v>25</v>
      </c>
      <c r="D115" s="61" t="s">
        <v>25</v>
      </c>
      <c r="E115" s="92" t="s">
        <v>25</v>
      </c>
      <c r="F115" s="62" t="s">
        <v>25</v>
      </c>
      <c r="G115" s="43" t="s">
        <v>31</v>
      </c>
    </row>
    <row r="116" spans="1:7" x14ac:dyDescent="0.2">
      <c r="A116" s="90"/>
      <c r="B116" s="69"/>
      <c r="C116" s="69"/>
      <c r="D116" s="69"/>
      <c r="E116" s="69"/>
      <c r="F116" s="69"/>
      <c r="G116" s="59"/>
    </row>
    <row r="117" spans="1:7" ht="24" x14ac:dyDescent="0.2">
      <c r="A117" s="88" t="s">
        <v>41</v>
      </c>
      <c r="B117" s="80" t="s">
        <v>42</v>
      </c>
      <c r="C117" s="80" t="s">
        <v>43</v>
      </c>
      <c r="D117" s="80" t="s">
        <v>44</v>
      </c>
      <c r="E117" s="89" t="s">
        <v>306</v>
      </c>
      <c r="F117" s="89" t="s">
        <v>29</v>
      </c>
      <c r="G117" s="83"/>
    </row>
    <row r="118" spans="1:7" x14ac:dyDescent="0.2">
      <c r="A118" s="81"/>
      <c r="B118" s="81"/>
      <c r="C118" s="81"/>
      <c r="D118" s="81"/>
      <c r="E118" s="81"/>
      <c r="F118" s="81"/>
      <c r="G118" s="84"/>
    </row>
    <row r="119" spans="1:7" x14ac:dyDescent="0.2">
      <c r="A119" s="69" t="s">
        <v>25</v>
      </c>
      <c r="B119" s="85"/>
      <c r="C119" s="69"/>
      <c r="D119" s="62"/>
      <c r="E119" s="69"/>
      <c r="F119" s="62"/>
      <c r="G119" s="43"/>
    </row>
    <row r="120" spans="1:7" x14ac:dyDescent="0.2">
      <c r="A120" s="69" t="s">
        <v>314</v>
      </c>
      <c r="B120" s="85">
        <f>B36</f>
        <v>44000</v>
      </c>
      <c r="C120" s="96">
        <v>0.9</v>
      </c>
      <c r="D120" s="62">
        <f>B120*'[17]Jornal día'!D51</f>
        <v>83600</v>
      </c>
      <c r="E120" s="43">
        <v>18</v>
      </c>
      <c r="F120" s="62">
        <f>D120/E120</f>
        <v>4644.4444444444443</v>
      </c>
      <c r="G120" s="43" t="s">
        <v>25</v>
      </c>
    </row>
    <row r="121" spans="1:7" x14ac:dyDescent="0.2">
      <c r="A121" s="69" t="s">
        <v>315</v>
      </c>
      <c r="B121" s="85">
        <f>B37</f>
        <v>27500.000000000004</v>
      </c>
      <c r="C121" s="96">
        <f>C120</f>
        <v>0.9</v>
      </c>
      <c r="D121" s="62">
        <f>B121*'[17]Jornal día'!D51</f>
        <v>52250.000000000007</v>
      </c>
      <c r="E121" s="43">
        <v>18</v>
      </c>
      <c r="F121" s="62">
        <f>D121/E121</f>
        <v>2902.7777777777783</v>
      </c>
      <c r="G121" s="43"/>
    </row>
    <row r="122" spans="1:7" x14ac:dyDescent="0.2">
      <c r="A122" s="69"/>
      <c r="B122" s="69"/>
      <c r="C122" s="69"/>
      <c r="D122" s="69"/>
      <c r="E122" s="69"/>
      <c r="F122" s="69"/>
      <c r="G122" s="43" t="s">
        <v>31</v>
      </c>
    </row>
    <row r="123" spans="1:7" x14ac:dyDescent="0.2">
      <c r="A123" s="82"/>
      <c r="B123" s="82"/>
      <c r="C123" s="82"/>
      <c r="D123" s="82"/>
      <c r="E123" s="82"/>
      <c r="F123" s="82"/>
      <c r="G123" s="59">
        <f xml:space="preserve"> F121+F120</f>
        <v>7547.2222222222226</v>
      </c>
    </row>
    <row r="124" spans="1:7" x14ac:dyDescent="0.2">
      <c r="A124" s="1231" t="s">
        <v>25</v>
      </c>
      <c r="B124" s="1230"/>
      <c r="C124" s="1230"/>
      <c r="D124" s="1230"/>
      <c r="E124" s="1230"/>
      <c r="F124" s="1230"/>
      <c r="G124" s="1371"/>
    </row>
    <row r="125" spans="1:7" x14ac:dyDescent="0.2">
      <c r="A125" s="1248" t="s">
        <v>45</v>
      </c>
      <c r="B125" s="1248"/>
      <c r="C125" s="1248"/>
      <c r="D125" s="1248"/>
      <c r="E125" s="1231"/>
      <c r="F125" s="93"/>
      <c r="G125" s="70">
        <f>G123+G110+G101</f>
        <v>51552.225732063336</v>
      </c>
    </row>
    <row r="126" spans="1:7" x14ac:dyDescent="0.2">
      <c r="A126" s="1232" t="s">
        <v>476</v>
      </c>
      <c r="B126" s="1232"/>
      <c r="C126" s="1222"/>
      <c r="D126" s="1222"/>
      <c r="E126" s="1222" t="s">
        <v>44</v>
      </c>
      <c r="F126" s="1222" t="s">
        <v>51</v>
      </c>
      <c r="G126" s="1222" t="s">
        <v>307</v>
      </c>
    </row>
    <row r="127" spans="1:7" x14ac:dyDescent="0.2">
      <c r="A127" s="1232"/>
      <c r="B127" s="1232"/>
      <c r="C127" s="1222"/>
      <c r="D127" s="1222"/>
      <c r="E127" s="1222"/>
      <c r="F127" s="1222"/>
      <c r="G127" s="1222"/>
    </row>
    <row r="128" spans="1:7" x14ac:dyDescent="0.2">
      <c r="A128" s="1244" t="s">
        <v>17</v>
      </c>
      <c r="B128" s="1244"/>
      <c r="C128" s="1244"/>
      <c r="D128" s="1244"/>
      <c r="E128" s="1244"/>
      <c r="F128" s="1221"/>
      <c r="G128" s="1222"/>
    </row>
    <row r="129" spans="1:7" x14ac:dyDescent="0.2">
      <c r="A129" s="1244" t="s">
        <v>308</v>
      </c>
      <c r="B129" s="1244"/>
      <c r="C129" s="1244"/>
      <c r="D129" s="1244"/>
      <c r="E129" s="1244"/>
      <c r="F129" s="1221"/>
      <c r="G129" s="1222"/>
    </row>
    <row r="130" spans="1:7" x14ac:dyDescent="0.2">
      <c r="A130" s="1244" t="s">
        <v>19</v>
      </c>
      <c r="B130" s="1244"/>
      <c r="C130" s="1244"/>
      <c r="D130" s="1244"/>
      <c r="E130" s="1244"/>
      <c r="F130" s="1221"/>
      <c r="G130" s="1222"/>
    </row>
    <row r="131" spans="1:7" x14ac:dyDescent="0.2">
      <c r="A131" s="1244" t="s">
        <v>309</v>
      </c>
      <c r="B131" s="1244"/>
      <c r="C131" s="1244"/>
      <c r="D131" s="1244"/>
      <c r="E131" s="1244"/>
      <c r="F131" s="1221"/>
      <c r="G131" s="1222"/>
    </row>
    <row r="132" spans="1:7" x14ac:dyDescent="0.2">
      <c r="A132" s="1245" t="s">
        <v>310</v>
      </c>
      <c r="B132" s="1245"/>
      <c r="C132" s="1245"/>
      <c r="D132" s="1245"/>
      <c r="E132" s="1245"/>
      <c r="F132" s="1222"/>
      <c r="G132" s="1222"/>
    </row>
    <row r="133" spans="1:7" x14ac:dyDescent="0.2">
      <c r="A133" s="68"/>
      <c r="B133" s="94"/>
      <c r="C133" s="94"/>
      <c r="D133" s="94"/>
      <c r="E133" s="94"/>
      <c r="F133" s="94"/>
      <c r="G133" s="95"/>
    </row>
    <row r="134" spans="1:7" x14ac:dyDescent="0.2">
      <c r="A134" s="95"/>
      <c r="B134" s="94"/>
      <c r="C134" s="94"/>
      <c r="D134" s="94"/>
      <c r="E134" s="94"/>
      <c r="F134" s="94"/>
      <c r="G134" s="95"/>
    </row>
    <row r="135" spans="1:7" x14ac:dyDescent="0.2">
      <c r="A135" s="1375" t="s">
        <v>1903</v>
      </c>
      <c r="B135" s="1376"/>
      <c r="C135" s="1376"/>
      <c r="D135" s="1376"/>
      <c r="E135" s="1377"/>
      <c r="F135" s="447" t="s">
        <v>24</v>
      </c>
      <c r="G135" s="446" t="s">
        <v>311</v>
      </c>
    </row>
    <row r="136" spans="1:7" x14ac:dyDescent="0.2">
      <c r="A136" s="1228" t="s">
        <v>25</v>
      </c>
      <c r="B136" s="1229"/>
      <c r="C136" s="1229"/>
      <c r="D136" s="1229"/>
      <c r="E136" s="1229"/>
      <c r="F136" s="1229"/>
      <c r="G136" s="1365"/>
    </row>
    <row r="137" spans="1:7" x14ac:dyDescent="0.2">
      <c r="A137" s="1234" t="s">
        <v>469</v>
      </c>
      <c r="B137" s="1235"/>
      <c r="C137" s="80" t="s">
        <v>26</v>
      </c>
      <c r="D137" s="80" t="s">
        <v>27</v>
      </c>
      <c r="E137" s="80" t="s">
        <v>28</v>
      </c>
      <c r="F137" s="89" t="s">
        <v>29</v>
      </c>
      <c r="G137" s="83"/>
    </row>
    <row r="138" spans="1:7" x14ac:dyDescent="0.2">
      <c r="A138" s="1390"/>
      <c r="B138" s="1390"/>
      <c r="C138" s="81"/>
      <c r="D138" s="81"/>
      <c r="E138" s="81"/>
      <c r="F138" s="81"/>
      <c r="G138" s="84"/>
    </row>
    <row r="139" spans="1:7" x14ac:dyDescent="0.2">
      <c r="A139" s="1236"/>
      <c r="B139" s="1236"/>
      <c r="C139" s="69"/>
      <c r="D139" s="62"/>
      <c r="E139" s="62"/>
      <c r="F139" s="62"/>
      <c r="G139" s="43"/>
    </row>
    <row r="140" spans="1:7" x14ac:dyDescent="0.2">
      <c r="A140" s="1236" t="s">
        <v>30</v>
      </c>
      <c r="B140" s="1236"/>
      <c r="C140" s="69"/>
      <c r="D140" s="69"/>
      <c r="E140" s="69"/>
      <c r="F140" s="62">
        <f>G167*0.05</f>
        <v>283.02083333333337</v>
      </c>
      <c r="G140" s="43"/>
    </row>
    <row r="141" spans="1:7" x14ac:dyDescent="0.2">
      <c r="A141" s="1236"/>
      <c r="B141" s="1236"/>
      <c r="C141" s="69"/>
      <c r="D141" s="69"/>
      <c r="E141" s="69"/>
      <c r="F141" s="69"/>
      <c r="G141" s="43"/>
    </row>
    <row r="142" spans="1:7" x14ac:dyDescent="0.2">
      <c r="A142" s="1236"/>
      <c r="B142" s="1236"/>
      <c r="C142" s="69"/>
      <c r="D142" s="69"/>
      <c r="E142" s="69"/>
      <c r="F142" s="69"/>
      <c r="G142" s="43"/>
    </row>
    <row r="143" spans="1:7" x14ac:dyDescent="0.2">
      <c r="A143" s="1236"/>
      <c r="B143" s="1236"/>
      <c r="C143" s="69"/>
      <c r="D143" s="69"/>
      <c r="E143" s="69"/>
      <c r="F143" s="69"/>
      <c r="G143" s="110"/>
    </row>
    <row r="144" spans="1:7" x14ac:dyDescent="0.2">
      <c r="A144" s="1236" t="s">
        <v>25</v>
      </c>
      <c r="B144" s="1236"/>
      <c r="C144" s="69"/>
      <c r="D144" s="69"/>
      <c r="E144" s="69"/>
      <c r="F144" s="69"/>
      <c r="G144" s="83" t="s">
        <v>31</v>
      </c>
    </row>
    <row r="145" spans="1:7" x14ac:dyDescent="0.2">
      <c r="A145" s="1237"/>
      <c r="B145" s="1237"/>
      <c r="C145" s="82"/>
      <c r="D145" s="82"/>
      <c r="E145" s="82"/>
      <c r="F145" s="82"/>
      <c r="G145" s="59">
        <f>F140</f>
        <v>283.02083333333337</v>
      </c>
    </row>
    <row r="146" spans="1:7" x14ac:dyDescent="0.2">
      <c r="A146" s="1234" t="s">
        <v>470</v>
      </c>
      <c r="B146" s="1235"/>
      <c r="C146" s="80" t="s">
        <v>32</v>
      </c>
      <c r="D146" s="80" t="s">
        <v>33</v>
      </c>
      <c r="E146" s="80" t="s">
        <v>34</v>
      </c>
      <c r="F146" s="80" t="s">
        <v>35</v>
      </c>
      <c r="G146" s="83"/>
    </row>
    <row r="147" spans="1:7" x14ac:dyDescent="0.2">
      <c r="A147" s="1374"/>
      <c r="B147" s="1386"/>
      <c r="C147" s="84"/>
      <c r="D147" s="84"/>
      <c r="E147" s="84"/>
      <c r="F147" s="84"/>
      <c r="G147" s="84"/>
    </row>
    <row r="148" spans="1:7" x14ac:dyDescent="0.2">
      <c r="A148" s="1236" t="s">
        <v>320</v>
      </c>
      <c r="B148" s="1236"/>
      <c r="C148" s="43" t="s">
        <v>55</v>
      </c>
      <c r="D148" s="87">
        <f>'[17]Precios '!H46</f>
        <v>12892.75</v>
      </c>
      <c r="E148" s="43">
        <v>1</v>
      </c>
      <c r="F148" s="85">
        <f>D148*E148</f>
        <v>12892.75</v>
      </c>
      <c r="G148" s="43"/>
    </row>
    <row r="149" spans="1:7" x14ac:dyDescent="0.2">
      <c r="A149" s="1228" t="s">
        <v>321</v>
      </c>
      <c r="B149" s="1229"/>
      <c r="C149" s="43" t="s">
        <v>36</v>
      </c>
      <c r="D149" s="87">
        <f>'[17]Precios '!E60</f>
        <v>3452.0235750000011</v>
      </c>
      <c r="E149" s="43">
        <v>0.17</v>
      </c>
      <c r="F149" s="85">
        <f>D149*E149</f>
        <v>586.84400775000017</v>
      </c>
      <c r="G149" s="43"/>
    </row>
    <row r="150" spans="1:7" x14ac:dyDescent="0.2">
      <c r="A150" s="1228" t="s">
        <v>56</v>
      </c>
      <c r="B150" s="1229"/>
      <c r="C150" s="43" t="s">
        <v>54</v>
      </c>
      <c r="D150" s="87">
        <f>'[17]Precios '!I139</f>
        <v>3014.5915800000007</v>
      </c>
      <c r="E150" s="86">
        <v>0.06</v>
      </c>
      <c r="F150" s="85">
        <f>D150*E150</f>
        <v>180.87549480000004</v>
      </c>
      <c r="G150" s="43"/>
    </row>
    <row r="151" spans="1:7" x14ac:dyDescent="0.2">
      <c r="A151" s="1228" t="s">
        <v>57</v>
      </c>
      <c r="B151" s="1229"/>
      <c r="C151" s="63">
        <v>0.75</v>
      </c>
      <c r="D151" s="87">
        <f>D107</f>
        <v>60173.689826250011</v>
      </c>
      <c r="E151" s="86">
        <v>0.04</v>
      </c>
      <c r="F151" s="85">
        <f>D151*E151</f>
        <v>2406.9475930500007</v>
      </c>
      <c r="G151" s="43"/>
    </row>
    <row r="152" spans="1:7" x14ac:dyDescent="0.2">
      <c r="A152" s="1228" t="s">
        <v>59</v>
      </c>
      <c r="B152" s="1229"/>
      <c r="C152" s="63">
        <v>0.75</v>
      </c>
      <c r="D152" s="103">
        <f>D108</f>
        <v>124798.03060725004</v>
      </c>
      <c r="E152" s="43">
        <v>0.04</v>
      </c>
      <c r="F152" s="85">
        <f>D152*E152</f>
        <v>4991.9212242900021</v>
      </c>
      <c r="G152" s="43"/>
    </row>
    <row r="153" spans="1:7" x14ac:dyDescent="0.2">
      <c r="A153" s="1228"/>
      <c r="B153" s="1229"/>
      <c r="C153" s="43"/>
      <c r="D153" s="43"/>
      <c r="E153" s="43"/>
      <c r="F153" s="43"/>
      <c r="G153" s="43" t="s">
        <v>31</v>
      </c>
    </row>
    <row r="154" spans="1:7" x14ac:dyDescent="0.2">
      <c r="A154" s="1228"/>
      <c r="B154" s="1229"/>
      <c r="C154" s="69"/>
      <c r="D154" s="69"/>
      <c r="E154" s="69"/>
      <c r="F154" s="69"/>
      <c r="G154" s="60">
        <f>F152+F151+F150+F149+F148</f>
        <v>21059.338319890001</v>
      </c>
    </row>
    <row r="155" spans="1:7" ht="24" x14ac:dyDescent="0.2">
      <c r="A155" s="88" t="s">
        <v>305</v>
      </c>
      <c r="B155" s="89" t="s">
        <v>38</v>
      </c>
      <c r="C155" s="89" t="s">
        <v>39</v>
      </c>
      <c r="D155" s="80" t="s">
        <v>40</v>
      </c>
      <c r="E155" s="80" t="s">
        <v>34</v>
      </c>
      <c r="F155" s="80" t="s">
        <v>35</v>
      </c>
      <c r="G155" s="83"/>
    </row>
    <row r="156" spans="1:7" x14ac:dyDescent="0.2">
      <c r="A156" s="90"/>
      <c r="B156" s="43"/>
      <c r="C156" s="43"/>
      <c r="D156" s="62"/>
      <c r="E156" s="91"/>
      <c r="F156" s="62"/>
      <c r="G156" s="43"/>
    </row>
    <row r="157" spans="1:7" x14ac:dyDescent="0.2">
      <c r="A157" s="90"/>
      <c r="B157" s="43"/>
      <c r="C157" s="43"/>
      <c r="D157" s="62"/>
      <c r="E157" s="92"/>
      <c r="F157" s="62"/>
      <c r="G157" s="43"/>
    </row>
    <row r="158" spans="1:7" x14ac:dyDescent="0.2">
      <c r="A158" s="90"/>
      <c r="B158" s="43"/>
      <c r="C158" s="43"/>
      <c r="D158" s="62"/>
      <c r="E158" s="92"/>
      <c r="F158" s="62"/>
      <c r="G158" s="43"/>
    </row>
    <row r="159" spans="1:7" x14ac:dyDescent="0.2">
      <c r="A159" s="90" t="s">
        <v>25</v>
      </c>
      <c r="B159" s="43" t="s">
        <v>25</v>
      </c>
      <c r="C159" s="43" t="s">
        <v>25</v>
      </c>
      <c r="D159" s="61" t="s">
        <v>25</v>
      </c>
      <c r="E159" s="92" t="s">
        <v>25</v>
      </c>
      <c r="F159" s="62" t="s">
        <v>25</v>
      </c>
      <c r="G159" s="43" t="s">
        <v>31</v>
      </c>
    </row>
    <row r="160" spans="1:7" x14ac:dyDescent="0.2">
      <c r="A160" s="90"/>
      <c r="B160" s="69"/>
      <c r="C160" s="69"/>
      <c r="D160" s="69"/>
      <c r="E160" s="69"/>
      <c r="F160" s="69"/>
      <c r="G160" s="59"/>
    </row>
    <row r="161" spans="1:7" ht="24" x14ac:dyDescent="0.2">
      <c r="A161" s="88" t="s">
        <v>41</v>
      </c>
      <c r="B161" s="80" t="s">
        <v>42</v>
      </c>
      <c r="C161" s="80" t="s">
        <v>43</v>
      </c>
      <c r="D161" s="80" t="s">
        <v>44</v>
      </c>
      <c r="E161" s="89" t="s">
        <v>306</v>
      </c>
      <c r="F161" s="89" t="s">
        <v>29</v>
      </c>
      <c r="G161" s="83"/>
    </row>
    <row r="162" spans="1:7" x14ac:dyDescent="0.2">
      <c r="A162" s="81"/>
      <c r="B162" s="81"/>
      <c r="C162" s="81"/>
      <c r="D162" s="81"/>
      <c r="E162" s="81"/>
      <c r="F162" s="81"/>
      <c r="G162" s="84"/>
    </row>
    <row r="163" spans="1:7" x14ac:dyDescent="0.2">
      <c r="A163" s="69" t="s">
        <v>25</v>
      </c>
      <c r="B163" s="85"/>
      <c r="C163" s="69"/>
      <c r="D163" s="62"/>
      <c r="E163" s="69"/>
      <c r="F163" s="62"/>
      <c r="G163" s="43"/>
    </row>
    <row r="164" spans="1:7" x14ac:dyDescent="0.2">
      <c r="A164" s="69" t="s">
        <v>314</v>
      </c>
      <c r="B164" s="85">
        <f>B120</f>
        <v>44000</v>
      </c>
      <c r="C164" s="96">
        <v>0.9</v>
      </c>
      <c r="D164" s="87">
        <f>B164*'[17]Jornal día'!D51</f>
        <v>83600</v>
      </c>
      <c r="E164" s="43">
        <v>24</v>
      </c>
      <c r="F164" s="62">
        <f>D164/E164</f>
        <v>3483.3333333333335</v>
      </c>
      <c r="G164" s="43" t="s">
        <v>25</v>
      </c>
    </row>
    <row r="165" spans="1:7" x14ac:dyDescent="0.2">
      <c r="A165" s="69" t="s">
        <v>315</v>
      </c>
      <c r="B165" s="85">
        <f>B121</f>
        <v>27500.000000000004</v>
      </c>
      <c r="C165" s="96">
        <f>C164</f>
        <v>0.9</v>
      </c>
      <c r="D165" s="87">
        <f>B165*'[17]Jornal día'!D51</f>
        <v>52250.000000000007</v>
      </c>
      <c r="E165" s="43">
        <v>24</v>
      </c>
      <c r="F165" s="62">
        <f>D165/E165</f>
        <v>2177.0833333333335</v>
      </c>
      <c r="G165" s="43"/>
    </row>
    <row r="166" spans="1:7" x14ac:dyDescent="0.2">
      <c r="A166" s="69"/>
      <c r="B166" s="69"/>
      <c r="C166" s="69"/>
      <c r="D166" s="69"/>
      <c r="E166" s="69"/>
      <c r="F166" s="69"/>
      <c r="G166" s="43" t="s">
        <v>31</v>
      </c>
    </row>
    <row r="167" spans="1:7" x14ac:dyDescent="0.2">
      <c r="A167" s="82"/>
      <c r="B167" s="82"/>
      <c r="C167" s="82"/>
      <c r="D167" s="82"/>
      <c r="E167" s="82"/>
      <c r="F167" s="82"/>
      <c r="G167" s="59">
        <f xml:space="preserve"> F165+F164</f>
        <v>5660.416666666667</v>
      </c>
    </row>
    <row r="168" spans="1:7" x14ac:dyDescent="0.2">
      <c r="A168" s="1231" t="s">
        <v>25</v>
      </c>
      <c r="B168" s="1230"/>
      <c r="C168" s="1230"/>
      <c r="D168" s="1230"/>
      <c r="E168" s="1230"/>
      <c r="F168" s="1230"/>
      <c r="G168" s="1371"/>
    </row>
    <row r="169" spans="1:7" x14ac:dyDescent="0.2">
      <c r="A169" s="1248" t="s">
        <v>45</v>
      </c>
      <c r="B169" s="1248"/>
      <c r="C169" s="1248"/>
      <c r="D169" s="1248"/>
      <c r="E169" s="1231"/>
      <c r="F169" s="93"/>
      <c r="G169" s="70">
        <f>G167+G154+G145</f>
        <v>27002.775819890001</v>
      </c>
    </row>
    <row r="170" spans="1:7" x14ac:dyDescent="0.2">
      <c r="A170" s="1232" t="s">
        <v>476</v>
      </c>
      <c r="B170" s="1232"/>
      <c r="C170" s="1222"/>
      <c r="D170" s="1222"/>
      <c r="E170" s="1222" t="s">
        <v>44</v>
      </c>
      <c r="F170" s="1222" t="s">
        <v>51</v>
      </c>
      <c r="G170" s="1222" t="s">
        <v>307</v>
      </c>
    </row>
    <row r="171" spans="1:7" x14ac:dyDescent="0.2">
      <c r="A171" s="1232"/>
      <c r="B171" s="1232"/>
      <c r="C171" s="1222"/>
      <c r="D171" s="1222"/>
      <c r="E171" s="1222"/>
      <c r="F171" s="1222"/>
      <c r="G171" s="1222"/>
    </row>
    <row r="172" spans="1:7" x14ac:dyDescent="0.2">
      <c r="A172" s="1244" t="s">
        <v>17</v>
      </c>
      <c r="B172" s="1244"/>
      <c r="C172" s="1244"/>
      <c r="D172" s="1244"/>
      <c r="E172" s="1244"/>
      <c r="F172" s="1221"/>
      <c r="G172" s="1222"/>
    </row>
    <row r="173" spans="1:7" x14ac:dyDescent="0.2">
      <c r="A173" s="1244" t="s">
        <v>308</v>
      </c>
      <c r="B173" s="1244"/>
      <c r="C173" s="1244"/>
      <c r="D173" s="1244"/>
      <c r="E173" s="1244"/>
      <c r="F173" s="1221"/>
      <c r="G173" s="1222"/>
    </row>
    <row r="174" spans="1:7" x14ac:dyDescent="0.2">
      <c r="A174" s="1244" t="s">
        <v>19</v>
      </c>
      <c r="B174" s="1244"/>
      <c r="C174" s="1244"/>
      <c r="D174" s="1244"/>
      <c r="E174" s="1244"/>
      <c r="F174" s="1221"/>
      <c r="G174" s="1222"/>
    </row>
    <row r="175" spans="1:7" x14ac:dyDescent="0.2">
      <c r="A175" s="1244" t="s">
        <v>309</v>
      </c>
      <c r="B175" s="1244"/>
      <c r="C175" s="1244"/>
      <c r="D175" s="1244"/>
      <c r="E175" s="1244"/>
      <c r="F175" s="1221"/>
      <c r="G175" s="1222"/>
    </row>
    <row r="176" spans="1:7" x14ac:dyDescent="0.2">
      <c r="A176" s="1245" t="s">
        <v>310</v>
      </c>
      <c r="B176" s="1245"/>
      <c r="C176" s="1245"/>
      <c r="D176" s="1245"/>
      <c r="E176" s="1245"/>
      <c r="F176" s="1222"/>
      <c r="G176" s="1222"/>
    </row>
    <row r="177" spans="1:7" x14ac:dyDescent="0.2">
      <c r="A177" s="112"/>
      <c r="B177" s="113"/>
      <c r="C177" s="113"/>
      <c r="D177" s="113"/>
      <c r="E177" s="114"/>
      <c r="F177" s="106"/>
      <c r="G177" s="106"/>
    </row>
    <row r="178" spans="1:7" x14ac:dyDescent="0.2">
      <c r="A178" s="112"/>
      <c r="B178" s="113"/>
      <c r="C178" s="113"/>
      <c r="D178" s="113"/>
      <c r="E178" s="114"/>
      <c r="F178" s="106"/>
      <c r="G178" s="106"/>
    </row>
    <row r="179" spans="1:7" x14ac:dyDescent="0.2">
      <c r="A179" s="1375" t="s">
        <v>1904</v>
      </c>
      <c r="B179" s="1376"/>
      <c r="C179" s="1376"/>
      <c r="D179" s="1376"/>
      <c r="E179" s="1377"/>
      <c r="F179" s="447" t="s">
        <v>24</v>
      </c>
      <c r="G179" s="446" t="s">
        <v>322</v>
      </c>
    </row>
    <row r="180" spans="1:7" x14ac:dyDescent="0.2">
      <c r="A180" s="1228" t="s">
        <v>25</v>
      </c>
      <c r="B180" s="1229"/>
      <c r="C180" s="1229"/>
      <c r="D180" s="1229"/>
      <c r="E180" s="1229"/>
      <c r="F180" s="1229"/>
      <c r="G180" s="1365"/>
    </row>
    <row r="181" spans="1:7" x14ac:dyDescent="0.2">
      <c r="A181" s="1234" t="s">
        <v>469</v>
      </c>
      <c r="B181" s="1235"/>
      <c r="C181" s="80" t="s">
        <v>26</v>
      </c>
      <c r="D181" s="80" t="s">
        <v>27</v>
      </c>
      <c r="E181" s="80" t="s">
        <v>28</v>
      </c>
      <c r="F181" s="89" t="s">
        <v>29</v>
      </c>
      <c r="G181" s="83"/>
    </row>
    <row r="182" spans="1:7" x14ac:dyDescent="0.2">
      <c r="A182" s="1390"/>
      <c r="B182" s="1390"/>
      <c r="C182" s="81"/>
      <c r="D182" s="81"/>
      <c r="E182" s="81"/>
      <c r="F182" s="81"/>
      <c r="G182" s="84"/>
    </row>
    <row r="183" spans="1:7" x14ac:dyDescent="0.2">
      <c r="A183" s="1236" t="s">
        <v>323</v>
      </c>
      <c r="B183" s="1236"/>
      <c r="C183" s="69"/>
      <c r="D183" s="62">
        <f>'[17]Precios '!H270</f>
        <v>8043.7500000000018</v>
      </c>
      <c r="E183" s="62">
        <v>2</v>
      </c>
      <c r="F183" s="62">
        <f>D183/E183</f>
        <v>4021.8750000000009</v>
      </c>
      <c r="G183" s="43"/>
    </row>
    <row r="184" spans="1:7" x14ac:dyDescent="0.2">
      <c r="A184" s="1236" t="s">
        <v>30</v>
      </c>
      <c r="B184" s="1236"/>
      <c r="C184" s="69"/>
      <c r="D184" s="69"/>
      <c r="E184" s="69"/>
      <c r="F184" s="62">
        <f>G211*0.05</f>
        <v>3327.5</v>
      </c>
      <c r="G184" s="43"/>
    </row>
    <row r="185" spans="1:7" x14ac:dyDescent="0.2">
      <c r="A185" s="1236"/>
      <c r="B185" s="1236"/>
      <c r="C185" s="69"/>
      <c r="D185" s="69"/>
      <c r="E185" s="69"/>
      <c r="F185" s="69"/>
      <c r="G185" s="43"/>
    </row>
    <row r="186" spans="1:7" x14ac:dyDescent="0.2">
      <c r="A186" s="1236"/>
      <c r="B186" s="1236"/>
      <c r="C186" s="69"/>
      <c r="D186" s="69"/>
      <c r="E186" s="69"/>
      <c r="F186" s="69"/>
      <c r="G186" s="43"/>
    </row>
    <row r="187" spans="1:7" x14ac:dyDescent="0.2">
      <c r="A187" s="1236"/>
      <c r="B187" s="1236"/>
      <c r="C187" s="69"/>
      <c r="D187" s="69"/>
      <c r="E187" s="69"/>
      <c r="F187" s="69"/>
      <c r="G187" s="110"/>
    </row>
    <row r="188" spans="1:7" x14ac:dyDescent="0.2">
      <c r="A188" s="1236" t="s">
        <v>25</v>
      </c>
      <c r="B188" s="1236"/>
      <c r="C188" s="69"/>
      <c r="D188" s="69"/>
      <c r="E188" s="69"/>
      <c r="F188" s="69"/>
      <c r="G188" s="83" t="s">
        <v>31</v>
      </c>
    </row>
    <row r="189" spans="1:7" x14ac:dyDescent="0.2">
      <c r="A189" s="1237"/>
      <c r="B189" s="1237"/>
      <c r="C189" s="82"/>
      <c r="D189" s="82"/>
      <c r="E189" s="82"/>
      <c r="F189" s="82"/>
      <c r="G189" s="59">
        <f>F184</f>
        <v>3327.5</v>
      </c>
    </row>
    <row r="190" spans="1:7" x14ac:dyDescent="0.2">
      <c r="A190" s="1234" t="s">
        <v>470</v>
      </c>
      <c r="B190" s="1235"/>
      <c r="C190" s="80" t="s">
        <v>32</v>
      </c>
      <c r="D190" s="80" t="s">
        <v>33</v>
      </c>
      <c r="E190" s="80" t="s">
        <v>34</v>
      </c>
      <c r="F190" s="80" t="s">
        <v>35</v>
      </c>
      <c r="G190" s="83"/>
    </row>
    <row r="191" spans="1:7" x14ac:dyDescent="0.2">
      <c r="A191" s="1374"/>
      <c r="B191" s="1386"/>
      <c r="C191" s="84"/>
      <c r="D191" s="84"/>
      <c r="E191" s="84"/>
      <c r="F191" s="84"/>
      <c r="G191" s="84"/>
    </row>
    <row r="192" spans="1:7" x14ac:dyDescent="0.2">
      <c r="A192" s="1236" t="s">
        <v>60</v>
      </c>
      <c r="B192" s="1236"/>
      <c r="C192" s="43" t="s">
        <v>69</v>
      </c>
      <c r="D192" s="87">
        <f>'[17]A.Aux. a P. U.'!G582</f>
        <v>26037.655492750004</v>
      </c>
      <c r="E192" s="43">
        <v>4.26</v>
      </c>
      <c r="F192" s="85">
        <f>D192*E192</f>
        <v>110920.41239911501</v>
      </c>
      <c r="G192" s="43"/>
    </row>
    <row r="193" spans="1:7" x14ac:dyDescent="0.2">
      <c r="A193" s="1228" t="s">
        <v>324</v>
      </c>
      <c r="B193" s="1229"/>
      <c r="C193" s="43" t="s">
        <v>64</v>
      </c>
      <c r="D193" s="87">
        <f>'[17]A.Aux. a P. U.'!G333</f>
        <v>5305.0979555702925</v>
      </c>
      <c r="E193" s="86">
        <v>3.58</v>
      </c>
      <c r="F193" s="85">
        <f>D193*E193</f>
        <v>18992.250680941648</v>
      </c>
      <c r="G193" s="43"/>
    </row>
    <row r="194" spans="1:7" x14ac:dyDescent="0.2">
      <c r="A194" s="1228" t="s">
        <v>52</v>
      </c>
      <c r="B194" s="1229"/>
      <c r="C194" s="43" t="s">
        <v>48</v>
      </c>
      <c r="D194" s="87">
        <f>'[17]A.Aux. a P. U.'!G84</f>
        <v>417943.34640000004</v>
      </c>
      <c r="E194" s="43">
        <v>0.71</v>
      </c>
      <c r="F194" s="85">
        <f>D194*E194</f>
        <v>296739.77594399999</v>
      </c>
      <c r="G194" s="43"/>
    </row>
    <row r="195" spans="1:7" x14ac:dyDescent="0.2">
      <c r="A195" s="90"/>
      <c r="B195" s="72"/>
      <c r="C195" s="63"/>
      <c r="D195" s="103"/>
      <c r="E195" s="43"/>
      <c r="F195" s="85"/>
      <c r="G195" s="43"/>
    </row>
    <row r="196" spans="1:7" x14ac:dyDescent="0.2">
      <c r="A196" s="90"/>
      <c r="B196" s="72"/>
      <c r="C196" s="63"/>
      <c r="D196" s="103"/>
      <c r="E196" s="43"/>
      <c r="F196" s="85"/>
      <c r="G196" s="43"/>
    </row>
    <row r="197" spans="1:7" x14ac:dyDescent="0.2">
      <c r="A197" s="1228"/>
      <c r="B197" s="1229"/>
      <c r="C197" s="43"/>
      <c r="D197" s="43"/>
      <c r="E197" s="43"/>
      <c r="F197" s="43"/>
      <c r="G197" s="43" t="s">
        <v>31</v>
      </c>
    </row>
    <row r="198" spans="1:7" x14ac:dyDescent="0.2">
      <c r="A198" s="1228"/>
      <c r="B198" s="1229"/>
      <c r="C198" s="69"/>
      <c r="D198" s="69"/>
      <c r="E198" s="69"/>
      <c r="F198" s="69"/>
      <c r="G198" s="60">
        <f>F194+F193+F192+F195</f>
        <v>426652.43902405666</v>
      </c>
    </row>
    <row r="199" spans="1:7" ht="24" x14ac:dyDescent="0.2">
      <c r="A199" s="88" t="s">
        <v>305</v>
      </c>
      <c r="B199" s="89" t="s">
        <v>38</v>
      </c>
      <c r="C199" s="89" t="s">
        <v>39</v>
      </c>
      <c r="D199" s="80" t="s">
        <v>40</v>
      </c>
      <c r="E199" s="80" t="s">
        <v>34</v>
      </c>
      <c r="F199" s="80" t="s">
        <v>35</v>
      </c>
      <c r="G199" s="83"/>
    </row>
    <row r="200" spans="1:7" x14ac:dyDescent="0.2">
      <c r="A200" s="90"/>
      <c r="B200" s="43"/>
      <c r="C200" s="43"/>
      <c r="D200" s="62"/>
      <c r="E200" s="91"/>
      <c r="F200" s="62"/>
      <c r="G200" s="43"/>
    </row>
    <row r="201" spans="1:7" x14ac:dyDescent="0.2">
      <c r="A201" s="90"/>
      <c r="B201" s="43"/>
      <c r="C201" s="43"/>
      <c r="D201" s="62"/>
      <c r="E201" s="92"/>
      <c r="F201" s="62"/>
      <c r="G201" s="43"/>
    </row>
    <row r="202" spans="1:7" x14ac:dyDescent="0.2">
      <c r="A202" s="90"/>
      <c r="B202" s="43"/>
      <c r="C202" s="43"/>
      <c r="D202" s="62"/>
      <c r="E202" s="92"/>
      <c r="F202" s="62"/>
      <c r="G202" s="43"/>
    </row>
    <row r="203" spans="1:7" x14ac:dyDescent="0.2">
      <c r="A203" s="90" t="s">
        <v>25</v>
      </c>
      <c r="B203" s="43" t="s">
        <v>25</v>
      </c>
      <c r="C203" s="43" t="s">
        <v>25</v>
      </c>
      <c r="D203" s="61" t="s">
        <v>25</v>
      </c>
      <c r="E203" s="92" t="s">
        <v>25</v>
      </c>
      <c r="F203" s="62" t="s">
        <v>25</v>
      </c>
      <c r="G203" s="43" t="s">
        <v>31</v>
      </c>
    </row>
    <row r="204" spans="1:7" x14ac:dyDescent="0.2">
      <c r="A204" s="90"/>
      <c r="B204" s="69"/>
      <c r="C204" s="69"/>
      <c r="D204" s="69"/>
      <c r="E204" s="69"/>
      <c r="F204" s="69"/>
      <c r="G204" s="59"/>
    </row>
    <row r="205" spans="1:7" ht="24" x14ac:dyDescent="0.2">
      <c r="A205" s="88" t="s">
        <v>41</v>
      </c>
      <c r="B205" s="80" t="s">
        <v>42</v>
      </c>
      <c r="C205" s="80" t="s">
        <v>43</v>
      </c>
      <c r="D205" s="80" t="s">
        <v>44</v>
      </c>
      <c r="E205" s="89" t="s">
        <v>306</v>
      </c>
      <c r="F205" s="89" t="s">
        <v>29</v>
      </c>
      <c r="G205" s="83"/>
    </row>
    <row r="206" spans="1:7" x14ac:dyDescent="0.2">
      <c r="A206" s="81"/>
      <c r="B206" s="81"/>
      <c r="C206" s="81"/>
      <c r="D206" s="81"/>
      <c r="E206" s="81"/>
      <c r="F206" s="81"/>
      <c r="G206" s="84"/>
    </row>
    <row r="207" spans="1:7" x14ac:dyDescent="0.2">
      <c r="A207" s="69" t="s">
        <v>25</v>
      </c>
      <c r="B207" s="85"/>
      <c r="C207" s="69"/>
      <c r="D207" s="62"/>
      <c r="E207" s="69"/>
      <c r="F207" s="62"/>
      <c r="G207" s="43"/>
    </row>
    <row r="208" spans="1:7" x14ac:dyDescent="0.2">
      <c r="A208" s="69" t="s">
        <v>325</v>
      </c>
      <c r="B208" s="85">
        <f>B164</f>
        <v>44000</v>
      </c>
      <c r="C208" s="96">
        <v>0.9</v>
      </c>
      <c r="D208" s="87">
        <f>B208*'[17]Jornal día'!D51</f>
        <v>83600</v>
      </c>
      <c r="E208" s="43">
        <v>2</v>
      </c>
      <c r="F208" s="62">
        <f>D208/E208</f>
        <v>41800</v>
      </c>
      <c r="G208" s="43" t="s">
        <v>25</v>
      </c>
    </row>
    <row r="209" spans="1:7" x14ac:dyDescent="0.2">
      <c r="A209" s="69" t="s">
        <v>315</v>
      </c>
      <c r="B209" s="85">
        <f>B165</f>
        <v>27500.000000000004</v>
      </c>
      <c r="C209" s="96">
        <f>C208</f>
        <v>0.9</v>
      </c>
      <c r="D209" s="87">
        <f>B209*'[17]Jornal día'!D52</f>
        <v>49500.000000000007</v>
      </c>
      <c r="E209" s="43">
        <v>2</v>
      </c>
      <c r="F209" s="62">
        <f>D209/E209</f>
        <v>24750.000000000004</v>
      </c>
      <c r="G209" s="43"/>
    </row>
    <row r="210" spans="1:7" x14ac:dyDescent="0.2">
      <c r="A210" s="69"/>
      <c r="B210" s="69"/>
      <c r="C210" s="69"/>
      <c r="D210" s="69"/>
      <c r="E210" s="69"/>
      <c r="F210" s="69"/>
      <c r="G210" s="43" t="s">
        <v>31</v>
      </c>
    </row>
    <row r="211" spans="1:7" x14ac:dyDescent="0.2">
      <c r="A211" s="82"/>
      <c r="B211" s="82"/>
      <c r="C211" s="82"/>
      <c r="D211" s="82"/>
      <c r="E211" s="82"/>
      <c r="F211" s="82"/>
      <c r="G211" s="59">
        <f xml:space="preserve"> F209+F208</f>
        <v>66550</v>
      </c>
    </row>
    <row r="212" spans="1:7" x14ac:dyDescent="0.2">
      <c r="A212" s="1231" t="s">
        <v>25</v>
      </c>
      <c r="B212" s="1230"/>
      <c r="C212" s="1230"/>
      <c r="D212" s="1230"/>
      <c r="E212" s="1230"/>
      <c r="F212" s="1230"/>
      <c r="G212" s="1371"/>
    </row>
    <row r="213" spans="1:7" x14ac:dyDescent="0.2">
      <c r="A213" s="1248" t="s">
        <v>45</v>
      </c>
      <c r="B213" s="1248"/>
      <c r="C213" s="1248"/>
      <c r="D213" s="1248"/>
      <c r="E213" s="1231"/>
      <c r="F213" s="93"/>
      <c r="G213" s="70">
        <f>G211+G198+G189</f>
        <v>496529.93902405666</v>
      </c>
    </row>
    <row r="214" spans="1:7" x14ac:dyDescent="0.2">
      <c r="A214" s="1232" t="s">
        <v>476</v>
      </c>
      <c r="B214" s="1232"/>
      <c r="C214" s="1222"/>
      <c r="D214" s="1222"/>
      <c r="E214" s="1222" t="s">
        <v>44</v>
      </c>
      <c r="F214" s="1222" t="s">
        <v>51</v>
      </c>
      <c r="G214" s="1222" t="s">
        <v>307</v>
      </c>
    </row>
    <row r="215" spans="1:7" x14ac:dyDescent="0.2">
      <c r="A215" s="1232"/>
      <c r="B215" s="1232"/>
      <c r="C215" s="1222"/>
      <c r="D215" s="1222"/>
      <c r="E215" s="1222"/>
      <c r="F215" s="1222"/>
      <c r="G215" s="1222"/>
    </row>
    <row r="216" spans="1:7" x14ac:dyDescent="0.2">
      <c r="A216" s="1244" t="s">
        <v>17</v>
      </c>
      <c r="B216" s="1244"/>
      <c r="C216" s="1244"/>
      <c r="D216" s="1244"/>
      <c r="E216" s="1244"/>
      <c r="F216" s="1221"/>
      <c r="G216" s="1222"/>
    </row>
    <row r="217" spans="1:7" x14ac:dyDescent="0.2">
      <c r="A217" s="1244" t="s">
        <v>308</v>
      </c>
      <c r="B217" s="1244"/>
      <c r="C217" s="1244"/>
      <c r="D217" s="1244"/>
      <c r="E217" s="1244"/>
      <c r="F217" s="1221"/>
      <c r="G217" s="1222"/>
    </row>
    <row r="218" spans="1:7" x14ac:dyDescent="0.2">
      <c r="A218" s="1244" t="s">
        <v>19</v>
      </c>
      <c r="B218" s="1244"/>
      <c r="C218" s="1244"/>
      <c r="D218" s="1244"/>
      <c r="E218" s="1244"/>
      <c r="F218" s="1221"/>
      <c r="G218" s="1222"/>
    </row>
    <row r="219" spans="1:7" x14ac:dyDescent="0.2">
      <c r="A219" s="1244" t="s">
        <v>309</v>
      </c>
      <c r="B219" s="1244"/>
      <c r="C219" s="1244"/>
      <c r="D219" s="1244"/>
      <c r="E219" s="1244"/>
      <c r="F219" s="1221"/>
      <c r="G219" s="1222"/>
    </row>
    <row r="220" spans="1:7" x14ac:dyDescent="0.2">
      <c r="A220" s="1245" t="s">
        <v>310</v>
      </c>
      <c r="B220" s="1245"/>
      <c r="C220" s="1245"/>
      <c r="D220" s="1245"/>
      <c r="E220" s="1245"/>
      <c r="F220" s="1222"/>
      <c r="G220" s="1222"/>
    </row>
    <row r="221" spans="1:7" x14ac:dyDescent="0.2">
      <c r="A221" s="115"/>
      <c r="B221" s="115"/>
      <c r="C221" s="115"/>
      <c r="D221" s="115"/>
      <c r="E221" s="115"/>
      <c r="F221" s="116"/>
      <c r="G221" s="116"/>
    </row>
    <row r="222" spans="1:7" x14ac:dyDescent="0.2">
      <c r="A222" s="115"/>
      <c r="B222" s="115"/>
      <c r="C222" s="115"/>
      <c r="D222" s="115"/>
      <c r="E222" s="115"/>
      <c r="F222" s="116"/>
      <c r="G222" s="116"/>
    </row>
    <row r="223" spans="1:7" x14ac:dyDescent="0.2">
      <c r="A223" s="1387" t="s">
        <v>1905</v>
      </c>
      <c r="B223" s="1388"/>
      <c r="C223" s="1388"/>
      <c r="D223" s="1388"/>
      <c r="E223" s="1389"/>
      <c r="F223" s="78" t="s">
        <v>24</v>
      </c>
      <c r="G223" s="109" t="s">
        <v>322</v>
      </c>
    </row>
    <row r="224" spans="1:7" x14ac:dyDescent="0.2">
      <c r="A224" s="1228" t="s">
        <v>25</v>
      </c>
      <c r="B224" s="1229"/>
      <c r="C224" s="1229"/>
      <c r="D224" s="1229"/>
      <c r="E224" s="1229"/>
      <c r="F224" s="1229"/>
      <c r="G224" s="1365"/>
    </row>
    <row r="225" spans="1:7" x14ac:dyDescent="0.2">
      <c r="A225" s="1234" t="s">
        <v>469</v>
      </c>
      <c r="B225" s="1235"/>
      <c r="C225" s="80" t="s">
        <v>26</v>
      </c>
      <c r="D225" s="80" t="s">
        <v>27</v>
      </c>
      <c r="E225" s="80" t="s">
        <v>28</v>
      </c>
      <c r="F225" s="89" t="s">
        <v>29</v>
      </c>
      <c r="G225" s="83"/>
    </row>
    <row r="226" spans="1:7" x14ac:dyDescent="0.2">
      <c r="A226" s="1390"/>
      <c r="B226" s="1390"/>
      <c r="C226" s="81"/>
      <c r="D226" s="81"/>
      <c r="E226" s="81"/>
      <c r="F226" s="81"/>
      <c r="G226" s="84"/>
    </row>
    <row r="227" spans="1:7" x14ac:dyDescent="0.2">
      <c r="A227" s="1236" t="s">
        <v>323</v>
      </c>
      <c r="B227" s="1236"/>
      <c r="C227" s="69"/>
      <c r="D227" s="62">
        <f>D183</f>
        <v>8043.7500000000018</v>
      </c>
      <c r="E227" s="62">
        <v>2</v>
      </c>
      <c r="F227" s="62">
        <f>D227/E227</f>
        <v>4021.8750000000009</v>
      </c>
      <c r="G227" s="43"/>
    </row>
    <row r="228" spans="1:7" x14ac:dyDescent="0.2">
      <c r="A228" s="1236" t="s">
        <v>30</v>
      </c>
      <c r="B228" s="1236"/>
      <c r="C228" s="69"/>
      <c r="D228" s="69"/>
      <c r="E228" s="69"/>
      <c r="F228" s="62">
        <f>G255*0.05</f>
        <v>3396.25</v>
      </c>
      <c r="G228" s="43"/>
    </row>
    <row r="229" spans="1:7" x14ac:dyDescent="0.2">
      <c r="A229" s="1236"/>
      <c r="B229" s="1236"/>
      <c r="C229" s="69"/>
      <c r="D229" s="69"/>
      <c r="E229" s="69"/>
      <c r="F229" s="69"/>
      <c r="G229" s="43"/>
    </row>
    <row r="230" spans="1:7" x14ac:dyDescent="0.2">
      <c r="A230" s="1236"/>
      <c r="B230" s="1236"/>
      <c r="C230" s="69"/>
      <c r="D230" s="69"/>
      <c r="E230" s="69"/>
      <c r="F230" s="69"/>
      <c r="G230" s="43"/>
    </row>
    <row r="231" spans="1:7" x14ac:dyDescent="0.2">
      <c r="A231" s="1236"/>
      <c r="B231" s="1236"/>
      <c r="C231" s="69"/>
      <c r="D231" s="69"/>
      <c r="E231" s="69"/>
      <c r="F231" s="69"/>
      <c r="G231" s="110"/>
    </row>
    <row r="232" spans="1:7" x14ac:dyDescent="0.2">
      <c r="A232" s="1236" t="s">
        <v>25</v>
      </c>
      <c r="B232" s="1236"/>
      <c r="C232" s="69"/>
      <c r="D232" s="69"/>
      <c r="E232" s="69"/>
      <c r="F232" s="69"/>
      <c r="G232" s="83" t="s">
        <v>31</v>
      </c>
    </row>
    <row r="233" spans="1:7" x14ac:dyDescent="0.2">
      <c r="A233" s="1237"/>
      <c r="B233" s="1237"/>
      <c r="C233" s="82"/>
      <c r="D233" s="82"/>
      <c r="E233" s="82"/>
      <c r="F233" s="82"/>
      <c r="G233" s="59">
        <f>F228</f>
        <v>3396.25</v>
      </c>
    </row>
    <row r="234" spans="1:7" x14ac:dyDescent="0.2">
      <c r="A234" s="1234" t="s">
        <v>470</v>
      </c>
      <c r="B234" s="1235"/>
      <c r="C234" s="80" t="s">
        <v>32</v>
      </c>
      <c r="D234" s="80" t="s">
        <v>33</v>
      </c>
      <c r="E234" s="80" t="s">
        <v>34</v>
      </c>
      <c r="F234" s="80" t="s">
        <v>35</v>
      </c>
      <c r="G234" s="83"/>
    </row>
    <row r="235" spans="1:7" x14ac:dyDescent="0.2">
      <c r="A235" s="1374"/>
      <c r="B235" s="1386"/>
      <c r="C235" s="84"/>
      <c r="D235" s="84"/>
      <c r="E235" s="84"/>
      <c r="F235" s="84"/>
      <c r="G235" s="84"/>
    </row>
    <row r="236" spans="1:7" x14ac:dyDescent="0.2">
      <c r="A236" s="1236" t="s">
        <v>60</v>
      </c>
      <c r="B236" s="1236"/>
      <c r="C236" s="43" t="s">
        <v>69</v>
      </c>
      <c r="D236" s="87">
        <f>D192</f>
        <v>26037.655492750004</v>
      </c>
      <c r="E236" s="43">
        <v>2.13</v>
      </c>
      <c r="F236" s="85">
        <f>D236*E236</f>
        <v>55460.206199557506</v>
      </c>
      <c r="G236" s="43"/>
    </row>
    <row r="237" spans="1:7" x14ac:dyDescent="0.2">
      <c r="A237" s="1228" t="s">
        <v>324</v>
      </c>
      <c r="B237" s="1229"/>
      <c r="C237" s="43" t="s">
        <v>64</v>
      </c>
      <c r="D237" s="87">
        <f>D193</f>
        <v>5305.0979555702925</v>
      </c>
      <c r="E237" s="86">
        <v>0.72</v>
      </c>
      <c r="F237" s="85">
        <f>D237*E237</f>
        <v>3819.6705280106103</v>
      </c>
      <c r="G237" s="43"/>
    </row>
    <row r="238" spans="1:7" x14ac:dyDescent="0.2">
      <c r="A238" s="1228" t="s">
        <v>52</v>
      </c>
      <c r="B238" s="1229"/>
      <c r="C238" s="43" t="s">
        <v>48</v>
      </c>
      <c r="D238" s="87">
        <f>D194</f>
        <v>417943.34640000004</v>
      </c>
      <c r="E238" s="43">
        <v>8.1000000000000003E-2</v>
      </c>
      <c r="F238" s="85">
        <f>D238*E238</f>
        <v>33853.411058400001</v>
      </c>
      <c r="G238" s="43"/>
    </row>
    <row r="239" spans="1:7" x14ac:dyDescent="0.2">
      <c r="A239" s="90"/>
      <c r="B239" s="72"/>
      <c r="C239" s="63"/>
      <c r="D239" s="103"/>
      <c r="E239" s="43"/>
      <c r="F239" s="85"/>
      <c r="G239" s="43"/>
    </row>
    <row r="240" spans="1:7" x14ac:dyDescent="0.2">
      <c r="A240" s="90"/>
      <c r="B240" s="72"/>
      <c r="C240" s="63"/>
      <c r="D240" s="103"/>
      <c r="E240" s="43"/>
      <c r="F240" s="85"/>
      <c r="G240" s="43"/>
    </row>
    <row r="241" spans="1:7" x14ac:dyDescent="0.2">
      <c r="A241" s="1228"/>
      <c r="B241" s="1229"/>
      <c r="C241" s="43"/>
      <c r="D241" s="43"/>
      <c r="E241" s="43"/>
      <c r="F241" s="43"/>
      <c r="G241" s="43" t="s">
        <v>31</v>
      </c>
    </row>
    <row r="242" spans="1:7" x14ac:dyDescent="0.2">
      <c r="A242" s="1228"/>
      <c r="B242" s="1229"/>
      <c r="C242" s="69"/>
      <c r="D242" s="69"/>
      <c r="E242" s="69"/>
      <c r="F242" s="69"/>
      <c r="G242" s="60">
        <f>F238+F237+F236+F239</f>
        <v>93133.287785968118</v>
      </c>
    </row>
    <row r="243" spans="1:7" ht="24" x14ac:dyDescent="0.2">
      <c r="A243" s="88" t="s">
        <v>305</v>
      </c>
      <c r="B243" s="89" t="s">
        <v>38</v>
      </c>
      <c r="C243" s="89" t="s">
        <v>39</v>
      </c>
      <c r="D243" s="80" t="s">
        <v>40</v>
      </c>
      <c r="E243" s="80" t="s">
        <v>34</v>
      </c>
      <c r="F243" s="80" t="s">
        <v>35</v>
      </c>
      <c r="G243" s="83"/>
    </row>
    <row r="244" spans="1:7" x14ac:dyDescent="0.2">
      <c r="A244" s="90"/>
      <c r="B244" s="43"/>
      <c r="C244" s="43"/>
      <c r="D244" s="62"/>
      <c r="E244" s="91"/>
      <c r="F244" s="62"/>
      <c r="G244" s="43"/>
    </row>
    <row r="245" spans="1:7" x14ac:dyDescent="0.2">
      <c r="A245" s="90"/>
      <c r="B245" s="43"/>
      <c r="C245" s="43"/>
      <c r="D245" s="62"/>
      <c r="E245" s="92"/>
      <c r="F245" s="62"/>
      <c r="G245" s="43"/>
    </row>
    <row r="246" spans="1:7" x14ac:dyDescent="0.2">
      <c r="A246" s="90"/>
      <c r="B246" s="43"/>
      <c r="C246" s="43"/>
      <c r="D246" s="62"/>
      <c r="E246" s="92"/>
      <c r="F246" s="62"/>
      <c r="G246" s="43"/>
    </row>
    <row r="247" spans="1:7" x14ac:dyDescent="0.2">
      <c r="A247" s="90" t="s">
        <v>25</v>
      </c>
      <c r="B247" s="43" t="s">
        <v>25</v>
      </c>
      <c r="C247" s="43" t="s">
        <v>25</v>
      </c>
      <c r="D247" s="61" t="s">
        <v>25</v>
      </c>
      <c r="E247" s="92" t="s">
        <v>25</v>
      </c>
      <c r="F247" s="62" t="s">
        <v>25</v>
      </c>
      <c r="G247" s="43" t="s">
        <v>31</v>
      </c>
    </row>
    <row r="248" spans="1:7" x14ac:dyDescent="0.2">
      <c r="A248" s="90"/>
      <c r="B248" s="69"/>
      <c r="C248" s="69"/>
      <c r="D248" s="69"/>
      <c r="E248" s="69"/>
      <c r="F248" s="69"/>
      <c r="G248" s="59"/>
    </row>
    <row r="249" spans="1:7" ht="24" x14ac:dyDescent="0.2">
      <c r="A249" s="88" t="s">
        <v>41</v>
      </c>
      <c r="B249" s="80" t="s">
        <v>42</v>
      </c>
      <c r="C249" s="80" t="s">
        <v>43</v>
      </c>
      <c r="D249" s="80" t="s">
        <v>44</v>
      </c>
      <c r="E249" s="89" t="s">
        <v>306</v>
      </c>
      <c r="F249" s="89" t="s">
        <v>29</v>
      </c>
      <c r="G249" s="83"/>
    </row>
    <row r="250" spans="1:7" x14ac:dyDescent="0.2">
      <c r="A250" s="81"/>
      <c r="B250" s="81"/>
      <c r="C250" s="81"/>
      <c r="D250" s="81"/>
      <c r="E250" s="81"/>
      <c r="F250" s="81"/>
      <c r="G250" s="84"/>
    </row>
    <row r="251" spans="1:7" x14ac:dyDescent="0.2">
      <c r="A251" s="69" t="s">
        <v>25</v>
      </c>
      <c r="B251" s="85"/>
      <c r="C251" s="69"/>
      <c r="D251" s="62"/>
      <c r="E251" s="69"/>
      <c r="F251" s="62"/>
      <c r="G251" s="43"/>
    </row>
    <row r="252" spans="1:7" x14ac:dyDescent="0.2">
      <c r="A252" s="69" t="s">
        <v>325</v>
      </c>
      <c r="B252" s="85">
        <f>B208</f>
        <v>44000</v>
      </c>
      <c r="C252" s="96">
        <v>0.9</v>
      </c>
      <c r="D252" s="87">
        <f>B252*1.9</f>
        <v>83600</v>
      </c>
      <c r="E252" s="43">
        <v>2</v>
      </c>
      <c r="F252" s="62">
        <f>D252/E252</f>
        <v>41800</v>
      </c>
      <c r="G252" s="43" t="s">
        <v>25</v>
      </c>
    </row>
    <row r="253" spans="1:7" x14ac:dyDescent="0.2">
      <c r="A253" s="69" t="s">
        <v>315</v>
      </c>
      <c r="B253" s="85">
        <f>B209</f>
        <v>27500.000000000004</v>
      </c>
      <c r="C253" s="96">
        <f>C252</f>
        <v>0.9</v>
      </c>
      <c r="D253" s="87">
        <f>B253*1.9</f>
        <v>52250.000000000007</v>
      </c>
      <c r="E253" s="43">
        <v>2</v>
      </c>
      <c r="F253" s="62">
        <f>D253/E253</f>
        <v>26125.000000000004</v>
      </c>
      <c r="G253" s="43"/>
    </row>
    <row r="254" spans="1:7" x14ac:dyDescent="0.2">
      <c r="A254" s="69"/>
      <c r="B254" s="69"/>
      <c r="C254" s="69"/>
      <c r="D254" s="69"/>
      <c r="E254" s="69"/>
      <c r="F254" s="69"/>
      <c r="G254" s="43" t="s">
        <v>31</v>
      </c>
    </row>
    <row r="255" spans="1:7" x14ac:dyDescent="0.2">
      <c r="A255" s="82"/>
      <c r="B255" s="82"/>
      <c r="C255" s="82"/>
      <c r="D255" s="82"/>
      <c r="E255" s="82"/>
      <c r="F255" s="82"/>
      <c r="G255" s="59">
        <f xml:space="preserve"> F253+F252</f>
        <v>67925</v>
      </c>
    </row>
    <row r="256" spans="1:7" x14ac:dyDescent="0.2">
      <c r="A256" s="1231" t="s">
        <v>25</v>
      </c>
      <c r="B256" s="1230"/>
      <c r="C256" s="1230"/>
      <c r="D256" s="1230"/>
      <c r="E256" s="1230"/>
      <c r="F256" s="1230"/>
      <c r="G256" s="1371"/>
    </row>
    <row r="257" spans="1:7" x14ac:dyDescent="0.2">
      <c r="A257" s="1248" t="s">
        <v>45</v>
      </c>
      <c r="B257" s="1248"/>
      <c r="C257" s="1248"/>
      <c r="D257" s="1248"/>
      <c r="E257" s="1231"/>
      <c r="F257" s="93"/>
      <c r="G257" s="70">
        <f>G255+G242+G233</f>
        <v>164454.5377859681</v>
      </c>
    </row>
    <row r="258" spans="1:7" x14ac:dyDescent="0.2">
      <c r="A258" s="1232" t="s">
        <v>476</v>
      </c>
      <c r="B258" s="1232"/>
      <c r="C258" s="1222"/>
      <c r="D258" s="1222"/>
      <c r="E258" s="1222" t="s">
        <v>44</v>
      </c>
      <c r="F258" s="1222" t="s">
        <v>51</v>
      </c>
      <c r="G258" s="1222" t="s">
        <v>307</v>
      </c>
    </row>
    <row r="259" spans="1:7" x14ac:dyDescent="0.2">
      <c r="A259" s="1232"/>
      <c r="B259" s="1232"/>
      <c r="C259" s="1222"/>
      <c r="D259" s="1222"/>
      <c r="E259" s="1222"/>
      <c r="F259" s="1222"/>
      <c r="G259" s="1222"/>
    </row>
    <row r="260" spans="1:7" x14ac:dyDescent="0.2">
      <c r="A260" s="1244" t="s">
        <v>17</v>
      </c>
      <c r="B260" s="1244"/>
      <c r="C260" s="1244"/>
      <c r="D260" s="1244"/>
      <c r="E260" s="1244"/>
      <c r="F260" s="1221"/>
      <c r="G260" s="1222"/>
    </row>
    <row r="261" spans="1:7" x14ac:dyDescent="0.2">
      <c r="A261" s="1244" t="s">
        <v>308</v>
      </c>
      <c r="B261" s="1244"/>
      <c r="C261" s="1244"/>
      <c r="D261" s="1244"/>
      <c r="E261" s="1244"/>
      <c r="F261" s="1221"/>
      <c r="G261" s="1222"/>
    </row>
    <row r="262" spans="1:7" x14ac:dyDescent="0.2">
      <c r="A262" s="1244" t="s">
        <v>19</v>
      </c>
      <c r="B262" s="1244"/>
      <c r="C262" s="1244"/>
      <c r="D262" s="1244"/>
      <c r="E262" s="1244"/>
      <c r="F262" s="1221"/>
      <c r="G262" s="1222"/>
    </row>
    <row r="263" spans="1:7" x14ac:dyDescent="0.2">
      <c r="A263" s="1244" t="s">
        <v>309</v>
      </c>
      <c r="B263" s="1244"/>
      <c r="C263" s="1244"/>
      <c r="D263" s="1244"/>
      <c r="E263" s="1244"/>
      <c r="F263" s="1221"/>
      <c r="G263" s="1222"/>
    </row>
    <row r="264" spans="1:7" x14ac:dyDescent="0.2">
      <c r="A264" s="1245" t="s">
        <v>310</v>
      </c>
      <c r="B264" s="1245"/>
      <c r="C264" s="1245"/>
      <c r="D264" s="1245"/>
      <c r="E264" s="1245"/>
      <c r="F264" s="1222"/>
      <c r="G264" s="1222"/>
    </row>
    <row r="265" spans="1:7" x14ac:dyDescent="0.2">
      <c r="A265" s="115"/>
      <c r="B265" s="115"/>
      <c r="C265" s="115"/>
      <c r="D265" s="115"/>
      <c r="E265" s="115"/>
      <c r="F265" s="116"/>
      <c r="G265" s="116"/>
    </row>
    <row r="266" spans="1:7" x14ac:dyDescent="0.2">
      <c r="A266" s="115"/>
      <c r="B266" s="115"/>
      <c r="C266" s="115"/>
      <c r="D266" s="115"/>
      <c r="E266" s="115"/>
      <c r="F266" s="116"/>
      <c r="G266" s="116"/>
    </row>
    <row r="267" spans="1:7" x14ac:dyDescent="0.2">
      <c r="A267" s="1238" t="s">
        <v>1906</v>
      </c>
      <c r="B267" s="1246"/>
      <c r="C267" s="1246"/>
      <c r="D267" s="1246"/>
      <c r="E267" s="1247"/>
      <c r="F267" s="78" t="s">
        <v>24</v>
      </c>
      <c r="G267" s="79" t="s">
        <v>311</v>
      </c>
    </row>
    <row r="268" spans="1:7" x14ac:dyDescent="0.2">
      <c r="A268" s="1234" t="s">
        <v>469</v>
      </c>
      <c r="B268" s="1235"/>
      <c r="C268" s="80" t="s">
        <v>26</v>
      </c>
      <c r="D268" s="80" t="s">
        <v>27</v>
      </c>
      <c r="E268" s="80" t="s">
        <v>28</v>
      </c>
      <c r="F268" s="80" t="s">
        <v>35</v>
      </c>
      <c r="G268" s="67"/>
    </row>
    <row r="269" spans="1:7" x14ac:dyDescent="0.2">
      <c r="A269" s="1390"/>
      <c r="B269" s="1390"/>
      <c r="C269" s="81"/>
      <c r="D269" s="81"/>
      <c r="E269" s="81"/>
      <c r="F269" s="81"/>
      <c r="G269" s="81"/>
    </row>
    <row r="270" spans="1:7" x14ac:dyDescent="0.2">
      <c r="A270" s="1236"/>
      <c r="B270" s="1236"/>
      <c r="C270" s="69"/>
      <c r="D270" s="62"/>
      <c r="E270" s="62"/>
      <c r="F270" s="62"/>
      <c r="G270" s="69"/>
    </row>
    <row r="271" spans="1:7" x14ac:dyDescent="0.2">
      <c r="A271" s="1236" t="s">
        <v>30</v>
      </c>
      <c r="B271" s="1236"/>
      <c r="C271" s="69"/>
      <c r="D271" s="69"/>
      <c r="E271" s="69"/>
      <c r="F271" s="62">
        <f>G300*0.05</f>
        <v>377.36111111111114</v>
      </c>
      <c r="G271" s="69"/>
    </row>
    <row r="272" spans="1:7" x14ac:dyDescent="0.2">
      <c r="A272" s="1236"/>
      <c r="B272" s="1236"/>
      <c r="C272" s="69"/>
      <c r="D272" s="69"/>
      <c r="E272" s="69"/>
      <c r="F272" s="69"/>
      <c r="G272" s="69"/>
    </row>
    <row r="273" spans="1:7" x14ac:dyDescent="0.2">
      <c r="A273" s="1236"/>
      <c r="B273" s="1236"/>
      <c r="C273" s="69"/>
      <c r="D273" s="69"/>
      <c r="E273" s="69"/>
      <c r="F273" s="69"/>
      <c r="G273" s="69"/>
    </row>
    <row r="274" spans="1:7" x14ac:dyDescent="0.2">
      <c r="A274" s="1236"/>
      <c r="B274" s="1236"/>
      <c r="C274" s="69"/>
      <c r="D274" s="69"/>
      <c r="E274" s="69"/>
      <c r="F274" s="69"/>
      <c r="G274" s="82"/>
    </row>
    <row r="275" spans="1:7" x14ac:dyDescent="0.2">
      <c r="A275" s="1236" t="s">
        <v>25</v>
      </c>
      <c r="B275" s="1236"/>
      <c r="C275" s="69"/>
      <c r="D275" s="69"/>
      <c r="E275" s="69"/>
      <c r="F275" s="69"/>
      <c r="G275" s="83" t="s">
        <v>31</v>
      </c>
    </row>
    <row r="276" spans="1:7" x14ac:dyDescent="0.2">
      <c r="A276" s="1237"/>
      <c r="B276" s="1237"/>
      <c r="C276" s="82"/>
      <c r="D276" s="82"/>
      <c r="E276" s="82"/>
      <c r="F276" s="82"/>
      <c r="G276" s="64">
        <f>F271+F270</f>
        <v>377.36111111111114</v>
      </c>
    </row>
    <row r="277" spans="1:7" x14ac:dyDescent="0.2">
      <c r="A277" s="1391" t="s">
        <v>475</v>
      </c>
      <c r="B277" s="1390"/>
      <c r="C277" s="117" t="s">
        <v>32</v>
      </c>
      <c r="D277" s="117" t="s">
        <v>33</v>
      </c>
      <c r="E277" s="117" t="s">
        <v>34</v>
      </c>
      <c r="F277" s="117" t="s">
        <v>35</v>
      </c>
      <c r="G277" s="81"/>
    </row>
    <row r="278" spans="1:7" x14ac:dyDescent="0.2">
      <c r="A278" s="1392"/>
      <c r="B278" s="1236"/>
      <c r="C278" s="118"/>
      <c r="D278" s="118"/>
      <c r="E278" s="118"/>
      <c r="F278" s="118"/>
      <c r="G278" s="69"/>
    </row>
    <row r="279" spans="1:7" x14ac:dyDescent="0.2">
      <c r="A279" s="1236" t="s">
        <v>326</v>
      </c>
      <c r="B279" s="1236"/>
      <c r="C279" s="43" t="s">
        <v>55</v>
      </c>
      <c r="D279" s="87">
        <f>'[17]Precios '!I54</f>
        <v>19937.219251950002</v>
      </c>
      <c r="E279" s="43">
        <v>1</v>
      </c>
      <c r="F279" s="85">
        <f t="shared" ref="F279:F284" si="0">D279*E279</f>
        <v>19937.219251950002</v>
      </c>
      <c r="G279" s="69"/>
    </row>
    <row r="280" spans="1:7" x14ac:dyDescent="0.2">
      <c r="A280" s="1228" t="s">
        <v>319</v>
      </c>
      <c r="B280" s="1229"/>
      <c r="C280" s="43" t="s">
        <v>36</v>
      </c>
      <c r="D280" s="87">
        <f>'[17]Precios '!I75</f>
        <v>11341.2940641</v>
      </c>
      <c r="E280" s="43">
        <v>0.2</v>
      </c>
      <c r="F280" s="85">
        <f t="shared" si="0"/>
        <v>2268.25881282</v>
      </c>
      <c r="G280" s="69"/>
    </row>
    <row r="281" spans="1:7" x14ac:dyDescent="0.2">
      <c r="A281" s="1228" t="s">
        <v>56</v>
      </c>
      <c r="B281" s="1229"/>
      <c r="C281" s="43" t="s">
        <v>54</v>
      </c>
      <c r="D281" s="87">
        <f>'[17]Precios '!I139</f>
        <v>3014.5915800000007</v>
      </c>
      <c r="E281" s="86">
        <v>0.1</v>
      </c>
      <c r="F281" s="85">
        <f t="shared" si="0"/>
        <v>301.45915800000006</v>
      </c>
      <c r="G281" s="69"/>
    </row>
    <row r="282" spans="1:7" x14ac:dyDescent="0.2">
      <c r="A282" s="1228" t="s">
        <v>57</v>
      </c>
      <c r="B282" s="1229"/>
      <c r="C282" s="63">
        <v>0.75</v>
      </c>
      <c r="D282" s="87">
        <f>'[17]Precios '!I137</f>
        <v>60173.689826250011</v>
      </c>
      <c r="E282" s="86">
        <v>0.04</v>
      </c>
      <c r="F282" s="85">
        <f t="shared" si="0"/>
        <v>2406.9475930500007</v>
      </c>
      <c r="G282" s="69"/>
    </row>
    <row r="283" spans="1:7" x14ac:dyDescent="0.2">
      <c r="A283" s="1228" t="s">
        <v>327</v>
      </c>
      <c r="B283" s="1229"/>
      <c r="C283" s="63">
        <v>0.75</v>
      </c>
      <c r="D283" s="103">
        <f>'[17]Precios '!I138</f>
        <v>124798.03060725004</v>
      </c>
      <c r="E283" s="43">
        <v>0.04</v>
      </c>
      <c r="F283" s="85">
        <f t="shared" si="0"/>
        <v>4991.9212242900021</v>
      </c>
      <c r="G283" s="69"/>
    </row>
    <row r="284" spans="1:7" x14ac:dyDescent="0.2">
      <c r="A284" s="1228" t="s">
        <v>328</v>
      </c>
      <c r="B284" s="1229"/>
      <c r="C284" s="43" t="s">
        <v>37</v>
      </c>
      <c r="D284" s="103">
        <v>4500</v>
      </c>
      <c r="E284" s="43">
        <v>1</v>
      </c>
      <c r="F284" s="85">
        <f t="shared" si="0"/>
        <v>4500</v>
      </c>
    </row>
    <row r="285" spans="1:7" x14ac:dyDescent="0.2">
      <c r="A285" s="71"/>
      <c r="B285" s="72"/>
      <c r="C285" s="43"/>
      <c r="D285" s="103"/>
      <c r="E285" s="43"/>
      <c r="F285" s="85"/>
      <c r="G285" s="43" t="s">
        <v>31</v>
      </c>
    </row>
    <row r="286" spans="1:7" x14ac:dyDescent="0.2">
      <c r="A286" s="1228"/>
      <c r="B286" s="1229"/>
      <c r="C286" s="69"/>
      <c r="D286" s="69"/>
      <c r="E286" s="69"/>
      <c r="F286" s="69"/>
      <c r="G286" s="65">
        <f xml:space="preserve"> F282+F281+F280+F279+F283+F284</f>
        <v>34405.806040110008</v>
      </c>
    </row>
    <row r="287" spans="1:7" ht="24" x14ac:dyDescent="0.2">
      <c r="A287" s="88" t="s">
        <v>329</v>
      </c>
      <c r="B287" s="89" t="s">
        <v>38</v>
      </c>
      <c r="C287" s="89" t="s">
        <v>39</v>
      </c>
      <c r="D287" s="80" t="s">
        <v>40</v>
      </c>
      <c r="E287" s="80" t="s">
        <v>34</v>
      </c>
      <c r="F287" s="80" t="s">
        <v>35</v>
      </c>
      <c r="G287" s="67"/>
    </row>
    <row r="288" spans="1:7" x14ac:dyDescent="0.2">
      <c r="A288" s="90"/>
      <c r="B288" s="43" t="s">
        <v>25</v>
      </c>
      <c r="C288" s="43" t="s">
        <v>25</v>
      </c>
      <c r="D288" s="62" t="s">
        <v>25</v>
      </c>
      <c r="E288" s="91" t="s">
        <v>25</v>
      </c>
      <c r="F288" s="62" t="s">
        <v>25</v>
      </c>
      <c r="G288" s="69"/>
    </row>
    <row r="289" spans="1:7" x14ac:dyDescent="0.2">
      <c r="A289" s="1393"/>
      <c r="B289" s="43"/>
      <c r="C289" s="43"/>
      <c r="D289" s="62"/>
      <c r="E289" s="91"/>
      <c r="F289" s="62"/>
      <c r="G289" s="69"/>
    </row>
    <row r="290" spans="1:7" x14ac:dyDescent="0.2">
      <c r="A290" s="1394"/>
      <c r="B290" s="43"/>
      <c r="C290" s="43"/>
      <c r="D290" s="62"/>
      <c r="E290" s="92"/>
      <c r="F290" s="62"/>
      <c r="G290" s="69"/>
    </row>
    <row r="291" spans="1:7" x14ac:dyDescent="0.2">
      <c r="A291" s="90" t="s">
        <v>25</v>
      </c>
      <c r="B291" s="43" t="s">
        <v>25</v>
      </c>
      <c r="C291" s="43" t="s">
        <v>25</v>
      </c>
      <c r="D291" s="61" t="s">
        <v>25</v>
      </c>
      <c r="E291" s="92" t="s">
        <v>25</v>
      </c>
      <c r="F291" s="62" t="s">
        <v>25</v>
      </c>
      <c r="G291" s="43" t="s">
        <v>31</v>
      </c>
    </row>
    <row r="292" spans="1:7" x14ac:dyDescent="0.2">
      <c r="A292" s="90"/>
      <c r="B292" s="69"/>
      <c r="C292" s="69"/>
      <c r="D292" s="69"/>
      <c r="E292" s="69"/>
      <c r="F292" s="69"/>
      <c r="G292" s="64"/>
    </row>
    <row r="293" spans="1:7" ht="24" x14ac:dyDescent="0.2">
      <c r="A293" s="88" t="s">
        <v>41</v>
      </c>
      <c r="B293" s="80" t="s">
        <v>42</v>
      </c>
      <c r="C293" s="80" t="s">
        <v>43</v>
      </c>
      <c r="D293" s="80" t="s">
        <v>44</v>
      </c>
      <c r="E293" s="89" t="s">
        <v>306</v>
      </c>
      <c r="F293" s="80" t="s">
        <v>35</v>
      </c>
      <c r="G293" s="67"/>
    </row>
    <row r="294" spans="1:7" x14ac:dyDescent="0.2">
      <c r="A294" s="81"/>
      <c r="B294" s="81"/>
      <c r="C294" s="81"/>
      <c r="D294" s="81"/>
      <c r="E294" s="81"/>
      <c r="F294" s="81"/>
      <c r="G294" s="81"/>
    </row>
    <row r="295" spans="1:7" x14ac:dyDescent="0.2">
      <c r="A295" s="69" t="s">
        <v>314</v>
      </c>
      <c r="B295" s="85">
        <f>'[17]Jornal día'!B36</f>
        <v>44000</v>
      </c>
      <c r="C295" s="96">
        <v>0.9</v>
      </c>
      <c r="D295" s="62">
        <f>B295*'[17]Jornal día'!D51</f>
        <v>83600</v>
      </c>
      <c r="E295" s="101">
        <v>18</v>
      </c>
      <c r="F295" s="62">
        <f xml:space="preserve"> D295/E295</f>
        <v>4644.4444444444443</v>
      </c>
      <c r="G295" s="69"/>
    </row>
    <row r="296" spans="1:7" x14ac:dyDescent="0.2">
      <c r="A296" s="69" t="s">
        <v>58</v>
      </c>
      <c r="B296" s="85">
        <f>'[17]Jornal día'!B37</f>
        <v>27500.000000000004</v>
      </c>
      <c r="C296" s="96">
        <v>0.9</v>
      </c>
      <c r="D296" s="62">
        <f>B296*'[17]Jornal día'!D51</f>
        <v>52250.000000000007</v>
      </c>
      <c r="E296" s="101">
        <v>18</v>
      </c>
      <c r="F296" s="62">
        <f xml:space="preserve"> D296/E296</f>
        <v>2902.7777777777783</v>
      </c>
      <c r="G296" s="69" t="s">
        <v>25</v>
      </c>
    </row>
    <row r="297" spans="1:7" x14ac:dyDescent="0.2">
      <c r="A297" s="69"/>
      <c r="B297" s="85"/>
      <c r="C297" s="96"/>
      <c r="D297" s="62"/>
      <c r="E297" s="101"/>
      <c r="F297" s="62"/>
      <c r="G297" s="69"/>
    </row>
    <row r="298" spans="1:7" x14ac:dyDescent="0.2">
      <c r="A298" s="69"/>
      <c r="B298" s="85"/>
      <c r="C298" s="69"/>
      <c r="D298" s="62"/>
      <c r="E298" s="69"/>
      <c r="F298" s="62"/>
      <c r="G298" s="69"/>
    </row>
    <row r="299" spans="1:7" x14ac:dyDescent="0.2">
      <c r="A299" s="69"/>
      <c r="B299" s="69"/>
      <c r="C299" s="69"/>
      <c r="D299" s="69"/>
      <c r="E299" s="69"/>
      <c r="F299" s="69"/>
      <c r="G299" s="43" t="s">
        <v>31</v>
      </c>
    </row>
    <row r="300" spans="1:7" x14ac:dyDescent="0.2">
      <c r="A300" s="82"/>
      <c r="B300" s="82"/>
      <c r="C300" s="82"/>
      <c r="D300" s="82"/>
      <c r="E300" s="82"/>
      <c r="F300" s="82"/>
      <c r="G300" s="64">
        <f>F298+F296+F295</f>
        <v>7547.2222222222226</v>
      </c>
    </row>
    <row r="301" spans="1:7" x14ac:dyDescent="0.2">
      <c r="A301" s="1230" t="s">
        <v>25</v>
      </c>
      <c r="B301" s="1230"/>
      <c r="C301" s="1230"/>
      <c r="D301" s="1230"/>
      <c r="E301" s="1230"/>
      <c r="F301" s="1230"/>
      <c r="G301" s="1233"/>
    </row>
    <row r="302" spans="1:7" x14ac:dyDescent="0.2">
      <c r="A302" s="1248" t="s">
        <v>45</v>
      </c>
      <c r="B302" s="1248"/>
      <c r="C302" s="1248"/>
      <c r="D302" s="1248"/>
      <c r="E302" s="1231"/>
      <c r="F302" s="93"/>
      <c r="G302" s="120">
        <f xml:space="preserve"> G300+G292+G286+G276</f>
        <v>42330.389373443337</v>
      </c>
    </row>
    <row r="303" spans="1:7" x14ac:dyDescent="0.2">
      <c r="A303" s="1232" t="s">
        <v>476</v>
      </c>
      <c r="B303" s="1232"/>
      <c r="C303" s="1222"/>
      <c r="D303" s="1222"/>
      <c r="E303" s="1222" t="s">
        <v>44</v>
      </c>
      <c r="F303" s="1222" t="s">
        <v>51</v>
      </c>
      <c r="G303" s="1222" t="s">
        <v>307</v>
      </c>
    </row>
    <row r="304" spans="1:7" x14ac:dyDescent="0.2">
      <c r="A304" s="1232"/>
      <c r="B304" s="1232"/>
      <c r="C304" s="1222"/>
      <c r="D304" s="1222"/>
      <c r="E304" s="1222"/>
      <c r="F304" s="1222"/>
      <c r="G304" s="1222"/>
    </row>
    <row r="305" spans="1:7" x14ac:dyDescent="0.2">
      <c r="A305" s="1244" t="s">
        <v>17</v>
      </c>
      <c r="B305" s="1244"/>
      <c r="C305" s="1244"/>
      <c r="D305" s="1244"/>
      <c r="E305" s="1244"/>
      <c r="F305" s="1221"/>
      <c r="G305" s="1222"/>
    </row>
    <row r="306" spans="1:7" x14ac:dyDescent="0.2">
      <c r="A306" s="1244" t="s">
        <v>308</v>
      </c>
      <c r="B306" s="1244"/>
      <c r="C306" s="1244"/>
      <c r="D306" s="1244"/>
      <c r="E306" s="1244"/>
      <c r="F306" s="1221"/>
      <c r="G306" s="1222"/>
    </row>
    <row r="307" spans="1:7" x14ac:dyDescent="0.2">
      <c r="A307" s="1244" t="s">
        <v>19</v>
      </c>
      <c r="B307" s="1244"/>
      <c r="C307" s="1244"/>
      <c r="D307" s="1244"/>
      <c r="E307" s="1244"/>
      <c r="F307" s="1221"/>
      <c r="G307" s="1222"/>
    </row>
    <row r="308" spans="1:7" x14ac:dyDescent="0.2">
      <c r="A308" s="1244" t="s">
        <v>309</v>
      </c>
      <c r="B308" s="1244"/>
      <c r="C308" s="1244"/>
      <c r="D308" s="1244"/>
      <c r="E308" s="1244"/>
      <c r="F308" s="1221"/>
      <c r="G308" s="1222"/>
    </row>
    <row r="309" spans="1:7" x14ac:dyDescent="0.2">
      <c r="A309" s="1245" t="s">
        <v>310</v>
      </c>
      <c r="B309" s="1245"/>
      <c r="C309" s="1245"/>
      <c r="D309" s="1245"/>
      <c r="E309" s="1245"/>
      <c r="F309" s="1222"/>
      <c r="G309" s="1222"/>
    </row>
    <row r="310" spans="1:7" x14ac:dyDescent="0.2">
      <c r="A310" s="1367" t="s">
        <v>1907</v>
      </c>
      <c r="B310" s="1395"/>
      <c r="C310" s="1395"/>
      <c r="D310" s="1395"/>
      <c r="E310" s="1396"/>
      <c r="F310" s="447" t="s">
        <v>24</v>
      </c>
      <c r="G310" s="445" t="s">
        <v>322</v>
      </c>
    </row>
    <row r="311" spans="1:7" x14ac:dyDescent="0.2">
      <c r="A311" s="1229" t="s">
        <v>25</v>
      </c>
      <c r="B311" s="1229"/>
      <c r="C311" s="1229"/>
      <c r="D311" s="1229"/>
      <c r="E311" s="1229"/>
      <c r="F311" s="1229"/>
      <c r="G311" s="1229"/>
    </row>
    <row r="312" spans="1:7" x14ac:dyDescent="0.2">
      <c r="A312" s="1234" t="s">
        <v>469</v>
      </c>
      <c r="B312" s="1235"/>
      <c r="C312" s="80" t="s">
        <v>26</v>
      </c>
      <c r="D312" s="80" t="s">
        <v>27</v>
      </c>
      <c r="E312" s="80" t="s">
        <v>28</v>
      </c>
      <c r="F312" s="80" t="s">
        <v>35</v>
      </c>
      <c r="G312" s="67"/>
    </row>
    <row r="313" spans="1:7" x14ac:dyDescent="0.2">
      <c r="A313" s="1236"/>
      <c r="B313" s="1236"/>
      <c r="C313" s="69"/>
      <c r="D313" s="62"/>
      <c r="E313" s="62"/>
      <c r="F313" s="62"/>
      <c r="G313" s="81"/>
    </row>
    <row r="314" spans="1:7" x14ac:dyDescent="0.2">
      <c r="A314" s="1236"/>
      <c r="B314" s="1236"/>
      <c r="C314" s="69"/>
      <c r="D314" s="62"/>
      <c r="E314" s="62"/>
      <c r="F314" s="62"/>
      <c r="G314" s="69"/>
    </row>
    <row r="315" spans="1:7" x14ac:dyDescent="0.2">
      <c r="A315" s="1236" t="s">
        <v>30</v>
      </c>
      <c r="B315" s="1236"/>
      <c r="C315" s="69"/>
      <c r="D315" s="69"/>
      <c r="E315" s="69"/>
      <c r="F315" s="62">
        <f>G342*0.05</f>
        <v>1698.125</v>
      </c>
      <c r="G315" s="69"/>
    </row>
    <row r="316" spans="1:7" x14ac:dyDescent="0.2">
      <c r="A316" s="1236"/>
      <c r="B316" s="1236"/>
      <c r="C316" s="69"/>
      <c r="D316" s="69"/>
      <c r="E316" s="69"/>
      <c r="F316" s="69"/>
      <c r="G316" s="69"/>
    </row>
    <row r="317" spans="1:7" x14ac:dyDescent="0.2">
      <c r="A317" s="1236" t="s">
        <v>25</v>
      </c>
      <c r="B317" s="1236"/>
      <c r="C317" s="69"/>
      <c r="D317" s="69"/>
      <c r="E317" s="69"/>
      <c r="F317" s="69"/>
      <c r="G317" s="83" t="s">
        <v>31</v>
      </c>
    </row>
    <row r="318" spans="1:7" x14ac:dyDescent="0.2">
      <c r="A318" s="1237"/>
      <c r="B318" s="1237"/>
      <c r="C318" s="82"/>
      <c r="D318" s="82"/>
      <c r="E318" s="82"/>
      <c r="F318" s="82"/>
      <c r="G318" s="64">
        <f>F315+F314+F313</f>
        <v>1698.125</v>
      </c>
    </row>
    <row r="319" spans="1:7" x14ac:dyDescent="0.2">
      <c r="A319" s="1234" t="s">
        <v>475</v>
      </c>
      <c r="B319" s="1235"/>
      <c r="C319" s="80" t="s">
        <v>32</v>
      </c>
      <c r="D319" s="80" t="s">
        <v>33</v>
      </c>
      <c r="E319" s="80" t="s">
        <v>34</v>
      </c>
      <c r="F319" s="80" t="s">
        <v>35</v>
      </c>
      <c r="G319" s="67"/>
    </row>
    <row r="320" spans="1:7" x14ac:dyDescent="0.2">
      <c r="A320" s="1226"/>
      <c r="B320" s="1227"/>
      <c r="C320" s="43"/>
      <c r="D320" s="97"/>
      <c r="E320" s="92"/>
      <c r="F320" s="85"/>
      <c r="G320" s="69"/>
    </row>
    <row r="321" spans="1:7" x14ac:dyDescent="0.2">
      <c r="A321" s="1364"/>
      <c r="B321" s="1365"/>
      <c r="C321" s="43"/>
      <c r="D321" s="97"/>
      <c r="E321" s="92"/>
      <c r="F321" s="85"/>
      <c r="G321" s="69"/>
    </row>
    <row r="322" spans="1:7" x14ac:dyDescent="0.2">
      <c r="A322" s="1364" t="s">
        <v>330</v>
      </c>
      <c r="B322" s="1365"/>
      <c r="C322" s="43" t="s">
        <v>238</v>
      </c>
      <c r="D322" s="97">
        <f>'[17]Precios '!I72</f>
        <v>14677.793430300002</v>
      </c>
      <c r="E322" s="102">
        <v>1</v>
      </c>
      <c r="F322" s="85">
        <f>D322*E322</f>
        <v>14677.793430300002</v>
      </c>
      <c r="G322" s="69"/>
    </row>
    <row r="323" spans="1:7" x14ac:dyDescent="0.2">
      <c r="A323" s="1364" t="s">
        <v>331</v>
      </c>
      <c r="B323" s="1365"/>
      <c r="C323" s="63">
        <v>0.25</v>
      </c>
      <c r="D323" s="97">
        <f>'[17]Precios '!I137</f>
        <v>60173.689826250011</v>
      </c>
      <c r="E323" s="86">
        <v>0.12</v>
      </c>
      <c r="F323" s="85">
        <f>D323*E323</f>
        <v>7220.8427791500008</v>
      </c>
      <c r="G323" s="69"/>
    </row>
    <row r="324" spans="1:7" x14ac:dyDescent="0.2">
      <c r="A324" s="1364" t="s">
        <v>332</v>
      </c>
      <c r="B324" s="1365"/>
      <c r="C324" s="63">
        <v>0.25</v>
      </c>
      <c r="D324" s="97">
        <f>'[17]Precios '!I138</f>
        <v>124798.03060725004</v>
      </c>
      <c r="E324" s="86">
        <v>0.12</v>
      </c>
      <c r="F324" s="85">
        <f>D324*E324</f>
        <v>14975.763672870004</v>
      </c>
      <c r="G324" s="69"/>
    </row>
    <row r="325" spans="1:7" x14ac:dyDescent="0.2">
      <c r="A325" s="1366" t="s">
        <v>333</v>
      </c>
      <c r="B325" s="1365"/>
      <c r="C325" s="66" t="s">
        <v>54</v>
      </c>
      <c r="D325" s="97">
        <f>'[17]Precios '!I139</f>
        <v>3014.5915800000007</v>
      </c>
      <c r="E325" s="98">
        <v>0.2</v>
      </c>
      <c r="F325" s="85">
        <f>D325*E325</f>
        <v>602.91831600000012</v>
      </c>
      <c r="G325" s="69"/>
    </row>
    <row r="326" spans="1:7" x14ac:dyDescent="0.2">
      <c r="A326" s="1366"/>
      <c r="B326" s="1365"/>
      <c r="C326" s="66"/>
      <c r="D326" s="97"/>
      <c r="E326" s="100"/>
      <c r="F326" s="85"/>
      <c r="G326" s="69"/>
    </row>
    <row r="327" spans="1:7" x14ac:dyDescent="0.2">
      <c r="A327" s="1228"/>
      <c r="B327" s="1229"/>
      <c r="C327" s="43"/>
      <c r="D327" s="97"/>
      <c r="E327" s="92"/>
      <c r="F327" s="85"/>
      <c r="G327" s="69"/>
    </row>
    <row r="328" spans="1:7" x14ac:dyDescent="0.2">
      <c r="A328" s="1228"/>
      <c r="B328" s="1229"/>
      <c r="C328" s="43"/>
      <c r="D328" s="97"/>
      <c r="E328" s="92"/>
      <c r="F328" s="85"/>
      <c r="G328" s="43" t="s">
        <v>31</v>
      </c>
    </row>
    <row r="329" spans="1:7" x14ac:dyDescent="0.2">
      <c r="A329" s="1228"/>
      <c r="B329" s="1229"/>
      <c r="C329" s="69"/>
      <c r="D329" s="69"/>
      <c r="E329" s="69"/>
      <c r="F329" s="69"/>
      <c r="G329" s="65">
        <f xml:space="preserve"> F327+F326+F325+F324+F323+F322+F321+F320</f>
        <v>37477.318198320005</v>
      </c>
    </row>
    <row r="330" spans="1:7" ht="24" x14ac:dyDescent="0.2">
      <c r="A330" s="88" t="s">
        <v>329</v>
      </c>
      <c r="B330" s="89" t="s">
        <v>38</v>
      </c>
      <c r="C330" s="89" t="s">
        <v>39</v>
      </c>
      <c r="D330" s="80" t="s">
        <v>40</v>
      </c>
      <c r="E330" s="80" t="s">
        <v>34</v>
      </c>
      <c r="F330" s="80" t="s">
        <v>35</v>
      </c>
      <c r="G330" s="67"/>
    </row>
    <row r="331" spans="1:7" x14ac:dyDescent="0.2">
      <c r="A331" s="1393"/>
      <c r="B331" s="43"/>
      <c r="C331" s="43"/>
      <c r="D331" s="62"/>
      <c r="E331" s="91"/>
      <c r="F331" s="62"/>
      <c r="G331" s="69"/>
    </row>
    <row r="332" spans="1:7" x14ac:dyDescent="0.2">
      <c r="A332" s="1394"/>
      <c r="B332" s="43"/>
      <c r="C332" s="43"/>
      <c r="D332" s="62"/>
      <c r="E332" s="91"/>
      <c r="F332" s="62"/>
      <c r="G332" s="69"/>
    </row>
    <row r="333" spans="1:7" x14ac:dyDescent="0.2">
      <c r="A333" s="90"/>
      <c r="B333" s="43"/>
      <c r="C333" s="43"/>
      <c r="D333" s="62"/>
      <c r="E333" s="92"/>
      <c r="F333" s="62"/>
      <c r="G333" s="69"/>
    </row>
    <row r="334" spans="1:7" x14ac:dyDescent="0.2">
      <c r="A334" s="90" t="s">
        <v>25</v>
      </c>
      <c r="B334" s="43" t="s">
        <v>25</v>
      </c>
      <c r="C334" s="43" t="s">
        <v>25</v>
      </c>
      <c r="D334" s="61" t="s">
        <v>25</v>
      </c>
      <c r="E334" s="92" t="s">
        <v>25</v>
      </c>
      <c r="F334" s="62" t="s">
        <v>25</v>
      </c>
      <c r="G334" s="43" t="s">
        <v>31</v>
      </c>
    </row>
    <row r="335" spans="1:7" x14ac:dyDescent="0.2">
      <c r="A335" s="90"/>
      <c r="B335" s="69"/>
      <c r="C335" s="69"/>
      <c r="D335" s="69"/>
      <c r="E335" s="69"/>
      <c r="F335" s="69"/>
      <c r="G335" s="64"/>
    </row>
    <row r="336" spans="1:7" ht="24" x14ac:dyDescent="0.2">
      <c r="A336" s="88" t="s">
        <v>41</v>
      </c>
      <c r="B336" s="80" t="s">
        <v>42</v>
      </c>
      <c r="C336" s="80" t="s">
        <v>43</v>
      </c>
      <c r="D336" s="80" t="s">
        <v>44</v>
      </c>
      <c r="E336" s="89" t="s">
        <v>306</v>
      </c>
      <c r="F336" s="80" t="s">
        <v>35</v>
      </c>
      <c r="G336" s="67"/>
    </row>
    <row r="337" spans="1:7" x14ac:dyDescent="0.2">
      <c r="A337" s="81"/>
      <c r="B337" s="81"/>
      <c r="C337" s="81"/>
      <c r="D337" s="81"/>
      <c r="E337" s="81"/>
      <c r="F337" s="81"/>
      <c r="G337" s="81"/>
    </row>
    <row r="338" spans="1:7" x14ac:dyDescent="0.2">
      <c r="A338" s="69" t="s">
        <v>334</v>
      </c>
      <c r="B338" s="85">
        <f>'[17]Jornal día'!B36</f>
        <v>44000</v>
      </c>
      <c r="C338" s="96">
        <v>0.9</v>
      </c>
      <c r="D338" s="62">
        <f>B338*C338+B338</f>
        <v>83600</v>
      </c>
      <c r="E338" s="121">
        <v>4</v>
      </c>
      <c r="F338" s="62">
        <f xml:space="preserve"> D338/E338</f>
        <v>20900</v>
      </c>
      <c r="G338" s="69"/>
    </row>
    <row r="339" spans="1:7" x14ac:dyDescent="0.2">
      <c r="A339" s="69" t="s">
        <v>315</v>
      </c>
      <c r="B339" s="85">
        <f>'[17]Jornal día'!B37</f>
        <v>27500.000000000004</v>
      </c>
      <c r="C339" s="96">
        <v>0.9</v>
      </c>
      <c r="D339" s="62">
        <f>B339*C339+B339</f>
        <v>52250.000000000007</v>
      </c>
      <c r="E339" s="121">
        <v>4</v>
      </c>
      <c r="F339" s="62">
        <f xml:space="preserve"> D339/E339</f>
        <v>13062.500000000002</v>
      </c>
      <c r="G339" s="69" t="s">
        <v>25</v>
      </c>
    </row>
    <row r="340" spans="1:7" x14ac:dyDescent="0.2">
      <c r="A340" s="69"/>
      <c r="B340" s="85"/>
      <c r="C340" s="69"/>
      <c r="D340" s="62"/>
      <c r="E340" s="69"/>
      <c r="F340" s="62"/>
      <c r="G340" s="69"/>
    </row>
    <row r="341" spans="1:7" x14ac:dyDescent="0.2">
      <c r="A341" s="69"/>
      <c r="B341" s="69"/>
      <c r="C341" s="69"/>
      <c r="D341" s="69"/>
      <c r="E341" s="69"/>
      <c r="F341" s="69"/>
      <c r="G341" s="43" t="s">
        <v>31</v>
      </c>
    </row>
    <row r="342" spans="1:7" x14ac:dyDescent="0.2">
      <c r="A342" s="82"/>
      <c r="B342" s="82"/>
      <c r="C342" s="82"/>
      <c r="D342" s="82"/>
      <c r="E342" s="82"/>
      <c r="F342" s="82"/>
      <c r="G342" s="64">
        <f>F340+F339+F338</f>
        <v>33962.5</v>
      </c>
    </row>
    <row r="343" spans="1:7" x14ac:dyDescent="0.2">
      <c r="A343" s="1230" t="s">
        <v>25</v>
      </c>
      <c r="B343" s="1230"/>
      <c r="C343" s="1230"/>
      <c r="D343" s="1230"/>
      <c r="E343" s="1230"/>
      <c r="F343" s="1230"/>
      <c r="G343" s="1233"/>
    </row>
    <row r="344" spans="1:7" x14ac:dyDescent="0.2">
      <c r="A344" s="1248" t="s">
        <v>45</v>
      </c>
      <c r="B344" s="1248"/>
      <c r="C344" s="1248"/>
      <c r="D344" s="1248"/>
      <c r="E344" s="1231"/>
      <c r="F344" s="93"/>
      <c r="G344" s="70">
        <f xml:space="preserve"> G342+G335+G329+G318</f>
        <v>73137.943198320005</v>
      </c>
    </row>
    <row r="345" spans="1:7" x14ac:dyDescent="0.2">
      <c r="A345" s="1232" t="s">
        <v>476</v>
      </c>
      <c r="B345" s="1232"/>
      <c r="C345" s="1222"/>
      <c r="D345" s="1222"/>
      <c r="E345" s="1222" t="s">
        <v>44</v>
      </c>
      <c r="F345" s="1222" t="s">
        <v>51</v>
      </c>
      <c r="G345" s="1222" t="s">
        <v>307</v>
      </c>
    </row>
    <row r="346" spans="1:7" x14ac:dyDescent="0.2">
      <c r="A346" s="1232"/>
      <c r="B346" s="1232"/>
      <c r="C346" s="1222"/>
      <c r="D346" s="1222"/>
      <c r="E346" s="1222"/>
      <c r="F346" s="1222"/>
      <c r="G346" s="1222"/>
    </row>
    <row r="347" spans="1:7" x14ac:dyDescent="0.2">
      <c r="A347" s="1244" t="s">
        <v>17</v>
      </c>
      <c r="B347" s="1244"/>
      <c r="C347" s="1244"/>
      <c r="D347" s="1244"/>
      <c r="E347" s="1244"/>
      <c r="F347" s="1221"/>
      <c r="G347" s="1222"/>
    </row>
    <row r="348" spans="1:7" x14ac:dyDescent="0.2">
      <c r="A348" s="1244" t="s">
        <v>308</v>
      </c>
      <c r="B348" s="1244"/>
      <c r="C348" s="1244"/>
      <c r="D348" s="1244"/>
      <c r="E348" s="1244"/>
      <c r="F348" s="1221"/>
      <c r="G348" s="1222"/>
    </row>
    <row r="349" spans="1:7" x14ac:dyDescent="0.2">
      <c r="A349" s="1244" t="s">
        <v>19</v>
      </c>
      <c r="B349" s="1244"/>
      <c r="C349" s="1244"/>
      <c r="D349" s="1244"/>
      <c r="E349" s="1244"/>
      <c r="F349" s="1221"/>
      <c r="G349" s="1222"/>
    </row>
    <row r="350" spans="1:7" x14ac:dyDescent="0.2">
      <c r="A350" s="1244" t="s">
        <v>309</v>
      </c>
      <c r="B350" s="1244"/>
      <c r="C350" s="1244"/>
      <c r="D350" s="1244"/>
      <c r="E350" s="1244"/>
      <c r="F350" s="1221"/>
      <c r="G350" s="1222"/>
    </row>
    <row r="351" spans="1:7" x14ac:dyDescent="0.2">
      <c r="A351" s="1245" t="s">
        <v>310</v>
      </c>
      <c r="B351" s="1245"/>
      <c r="C351" s="1245"/>
      <c r="D351" s="1245"/>
      <c r="E351" s="1245"/>
      <c r="F351" s="1222"/>
      <c r="G351" s="1222"/>
    </row>
    <row r="352" spans="1:7" x14ac:dyDescent="0.2">
      <c r="A352" s="68"/>
      <c r="B352" s="94"/>
      <c r="C352" s="94"/>
      <c r="D352" s="94"/>
      <c r="E352" s="94"/>
      <c r="F352" s="94"/>
      <c r="G352" s="94"/>
    </row>
    <row r="353" spans="1:7" ht="12.75" x14ac:dyDescent="0.2">
      <c r="A353" s="68"/>
      <c r="B353" s="94"/>
      <c r="C353" s="94"/>
      <c r="D353" s="94"/>
      <c r="E353" s="94"/>
      <c r="F353" s="885"/>
      <c r="G353" s="885"/>
    </row>
    <row r="354" spans="1:7" x14ac:dyDescent="0.2">
      <c r="A354" s="1367" t="s">
        <v>2406</v>
      </c>
      <c r="B354" s="1395"/>
      <c r="C354" s="1395"/>
      <c r="D354" s="1395"/>
      <c r="E354" s="1396"/>
      <c r="F354" s="447" t="s">
        <v>24</v>
      </c>
      <c r="G354" s="445" t="s">
        <v>322</v>
      </c>
    </row>
    <row r="355" spans="1:7" x14ac:dyDescent="0.2">
      <c r="A355" s="1229" t="s">
        <v>25</v>
      </c>
      <c r="B355" s="1229"/>
      <c r="C355" s="1229"/>
      <c r="D355" s="1229"/>
      <c r="E355" s="1229"/>
      <c r="F355" s="1229"/>
      <c r="G355" s="1229"/>
    </row>
    <row r="356" spans="1:7" x14ac:dyDescent="0.2">
      <c r="A356" s="1234" t="s">
        <v>469</v>
      </c>
      <c r="B356" s="1235"/>
      <c r="C356" s="80" t="s">
        <v>26</v>
      </c>
      <c r="D356" s="80" t="s">
        <v>27</v>
      </c>
      <c r="E356" s="80" t="s">
        <v>28</v>
      </c>
      <c r="F356" s="80" t="s">
        <v>35</v>
      </c>
      <c r="G356" s="67"/>
    </row>
    <row r="357" spans="1:7" x14ac:dyDescent="0.2">
      <c r="A357" s="1236"/>
      <c r="B357" s="1236"/>
      <c r="C357" s="69"/>
      <c r="D357" s="62"/>
      <c r="E357" s="62"/>
      <c r="F357" s="62"/>
      <c r="G357" s="81"/>
    </row>
    <row r="358" spans="1:7" x14ac:dyDescent="0.2">
      <c r="A358" s="1236"/>
      <c r="B358" s="1236"/>
      <c r="C358" s="69"/>
      <c r="D358" s="62"/>
      <c r="E358" s="62"/>
      <c r="F358" s="62"/>
      <c r="G358" s="69"/>
    </row>
    <row r="359" spans="1:7" x14ac:dyDescent="0.2">
      <c r="A359" s="1236" t="s">
        <v>30</v>
      </c>
      <c r="B359" s="1236"/>
      <c r="C359" s="69"/>
      <c r="D359" s="69"/>
      <c r="E359" s="69"/>
      <c r="F359" s="62">
        <f>G386*0.05</f>
        <v>1132.0833333333335</v>
      </c>
      <c r="G359" s="69"/>
    </row>
    <row r="360" spans="1:7" x14ac:dyDescent="0.2">
      <c r="A360" s="1236"/>
      <c r="B360" s="1236"/>
      <c r="C360" s="69"/>
      <c r="D360" s="69"/>
      <c r="E360" s="69"/>
      <c r="F360" s="69"/>
      <c r="G360" s="69"/>
    </row>
    <row r="361" spans="1:7" x14ac:dyDescent="0.2">
      <c r="A361" s="1236" t="s">
        <v>25</v>
      </c>
      <c r="B361" s="1236"/>
      <c r="C361" s="69"/>
      <c r="D361" s="69"/>
      <c r="E361" s="69"/>
      <c r="F361" s="69"/>
      <c r="G361" s="83" t="s">
        <v>31</v>
      </c>
    </row>
    <row r="362" spans="1:7" x14ac:dyDescent="0.2">
      <c r="A362" s="1237"/>
      <c r="B362" s="1237"/>
      <c r="C362" s="82"/>
      <c r="D362" s="82"/>
      <c r="E362" s="82"/>
      <c r="F362" s="82"/>
      <c r="G362" s="64">
        <f>F359+F358+F357</f>
        <v>1132.0833333333335</v>
      </c>
    </row>
    <row r="363" spans="1:7" x14ac:dyDescent="0.2">
      <c r="A363" s="1234" t="s">
        <v>475</v>
      </c>
      <c r="B363" s="1235"/>
      <c r="C363" s="80" t="s">
        <v>32</v>
      </c>
      <c r="D363" s="80" t="s">
        <v>33</v>
      </c>
      <c r="E363" s="80" t="s">
        <v>34</v>
      </c>
      <c r="F363" s="80" t="s">
        <v>35</v>
      </c>
      <c r="G363" s="67"/>
    </row>
    <row r="364" spans="1:7" x14ac:dyDescent="0.2">
      <c r="A364" s="1226"/>
      <c r="B364" s="1227"/>
      <c r="C364" s="43"/>
      <c r="D364" s="97"/>
      <c r="E364" s="92"/>
      <c r="F364" s="85"/>
      <c r="G364" s="69"/>
    </row>
    <row r="365" spans="1:7" x14ac:dyDescent="0.2">
      <c r="A365" s="1364"/>
      <c r="B365" s="1365"/>
      <c r="C365" s="43"/>
      <c r="D365" s="97"/>
      <c r="E365" s="92"/>
      <c r="F365" s="85"/>
      <c r="G365" s="69"/>
    </row>
    <row r="366" spans="1:7" x14ac:dyDescent="0.2">
      <c r="A366" s="1364" t="s">
        <v>2405</v>
      </c>
      <c r="B366" s="1365"/>
      <c r="C366" s="43" t="s">
        <v>238</v>
      </c>
      <c r="D366" s="97">
        <f>'[17]Precios '!I65</f>
        <v>12490.844265900003</v>
      </c>
      <c r="E366" s="102">
        <v>1</v>
      </c>
      <c r="F366" s="85">
        <f>D366*E366</f>
        <v>12490.844265900003</v>
      </c>
      <c r="G366" s="69"/>
    </row>
    <row r="367" spans="1:7" x14ac:dyDescent="0.2">
      <c r="A367" s="1364" t="s">
        <v>331</v>
      </c>
      <c r="B367" s="1365"/>
      <c r="C367" s="63">
        <v>0.25</v>
      </c>
      <c r="D367" s="97">
        <f>'[17]Precios '!I137</f>
        <v>60173.689826250011</v>
      </c>
      <c r="E367" s="86">
        <v>0.06</v>
      </c>
      <c r="F367" s="85">
        <f>D367*E367</f>
        <v>3610.4213895750004</v>
      </c>
      <c r="G367" s="69"/>
    </row>
    <row r="368" spans="1:7" x14ac:dyDescent="0.2">
      <c r="A368" s="1364" t="s">
        <v>332</v>
      </c>
      <c r="B368" s="1365"/>
      <c r="C368" s="63">
        <v>0.25</v>
      </c>
      <c r="D368" s="97">
        <f>'[17]Precios '!I138</f>
        <v>124798.03060725004</v>
      </c>
      <c r="E368" s="86">
        <v>0.06</v>
      </c>
      <c r="F368" s="85">
        <f>D368*E368</f>
        <v>7487.8818364350018</v>
      </c>
      <c r="G368" s="69"/>
    </row>
    <row r="369" spans="1:7" x14ac:dyDescent="0.2">
      <c r="A369" s="1366" t="s">
        <v>333</v>
      </c>
      <c r="B369" s="1365"/>
      <c r="C369" s="66" t="s">
        <v>54</v>
      </c>
      <c r="D369" s="97">
        <f>'[17]Precios '!I139</f>
        <v>3014.5915800000007</v>
      </c>
      <c r="E369" s="98">
        <v>0.2</v>
      </c>
      <c r="F369" s="85">
        <f>D369*E369</f>
        <v>602.91831600000012</v>
      </c>
      <c r="G369" s="69"/>
    </row>
    <row r="370" spans="1:7" x14ac:dyDescent="0.2">
      <c r="A370" s="1366"/>
      <c r="B370" s="1365"/>
      <c r="C370" s="66"/>
      <c r="D370" s="97"/>
      <c r="E370" s="100"/>
      <c r="F370" s="85"/>
      <c r="G370" s="69"/>
    </row>
    <row r="371" spans="1:7" x14ac:dyDescent="0.2">
      <c r="A371" s="1228"/>
      <c r="B371" s="1229"/>
      <c r="C371" s="43"/>
      <c r="D371" s="97"/>
      <c r="E371" s="92"/>
      <c r="F371" s="85"/>
      <c r="G371" s="69"/>
    </row>
    <row r="372" spans="1:7" x14ac:dyDescent="0.2">
      <c r="A372" s="1228"/>
      <c r="B372" s="1229"/>
      <c r="C372" s="43"/>
      <c r="D372" s="97"/>
      <c r="E372" s="92"/>
      <c r="F372" s="85"/>
      <c r="G372" s="43" t="s">
        <v>31</v>
      </c>
    </row>
    <row r="373" spans="1:7" x14ac:dyDescent="0.2">
      <c r="A373" s="1228"/>
      <c r="B373" s="1229"/>
      <c r="C373" s="69"/>
      <c r="D373" s="69"/>
      <c r="E373" s="69"/>
      <c r="F373" s="69"/>
      <c r="G373" s="65">
        <f xml:space="preserve"> F371+F370+F369+F368+F367+F366+F365+F364</f>
        <v>24192.065807910003</v>
      </c>
    </row>
    <row r="374" spans="1:7" ht="24" x14ac:dyDescent="0.2">
      <c r="A374" s="88" t="s">
        <v>329</v>
      </c>
      <c r="B374" s="89" t="s">
        <v>38</v>
      </c>
      <c r="C374" s="89" t="s">
        <v>39</v>
      </c>
      <c r="D374" s="80" t="s">
        <v>40</v>
      </c>
      <c r="E374" s="80" t="s">
        <v>34</v>
      </c>
      <c r="F374" s="80" t="s">
        <v>35</v>
      </c>
      <c r="G374" s="67"/>
    </row>
    <row r="375" spans="1:7" x14ac:dyDescent="0.2">
      <c r="A375" s="1393" t="s">
        <v>335</v>
      </c>
      <c r="B375" s="43" t="s">
        <v>25</v>
      </c>
      <c r="C375" s="43" t="s">
        <v>25</v>
      </c>
      <c r="D375" s="62" t="s">
        <v>25</v>
      </c>
      <c r="E375" s="91" t="s">
        <v>25</v>
      </c>
      <c r="F375" s="62" t="s">
        <v>25</v>
      </c>
      <c r="G375" s="69"/>
    </row>
    <row r="376" spans="1:7" x14ac:dyDescent="0.2">
      <c r="A376" s="1394"/>
      <c r="B376" s="43">
        <v>0.2</v>
      </c>
      <c r="C376" s="43" t="s">
        <v>49</v>
      </c>
      <c r="D376" s="62">
        <v>50</v>
      </c>
      <c r="E376" s="91">
        <v>1</v>
      </c>
      <c r="F376" s="62">
        <f>D376*E376</f>
        <v>50</v>
      </c>
      <c r="G376" s="69"/>
    </row>
    <row r="377" spans="1:7" x14ac:dyDescent="0.2">
      <c r="A377" s="90"/>
      <c r="B377" s="43"/>
      <c r="C377" s="43"/>
      <c r="D377" s="62"/>
      <c r="E377" s="92"/>
      <c r="F377" s="62"/>
      <c r="G377" s="69"/>
    </row>
    <row r="378" spans="1:7" x14ac:dyDescent="0.2">
      <c r="A378" s="90" t="s">
        <v>25</v>
      </c>
      <c r="B378" s="43" t="s">
        <v>25</v>
      </c>
      <c r="C378" s="43" t="s">
        <v>25</v>
      </c>
      <c r="D378" s="61" t="s">
        <v>25</v>
      </c>
      <c r="E378" s="92" t="s">
        <v>25</v>
      </c>
      <c r="F378" s="62" t="s">
        <v>25</v>
      </c>
      <c r="G378" s="43" t="s">
        <v>31</v>
      </c>
    </row>
    <row r="379" spans="1:7" x14ac:dyDescent="0.2">
      <c r="A379" s="90"/>
      <c r="B379" s="69"/>
      <c r="C379" s="69"/>
      <c r="D379" s="69"/>
      <c r="E379" s="69"/>
      <c r="F379" s="69"/>
      <c r="G379" s="64">
        <f>F376</f>
        <v>50</v>
      </c>
    </row>
    <row r="380" spans="1:7" ht="24" x14ac:dyDescent="0.2">
      <c r="A380" s="88" t="s">
        <v>41</v>
      </c>
      <c r="B380" s="80" t="s">
        <v>42</v>
      </c>
      <c r="C380" s="80" t="s">
        <v>43</v>
      </c>
      <c r="D380" s="80" t="s">
        <v>44</v>
      </c>
      <c r="E380" s="89" t="s">
        <v>306</v>
      </c>
      <c r="F380" s="80" t="s">
        <v>35</v>
      </c>
      <c r="G380" s="67"/>
    </row>
    <row r="381" spans="1:7" x14ac:dyDescent="0.2">
      <c r="A381" s="81"/>
      <c r="B381" s="81"/>
      <c r="C381" s="81"/>
      <c r="D381" s="81"/>
      <c r="E381" s="81"/>
      <c r="F381" s="81"/>
      <c r="G381" s="81"/>
    </row>
    <row r="382" spans="1:7" x14ac:dyDescent="0.2">
      <c r="A382" s="69" t="s">
        <v>336</v>
      </c>
      <c r="B382" s="85">
        <f>'[17]Jornal día'!B36</f>
        <v>44000</v>
      </c>
      <c r="C382" s="96">
        <v>0.9</v>
      </c>
      <c r="D382" s="62">
        <f>B382*C382+B382</f>
        <v>83600</v>
      </c>
      <c r="E382" s="121">
        <v>6</v>
      </c>
      <c r="F382" s="62">
        <f xml:space="preserve"> D382/E382</f>
        <v>13933.333333333334</v>
      </c>
      <c r="G382" s="69"/>
    </row>
    <row r="383" spans="1:7" x14ac:dyDescent="0.2">
      <c r="A383" s="69" t="s">
        <v>315</v>
      </c>
      <c r="B383" s="85">
        <f>'[17]Jornal día'!B37</f>
        <v>27500.000000000004</v>
      </c>
      <c r="C383" s="96">
        <v>0.9</v>
      </c>
      <c r="D383" s="62">
        <f>B383*C383+B383</f>
        <v>52250.000000000007</v>
      </c>
      <c r="E383" s="121">
        <v>6</v>
      </c>
      <c r="F383" s="62">
        <f xml:space="preserve"> D383/E383</f>
        <v>8708.3333333333339</v>
      </c>
      <c r="G383" s="69" t="s">
        <v>25</v>
      </c>
    </row>
    <row r="384" spans="1:7" x14ac:dyDescent="0.2">
      <c r="A384" s="69"/>
      <c r="B384" s="85"/>
      <c r="C384" s="69"/>
      <c r="D384" s="62"/>
      <c r="E384" s="69"/>
      <c r="F384" s="62"/>
      <c r="G384" s="69"/>
    </row>
    <row r="385" spans="1:7" x14ac:dyDescent="0.2">
      <c r="A385" s="69"/>
      <c r="B385" s="69"/>
      <c r="C385" s="69"/>
      <c r="D385" s="69"/>
      <c r="E385" s="69"/>
      <c r="F385" s="69"/>
      <c r="G385" s="43" t="s">
        <v>31</v>
      </c>
    </row>
    <row r="386" spans="1:7" x14ac:dyDescent="0.2">
      <c r="A386" s="82"/>
      <c r="B386" s="82"/>
      <c r="C386" s="82"/>
      <c r="D386" s="82"/>
      <c r="E386" s="82"/>
      <c r="F386" s="82"/>
      <c r="G386" s="64">
        <f>F384+F383+F382</f>
        <v>22641.666666666668</v>
      </c>
    </row>
    <row r="387" spans="1:7" x14ac:dyDescent="0.2">
      <c r="A387" s="1230" t="s">
        <v>25</v>
      </c>
      <c r="B387" s="1230"/>
      <c r="C387" s="1230"/>
      <c r="D387" s="1230"/>
      <c r="E387" s="1230"/>
      <c r="F387" s="1230"/>
      <c r="G387" s="1233"/>
    </row>
    <row r="388" spans="1:7" x14ac:dyDescent="0.2">
      <c r="A388" s="1248" t="s">
        <v>45</v>
      </c>
      <c r="B388" s="1248"/>
      <c r="C388" s="1248"/>
      <c r="D388" s="1248"/>
      <c r="E388" s="1231"/>
      <c r="F388" s="93"/>
      <c r="G388" s="70">
        <f xml:space="preserve"> G386+G379+G373+G362</f>
        <v>48015.815807910003</v>
      </c>
    </row>
    <row r="389" spans="1:7" x14ac:dyDescent="0.2">
      <c r="A389" s="1232" t="s">
        <v>476</v>
      </c>
      <c r="B389" s="1232"/>
      <c r="C389" s="1222"/>
      <c r="D389" s="1222"/>
      <c r="E389" s="1222" t="s">
        <v>44</v>
      </c>
      <c r="F389" s="1222" t="s">
        <v>51</v>
      </c>
      <c r="G389" s="1222" t="s">
        <v>307</v>
      </c>
    </row>
    <row r="390" spans="1:7" x14ac:dyDescent="0.2">
      <c r="A390" s="1232"/>
      <c r="B390" s="1232"/>
      <c r="C390" s="1222"/>
      <c r="D390" s="1222"/>
      <c r="E390" s="1222"/>
      <c r="F390" s="1222"/>
      <c r="G390" s="1222"/>
    </row>
    <row r="391" spans="1:7" x14ac:dyDescent="0.2">
      <c r="A391" s="1244" t="s">
        <v>17</v>
      </c>
      <c r="B391" s="1244"/>
      <c r="C391" s="1244"/>
      <c r="D391" s="1244"/>
      <c r="E391" s="1244"/>
      <c r="F391" s="1221"/>
      <c r="G391" s="1222"/>
    </row>
    <row r="392" spans="1:7" x14ac:dyDescent="0.2">
      <c r="A392" s="1244" t="s">
        <v>308</v>
      </c>
      <c r="B392" s="1244"/>
      <c r="C392" s="1244"/>
      <c r="D392" s="1244"/>
      <c r="E392" s="1244"/>
      <c r="F392" s="1221"/>
      <c r="G392" s="1222"/>
    </row>
    <row r="393" spans="1:7" x14ac:dyDescent="0.2">
      <c r="A393" s="1244" t="s">
        <v>19</v>
      </c>
      <c r="B393" s="1244"/>
      <c r="C393" s="1244"/>
      <c r="D393" s="1244"/>
      <c r="E393" s="1244"/>
      <c r="F393" s="1221"/>
      <c r="G393" s="1222"/>
    </row>
    <row r="394" spans="1:7" x14ac:dyDescent="0.2">
      <c r="A394" s="1244" t="s">
        <v>309</v>
      </c>
      <c r="B394" s="1244"/>
      <c r="C394" s="1244"/>
      <c r="D394" s="1244"/>
      <c r="E394" s="1244"/>
      <c r="F394" s="1221"/>
      <c r="G394" s="1222"/>
    </row>
    <row r="395" spans="1:7" x14ac:dyDescent="0.2">
      <c r="A395" s="1245" t="s">
        <v>310</v>
      </c>
      <c r="B395" s="1245"/>
      <c r="C395" s="1245"/>
      <c r="D395" s="1245"/>
      <c r="E395" s="1245"/>
      <c r="F395" s="1222"/>
      <c r="G395" s="1222"/>
    </row>
    <row r="396" spans="1:7" x14ac:dyDescent="0.2">
      <c r="A396" s="115"/>
      <c r="B396" s="115"/>
      <c r="C396" s="115"/>
      <c r="D396" s="115"/>
      <c r="E396" s="115"/>
      <c r="F396" s="116"/>
      <c r="G396" s="116"/>
    </row>
    <row r="397" spans="1:7" x14ac:dyDescent="0.2">
      <c r="A397" s="115"/>
      <c r="B397" s="115"/>
      <c r="C397" s="115"/>
      <c r="D397" s="115"/>
      <c r="E397" s="115"/>
      <c r="F397" s="116"/>
      <c r="G397" s="116"/>
    </row>
    <row r="398" spans="1:7" x14ac:dyDescent="0.2">
      <c r="A398" s="68"/>
      <c r="B398" s="94"/>
      <c r="C398" s="94"/>
      <c r="D398" s="94"/>
      <c r="E398" s="94"/>
      <c r="F398" s="94"/>
      <c r="G398" s="94"/>
    </row>
    <row r="399" spans="1:7" x14ac:dyDescent="0.2">
      <c r="A399" s="1367" t="s">
        <v>1728</v>
      </c>
      <c r="B399" s="1395"/>
      <c r="C399" s="1395"/>
      <c r="D399" s="1395"/>
      <c r="E399" s="1396"/>
      <c r="F399" s="447" t="s">
        <v>24</v>
      </c>
      <c r="G399" s="445" t="s">
        <v>322</v>
      </c>
    </row>
    <row r="400" spans="1:7" x14ac:dyDescent="0.2">
      <c r="A400" s="1229" t="s">
        <v>25</v>
      </c>
      <c r="B400" s="1229"/>
      <c r="C400" s="1229"/>
      <c r="D400" s="1229"/>
      <c r="E400" s="1229"/>
      <c r="F400" s="1229"/>
      <c r="G400" s="1229"/>
    </row>
    <row r="401" spans="1:7" x14ac:dyDescent="0.2">
      <c r="A401" s="1234" t="s">
        <v>469</v>
      </c>
      <c r="B401" s="1235"/>
      <c r="C401" s="80" t="s">
        <v>26</v>
      </c>
      <c r="D401" s="80" t="s">
        <v>27</v>
      </c>
      <c r="E401" s="80" t="s">
        <v>28</v>
      </c>
      <c r="F401" s="80" t="s">
        <v>35</v>
      </c>
      <c r="G401" s="67"/>
    </row>
    <row r="402" spans="1:7" x14ac:dyDescent="0.2">
      <c r="A402" s="1236"/>
      <c r="B402" s="1236"/>
      <c r="C402" s="69"/>
      <c r="D402" s="62"/>
      <c r="E402" s="62"/>
      <c r="F402" s="62"/>
      <c r="G402" s="81"/>
    </row>
    <row r="403" spans="1:7" x14ac:dyDescent="0.2">
      <c r="A403" s="1236"/>
      <c r="B403" s="1236"/>
      <c r="C403" s="69"/>
      <c r="D403" s="62"/>
      <c r="E403" s="62"/>
      <c r="F403" s="62"/>
      <c r="G403" s="69"/>
    </row>
    <row r="404" spans="1:7" x14ac:dyDescent="0.2">
      <c r="A404" s="1236" t="s">
        <v>30</v>
      </c>
      <c r="B404" s="1236"/>
      <c r="C404" s="69"/>
      <c r="D404" s="69"/>
      <c r="E404" s="69"/>
      <c r="F404" s="62">
        <f>G431*0.05</f>
        <v>1698.125</v>
      </c>
      <c r="G404" s="69"/>
    </row>
    <row r="405" spans="1:7" x14ac:dyDescent="0.2">
      <c r="A405" s="1236"/>
      <c r="B405" s="1236"/>
      <c r="C405" s="69"/>
      <c r="D405" s="69"/>
      <c r="E405" s="69"/>
      <c r="F405" s="69"/>
      <c r="G405" s="69"/>
    </row>
    <row r="406" spans="1:7" x14ac:dyDescent="0.2">
      <c r="A406" s="1236" t="s">
        <v>25</v>
      </c>
      <c r="B406" s="1236"/>
      <c r="C406" s="69"/>
      <c r="D406" s="69"/>
      <c r="E406" s="69"/>
      <c r="F406" s="69"/>
      <c r="G406" s="83" t="s">
        <v>31</v>
      </c>
    </row>
    <row r="407" spans="1:7" x14ac:dyDescent="0.2">
      <c r="A407" s="1237"/>
      <c r="B407" s="1237"/>
      <c r="C407" s="82"/>
      <c r="D407" s="82"/>
      <c r="E407" s="82"/>
      <c r="F407" s="82"/>
      <c r="G407" s="64">
        <f>F404+F403+F402</f>
        <v>1698.125</v>
      </c>
    </row>
    <row r="408" spans="1:7" x14ac:dyDescent="0.2">
      <c r="A408" s="1234" t="s">
        <v>475</v>
      </c>
      <c r="B408" s="1235"/>
      <c r="C408" s="80" t="s">
        <v>32</v>
      </c>
      <c r="D408" s="80" t="s">
        <v>33</v>
      </c>
      <c r="E408" s="80" t="s">
        <v>34</v>
      </c>
      <c r="F408" s="80" t="s">
        <v>35</v>
      </c>
      <c r="G408" s="67"/>
    </row>
    <row r="409" spans="1:7" x14ac:dyDescent="0.2">
      <c r="A409" s="1226"/>
      <c r="B409" s="1227"/>
      <c r="C409" s="43"/>
      <c r="D409" s="97"/>
      <c r="E409" s="92"/>
      <c r="F409" s="85"/>
      <c r="G409" s="69"/>
    </row>
    <row r="410" spans="1:7" x14ac:dyDescent="0.2">
      <c r="A410" s="1364" t="s">
        <v>1728</v>
      </c>
      <c r="B410" s="1365"/>
      <c r="C410" s="43" t="s">
        <v>36</v>
      </c>
      <c r="D410" s="97">
        <v>410000</v>
      </c>
      <c r="E410" s="102">
        <v>1</v>
      </c>
      <c r="F410" s="85">
        <f t="shared" ref="F410:F415" si="1">D410*E410</f>
        <v>410000</v>
      </c>
      <c r="G410" s="69"/>
    </row>
    <row r="411" spans="1:7" x14ac:dyDescent="0.2">
      <c r="A411" s="1364" t="s">
        <v>62</v>
      </c>
      <c r="B411" s="1365"/>
      <c r="C411" s="43" t="s">
        <v>64</v>
      </c>
      <c r="D411" s="97">
        <f>'[17]Precios '!H8</f>
        <v>1756.7550000000003</v>
      </c>
      <c r="E411" s="102">
        <v>3</v>
      </c>
      <c r="F411" s="85">
        <f t="shared" si="1"/>
        <v>5270.2650000000012</v>
      </c>
      <c r="G411" s="69"/>
    </row>
    <row r="412" spans="1:7" x14ac:dyDescent="0.2">
      <c r="A412" s="1364" t="s">
        <v>56</v>
      </c>
      <c r="B412" s="1365"/>
      <c r="C412" s="43" t="s">
        <v>54</v>
      </c>
      <c r="D412" s="97">
        <f>'[17]Precios '!I139</f>
        <v>3014.5915800000007</v>
      </c>
      <c r="E412" s="102">
        <v>1</v>
      </c>
      <c r="F412" s="85">
        <f t="shared" si="1"/>
        <v>3014.5915800000007</v>
      </c>
      <c r="G412" s="69"/>
    </row>
    <row r="413" spans="1:7" x14ac:dyDescent="0.2">
      <c r="A413" s="122" t="s">
        <v>337</v>
      </c>
      <c r="B413" s="73"/>
      <c r="C413" s="43" t="s">
        <v>37</v>
      </c>
      <c r="D413" s="97">
        <v>5000</v>
      </c>
      <c r="E413" s="102">
        <v>1</v>
      </c>
      <c r="F413" s="85">
        <f t="shared" si="1"/>
        <v>5000</v>
      </c>
      <c r="G413" s="69"/>
    </row>
    <row r="414" spans="1:7" x14ac:dyDescent="0.2">
      <c r="A414" s="1364" t="s">
        <v>338</v>
      </c>
      <c r="B414" s="1365"/>
      <c r="C414" s="43" t="s">
        <v>36</v>
      </c>
      <c r="D414" s="97">
        <f>'[17]Precios '!I166</f>
        <v>47274.277049999997</v>
      </c>
      <c r="E414" s="102">
        <v>1</v>
      </c>
      <c r="F414" s="85">
        <f t="shared" si="1"/>
        <v>47274.277049999997</v>
      </c>
      <c r="G414" s="69"/>
    </row>
    <row r="415" spans="1:7" x14ac:dyDescent="0.2">
      <c r="A415" s="1364" t="s">
        <v>63</v>
      </c>
      <c r="B415" s="1365"/>
      <c r="C415" s="43" t="s">
        <v>37</v>
      </c>
      <c r="D415" s="97">
        <v>400</v>
      </c>
      <c r="E415" s="102">
        <v>1</v>
      </c>
      <c r="F415" s="85">
        <f t="shared" si="1"/>
        <v>400</v>
      </c>
      <c r="G415" s="69"/>
    </row>
    <row r="416" spans="1:7" x14ac:dyDescent="0.2">
      <c r="A416" s="1366"/>
      <c r="B416" s="1365"/>
      <c r="C416" s="66"/>
      <c r="D416" s="97"/>
      <c r="E416" s="100"/>
      <c r="F416" s="85"/>
      <c r="G416" s="69"/>
    </row>
    <row r="417" spans="1:7" x14ac:dyDescent="0.2">
      <c r="A417" s="1228"/>
      <c r="B417" s="1229"/>
      <c r="C417" s="43"/>
      <c r="D417" s="97"/>
      <c r="E417" s="92"/>
      <c r="F417" s="85"/>
      <c r="G417" s="43" t="s">
        <v>31</v>
      </c>
    </row>
    <row r="418" spans="1:7" x14ac:dyDescent="0.2">
      <c r="A418" s="1228"/>
      <c r="B418" s="1229"/>
      <c r="C418" s="69"/>
      <c r="D418" s="69"/>
      <c r="E418" s="69"/>
      <c r="F418" s="69"/>
      <c r="G418" s="65">
        <f>F412+F411+F410+F413+F414+F415</f>
        <v>470959.13363</v>
      </c>
    </row>
    <row r="419" spans="1:7" ht="24" x14ac:dyDescent="0.2">
      <c r="A419" s="88" t="s">
        <v>329</v>
      </c>
      <c r="B419" s="89" t="s">
        <v>38</v>
      </c>
      <c r="C419" s="89" t="s">
        <v>39</v>
      </c>
      <c r="D419" s="80" t="s">
        <v>40</v>
      </c>
      <c r="E419" s="80" t="s">
        <v>34</v>
      </c>
      <c r="F419" s="80" t="s">
        <v>35</v>
      </c>
      <c r="G419" s="67"/>
    </row>
    <row r="420" spans="1:7" x14ac:dyDescent="0.2">
      <c r="A420" s="90"/>
      <c r="B420" s="43"/>
      <c r="C420" s="43"/>
      <c r="D420" s="62"/>
      <c r="E420" s="91"/>
      <c r="F420" s="62"/>
      <c r="G420" s="69"/>
    </row>
    <row r="421" spans="1:7" x14ac:dyDescent="0.2">
      <c r="A421" s="90"/>
      <c r="B421" s="43"/>
      <c r="C421" s="43"/>
      <c r="D421" s="62"/>
      <c r="E421" s="91"/>
      <c r="F421" s="62"/>
      <c r="G421" s="69"/>
    </row>
    <row r="422" spans="1:7" x14ac:dyDescent="0.2">
      <c r="A422" s="90"/>
      <c r="B422" s="43"/>
      <c r="C422" s="43"/>
      <c r="D422" s="62"/>
      <c r="E422" s="92"/>
      <c r="F422" s="62"/>
      <c r="G422" s="69"/>
    </row>
    <row r="423" spans="1:7" x14ac:dyDescent="0.2">
      <c r="A423" s="90" t="s">
        <v>25</v>
      </c>
      <c r="B423" s="43" t="s">
        <v>25</v>
      </c>
      <c r="C423" s="43" t="s">
        <v>25</v>
      </c>
      <c r="D423" s="61" t="s">
        <v>25</v>
      </c>
      <c r="E423" s="92" t="s">
        <v>25</v>
      </c>
      <c r="F423" s="62" t="s">
        <v>25</v>
      </c>
      <c r="G423" s="43" t="s">
        <v>31</v>
      </c>
    </row>
    <row r="424" spans="1:7" x14ac:dyDescent="0.2">
      <c r="A424" s="90"/>
      <c r="B424" s="69"/>
      <c r="C424" s="69"/>
      <c r="D424" s="69"/>
      <c r="E424" s="69"/>
      <c r="F424" s="69"/>
      <c r="G424" s="64"/>
    </row>
    <row r="425" spans="1:7" ht="24" x14ac:dyDescent="0.2">
      <c r="A425" s="88" t="s">
        <v>41</v>
      </c>
      <c r="B425" s="80" t="s">
        <v>42</v>
      </c>
      <c r="C425" s="80" t="s">
        <v>43</v>
      </c>
      <c r="D425" s="80" t="s">
        <v>44</v>
      </c>
      <c r="E425" s="89" t="s">
        <v>306</v>
      </c>
      <c r="F425" s="80" t="s">
        <v>35</v>
      </c>
      <c r="G425" s="67"/>
    </row>
    <row r="426" spans="1:7" x14ac:dyDescent="0.2">
      <c r="A426" s="81"/>
      <c r="B426" s="81"/>
      <c r="C426" s="81"/>
      <c r="D426" s="81"/>
      <c r="E426" s="81"/>
      <c r="F426" s="81"/>
      <c r="G426" s="81"/>
    </row>
    <row r="427" spans="1:7" x14ac:dyDescent="0.2">
      <c r="A427" s="69" t="s">
        <v>336</v>
      </c>
      <c r="B427" s="85">
        <f>'[17]Jornal día'!B36</f>
        <v>44000</v>
      </c>
      <c r="C427" s="96">
        <v>0.9</v>
      </c>
      <c r="D427" s="62">
        <f>B427*C427+B427</f>
        <v>83600</v>
      </c>
      <c r="E427" s="121">
        <v>4</v>
      </c>
      <c r="F427" s="62">
        <f xml:space="preserve"> D427/E427</f>
        <v>20900</v>
      </c>
      <c r="G427" s="69"/>
    </row>
    <row r="428" spans="1:7" x14ac:dyDescent="0.2">
      <c r="A428" s="69" t="s">
        <v>315</v>
      </c>
      <c r="B428" s="85">
        <f>'[17]Jornal día'!B37</f>
        <v>27500.000000000004</v>
      </c>
      <c r="C428" s="96">
        <v>0.9</v>
      </c>
      <c r="D428" s="62">
        <f>B428*C428+B428</f>
        <v>52250.000000000007</v>
      </c>
      <c r="E428" s="121">
        <v>4</v>
      </c>
      <c r="F428" s="62">
        <f xml:space="preserve"> D428/E428</f>
        <v>13062.500000000002</v>
      </c>
      <c r="G428" s="69" t="s">
        <v>25</v>
      </c>
    </row>
    <row r="429" spans="1:7" x14ac:dyDescent="0.2">
      <c r="A429" s="69"/>
      <c r="B429" s="85"/>
      <c r="C429" s="69"/>
      <c r="D429" s="62"/>
      <c r="E429" s="69"/>
      <c r="F429" s="62"/>
      <c r="G429" s="69"/>
    </row>
    <row r="430" spans="1:7" x14ac:dyDescent="0.2">
      <c r="A430" s="69"/>
      <c r="B430" s="69"/>
      <c r="C430" s="69"/>
      <c r="D430" s="69"/>
      <c r="E430" s="69"/>
      <c r="F430" s="69"/>
      <c r="G430" s="43" t="s">
        <v>31</v>
      </c>
    </row>
    <row r="431" spans="1:7" x14ac:dyDescent="0.2">
      <c r="A431" s="82"/>
      <c r="B431" s="82"/>
      <c r="C431" s="82"/>
      <c r="D431" s="82"/>
      <c r="E431" s="82"/>
      <c r="F431" s="82"/>
      <c r="G431" s="64">
        <f>F429+F428+F427</f>
        <v>33962.5</v>
      </c>
    </row>
    <row r="432" spans="1:7" x14ac:dyDescent="0.2">
      <c r="A432" s="1230" t="s">
        <v>25</v>
      </c>
      <c r="B432" s="1230"/>
      <c r="C432" s="1230"/>
      <c r="D432" s="1230"/>
      <c r="E432" s="1230"/>
      <c r="F432" s="1230"/>
      <c r="G432" s="1233"/>
    </row>
    <row r="433" spans="1:7" x14ac:dyDescent="0.2">
      <c r="A433" s="1248" t="s">
        <v>45</v>
      </c>
      <c r="B433" s="1248"/>
      <c r="C433" s="1248"/>
      <c r="D433" s="1248"/>
      <c r="E433" s="1231"/>
      <c r="F433" s="93"/>
      <c r="G433" s="70">
        <f xml:space="preserve"> G431+G424+G418+G407</f>
        <v>506619.75863</v>
      </c>
    </row>
    <row r="434" spans="1:7" x14ac:dyDescent="0.2">
      <c r="A434" s="1232" t="s">
        <v>476</v>
      </c>
      <c r="B434" s="1232"/>
      <c r="C434" s="1222"/>
      <c r="D434" s="1222"/>
      <c r="E434" s="1222" t="s">
        <v>44</v>
      </c>
      <c r="F434" s="1222" t="s">
        <v>51</v>
      </c>
      <c r="G434" s="1222" t="s">
        <v>307</v>
      </c>
    </row>
    <row r="435" spans="1:7" x14ac:dyDescent="0.2">
      <c r="A435" s="1232"/>
      <c r="B435" s="1232"/>
      <c r="C435" s="1222"/>
      <c r="D435" s="1222"/>
      <c r="E435" s="1222"/>
      <c r="F435" s="1222"/>
      <c r="G435" s="1222"/>
    </row>
    <row r="436" spans="1:7" x14ac:dyDescent="0.2">
      <c r="A436" s="1244" t="s">
        <v>17</v>
      </c>
      <c r="B436" s="1244"/>
      <c r="C436" s="1244"/>
      <c r="D436" s="1244"/>
      <c r="E436" s="1244"/>
      <c r="F436" s="1221"/>
      <c r="G436" s="1222"/>
    </row>
    <row r="437" spans="1:7" x14ac:dyDescent="0.2">
      <c r="A437" s="1244" t="s">
        <v>308</v>
      </c>
      <c r="B437" s="1244"/>
      <c r="C437" s="1244"/>
      <c r="D437" s="1244"/>
      <c r="E437" s="1244"/>
      <c r="F437" s="1221"/>
      <c r="G437" s="1222"/>
    </row>
    <row r="438" spans="1:7" x14ac:dyDescent="0.2">
      <c r="A438" s="1244" t="s">
        <v>19</v>
      </c>
      <c r="B438" s="1244"/>
      <c r="C438" s="1244"/>
      <c r="D438" s="1244"/>
      <c r="E438" s="1244"/>
      <c r="F438" s="1221"/>
      <c r="G438" s="1222"/>
    </row>
    <row r="439" spans="1:7" x14ac:dyDescent="0.2">
      <c r="A439" s="1244" t="s">
        <v>309</v>
      </c>
      <c r="B439" s="1244"/>
      <c r="C439" s="1244"/>
      <c r="D439" s="1244"/>
      <c r="E439" s="1244"/>
      <c r="F439" s="1221"/>
      <c r="G439" s="1222"/>
    </row>
    <row r="440" spans="1:7" x14ac:dyDescent="0.2">
      <c r="A440" s="1245" t="s">
        <v>310</v>
      </c>
      <c r="B440" s="1245"/>
      <c r="C440" s="1245"/>
      <c r="D440" s="1245"/>
      <c r="E440" s="1245"/>
      <c r="F440" s="1222"/>
      <c r="G440" s="1222"/>
    </row>
    <row r="441" spans="1:7" x14ac:dyDescent="0.2">
      <c r="A441" s="95"/>
      <c r="B441" s="94"/>
      <c r="C441" s="94"/>
      <c r="D441" s="94"/>
      <c r="E441" s="94"/>
      <c r="F441" s="94"/>
      <c r="G441" s="94"/>
    </row>
    <row r="442" spans="1:7" x14ac:dyDescent="0.2">
      <c r="A442" s="95"/>
      <c r="B442" s="94"/>
      <c r="C442" s="94"/>
      <c r="D442" s="94"/>
      <c r="E442" s="94"/>
      <c r="F442" s="94"/>
      <c r="G442" s="94"/>
    </row>
    <row r="443" spans="1:7" x14ac:dyDescent="0.2">
      <c r="A443" s="1367" t="s">
        <v>1731</v>
      </c>
      <c r="B443" s="1395"/>
      <c r="C443" s="1395"/>
      <c r="D443" s="1395"/>
      <c r="E443" s="1396"/>
      <c r="F443" s="447" t="s">
        <v>24</v>
      </c>
      <c r="G443" s="445" t="s">
        <v>322</v>
      </c>
    </row>
    <row r="444" spans="1:7" x14ac:dyDescent="0.2">
      <c r="A444" s="1229" t="s">
        <v>25</v>
      </c>
      <c r="B444" s="1229"/>
      <c r="C444" s="1229"/>
      <c r="D444" s="1229"/>
      <c r="E444" s="1229"/>
      <c r="F444" s="1229"/>
      <c r="G444" s="1229"/>
    </row>
    <row r="445" spans="1:7" x14ac:dyDescent="0.2">
      <c r="A445" s="1234" t="s">
        <v>469</v>
      </c>
      <c r="B445" s="1235"/>
      <c r="C445" s="80" t="s">
        <v>26</v>
      </c>
      <c r="D445" s="80" t="s">
        <v>27</v>
      </c>
      <c r="E445" s="80" t="s">
        <v>28</v>
      </c>
      <c r="F445" s="80" t="s">
        <v>35</v>
      </c>
      <c r="G445" s="67"/>
    </row>
    <row r="446" spans="1:7" x14ac:dyDescent="0.2">
      <c r="A446" s="1236"/>
      <c r="B446" s="1236"/>
      <c r="C446" s="69"/>
      <c r="D446" s="62"/>
      <c r="E446" s="62"/>
      <c r="F446" s="62"/>
      <c r="G446" s="81"/>
    </row>
    <row r="447" spans="1:7" x14ac:dyDescent="0.2">
      <c r="A447" s="1236"/>
      <c r="B447" s="1236"/>
      <c r="C447" s="69"/>
      <c r="D447" s="62"/>
      <c r="E447" s="62"/>
      <c r="F447" s="62"/>
      <c r="G447" s="69"/>
    </row>
    <row r="448" spans="1:7" x14ac:dyDescent="0.2">
      <c r="A448" s="1236" t="s">
        <v>30</v>
      </c>
      <c r="B448" s="1236"/>
      <c r="C448" s="69"/>
      <c r="D448" s="69"/>
      <c r="E448" s="69"/>
      <c r="F448" s="62">
        <f>G475*0.05</f>
        <v>970.357142857143</v>
      </c>
      <c r="G448" s="69"/>
    </row>
    <row r="449" spans="1:7" x14ac:dyDescent="0.2">
      <c r="A449" s="1236"/>
      <c r="B449" s="1236"/>
      <c r="C449" s="69"/>
      <c r="D449" s="69"/>
      <c r="E449" s="69"/>
      <c r="F449" s="69"/>
      <c r="G449" s="69"/>
    </row>
    <row r="450" spans="1:7" x14ac:dyDescent="0.2">
      <c r="A450" s="1236" t="s">
        <v>25</v>
      </c>
      <c r="B450" s="1236"/>
      <c r="C450" s="69"/>
      <c r="D450" s="69"/>
      <c r="E450" s="69"/>
      <c r="F450" s="69"/>
      <c r="G450" s="83" t="s">
        <v>31</v>
      </c>
    </row>
    <row r="451" spans="1:7" x14ac:dyDescent="0.2">
      <c r="A451" s="1237"/>
      <c r="B451" s="1237"/>
      <c r="C451" s="82"/>
      <c r="D451" s="82"/>
      <c r="E451" s="82"/>
      <c r="F451" s="82"/>
      <c r="G451" s="64">
        <f>F448+F447+F446</f>
        <v>970.357142857143</v>
      </c>
    </row>
    <row r="452" spans="1:7" x14ac:dyDescent="0.2">
      <c r="A452" s="1234" t="s">
        <v>475</v>
      </c>
      <c r="B452" s="1235"/>
      <c r="C452" s="80" t="s">
        <v>32</v>
      </c>
      <c r="D452" s="80" t="s">
        <v>33</v>
      </c>
      <c r="E452" s="80" t="s">
        <v>34</v>
      </c>
      <c r="F452" s="80" t="s">
        <v>35</v>
      </c>
      <c r="G452" s="67"/>
    </row>
    <row r="453" spans="1:7" x14ac:dyDescent="0.2">
      <c r="A453" s="1226"/>
      <c r="B453" s="1227"/>
      <c r="C453" s="43"/>
      <c r="D453" s="97"/>
      <c r="E453" s="92"/>
      <c r="F453" s="85"/>
      <c r="G453" s="69"/>
    </row>
    <row r="454" spans="1:7" x14ac:dyDescent="0.2">
      <c r="A454" s="1364" t="s">
        <v>1731</v>
      </c>
      <c r="B454" s="1365"/>
      <c r="C454" s="43" t="s">
        <v>36</v>
      </c>
      <c r="D454" s="97">
        <v>280000</v>
      </c>
      <c r="E454" s="102">
        <v>1</v>
      </c>
      <c r="F454" s="85">
        <f t="shared" ref="F454:F459" si="2">D454*E454</f>
        <v>280000</v>
      </c>
      <c r="G454" s="69"/>
    </row>
    <row r="455" spans="1:7" x14ac:dyDescent="0.2">
      <c r="A455" s="1364" t="s">
        <v>62</v>
      </c>
      <c r="B455" s="1365"/>
      <c r="C455" s="43" t="s">
        <v>64</v>
      </c>
      <c r="D455" s="97">
        <f>'[17]Precios '!H8</f>
        <v>1756.7550000000003</v>
      </c>
      <c r="E455" s="102">
        <v>5</v>
      </c>
      <c r="F455" s="85">
        <f t="shared" si="2"/>
        <v>8783.7750000000015</v>
      </c>
      <c r="G455" s="69"/>
    </row>
    <row r="456" spans="1:7" x14ac:dyDescent="0.2">
      <c r="A456" s="1364" t="s">
        <v>56</v>
      </c>
      <c r="B456" s="1397"/>
      <c r="C456" s="43" t="s">
        <v>54</v>
      </c>
      <c r="D456" s="97">
        <f>'[17]Precios '!I197</f>
        <v>6447.8764350000019</v>
      </c>
      <c r="E456" s="102">
        <v>1</v>
      </c>
      <c r="F456" s="85">
        <f t="shared" si="2"/>
        <v>6447.8764350000019</v>
      </c>
      <c r="G456" s="69"/>
    </row>
    <row r="457" spans="1:7" x14ac:dyDescent="0.2">
      <c r="A457" s="122" t="s">
        <v>337</v>
      </c>
      <c r="B457" s="73"/>
      <c r="C457" s="43" t="s">
        <v>37</v>
      </c>
      <c r="D457" s="97">
        <v>5000</v>
      </c>
      <c r="E457" s="102">
        <v>1</v>
      </c>
      <c r="F457" s="85">
        <f t="shared" si="2"/>
        <v>5000</v>
      </c>
      <c r="G457" s="69"/>
    </row>
    <row r="458" spans="1:7" x14ac:dyDescent="0.2">
      <c r="A458" s="1364" t="s">
        <v>338</v>
      </c>
      <c r="B458" s="1365"/>
      <c r="C458" s="43" t="s">
        <v>36</v>
      </c>
      <c r="D458" s="97">
        <f>'[17]Precios '!I166</f>
        <v>47274.277049999997</v>
      </c>
      <c r="E458" s="102">
        <v>1</v>
      </c>
      <c r="F458" s="85">
        <f t="shared" si="2"/>
        <v>47274.277049999997</v>
      </c>
      <c r="G458" s="69"/>
    </row>
    <row r="459" spans="1:7" x14ac:dyDescent="0.2">
      <c r="A459" s="1364" t="s">
        <v>63</v>
      </c>
      <c r="B459" s="1365"/>
      <c r="C459" s="43" t="s">
        <v>37</v>
      </c>
      <c r="D459" s="97">
        <v>400</v>
      </c>
      <c r="E459" s="102">
        <v>1</v>
      </c>
      <c r="F459" s="85">
        <f t="shared" si="2"/>
        <v>400</v>
      </c>
      <c r="G459" s="69"/>
    </row>
    <row r="460" spans="1:7" x14ac:dyDescent="0.2">
      <c r="A460" s="1228"/>
      <c r="B460" s="1229"/>
      <c r="C460" s="43"/>
      <c r="D460" s="97"/>
      <c r="E460" s="92"/>
      <c r="F460" s="85"/>
      <c r="G460" s="69"/>
    </row>
    <row r="461" spans="1:7" x14ac:dyDescent="0.2">
      <c r="A461" s="1228"/>
      <c r="B461" s="1229"/>
      <c r="C461" s="43"/>
      <c r="D461" s="97"/>
      <c r="E461" s="92"/>
      <c r="F461" s="85"/>
      <c r="G461" s="43" t="s">
        <v>31</v>
      </c>
    </row>
    <row r="462" spans="1:7" x14ac:dyDescent="0.2">
      <c r="A462" s="1228"/>
      <c r="B462" s="1229"/>
      <c r="C462" s="69"/>
      <c r="D462" s="69"/>
      <c r="E462" s="69"/>
      <c r="F462" s="69"/>
      <c r="G462" s="65">
        <f>F456+F455+F454+F457+F458+F459</f>
        <v>347905.92848499998</v>
      </c>
    </row>
    <row r="463" spans="1:7" ht="24" x14ac:dyDescent="0.2">
      <c r="A463" s="88" t="s">
        <v>329</v>
      </c>
      <c r="B463" s="89" t="s">
        <v>38</v>
      </c>
      <c r="C463" s="89" t="s">
        <v>39</v>
      </c>
      <c r="D463" s="80" t="s">
        <v>40</v>
      </c>
      <c r="E463" s="80" t="s">
        <v>34</v>
      </c>
      <c r="F463" s="80" t="s">
        <v>35</v>
      </c>
      <c r="G463" s="67"/>
    </row>
    <row r="464" spans="1:7" x14ac:dyDescent="0.2">
      <c r="A464" s="90"/>
      <c r="B464" s="43"/>
      <c r="C464" s="43"/>
      <c r="D464" s="62"/>
      <c r="E464" s="91"/>
      <c r="F464" s="62"/>
      <c r="G464" s="69"/>
    </row>
    <row r="465" spans="1:7" x14ac:dyDescent="0.2">
      <c r="A465" s="90"/>
      <c r="B465" s="43"/>
      <c r="C465" s="43"/>
      <c r="D465" s="62"/>
      <c r="E465" s="91"/>
      <c r="F465" s="62"/>
      <c r="G465" s="69"/>
    </row>
    <row r="466" spans="1:7" x14ac:dyDescent="0.2">
      <c r="A466" s="90"/>
      <c r="B466" s="43"/>
      <c r="C466" s="43"/>
      <c r="D466" s="62"/>
      <c r="E466" s="92"/>
      <c r="F466" s="62"/>
      <c r="G466" s="69"/>
    </row>
    <row r="467" spans="1:7" x14ac:dyDescent="0.2">
      <c r="A467" s="90" t="s">
        <v>25</v>
      </c>
      <c r="B467" s="43" t="s">
        <v>25</v>
      </c>
      <c r="C467" s="43" t="s">
        <v>25</v>
      </c>
      <c r="D467" s="61" t="s">
        <v>25</v>
      </c>
      <c r="E467" s="92" t="s">
        <v>25</v>
      </c>
      <c r="F467" s="62" t="s">
        <v>25</v>
      </c>
      <c r="G467" s="43" t="s">
        <v>31</v>
      </c>
    </row>
    <row r="468" spans="1:7" x14ac:dyDescent="0.2">
      <c r="A468" s="90"/>
      <c r="B468" s="69"/>
      <c r="C468" s="69"/>
      <c r="D468" s="69"/>
      <c r="E468" s="69"/>
      <c r="F468" s="69"/>
      <c r="G468" s="64"/>
    </row>
    <row r="469" spans="1:7" ht="24" x14ac:dyDescent="0.2">
      <c r="A469" s="88" t="s">
        <v>41</v>
      </c>
      <c r="B469" s="80" t="s">
        <v>42</v>
      </c>
      <c r="C469" s="80" t="s">
        <v>43</v>
      </c>
      <c r="D469" s="80" t="s">
        <v>44</v>
      </c>
      <c r="E469" s="89" t="s">
        <v>306</v>
      </c>
      <c r="F469" s="80" t="s">
        <v>35</v>
      </c>
      <c r="G469" s="67"/>
    </row>
    <row r="470" spans="1:7" x14ac:dyDescent="0.2">
      <c r="A470" s="81"/>
      <c r="B470" s="81"/>
      <c r="C470" s="81"/>
      <c r="D470" s="81"/>
      <c r="E470" s="81"/>
      <c r="F470" s="81"/>
      <c r="G470" s="81"/>
    </row>
    <row r="471" spans="1:7" x14ac:dyDescent="0.2">
      <c r="A471" s="69" t="s">
        <v>336</v>
      </c>
      <c r="B471" s="85">
        <f>'[17]Jornal día'!B36</f>
        <v>44000</v>
      </c>
      <c r="C471" s="96">
        <v>0.9</v>
      </c>
      <c r="D471" s="62">
        <f>B471*C471+B471</f>
        <v>83600</v>
      </c>
      <c r="E471" s="121">
        <v>7</v>
      </c>
      <c r="F471" s="62">
        <f xml:space="preserve"> D471/E471</f>
        <v>11942.857142857143</v>
      </c>
      <c r="G471" s="69"/>
    </row>
    <row r="472" spans="1:7" x14ac:dyDescent="0.2">
      <c r="A472" s="69" t="s">
        <v>315</v>
      </c>
      <c r="B472" s="85">
        <f>'[17]Jornal día'!B37</f>
        <v>27500.000000000004</v>
      </c>
      <c r="C472" s="96">
        <v>0.9</v>
      </c>
      <c r="D472" s="62">
        <f>B472*C472+B472</f>
        <v>52250.000000000007</v>
      </c>
      <c r="E472" s="121">
        <v>7</v>
      </c>
      <c r="F472" s="62">
        <f xml:space="preserve"> D472/E472</f>
        <v>7464.2857142857156</v>
      </c>
      <c r="G472" s="69" t="s">
        <v>25</v>
      </c>
    </row>
    <row r="473" spans="1:7" x14ac:dyDescent="0.2">
      <c r="A473" s="69"/>
      <c r="B473" s="85"/>
      <c r="C473" s="69"/>
      <c r="D473" s="62"/>
      <c r="E473" s="69"/>
      <c r="F473" s="62"/>
      <c r="G473" s="69"/>
    </row>
    <row r="474" spans="1:7" x14ac:dyDescent="0.2">
      <c r="A474" s="69"/>
      <c r="B474" s="69"/>
      <c r="C474" s="69"/>
      <c r="D474" s="69"/>
      <c r="E474" s="69"/>
      <c r="F474" s="69"/>
      <c r="G474" s="43" t="s">
        <v>31</v>
      </c>
    </row>
    <row r="475" spans="1:7" x14ac:dyDescent="0.2">
      <c r="A475" s="82"/>
      <c r="B475" s="82"/>
      <c r="C475" s="82"/>
      <c r="D475" s="82"/>
      <c r="E475" s="82"/>
      <c r="F475" s="82"/>
      <c r="G475" s="64">
        <f>F473+F472+F471</f>
        <v>19407.142857142859</v>
      </c>
    </row>
    <row r="476" spans="1:7" x14ac:dyDescent="0.2">
      <c r="A476" s="1230" t="s">
        <v>25</v>
      </c>
      <c r="B476" s="1230"/>
      <c r="C476" s="1230"/>
      <c r="D476" s="1230"/>
      <c r="E476" s="1230"/>
      <c r="F476" s="1230"/>
      <c r="G476" s="1233"/>
    </row>
    <row r="477" spans="1:7" x14ac:dyDescent="0.2">
      <c r="A477" s="1248" t="s">
        <v>45</v>
      </c>
      <c r="B477" s="1248"/>
      <c r="C477" s="1248"/>
      <c r="D477" s="1248"/>
      <c r="E477" s="1231"/>
      <c r="F477" s="93"/>
      <c r="G477" s="70">
        <f xml:space="preserve"> G475+G468+G462+G451</f>
        <v>368283.42848499998</v>
      </c>
    </row>
    <row r="478" spans="1:7" x14ac:dyDescent="0.2">
      <c r="A478" s="1232" t="s">
        <v>476</v>
      </c>
      <c r="B478" s="1232"/>
      <c r="C478" s="1222"/>
      <c r="D478" s="1222"/>
      <c r="E478" s="1222" t="s">
        <v>44</v>
      </c>
      <c r="F478" s="1222" t="s">
        <v>51</v>
      </c>
      <c r="G478" s="1222" t="s">
        <v>307</v>
      </c>
    </row>
    <row r="479" spans="1:7" x14ac:dyDescent="0.2">
      <c r="A479" s="1232"/>
      <c r="B479" s="1232"/>
      <c r="C479" s="1222"/>
      <c r="D479" s="1222"/>
      <c r="E479" s="1222"/>
      <c r="F479" s="1222"/>
      <c r="G479" s="1222"/>
    </row>
    <row r="480" spans="1:7" x14ac:dyDescent="0.2">
      <c r="A480" s="1244" t="s">
        <v>17</v>
      </c>
      <c r="B480" s="1244"/>
      <c r="C480" s="1244"/>
      <c r="D480" s="1244"/>
      <c r="E480" s="1244"/>
      <c r="F480" s="1221"/>
      <c r="G480" s="1222"/>
    </row>
    <row r="481" spans="1:7" x14ac:dyDescent="0.2">
      <c r="A481" s="1244" t="s">
        <v>308</v>
      </c>
      <c r="B481" s="1244"/>
      <c r="C481" s="1244"/>
      <c r="D481" s="1244"/>
      <c r="E481" s="1244"/>
      <c r="F481" s="1221"/>
      <c r="G481" s="1222"/>
    </row>
    <row r="482" spans="1:7" x14ac:dyDescent="0.2">
      <c r="A482" s="1244" t="s">
        <v>19</v>
      </c>
      <c r="B482" s="1244"/>
      <c r="C482" s="1244"/>
      <c r="D482" s="1244"/>
      <c r="E482" s="1244"/>
      <c r="F482" s="1221"/>
      <c r="G482" s="1222"/>
    </row>
    <row r="483" spans="1:7" x14ac:dyDescent="0.2">
      <c r="A483" s="1244" t="s">
        <v>309</v>
      </c>
      <c r="B483" s="1244"/>
      <c r="C483" s="1244"/>
      <c r="D483" s="1244"/>
      <c r="E483" s="1244"/>
      <c r="F483" s="1221"/>
      <c r="G483" s="1222"/>
    </row>
    <row r="484" spans="1:7" x14ac:dyDescent="0.2">
      <c r="A484" s="1245" t="s">
        <v>310</v>
      </c>
      <c r="B484" s="1245"/>
      <c r="C484" s="1245"/>
      <c r="D484" s="1245"/>
      <c r="E484" s="1245"/>
      <c r="F484" s="1222"/>
      <c r="G484" s="1222"/>
    </row>
    <row r="485" spans="1:7" x14ac:dyDescent="0.2">
      <c r="A485" s="68"/>
      <c r="B485" s="94"/>
      <c r="C485" s="94"/>
      <c r="D485" s="94"/>
      <c r="E485" s="94"/>
      <c r="F485" s="94"/>
      <c r="G485" s="94"/>
    </row>
    <row r="486" spans="1:7" x14ac:dyDescent="0.2">
      <c r="A486" s="95"/>
      <c r="B486" s="94"/>
      <c r="C486" s="94"/>
      <c r="D486" s="94"/>
      <c r="E486" s="94"/>
      <c r="F486" s="94"/>
      <c r="G486" s="94"/>
    </row>
    <row r="487" spans="1:7" x14ac:dyDescent="0.2">
      <c r="A487" s="1238" t="s">
        <v>1909</v>
      </c>
      <c r="B487" s="1246"/>
      <c r="C487" s="1246"/>
      <c r="D487" s="1246"/>
      <c r="E487" s="1247"/>
      <c r="F487" s="78" t="s">
        <v>24</v>
      </c>
      <c r="G487" s="79" t="s">
        <v>322</v>
      </c>
    </row>
    <row r="488" spans="1:7" x14ac:dyDescent="0.2">
      <c r="A488" s="1229" t="s">
        <v>25</v>
      </c>
      <c r="B488" s="1229"/>
      <c r="C488" s="1229"/>
      <c r="D488" s="1229"/>
      <c r="E488" s="1229"/>
      <c r="F488" s="1229"/>
      <c r="G488" s="1229"/>
    </row>
    <row r="489" spans="1:7" x14ac:dyDescent="0.2">
      <c r="A489" s="1234" t="s">
        <v>469</v>
      </c>
      <c r="B489" s="1235"/>
      <c r="C489" s="80" t="s">
        <v>26</v>
      </c>
      <c r="D489" s="80" t="s">
        <v>27</v>
      </c>
      <c r="E489" s="80" t="s">
        <v>28</v>
      </c>
      <c r="F489" s="80" t="s">
        <v>35</v>
      </c>
      <c r="G489" s="67"/>
    </row>
    <row r="490" spans="1:7" x14ac:dyDescent="0.2">
      <c r="A490" s="1236"/>
      <c r="B490" s="1236"/>
      <c r="C490" s="69"/>
      <c r="D490" s="62"/>
      <c r="E490" s="62"/>
      <c r="F490" s="62"/>
      <c r="G490" s="81"/>
    </row>
    <row r="491" spans="1:7" x14ac:dyDescent="0.2">
      <c r="A491" s="1236"/>
      <c r="B491" s="1236"/>
      <c r="C491" s="69"/>
      <c r="D491" s="62"/>
      <c r="E491" s="62"/>
      <c r="F491" s="62"/>
      <c r="G491" s="69"/>
    </row>
    <row r="492" spans="1:7" x14ac:dyDescent="0.2">
      <c r="A492" s="1236" t="s">
        <v>30</v>
      </c>
      <c r="B492" s="1236"/>
      <c r="C492" s="69"/>
      <c r="D492" s="69"/>
      <c r="E492" s="69"/>
      <c r="F492" s="62">
        <f>G519*0.05</f>
        <v>679.25</v>
      </c>
      <c r="G492" s="69"/>
    </row>
    <row r="493" spans="1:7" x14ac:dyDescent="0.2">
      <c r="A493" s="1236"/>
      <c r="B493" s="1236"/>
      <c r="C493" s="69"/>
      <c r="D493" s="69"/>
      <c r="E493" s="69"/>
      <c r="F493" s="69"/>
      <c r="G493" s="69"/>
    </row>
    <row r="494" spans="1:7" x14ac:dyDescent="0.2">
      <c r="A494" s="1236" t="s">
        <v>25</v>
      </c>
      <c r="B494" s="1236"/>
      <c r="C494" s="69"/>
      <c r="D494" s="69"/>
      <c r="E494" s="69"/>
      <c r="F494" s="69"/>
      <c r="G494" s="83" t="s">
        <v>31</v>
      </c>
    </row>
    <row r="495" spans="1:7" x14ac:dyDescent="0.2">
      <c r="A495" s="1237"/>
      <c r="B495" s="1237"/>
      <c r="C495" s="82"/>
      <c r="D495" s="82"/>
      <c r="E495" s="82"/>
      <c r="F495" s="82"/>
      <c r="G495" s="64">
        <f>F492+F491+F490</f>
        <v>679.25</v>
      </c>
    </row>
    <row r="496" spans="1:7" x14ac:dyDescent="0.2">
      <c r="A496" s="1234" t="s">
        <v>475</v>
      </c>
      <c r="B496" s="1235"/>
      <c r="C496" s="80" t="s">
        <v>32</v>
      </c>
      <c r="D496" s="80" t="s">
        <v>33</v>
      </c>
      <c r="E496" s="80" t="s">
        <v>34</v>
      </c>
      <c r="F496" s="80" t="s">
        <v>35</v>
      </c>
      <c r="G496" s="67"/>
    </row>
    <row r="497" spans="1:7" x14ac:dyDescent="0.2">
      <c r="A497" s="1226"/>
      <c r="B497" s="1227"/>
      <c r="C497" s="43"/>
      <c r="D497" s="97"/>
      <c r="E497" s="92"/>
      <c r="F497" s="85"/>
      <c r="G497" s="69"/>
    </row>
    <row r="498" spans="1:7" x14ac:dyDescent="0.2">
      <c r="A498" s="1364" t="s">
        <v>339</v>
      </c>
      <c r="B498" s="1365"/>
      <c r="C498" s="43" t="s">
        <v>36</v>
      </c>
      <c r="D498" s="97">
        <v>460000</v>
      </c>
      <c r="E498" s="102">
        <v>1</v>
      </c>
      <c r="F498" s="85">
        <f>D498*E498</f>
        <v>460000</v>
      </c>
      <c r="G498" s="69"/>
    </row>
    <row r="499" spans="1:7" x14ac:dyDescent="0.2">
      <c r="A499" s="122" t="s">
        <v>337</v>
      </c>
      <c r="B499" s="73"/>
      <c r="C499" s="43" t="s">
        <v>37</v>
      </c>
      <c r="D499" s="97">
        <v>2000</v>
      </c>
      <c r="E499" s="102">
        <v>1</v>
      </c>
      <c r="F499" s="85">
        <f>D499*E499</f>
        <v>2000</v>
      </c>
      <c r="G499" s="69"/>
    </row>
    <row r="500" spans="1:7" x14ac:dyDescent="0.2">
      <c r="A500" s="1364" t="s">
        <v>338</v>
      </c>
      <c r="B500" s="1365"/>
      <c r="C500" s="43" t="s">
        <v>36</v>
      </c>
      <c r="D500" s="97">
        <f>'[17]Precios '!I166</f>
        <v>47274.277049999997</v>
      </c>
      <c r="E500" s="102">
        <v>1</v>
      </c>
      <c r="F500" s="85">
        <f>D500*E500</f>
        <v>47274.277049999997</v>
      </c>
      <c r="G500" s="69"/>
    </row>
    <row r="501" spans="1:7" x14ac:dyDescent="0.2">
      <c r="A501" s="1364" t="s">
        <v>63</v>
      </c>
      <c r="B501" s="1365"/>
      <c r="C501" s="43" t="s">
        <v>37</v>
      </c>
      <c r="D501" s="97">
        <v>400</v>
      </c>
      <c r="E501" s="102">
        <v>1</v>
      </c>
      <c r="F501" s="85">
        <f>D501*E501</f>
        <v>400</v>
      </c>
      <c r="G501" s="69"/>
    </row>
    <row r="502" spans="1:7" x14ac:dyDescent="0.2">
      <c r="A502" s="1364"/>
      <c r="B502" s="1365"/>
      <c r="C502" s="43"/>
      <c r="D502" s="97"/>
      <c r="E502" s="92"/>
      <c r="F502" s="85"/>
      <c r="G502" s="69"/>
    </row>
    <row r="503" spans="1:7" x14ac:dyDescent="0.2">
      <c r="A503" s="1366"/>
      <c r="B503" s="1365"/>
      <c r="C503" s="66"/>
      <c r="D503" s="97"/>
      <c r="E503" s="100"/>
      <c r="F503" s="85"/>
      <c r="G503" s="69"/>
    </row>
    <row r="504" spans="1:7" x14ac:dyDescent="0.2">
      <c r="A504" s="1228"/>
      <c r="B504" s="1229"/>
      <c r="C504" s="43"/>
      <c r="D504" s="97"/>
      <c r="E504" s="92"/>
      <c r="F504" s="85"/>
      <c r="G504" s="69"/>
    </row>
    <row r="505" spans="1:7" x14ac:dyDescent="0.2">
      <c r="A505" s="1228"/>
      <c r="B505" s="1229"/>
      <c r="C505" s="43"/>
      <c r="D505" s="97"/>
      <c r="E505" s="92"/>
      <c r="F505" s="85"/>
      <c r="G505" s="43" t="s">
        <v>31</v>
      </c>
    </row>
    <row r="506" spans="1:7" x14ac:dyDescent="0.2">
      <c r="A506" s="1228"/>
      <c r="B506" s="1229"/>
      <c r="C506" s="69"/>
      <c r="D506" s="69"/>
      <c r="E506" s="69"/>
      <c r="F506" s="69"/>
      <c r="G506" s="65">
        <f>F500+F499+F498+F501</f>
        <v>509674.27704999998</v>
      </c>
    </row>
    <row r="507" spans="1:7" ht="24" x14ac:dyDescent="0.2">
      <c r="A507" s="88" t="s">
        <v>329</v>
      </c>
      <c r="B507" s="89" t="s">
        <v>38</v>
      </c>
      <c r="C507" s="89" t="s">
        <v>39</v>
      </c>
      <c r="D507" s="80" t="s">
        <v>40</v>
      </c>
      <c r="E507" s="80" t="s">
        <v>34</v>
      </c>
      <c r="F507" s="80" t="s">
        <v>35</v>
      </c>
      <c r="G507" s="67"/>
    </row>
    <row r="508" spans="1:7" x14ac:dyDescent="0.2">
      <c r="A508" s="90"/>
      <c r="B508" s="43"/>
      <c r="C508" s="43"/>
      <c r="D508" s="62"/>
      <c r="E508" s="91"/>
      <c r="F508" s="62"/>
      <c r="G508" s="69"/>
    </row>
    <row r="509" spans="1:7" x14ac:dyDescent="0.2">
      <c r="A509" s="90"/>
      <c r="B509" s="43"/>
      <c r="C509" s="43"/>
      <c r="D509" s="62"/>
      <c r="E509" s="91"/>
      <c r="F509" s="62"/>
      <c r="G509" s="69"/>
    </row>
    <row r="510" spans="1:7" x14ac:dyDescent="0.2">
      <c r="A510" s="90"/>
      <c r="B510" s="43"/>
      <c r="C510" s="43"/>
      <c r="D510" s="62"/>
      <c r="E510" s="92"/>
      <c r="F510" s="62"/>
      <c r="G510" s="69"/>
    </row>
    <row r="511" spans="1:7" x14ac:dyDescent="0.2">
      <c r="A511" s="90" t="s">
        <v>25</v>
      </c>
      <c r="B511" s="43" t="s">
        <v>25</v>
      </c>
      <c r="C511" s="43" t="s">
        <v>25</v>
      </c>
      <c r="D511" s="61" t="s">
        <v>25</v>
      </c>
      <c r="E511" s="92" t="s">
        <v>25</v>
      </c>
      <c r="F511" s="62" t="s">
        <v>25</v>
      </c>
      <c r="G511" s="43" t="s">
        <v>31</v>
      </c>
    </row>
    <row r="512" spans="1:7" x14ac:dyDescent="0.2">
      <c r="A512" s="90"/>
      <c r="B512" s="69"/>
      <c r="C512" s="69"/>
      <c r="D512" s="69"/>
      <c r="E512" s="69"/>
      <c r="F512" s="69"/>
      <c r="G512" s="64"/>
    </row>
    <row r="513" spans="1:7" ht="24" x14ac:dyDescent="0.2">
      <c r="A513" s="88" t="s">
        <v>41</v>
      </c>
      <c r="B513" s="80" t="s">
        <v>42</v>
      </c>
      <c r="C513" s="80" t="s">
        <v>43</v>
      </c>
      <c r="D513" s="80" t="s">
        <v>44</v>
      </c>
      <c r="E513" s="89" t="s">
        <v>306</v>
      </c>
      <c r="F513" s="80" t="s">
        <v>35</v>
      </c>
      <c r="G513" s="67"/>
    </row>
    <row r="514" spans="1:7" x14ac:dyDescent="0.2">
      <c r="A514" s="81"/>
      <c r="B514" s="81"/>
      <c r="C514" s="81"/>
      <c r="D514" s="81"/>
      <c r="E514" s="81"/>
      <c r="F514" s="81"/>
      <c r="G514" s="81"/>
    </row>
    <row r="515" spans="1:7" x14ac:dyDescent="0.2">
      <c r="A515" s="69" t="s">
        <v>336</v>
      </c>
      <c r="B515" s="85">
        <f>'[17]Jornal día'!B36</f>
        <v>44000</v>
      </c>
      <c r="C515" s="96">
        <v>0.9</v>
      </c>
      <c r="D515" s="62">
        <f>B515*C515+B515</f>
        <v>83600</v>
      </c>
      <c r="E515" s="121">
        <v>10</v>
      </c>
      <c r="F515" s="62">
        <f xml:space="preserve"> D515/E515</f>
        <v>8360</v>
      </c>
      <c r="G515" s="69"/>
    </row>
    <row r="516" spans="1:7" x14ac:dyDescent="0.2">
      <c r="A516" s="69" t="s">
        <v>315</v>
      </c>
      <c r="B516" s="85">
        <f>'[17]Jornal día'!B37</f>
        <v>27500.000000000004</v>
      </c>
      <c r="C516" s="96">
        <v>0.9</v>
      </c>
      <c r="D516" s="62">
        <f>B516*C516+B516</f>
        <v>52250.000000000007</v>
      </c>
      <c r="E516" s="121">
        <v>10</v>
      </c>
      <c r="F516" s="62">
        <f xml:space="preserve"> D516/E516</f>
        <v>5225.0000000000009</v>
      </c>
      <c r="G516" s="69" t="s">
        <v>25</v>
      </c>
    </row>
    <row r="517" spans="1:7" x14ac:dyDescent="0.2">
      <c r="A517" s="69"/>
      <c r="B517" s="85"/>
      <c r="C517" s="69"/>
      <c r="D517" s="62"/>
      <c r="E517" s="69"/>
      <c r="F517" s="62"/>
      <c r="G517" s="69"/>
    </row>
    <row r="518" spans="1:7" x14ac:dyDescent="0.2">
      <c r="A518" s="69"/>
      <c r="B518" s="69"/>
      <c r="C518" s="69"/>
      <c r="D518" s="69"/>
      <c r="E518" s="69"/>
      <c r="F518" s="69"/>
      <c r="G518" s="43" t="s">
        <v>31</v>
      </c>
    </row>
    <row r="519" spans="1:7" x14ac:dyDescent="0.2">
      <c r="A519" s="82"/>
      <c r="B519" s="82"/>
      <c r="C519" s="82"/>
      <c r="D519" s="82"/>
      <c r="E519" s="82"/>
      <c r="F519" s="82"/>
      <c r="G519" s="64">
        <f>F517+F516+F515</f>
        <v>13585</v>
      </c>
    </row>
    <row r="520" spans="1:7" x14ac:dyDescent="0.2">
      <c r="A520" s="1230" t="s">
        <v>25</v>
      </c>
      <c r="B520" s="1230"/>
      <c r="C520" s="1230"/>
      <c r="D520" s="1230"/>
      <c r="E520" s="1230"/>
      <c r="F520" s="1230"/>
      <c r="G520" s="1233"/>
    </row>
    <row r="521" spans="1:7" x14ac:dyDescent="0.2">
      <c r="A521" s="1248" t="s">
        <v>45</v>
      </c>
      <c r="B521" s="1248"/>
      <c r="C521" s="1248"/>
      <c r="D521" s="1248"/>
      <c r="E521" s="1231"/>
      <c r="F521" s="93"/>
      <c r="G521" s="70">
        <f xml:space="preserve"> G519+G512+G506+G495</f>
        <v>523938.52704999998</v>
      </c>
    </row>
    <row r="522" spans="1:7" x14ac:dyDescent="0.2">
      <c r="A522" s="1232" t="s">
        <v>476</v>
      </c>
      <c r="B522" s="1232"/>
      <c r="C522" s="1222"/>
      <c r="D522" s="1222"/>
      <c r="E522" s="1222" t="s">
        <v>44</v>
      </c>
      <c r="F522" s="1222" t="s">
        <v>51</v>
      </c>
      <c r="G522" s="1222" t="s">
        <v>307</v>
      </c>
    </row>
    <row r="523" spans="1:7" x14ac:dyDescent="0.2">
      <c r="A523" s="1232"/>
      <c r="B523" s="1232"/>
      <c r="C523" s="1222"/>
      <c r="D523" s="1222"/>
      <c r="E523" s="1222"/>
      <c r="F523" s="1222"/>
      <c r="G523" s="1222"/>
    </row>
    <row r="524" spans="1:7" x14ac:dyDescent="0.2">
      <c r="A524" s="1244" t="s">
        <v>17</v>
      </c>
      <c r="B524" s="1244"/>
      <c r="C524" s="1244"/>
      <c r="D524" s="1244"/>
      <c r="E524" s="1244"/>
      <c r="F524" s="1221"/>
      <c r="G524" s="1222"/>
    </row>
    <row r="525" spans="1:7" x14ac:dyDescent="0.2">
      <c r="A525" s="1244" t="s">
        <v>308</v>
      </c>
      <c r="B525" s="1244"/>
      <c r="C525" s="1244"/>
      <c r="D525" s="1244"/>
      <c r="E525" s="1244"/>
      <c r="F525" s="1221"/>
      <c r="G525" s="1222"/>
    </row>
    <row r="526" spans="1:7" x14ac:dyDescent="0.2">
      <c r="A526" s="1244" t="s">
        <v>19</v>
      </c>
      <c r="B526" s="1244"/>
      <c r="C526" s="1244"/>
      <c r="D526" s="1244"/>
      <c r="E526" s="1244"/>
      <c r="F526" s="1221"/>
      <c r="G526" s="1222"/>
    </row>
    <row r="527" spans="1:7" x14ac:dyDescent="0.2">
      <c r="A527" s="1244" t="s">
        <v>309</v>
      </c>
      <c r="B527" s="1244"/>
      <c r="C527" s="1244"/>
      <c r="D527" s="1244"/>
      <c r="E527" s="1244"/>
      <c r="F527" s="1221"/>
      <c r="G527" s="1222"/>
    </row>
    <row r="528" spans="1:7" x14ac:dyDescent="0.2">
      <c r="A528" s="1245" t="s">
        <v>310</v>
      </c>
      <c r="B528" s="1245"/>
      <c r="C528" s="1245"/>
      <c r="D528" s="1245"/>
      <c r="E528" s="1245"/>
      <c r="F528" s="1222"/>
      <c r="G528" s="1222"/>
    </row>
    <row r="529" spans="1:7" x14ac:dyDescent="0.2">
      <c r="A529" s="68"/>
      <c r="B529" s="94"/>
      <c r="C529" s="94"/>
      <c r="D529" s="94"/>
      <c r="E529" s="94"/>
      <c r="F529" s="94"/>
      <c r="G529" s="94"/>
    </row>
    <row r="530" spans="1:7" x14ac:dyDescent="0.2">
      <c r="A530" s="68"/>
      <c r="B530" s="94"/>
      <c r="C530" s="94"/>
      <c r="D530" s="94"/>
      <c r="E530" s="94"/>
      <c r="F530" s="94"/>
      <c r="G530" s="94"/>
    </row>
    <row r="531" spans="1:7" x14ac:dyDescent="0.2">
      <c r="A531" s="1238" t="s">
        <v>192</v>
      </c>
      <c r="B531" s="1246"/>
      <c r="C531" s="1246"/>
      <c r="D531" s="1246"/>
      <c r="E531" s="1247"/>
      <c r="F531" s="78" t="s">
        <v>24</v>
      </c>
      <c r="G531" s="79" t="s">
        <v>322</v>
      </c>
    </row>
    <row r="532" spans="1:7" x14ac:dyDescent="0.2">
      <c r="A532" s="1229" t="s">
        <v>25</v>
      </c>
      <c r="B532" s="1229"/>
      <c r="C532" s="1229"/>
      <c r="D532" s="1229"/>
      <c r="E532" s="1229"/>
      <c r="F532" s="1229"/>
      <c r="G532" s="1229"/>
    </row>
    <row r="533" spans="1:7" x14ac:dyDescent="0.2">
      <c r="A533" s="1234" t="s">
        <v>469</v>
      </c>
      <c r="B533" s="1235"/>
      <c r="C533" s="80" t="s">
        <v>26</v>
      </c>
      <c r="D533" s="80" t="s">
        <v>27</v>
      </c>
      <c r="E533" s="80" t="s">
        <v>28</v>
      </c>
      <c r="F533" s="80" t="s">
        <v>35</v>
      </c>
      <c r="G533" s="67"/>
    </row>
    <row r="534" spans="1:7" x14ac:dyDescent="0.2">
      <c r="A534" s="1236"/>
      <c r="B534" s="1236"/>
      <c r="C534" s="69"/>
      <c r="D534" s="62"/>
      <c r="E534" s="62"/>
      <c r="F534" s="62"/>
      <c r="G534" s="81"/>
    </row>
    <row r="535" spans="1:7" x14ac:dyDescent="0.2">
      <c r="A535" s="1236"/>
      <c r="B535" s="1236"/>
      <c r="C535" s="69"/>
      <c r="D535" s="62"/>
      <c r="E535" s="62"/>
      <c r="F535" s="62"/>
      <c r="G535" s="69"/>
    </row>
    <row r="536" spans="1:7" x14ac:dyDescent="0.2">
      <c r="A536" s="1236" t="s">
        <v>30</v>
      </c>
      <c r="B536" s="1236"/>
      <c r="C536" s="69"/>
      <c r="D536" s="69"/>
      <c r="E536" s="69"/>
      <c r="F536" s="62">
        <f>G563*0.05</f>
        <v>1698.125</v>
      </c>
      <c r="G536" s="69"/>
    </row>
    <row r="537" spans="1:7" x14ac:dyDescent="0.2">
      <c r="A537" s="1236"/>
      <c r="B537" s="1236"/>
      <c r="C537" s="69"/>
      <c r="D537" s="69"/>
      <c r="E537" s="69"/>
      <c r="F537" s="69"/>
      <c r="G537" s="69"/>
    </row>
    <row r="538" spans="1:7" x14ac:dyDescent="0.2">
      <c r="A538" s="1236" t="s">
        <v>25</v>
      </c>
      <c r="B538" s="1236"/>
      <c r="C538" s="69"/>
      <c r="D538" s="69"/>
      <c r="E538" s="69"/>
      <c r="F538" s="69"/>
      <c r="G538" s="83" t="s">
        <v>31</v>
      </c>
    </row>
    <row r="539" spans="1:7" x14ac:dyDescent="0.2">
      <c r="A539" s="1237"/>
      <c r="B539" s="1237"/>
      <c r="C539" s="82"/>
      <c r="D539" s="82"/>
      <c r="E539" s="82"/>
      <c r="F539" s="82"/>
      <c r="G539" s="64">
        <f>F536+F535+F534</f>
        <v>1698.125</v>
      </c>
    </row>
    <row r="540" spans="1:7" x14ac:dyDescent="0.2">
      <c r="A540" s="1234" t="s">
        <v>475</v>
      </c>
      <c r="B540" s="1235"/>
      <c r="C540" s="80" t="s">
        <v>32</v>
      </c>
      <c r="D540" s="80" t="s">
        <v>33</v>
      </c>
      <c r="E540" s="80" t="s">
        <v>34</v>
      </c>
      <c r="F540" s="80" t="s">
        <v>35</v>
      </c>
      <c r="G540" s="67"/>
    </row>
    <row r="541" spans="1:7" x14ac:dyDescent="0.2">
      <c r="A541" s="1226"/>
      <c r="B541" s="1227"/>
      <c r="C541" s="43"/>
      <c r="D541" s="97"/>
      <c r="E541" s="92"/>
      <c r="F541" s="85"/>
      <c r="G541" s="69"/>
    </row>
    <row r="542" spans="1:7" x14ac:dyDescent="0.2">
      <c r="A542" s="1364" t="s">
        <v>340</v>
      </c>
      <c r="B542" s="1365"/>
      <c r="C542" s="43" t="s">
        <v>36</v>
      </c>
      <c r="D542" s="97">
        <f>'[17]Precios '!I162</f>
        <v>644435</v>
      </c>
      <c r="E542" s="102">
        <v>1</v>
      </c>
      <c r="F542" s="85">
        <f>D542*E542</f>
        <v>644435</v>
      </c>
      <c r="G542" s="69"/>
    </row>
    <row r="543" spans="1:7" x14ac:dyDescent="0.2">
      <c r="A543" s="1364" t="s">
        <v>341</v>
      </c>
      <c r="B543" s="1365"/>
      <c r="C543" s="43" t="s">
        <v>36</v>
      </c>
      <c r="D543" s="97">
        <f>'[17]Precios '!E168</f>
        <v>25350</v>
      </c>
      <c r="E543" s="102">
        <v>1</v>
      </c>
      <c r="F543" s="85">
        <f>D543*E543</f>
        <v>25350</v>
      </c>
      <c r="G543" s="69"/>
    </row>
    <row r="544" spans="1:7" x14ac:dyDescent="0.2">
      <c r="A544" s="1364" t="s">
        <v>342</v>
      </c>
      <c r="B544" s="1365"/>
      <c r="C544" s="43" t="s">
        <v>37</v>
      </c>
      <c r="D544" s="97">
        <f>'[17]Precios '!E97</f>
        <v>829.18836000000022</v>
      </c>
      <c r="E544" s="102">
        <v>1</v>
      </c>
      <c r="F544" s="85">
        <f>D544*E544</f>
        <v>829.18836000000022</v>
      </c>
      <c r="G544" s="69"/>
    </row>
    <row r="545" spans="1:7" x14ac:dyDescent="0.2">
      <c r="A545" s="1364" t="s">
        <v>343</v>
      </c>
      <c r="B545" s="1365"/>
      <c r="C545" s="43" t="s">
        <v>37</v>
      </c>
      <c r="D545" s="97">
        <f>'[17]Precios '!E150</f>
        <v>1054.0530000000001</v>
      </c>
      <c r="E545" s="102">
        <v>1</v>
      </c>
      <c r="F545" s="85">
        <f>D545*E545</f>
        <v>1054.0530000000001</v>
      </c>
      <c r="G545" s="69"/>
    </row>
    <row r="546" spans="1:7" x14ac:dyDescent="0.2">
      <c r="A546" s="1364"/>
      <c r="B546" s="1365"/>
      <c r="C546" s="43"/>
      <c r="D546" s="97"/>
      <c r="E546" s="92"/>
      <c r="F546" s="85"/>
      <c r="G546" s="69"/>
    </row>
    <row r="547" spans="1:7" x14ac:dyDescent="0.2">
      <c r="A547" s="1366"/>
      <c r="B547" s="1365"/>
      <c r="C547" s="66"/>
      <c r="D547" s="97"/>
      <c r="E547" s="100"/>
      <c r="F547" s="85"/>
      <c r="G547" s="69"/>
    </row>
    <row r="548" spans="1:7" x14ac:dyDescent="0.2">
      <c r="A548" s="1228"/>
      <c r="B548" s="1229"/>
      <c r="C548" s="43"/>
      <c r="D548" s="97"/>
      <c r="E548" s="92"/>
      <c r="F548" s="85"/>
      <c r="G548" s="69"/>
    </row>
    <row r="549" spans="1:7" x14ac:dyDescent="0.2">
      <c r="A549" s="1228"/>
      <c r="B549" s="1229"/>
      <c r="C549" s="43"/>
      <c r="D549" s="97"/>
      <c r="E549" s="92"/>
      <c r="F549" s="85"/>
      <c r="G549" s="43" t="s">
        <v>31</v>
      </c>
    </row>
    <row r="550" spans="1:7" x14ac:dyDescent="0.2">
      <c r="A550" s="1228"/>
      <c r="B550" s="1229"/>
      <c r="C550" s="69"/>
      <c r="D550" s="69"/>
      <c r="E550" s="69"/>
      <c r="F550" s="69"/>
      <c r="G550" s="65">
        <f>F544+F543+F542+F545</f>
        <v>671668.24135999999</v>
      </c>
    </row>
    <row r="551" spans="1:7" ht="24" x14ac:dyDescent="0.2">
      <c r="A551" s="88" t="s">
        <v>329</v>
      </c>
      <c r="B551" s="89" t="s">
        <v>38</v>
      </c>
      <c r="C551" s="89" t="s">
        <v>39</v>
      </c>
      <c r="D551" s="80" t="s">
        <v>40</v>
      </c>
      <c r="E551" s="80" t="s">
        <v>34</v>
      </c>
      <c r="F551" s="80" t="s">
        <v>35</v>
      </c>
      <c r="G551" s="67"/>
    </row>
    <row r="552" spans="1:7" x14ac:dyDescent="0.2">
      <c r="A552" s="90"/>
      <c r="B552" s="43"/>
      <c r="C552" s="43"/>
      <c r="D552" s="62"/>
      <c r="E552" s="91"/>
      <c r="F552" s="62"/>
      <c r="G552" s="69"/>
    </row>
    <row r="553" spans="1:7" x14ac:dyDescent="0.2">
      <c r="A553" s="90"/>
      <c r="B553" s="43"/>
      <c r="C553" s="43"/>
      <c r="D553" s="62"/>
      <c r="E553" s="91"/>
      <c r="F553" s="62"/>
      <c r="G553" s="69"/>
    </row>
    <row r="554" spans="1:7" x14ac:dyDescent="0.2">
      <c r="A554" s="90"/>
      <c r="B554" s="43"/>
      <c r="C554" s="43"/>
      <c r="D554" s="62"/>
      <c r="E554" s="92"/>
      <c r="F554" s="62"/>
      <c r="G554" s="69"/>
    </row>
    <row r="555" spans="1:7" x14ac:dyDescent="0.2">
      <c r="A555" s="90" t="s">
        <v>25</v>
      </c>
      <c r="B555" s="43" t="s">
        <v>25</v>
      </c>
      <c r="C555" s="43" t="s">
        <v>25</v>
      </c>
      <c r="D555" s="61" t="s">
        <v>25</v>
      </c>
      <c r="E555" s="92" t="s">
        <v>25</v>
      </c>
      <c r="F555" s="62" t="s">
        <v>25</v>
      </c>
      <c r="G555" s="43" t="s">
        <v>31</v>
      </c>
    </row>
    <row r="556" spans="1:7" x14ac:dyDescent="0.2">
      <c r="A556" s="90"/>
      <c r="B556" s="69"/>
      <c r="C556" s="69"/>
      <c r="D556" s="69"/>
      <c r="E556" s="69"/>
      <c r="F556" s="69"/>
      <c r="G556" s="64"/>
    </row>
    <row r="557" spans="1:7" ht="24" x14ac:dyDescent="0.2">
      <c r="A557" s="88" t="s">
        <v>41</v>
      </c>
      <c r="B557" s="80" t="s">
        <v>42</v>
      </c>
      <c r="C557" s="80" t="s">
        <v>43</v>
      </c>
      <c r="D557" s="80" t="s">
        <v>44</v>
      </c>
      <c r="E557" s="89" t="s">
        <v>306</v>
      </c>
      <c r="F557" s="80" t="s">
        <v>35</v>
      </c>
      <c r="G557" s="67"/>
    </row>
    <row r="558" spans="1:7" x14ac:dyDescent="0.2">
      <c r="A558" s="81"/>
      <c r="B558" s="81"/>
      <c r="C558" s="81"/>
      <c r="D558" s="81"/>
      <c r="E558" s="81"/>
      <c r="F558" s="81"/>
      <c r="G558" s="81"/>
    </row>
    <row r="559" spans="1:7" x14ac:dyDescent="0.2">
      <c r="A559" s="69" t="s">
        <v>336</v>
      </c>
      <c r="B559" s="85">
        <f>'[17]Jornal día'!B36</f>
        <v>44000</v>
      </c>
      <c r="C559" s="96">
        <v>0.9</v>
      </c>
      <c r="D559" s="62">
        <f>B559*C559+B559</f>
        <v>83600</v>
      </c>
      <c r="E559" s="121">
        <v>4</v>
      </c>
      <c r="F559" s="62">
        <f xml:space="preserve"> D559/E559</f>
        <v>20900</v>
      </c>
      <c r="G559" s="69"/>
    </row>
    <row r="560" spans="1:7" x14ac:dyDescent="0.2">
      <c r="A560" s="69" t="s">
        <v>315</v>
      </c>
      <c r="B560" s="85">
        <f>'[17]Jornal día'!B37</f>
        <v>27500.000000000004</v>
      </c>
      <c r="C560" s="96">
        <v>0.9</v>
      </c>
      <c r="D560" s="62">
        <f>B560*C560+B560</f>
        <v>52250.000000000007</v>
      </c>
      <c r="E560" s="121">
        <v>4</v>
      </c>
      <c r="F560" s="62">
        <f xml:space="preserve"> D560/E560</f>
        <v>13062.500000000002</v>
      </c>
      <c r="G560" s="69" t="s">
        <v>25</v>
      </c>
    </row>
    <row r="561" spans="1:7" x14ac:dyDescent="0.2">
      <c r="A561" s="69"/>
      <c r="B561" s="85"/>
      <c r="C561" s="69"/>
      <c r="D561" s="62"/>
      <c r="E561" s="69"/>
      <c r="F561" s="62"/>
      <c r="G561" s="69"/>
    </row>
    <row r="562" spans="1:7" x14ac:dyDescent="0.2">
      <c r="A562" s="69"/>
      <c r="B562" s="69"/>
      <c r="C562" s="69"/>
      <c r="D562" s="69"/>
      <c r="E562" s="69"/>
      <c r="F562" s="69"/>
      <c r="G562" s="43" t="s">
        <v>31</v>
      </c>
    </row>
    <row r="563" spans="1:7" x14ac:dyDescent="0.2">
      <c r="A563" s="82"/>
      <c r="B563" s="82"/>
      <c r="C563" s="82"/>
      <c r="D563" s="82"/>
      <c r="E563" s="82"/>
      <c r="F563" s="82"/>
      <c r="G563" s="64">
        <f>F561+F560+F559</f>
        <v>33962.5</v>
      </c>
    </row>
    <row r="564" spans="1:7" x14ac:dyDescent="0.2">
      <c r="A564" s="1230" t="s">
        <v>25</v>
      </c>
      <c r="B564" s="1230"/>
      <c r="C564" s="1230"/>
      <c r="D564" s="1230"/>
      <c r="E564" s="1230"/>
      <c r="F564" s="1230"/>
      <c r="G564" s="1233"/>
    </row>
    <row r="565" spans="1:7" x14ac:dyDescent="0.2">
      <c r="A565" s="1248" t="s">
        <v>45</v>
      </c>
      <c r="B565" s="1248"/>
      <c r="C565" s="1248"/>
      <c r="D565" s="1248"/>
      <c r="E565" s="1231"/>
      <c r="F565" s="93"/>
      <c r="G565" s="70">
        <f xml:space="preserve"> G563+G556+G550+G539</f>
        <v>707328.86635999999</v>
      </c>
    </row>
    <row r="566" spans="1:7" x14ac:dyDescent="0.2">
      <c r="A566" s="1232" t="s">
        <v>476</v>
      </c>
      <c r="B566" s="1232"/>
      <c r="C566" s="1222"/>
      <c r="D566" s="1222"/>
      <c r="E566" s="1222" t="s">
        <v>44</v>
      </c>
      <c r="F566" s="1222" t="s">
        <v>51</v>
      </c>
      <c r="G566" s="1222" t="s">
        <v>307</v>
      </c>
    </row>
    <row r="567" spans="1:7" x14ac:dyDescent="0.2">
      <c r="A567" s="1232"/>
      <c r="B567" s="1232"/>
      <c r="C567" s="1222"/>
      <c r="D567" s="1222"/>
      <c r="E567" s="1222"/>
      <c r="F567" s="1222"/>
      <c r="G567" s="1222"/>
    </row>
    <row r="568" spans="1:7" x14ac:dyDescent="0.2">
      <c r="A568" s="1244" t="s">
        <v>17</v>
      </c>
      <c r="B568" s="1244"/>
      <c r="C568" s="1244"/>
      <c r="D568" s="1244"/>
      <c r="E568" s="1244"/>
      <c r="F568" s="1221"/>
      <c r="G568" s="1222"/>
    </row>
    <row r="569" spans="1:7" x14ac:dyDescent="0.2">
      <c r="A569" s="1244" t="s">
        <v>308</v>
      </c>
      <c r="B569" s="1244"/>
      <c r="C569" s="1244"/>
      <c r="D569" s="1244"/>
      <c r="E569" s="1244"/>
      <c r="F569" s="1221"/>
      <c r="G569" s="1222"/>
    </row>
    <row r="570" spans="1:7" x14ac:dyDescent="0.2">
      <c r="A570" s="1244" t="s">
        <v>19</v>
      </c>
      <c r="B570" s="1244"/>
      <c r="C570" s="1244"/>
      <c r="D570" s="1244"/>
      <c r="E570" s="1244"/>
      <c r="F570" s="1221"/>
      <c r="G570" s="1222"/>
    </row>
    <row r="571" spans="1:7" x14ac:dyDescent="0.2">
      <c r="A571" s="1244" t="s">
        <v>309</v>
      </c>
      <c r="B571" s="1244"/>
      <c r="C571" s="1244"/>
      <c r="D571" s="1244"/>
      <c r="E571" s="1244"/>
      <c r="F571" s="1221"/>
      <c r="G571" s="1222"/>
    </row>
    <row r="572" spans="1:7" x14ac:dyDescent="0.2">
      <c r="A572" s="1245" t="s">
        <v>310</v>
      </c>
      <c r="B572" s="1245"/>
      <c r="C572" s="1245"/>
      <c r="D572" s="1245"/>
      <c r="E572" s="1245"/>
      <c r="F572" s="1222"/>
      <c r="G572" s="1222"/>
    </row>
    <row r="573" spans="1:7" x14ac:dyDescent="0.2">
      <c r="A573" s="68"/>
      <c r="B573" s="94"/>
      <c r="C573" s="94"/>
      <c r="D573" s="94"/>
      <c r="E573" s="94"/>
      <c r="F573" s="94"/>
      <c r="G573" s="94"/>
    </row>
    <row r="574" spans="1:7" x14ac:dyDescent="0.2">
      <c r="A574" s="95"/>
      <c r="B574" s="94"/>
      <c r="C574" s="94"/>
      <c r="D574" s="94"/>
      <c r="E574" s="94"/>
      <c r="F574" s="108"/>
      <c r="G574" s="108"/>
    </row>
    <row r="575" spans="1:7" x14ac:dyDescent="0.2">
      <c r="A575" s="95"/>
      <c r="B575" s="94"/>
      <c r="C575" s="94"/>
      <c r="D575" s="94"/>
      <c r="E575" s="94"/>
      <c r="F575" s="108"/>
      <c r="G575" s="108"/>
    </row>
    <row r="576" spans="1:7" x14ac:dyDescent="0.2">
      <c r="A576" s="95"/>
      <c r="B576" s="94"/>
      <c r="C576" s="94"/>
      <c r="D576" s="94"/>
      <c r="E576" s="94"/>
      <c r="F576" s="108" t="s">
        <v>300</v>
      </c>
      <c r="G576" s="108" t="s">
        <v>2395</v>
      </c>
    </row>
    <row r="577" spans="1:7" x14ac:dyDescent="0.2">
      <c r="A577" s="95"/>
      <c r="B577" s="94"/>
      <c r="C577" s="94"/>
      <c r="D577" s="94"/>
      <c r="E577" s="94"/>
      <c r="F577" s="108"/>
      <c r="G577" s="108"/>
    </row>
    <row r="578" spans="1:7" x14ac:dyDescent="0.2">
      <c r="A578" s="1367" t="s">
        <v>1042</v>
      </c>
      <c r="B578" s="1368"/>
      <c r="C578" s="1368"/>
      <c r="D578" s="1368"/>
      <c r="E578" s="1369"/>
      <c r="F578" s="447" t="s">
        <v>24</v>
      </c>
      <c r="G578" s="446" t="s">
        <v>344</v>
      </c>
    </row>
    <row r="579" spans="1:7" x14ac:dyDescent="0.2">
      <c r="A579" s="1229" t="s">
        <v>25</v>
      </c>
      <c r="B579" s="1229"/>
      <c r="C579" s="1229"/>
      <c r="D579" s="1229"/>
      <c r="E579" s="1229"/>
      <c r="F579" s="1229"/>
      <c r="G579" s="1229"/>
    </row>
    <row r="580" spans="1:7" x14ac:dyDescent="0.2">
      <c r="A580" s="1234" t="s">
        <v>469</v>
      </c>
      <c r="B580" s="1235"/>
      <c r="C580" s="80" t="s">
        <v>26</v>
      </c>
      <c r="D580" s="80" t="s">
        <v>27</v>
      </c>
      <c r="E580" s="80" t="s">
        <v>28</v>
      </c>
      <c r="F580" s="80" t="s">
        <v>35</v>
      </c>
      <c r="G580" s="67"/>
    </row>
    <row r="581" spans="1:7" x14ac:dyDescent="0.2">
      <c r="A581" s="1236"/>
      <c r="B581" s="1236"/>
      <c r="C581" s="69"/>
      <c r="D581" s="62"/>
      <c r="E581" s="62"/>
      <c r="F581" s="62"/>
      <c r="G581" s="81"/>
    </row>
    <row r="582" spans="1:7" x14ac:dyDescent="0.2">
      <c r="A582" s="1236"/>
      <c r="B582" s="1236"/>
      <c r="C582" s="69"/>
      <c r="D582" s="62"/>
      <c r="E582" s="62"/>
      <c r="F582" s="62"/>
      <c r="G582" s="69"/>
    </row>
    <row r="583" spans="1:7" x14ac:dyDescent="0.2">
      <c r="A583" s="1236" t="s">
        <v>30</v>
      </c>
      <c r="B583" s="1236"/>
      <c r="C583" s="69"/>
      <c r="D583" s="69"/>
      <c r="E583" s="69"/>
      <c r="F583" s="62">
        <f>G611*0.05</f>
        <v>377.36111111111114</v>
      </c>
      <c r="G583" s="69"/>
    </row>
    <row r="584" spans="1:7" x14ac:dyDescent="0.2">
      <c r="A584" s="1236"/>
      <c r="B584" s="1236"/>
      <c r="C584" s="69"/>
      <c r="D584" s="69"/>
      <c r="E584" s="69"/>
      <c r="F584" s="69"/>
      <c r="G584" s="69"/>
    </row>
    <row r="585" spans="1:7" x14ac:dyDescent="0.2">
      <c r="A585" s="1236" t="s">
        <v>25</v>
      </c>
      <c r="B585" s="1236"/>
      <c r="C585" s="69"/>
      <c r="D585" s="69"/>
      <c r="E585" s="69"/>
      <c r="F585" s="69"/>
      <c r="G585" s="83" t="s">
        <v>31</v>
      </c>
    </row>
    <row r="586" spans="1:7" x14ac:dyDescent="0.2">
      <c r="A586" s="1237"/>
      <c r="B586" s="1237"/>
      <c r="C586" s="82"/>
      <c r="D586" s="82"/>
      <c r="E586" s="82"/>
      <c r="F586" s="82"/>
      <c r="G586" s="64">
        <f>F583+F582+F581</f>
        <v>377.36111111111114</v>
      </c>
    </row>
    <row r="587" spans="1:7" x14ac:dyDescent="0.2">
      <c r="A587" s="1234" t="s">
        <v>475</v>
      </c>
      <c r="B587" s="1235"/>
      <c r="C587" s="80" t="s">
        <v>32</v>
      </c>
      <c r="D587" s="80" t="s">
        <v>33</v>
      </c>
      <c r="E587" s="80" t="s">
        <v>34</v>
      </c>
      <c r="F587" s="80" t="s">
        <v>35</v>
      </c>
      <c r="G587" s="67"/>
    </row>
    <row r="588" spans="1:7" x14ac:dyDescent="0.2">
      <c r="A588" s="123"/>
      <c r="B588" s="73"/>
      <c r="C588" s="118"/>
      <c r="D588" s="118"/>
      <c r="E588" s="118"/>
      <c r="F588" s="118"/>
      <c r="G588" s="69"/>
    </row>
    <row r="589" spans="1:7" x14ac:dyDescent="0.2">
      <c r="A589" s="123"/>
      <c r="B589" s="73"/>
      <c r="C589" s="118"/>
      <c r="D589" s="118"/>
      <c r="E589" s="118"/>
      <c r="F589" s="118"/>
      <c r="G589" s="69"/>
    </row>
    <row r="590" spans="1:7" x14ac:dyDescent="0.2">
      <c r="A590" s="1364" t="s">
        <v>2399</v>
      </c>
      <c r="B590" s="1365"/>
      <c r="C590" s="43" t="s">
        <v>50</v>
      </c>
      <c r="D590" s="97">
        <f>D868-610</f>
        <v>40354.300000000003</v>
      </c>
      <c r="E590" s="102">
        <v>1</v>
      </c>
      <c r="F590" s="85">
        <f>D590*E590</f>
        <v>40354.300000000003</v>
      </c>
      <c r="G590" s="69"/>
    </row>
    <row r="591" spans="1:7" x14ac:dyDescent="0.2">
      <c r="A591" s="1364" t="s">
        <v>2400</v>
      </c>
      <c r="B591" s="1365"/>
      <c r="C591" s="63" t="s">
        <v>238</v>
      </c>
      <c r="D591" s="97">
        <f>D869-250</f>
        <v>21265.681187000006</v>
      </c>
      <c r="E591" s="124">
        <v>0.2</v>
      </c>
      <c r="F591" s="85">
        <f>D591*E591</f>
        <v>4253.1362374000009</v>
      </c>
      <c r="G591" s="69"/>
    </row>
    <row r="592" spans="1:7" x14ac:dyDescent="0.2">
      <c r="A592" s="1229" t="s">
        <v>347</v>
      </c>
      <c r="B592" s="1365"/>
      <c r="C592" s="63">
        <v>0.25</v>
      </c>
      <c r="D592" s="97">
        <f>D870</f>
        <v>60173.689826250011</v>
      </c>
      <c r="E592" s="86">
        <v>0.04</v>
      </c>
      <c r="F592" s="85">
        <f>D592*E592</f>
        <v>2406.9475930500007</v>
      </c>
      <c r="G592" s="69"/>
    </row>
    <row r="593" spans="1:7" x14ac:dyDescent="0.2">
      <c r="A593" s="1229" t="s">
        <v>348</v>
      </c>
      <c r="B593" s="1365"/>
      <c r="C593" s="63">
        <v>0.25</v>
      </c>
      <c r="D593" s="97">
        <f>D871</f>
        <v>124798.03060725004</v>
      </c>
      <c r="E593" s="86">
        <v>0.04</v>
      </c>
      <c r="F593" s="85">
        <f>D593*E593</f>
        <v>4991.9212242900021</v>
      </c>
      <c r="G593" s="69"/>
    </row>
    <row r="594" spans="1:7" x14ac:dyDescent="0.2">
      <c r="A594" s="1366" t="s">
        <v>333</v>
      </c>
      <c r="B594" s="1365"/>
      <c r="C594" s="66" t="s">
        <v>54</v>
      </c>
      <c r="D594" s="97">
        <f>D872</f>
        <v>3014.5915800000007</v>
      </c>
      <c r="E594" s="98">
        <v>0.06</v>
      </c>
      <c r="F594" s="85">
        <f>D594*E594</f>
        <v>180.87549480000004</v>
      </c>
      <c r="G594" s="69"/>
    </row>
    <row r="595" spans="1:7" x14ac:dyDescent="0.2">
      <c r="A595" s="1228" t="s">
        <v>349</v>
      </c>
      <c r="B595" s="1229"/>
      <c r="C595" s="43" t="s">
        <v>51</v>
      </c>
      <c r="D595" s="97">
        <f>D873</f>
        <v>40964.300000000003</v>
      </c>
      <c r="E595" s="102">
        <v>5</v>
      </c>
      <c r="F595" s="85">
        <f>D595*0.05</f>
        <v>2048.2150000000001</v>
      </c>
      <c r="G595" s="43" t="s">
        <v>31</v>
      </c>
    </row>
    <row r="596" spans="1:7" x14ac:dyDescent="0.2">
      <c r="A596" s="71"/>
      <c r="B596" s="72"/>
      <c r="C596" s="43"/>
      <c r="D596" s="97"/>
      <c r="E596" s="92"/>
      <c r="F596" s="85"/>
      <c r="G596" s="43"/>
    </row>
    <row r="597" spans="1:7" x14ac:dyDescent="0.2">
      <c r="A597" s="1228"/>
      <c r="B597" s="1229"/>
      <c r="C597" s="69"/>
      <c r="D597" s="69"/>
      <c r="E597" s="69"/>
      <c r="F597" s="69"/>
      <c r="G597" s="65">
        <f>F590+F591+F592+F593+F594+F595</f>
        <v>54235.395549540001</v>
      </c>
    </row>
    <row r="598" spans="1:7" ht="24" x14ac:dyDescent="0.2">
      <c r="A598" s="88" t="s">
        <v>329</v>
      </c>
      <c r="B598" s="89" t="s">
        <v>38</v>
      </c>
      <c r="C598" s="89" t="s">
        <v>39</v>
      </c>
      <c r="D598" s="80" t="s">
        <v>40</v>
      </c>
      <c r="E598" s="80" t="s">
        <v>34</v>
      </c>
      <c r="F598" s="80" t="s">
        <v>35</v>
      </c>
      <c r="G598" s="67"/>
    </row>
    <row r="599" spans="1:7" x14ac:dyDescent="0.2">
      <c r="A599" s="90"/>
      <c r="B599" s="43"/>
      <c r="C599" s="43"/>
      <c r="D599" s="62"/>
      <c r="E599" s="91"/>
      <c r="F599" s="62"/>
      <c r="G599" s="69"/>
    </row>
    <row r="600" spans="1:7" x14ac:dyDescent="0.2">
      <c r="A600" s="90"/>
      <c r="B600" s="43"/>
      <c r="C600" s="43"/>
      <c r="D600" s="62"/>
      <c r="E600" s="91"/>
      <c r="F600" s="62"/>
      <c r="G600" s="69"/>
    </row>
    <row r="601" spans="1:7" x14ac:dyDescent="0.2">
      <c r="A601" s="90"/>
      <c r="B601" s="43"/>
      <c r="C601" s="43"/>
      <c r="D601" s="62"/>
      <c r="E601" s="92"/>
      <c r="F601" s="62"/>
      <c r="G601" s="69"/>
    </row>
    <row r="602" spans="1:7" x14ac:dyDescent="0.2">
      <c r="A602" s="90" t="s">
        <v>25</v>
      </c>
      <c r="B602" s="43" t="s">
        <v>25</v>
      </c>
      <c r="C602" s="43" t="s">
        <v>25</v>
      </c>
      <c r="D602" s="61" t="s">
        <v>25</v>
      </c>
      <c r="E602" s="92" t="s">
        <v>25</v>
      </c>
      <c r="F602" s="62" t="s">
        <v>25</v>
      </c>
      <c r="G602" s="43" t="s">
        <v>31</v>
      </c>
    </row>
    <row r="603" spans="1:7" x14ac:dyDescent="0.2">
      <c r="A603" s="90"/>
      <c r="B603" s="69"/>
      <c r="C603" s="69"/>
      <c r="D603" s="69"/>
      <c r="E603" s="69"/>
      <c r="F603" s="69"/>
      <c r="G603" s="64"/>
    </row>
    <row r="604" spans="1:7" ht="24" x14ac:dyDescent="0.2">
      <c r="A604" s="88" t="s">
        <v>41</v>
      </c>
      <c r="B604" s="80" t="s">
        <v>42</v>
      </c>
      <c r="C604" s="80" t="s">
        <v>43</v>
      </c>
      <c r="D604" s="80" t="s">
        <v>44</v>
      </c>
      <c r="E604" s="89" t="s">
        <v>306</v>
      </c>
      <c r="F604" s="80" t="s">
        <v>35</v>
      </c>
      <c r="G604" s="67"/>
    </row>
    <row r="605" spans="1:7" x14ac:dyDescent="0.2">
      <c r="A605" s="81"/>
      <c r="B605" s="81"/>
      <c r="C605" s="81"/>
      <c r="D605" s="81"/>
      <c r="E605" s="81"/>
      <c r="F605" s="81"/>
      <c r="G605" s="81"/>
    </row>
    <row r="606" spans="1:7" x14ac:dyDescent="0.2">
      <c r="A606" s="69" t="s">
        <v>336</v>
      </c>
      <c r="B606" s="85">
        <f>B885</f>
        <v>44000</v>
      </c>
      <c r="C606" s="96">
        <v>0.9</v>
      </c>
      <c r="D606" s="62">
        <f>B606*C606+B606</f>
        <v>83600</v>
      </c>
      <c r="E606" s="121">
        <v>18</v>
      </c>
      <c r="F606" s="62">
        <f xml:space="preserve"> D606/E606</f>
        <v>4644.4444444444443</v>
      </c>
      <c r="G606" s="69"/>
    </row>
    <row r="607" spans="1:7" x14ac:dyDescent="0.2">
      <c r="A607" s="69" t="s">
        <v>315</v>
      </c>
      <c r="B607" s="85">
        <f>B886</f>
        <v>27500.000000000004</v>
      </c>
      <c r="C607" s="96">
        <v>0.9</v>
      </c>
      <c r="D607" s="62">
        <f>B607*C607+B607</f>
        <v>52250.000000000007</v>
      </c>
      <c r="E607" s="121">
        <v>18</v>
      </c>
      <c r="F607" s="62">
        <f xml:space="preserve"> D607/E607</f>
        <v>2902.7777777777783</v>
      </c>
      <c r="G607" s="69" t="s">
        <v>25</v>
      </c>
    </row>
    <row r="608" spans="1:7" x14ac:dyDescent="0.2">
      <c r="A608" s="69"/>
      <c r="B608" s="85"/>
      <c r="C608" s="96"/>
      <c r="D608" s="62"/>
      <c r="E608" s="121"/>
      <c r="F608" s="62"/>
      <c r="G608" s="69"/>
    </row>
    <row r="609" spans="1:7" x14ac:dyDescent="0.2">
      <c r="A609" s="69"/>
      <c r="B609" s="85"/>
      <c r="C609" s="69"/>
      <c r="D609" s="62"/>
      <c r="E609" s="69"/>
      <c r="F609" s="62"/>
      <c r="G609" s="69"/>
    </row>
    <row r="610" spans="1:7" x14ac:dyDescent="0.2">
      <c r="A610" s="69"/>
      <c r="B610" s="69"/>
      <c r="C610" s="69"/>
      <c r="D610" s="69"/>
      <c r="E610" s="69"/>
      <c r="F610" s="69"/>
      <c r="G610" s="43" t="s">
        <v>31</v>
      </c>
    </row>
    <row r="611" spans="1:7" x14ac:dyDescent="0.2">
      <c r="A611" s="82"/>
      <c r="B611" s="82"/>
      <c r="C611" s="82"/>
      <c r="D611" s="82"/>
      <c r="E611" s="82"/>
      <c r="F611" s="82"/>
      <c r="G611" s="64">
        <f>F609+F607+F606</f>
        <v>7547.2222222222226</v>
      </c>
    </row>
    <row r="612" spans="1:7" x14ac:dyDescent="0.2">
      <c r="A612" s="1230" t="s">
        <v>25</v>
      </c>
      <c r="B612" s="1230"/>
      <c r="C612" s="1230"/>
      <c r="D612" s="1230"/>
      <c r="E612" s="1230"/>
      <c r="F612" s="1230"/>
      <c r="G612" s="1233"/>
    </row>
    <row r="613" spans="1:7" x14ac:dyDescent="0.2">
      <c r="A613" s="1248" t="s">
        <v>45</v>
      </c>
      <c r="B613" s="1248"/>
      <c r="C613" s="1248"/>
      <c r="D613" s="1248"/>
      <c r="E613" s="1231"/>
      <c r="F613" s="93"/>
      <c r="G613" s="70">
        <f xml:space="preserve"> G611+G603+G597+G586</f>
        <v>62159.978882873329</v>
      </c>
    </row>
    <row r="614" spans="1:7" x14ac:dyDescent="0.2">
      <c r="A614" s="1232" t="s">
        <v>476</v>
      </c>
      <c r="B614" s="1232"/>
      <c r="C614" s="1222"/>
      <c r="D614" s="1222"/>
      <c r="E614" s="1222" t="s">
        <v>44</v>
      </c>
      <c r="F614" s="1222" t="s">
        <v>51</v>
      </c>
      <c r="G614" s="1222" t="s">
        <v>307</v>
      </c>
    </row>
    <row r="615" spans="1:7" x14ac:dyDescent="0.2">
      <c r="A615" s="1232"/>
      <c r="B615" s="1232"/>
      <c r="C615" s="1222"/>
      <c r="D615" s="1222"/>
      <c r="E615" s="1222"/>
      <c r="F615" s="1222"/>
      <c r="G615" s="1222"/>
    </row>
    <row r="616" spans="1:7" x14ac:dyDescent="0.2">
      <c r="A616" s="1244" t="s">
        <v>17</v>
      </c>
      <c r="B616" s="1244"/>
      <c r="C616" s="1244"/>
      <c r="D616" s="1244"/>
      <c r="E616" s="1244"/>
      <c r="F616" s="1221"/>
      <c r="G616" s="1222"/>
    </row>
    <row r="617" spans="1:7" x14ac:dyDescent="0.2">
      <c r="A617" s="1244" t="s">
        <v>308</v>
      </c>
      <c r="B617" s="1244"/>
      <c r="C617" s="1244"/>
      <c r="D617" s="1244"/>
      <c r="E617" s="1244"/>
      <c r="F617" s="1221"/>
      <c r="G617" s="1222"/>
    </row>
    <row r="618" spans="1:7" x14ac:dyDescent="0.2">
      <c r="A618" s="1244" t="s">
        <v>19</v>
      </c>
      <c r="B618" s="1244"/>
      <c r="C618" s="1244"/>
      <c r="D618" s="1244"/>
      <c r="E618" s="1244"/>
      <c r="F618" s="1221"/>
      <c r="G618" s="1222"/>
    </row>
    <row r="619" spans="1:7" x14ac:dyDescent="0.2">
      <c r="A619" s="1244" t="s">
        <v>309</v>
      </c>
      <c r="B619" s="1244"/>
      <c r="C619" s="1244"/>
      <c r="D619" s="1244"/>
      <c r="E619" s="1244"/>
      <c r="F619" s="1221"/>
      <c r="G619" s="1222"/>
    </row>
    <row r="620" spans="1:7" x14ac:dyDescent="0.2">
      <c r="A620" s="1245" t="s">
        <v>310</v>
      </c>
      <c r="B620" s="1245"/>
      <c r="C620" s="1245"/>
      <c r="D620" s="1245"/>
      <c r="E620" s="1245"/>
      <c r="F620" s="1222"/>
      <c r="G620" s="1222"/>
    </row>
    <row r="621" spans="1:7" x14ac:dyDescent="0.2">
      <c r="A621" s="112"/>
      <c r="B621" s="113"/>
      <c r="C621" s="113"/>
      <c r="D621" s="113"/>
      <c r="E621" s="114"/>
      <c r="F621" s="889"/>
      <c r="G621" s="889"/>
    </row>
    <row r="622" spans="1:7" x14ac:dyDescent="0.2">
      <c r="A622" s="95"/>
      <c r="B622" s="94"/>
      <c r="C622" s="94"/>
      <c r="D622" s="94"/>
      <c r="E622" s="94"/>
      <c r="F622" s="108"/>
      <c r="G622" s="108"/>
    </row>
    <row r="623" spans="1:7" x14ac:dyDescent="0.2">
      <c r="A623" s="95"/>
      <c r="B623" s="94"/>
      <c r="C623" s="94"/>
      <c r="D623" s="94"/>
      <c r="E623" s="94"/>
      <c r="F623" s="108" t="s">
        <v>300</v>
      </c>
      <c r="G623" s="108" t="s">
        <v>2396</v>
      </c>
    </row>
    <row r="624" spans="1:7" x14ac:dyDescent="0.2">
      <c r="A624" s="95"/>
      <c r="B624" s="94"/>
      <c r="C624" s="94"/>
      <c r="D624" s="94"/>
      <c r="E624" s="94"/>
      <c r="F624" s="108"/>
      <c r="G624" s="108"/>
    </row>
    <row r="625" spans="1:7" ht="12" customHeight="1" x14ac:dyDescent="0.2">
      <c r="A625" s="95"/>
      <c r="B625" s="94"/>
      <c r="C625" s="94"/>
      <c r="D625" s="94"/>
      <c r="E625" s="94"/>
      <c r="F625" s="108"/>
      <c r="G625" s="108"/>
    </row>
    <row r="626" spans="1:7" x14ac:dyDescent="0.2">
      <c r="A626" s="1367" t="s">
        <v>1043</v>
      </c>
      <c r="B626" s="1368"/>
      <c r="C626" s="1368"/>
      <c r="D626" s="1368"/>
      <c r="E626" s="1369"/>
      <c r="F626" s="447" t="s">
        <v>24</v>
      </c>
      <c r="G626" s="446" t="s">
        <v>344</v>
      </c>
    </row>
    <row r="627" spans="1:7" x14ac:dyDescent="0.2">
      <c r="A627" s="1229" t="s">
        <v>25</v>
      </c>
      <c r="B627" s="1229"/>
      <c r="C627" s="1229"/>
      <c r="D627" s="1229"/>
      <c r="E627" s="1229"/>
      <c r="F627" s="1229"/>
      <c r="G627" s="1229"/>
    </row>
    <row r="628" spans="1:7" x14ac:dyDescent="0.2">
      <c r="A628" s="1234" t="s">
        <v>469</v>
      </c>
      <c r="B628" s="1235"/>
      <c r="C628" s="80" t="s">
        <v>26</v>
      </c>
      <c r="D628" s="80" t="s">
        <v>27</v>
      </c>
      <c r="E628" s="80" t="s">
        <v>28</v>
      </c>
      <c r="F628" s="80" t="s">
        <v>35</v>
      </c>
      <c r="G628" s="67"/>
    </row>
    <row r="629" spans="1:7" x14ac:dyDescent="0.2">
      <c r="A629" s="1236"/>
      <c r="B629" s="1236"/>
      <c r="C629" s="69"/>
      <c r="D629" s="62"/>
      <c r="E629" s="62"/>
      <c r="F629" s="62"/>
      <c r="G629" s="81"/>
    </row>
    <row r="630" spans="1:7" x14ac:dyDescent="0.2">
      <c r="A630" s="1236"/>
      <c r="B630" s="1236"/>
      <c r="C630" s="69"/>
      <c r="D630" s="62"/>
      <c r="E630" s="62"/>
      <c r="F630" s="62"/>
      <c r="G630" s="69"/>
    </row>
    <row r="631" spans="1:7" x14ac:dyDescent="0.2">
      <c r="A631" s="1236" t="s">
        <v>30</v>
      </c>
      <c r="B631" s="1236"/>
      <c r="C631" s="69"/>
      <c r="D631" s="69"/>
      <c r="E631" s="69"/>
      <c r="F631" s="62">
        <f>G659*0.05</f>
        <v>377.36111111111114</v>
      </c>
      <c r="G631" s="69"/>
    </row>
    <row r="632" spans="1:7" x14ac:dyDescent="0.2">
      <c r="A632" s="1236"/>
      <c r="B632" s="1236"/>
      <c r="C632" s="69"/>
      <c r="D632" s="69"/>
      <c r="E632" s="69"/>
      <c r="F632" s="69"/>
      <c r="G632" s="69"/>
    </row>
    <row r="633" spans="1:7" x14ac:dyDescent="0.2">
      <c r="A633" s="1236" t="s">
        <v>25</v>
      </c>
      <c r="B633" s="1236"/>
      <c r="C633" s="69"/>
      <c r="D633" s="69"/>
      <c r="E633" s="69"/>
      <c r="F633" s="69"/>
      <c r="G633" s="83" t="s">
        <v>31</v>
      </c>
    </row>
    <row r="634" spans="1:7" x14ac:dyDescent="0.2">
      <c r="A634" s="1237"/>
      <c r="B634" s="1237"/>
      <c r="C634" s="82"/>
      <c r="D634" s="82"/>
      <c r="E634" s="82"/>
      <c r="F634" s="82"/>
      <c r="G634" s="64">
        <f>F631+F630+F629</f>
        <v>377.36111111111114</v>
      </c>
    </row>
    <row r="635" spans="1:7" x14ac:dyDescent="0.2">
      <c r="A635" s="1234" t="s">
        <v>475</v>
      </c>
      <c r="B635" s="1235"/>
      <c r="C635" s="80" t="s">
        <v>32</v>
      </c>
      <c r="D635" s="80" t="s">
        <v>33</v>
      </c>
      <c r="E635" s="80" t="s">
        <v>34</v>
      </c>
      <c r="F635" s="80" t="s">
        <v>35</v>
      </c>
      <c r="G635" s="67"/>
    </row>
    <row r="636" spans="1:7" x14ac:dyDescent="0.2">
      <c r="A636" s="123"/>
      <c r="B636" s="890"/>
      <c r="C636" s="118"/>
      <c r="D636" s="118"/>
      <c r="E636" s="118"/>
      <c r="F636" s="118"/>
      <c r="G636" s="69"/>
    </row>
    <row r="637" spans="1:7" x14ac:dyDescent="0.2">
      <c r="A637" s="891" t="s">
        <v>2409</v>
      </c>
      <c r="B637" s="890"/>
      <c r="C637" s="118" t="s">
        <v>238</v>
      </c>
      <c r="D637" s="92">
        <v>4515.0467704387702</v>
      </c>
      <c r="E637" s="118">
        <v>1</v>
      </c>
      <c r="F637" s="85">
        <f t="shared" ref="F637:F642" si="3">D637*E637</f>
        <v>4515.0467704387702</v>
      </c>
      <c r="G637" s="69"/>
    </row>
    <row r="638" spans="1:7" x14ac:dyDescent="0.2">
      <c r="A638" s="1364" t="s">
        <v>2399</v>
      </c>
      <c r="B638" s="1365"/>
      <c r="C638" s="43" t="s">
        <v>50</v>
      </c>
      <c r="D638" s="97">
        <f>+D590</f>
        <v>40354.300000000003</v>
      </c>
      <c r="E638" s="102">
        <v>1</v>
      </c>
      <c r="F638" s="85">
        <f t="shared" si="3"/>
        <v>40354.300000000003</v>
      </c>
      <c r="G638" s="69"/>
    </row>
    <row r="639" spans="1:7" x14ac:dyDescent="0.2">
      <c r="A639" s="1364" t="s">
        <v>2400</v>
      </c>
      <c r="B639" s="1365"/>
      <c r="C639" s="63" t="s">
        <v>238</v>
      </c>
      <c r="D639" s="97">
        <f>+D591</f>
        <v>21265.681187000006</v>
      </c>
      <c r="E639" s="124">
        <v>0.2</v>
      </c>
      <c r="F639" s="85">
        <f t="shared" si="3"/>
        <v>4253.1362374000009</v>
      </c>
      <c r="G639" s="69"/>
    </row>
    <row r="640" spans="1:7" x14ac:dyDescent="0.2">
      <c r="A640" s="1229" t="s">
        <v>347</v>
      </c>
      <c r="B640" s="1365"/>
      <c r="C640" s="63">
        <v>0.25</v>
      </c>
      <c r="D640" s="97">
        <v>60173.689826250011</v>
      </c>
      <c r="E640" s="86">
        <v>0.04</v>
      </c>
      <c r="F640" s="85">
        <f t="shared" si="3"/>
        <v>2406.9475930500007</v>
      </c>
      <c r="G640" s="69"/>
    </row>
    <row r="641" spans="1:7" x14ac:dyDescent="0.2">
      <c r="A641" s="1229" t="s">
        <v>348</v>
      </c>
      <c r="B641" s="1365"/>
      <c r="C641" s="63">
        <v>0.25</v>
      </c>
      <c r="D641" s="97">
        <v>124798.03060725004</v>
      </c>
      <c r="E641" s="86">
        <v>0.04</v>
      </c>
      <c r="F641" s="85">
        <f t="shared" si="3"/>
        <v>4991.9212242900021</v>
      </c>
      <c r="G641" s="69"/>
    </row>
    <row r="642" spans="1:7" x14ac:dyDescent="0.2">
      <c r="A642" s="1366" t="s">
        <v>333</v>
      </c>
      <c r="B642" s="1365"/>
      <c r="C642" s="66" t="s">
        <v>54</v>
      </c>
      <c r="D642" s="97">
        <v>3014.5915800000007</v>
      </c>
      <c r="E642" s="98">
        <v>0.06</v>
      </c>
      <c r="F642" s="85">
        <f t="shared" si="3"/>
        <v>180.87549480000004</v>
      </c>
      <c r="G642" s="69"/>
    </row>
    <row r="643" spans="1:7" x14ac:dyDescent="0.2">
      <c r="A643" s="1228" t="s">
        <v>349</v>
      </c>
      <c r="B643" s="1229"/>
      <c r="C643" s="43" t="s">
        <v>51</v>
      </c>
      <c r="D643" s="97">
        <v>40964.300000000003</v>
      </c>
      <c r="E643" s="102">
        <v>5</v>
      </c>
      <c r="F643" s="85">
        <f>D643*0.05</f>
        <v>2048.2150000000001</v>
      </c>
      <c r="G643" s="43" t="s">
        <v>31</v>
      </c>
    </row>
    <row r="644" spans="1:7" x14ac:dyDescent="0.2">
      <c r="A644" s="886"/>
      <c r="B644" s="887"/>
      <c r="C644" s="43"/>
      <c r="D644" s="97"/>
      <c r="E644" s="92"/>
      <c r="F644" s="85"/>
      <c r="G644" s="43"/>
    </row>
    <row r="645" spans="1:7" x14ac:dyDescent="0.2">
      <c r="A645" s="1228"/>
      <c r="B645" s="1229"/>
      <c r="C645" s="69"/>
      <c r="D645" s="69"/>
      <c r="E645" s="69"/>
      <c r="F645" s="69"/>
      <c r="G645" s="65">
        <f>F638+F639+F640+F641+F642+F643+F637</f>
        <v>58750.442319978771</v>
      </c>
    </row>
    <row r="646" spans="1:7" ht="24" x14ac:dyDescent="0.2">
      <c r="A646" s="888" t="s">
        <v>329</v>
      </c>
      <c r="B646" s="89" t="s">
        <v>38</v>
      </c>
      <c r="C646" s="89" t="s">
        <v>39</v>
      </c>
      <c r="D646" s="80" t="s">
        <v>40</v>
      </c>
      <c r="E646" s="80" t="s">
        <v>34</v>
      </c>
      <c r="F646" s="80" t="s">
        <v>35</v>
      </c>
      <c r="G646" s="67"/>
    </row>
    <row r="647" spans="1:7" x14ac:dyDescent="0.2">
      <c r="A647" s="90"/>
      <c r="B647" s="43"/>
      <c r="C647" s="43"/>
      <c r="D647" s="62"/>
      <c r="E647" s="91"/>
      <c r="F647" s="62"/>
      <c r="G647" s="69"/>
    </row>
    <row r="648" spans="1:7" x14ac:dyDescent="0.2">
      <c r="A648" s="90"/>
      <c r="B648" s="43"/>
      <c r="C648" s="43"/>
      <c r="D648" s="62"/>
      <c r="E648" s="91"/>
      <c r="F648" s="62"/>
      <c r="G648" s="69"/>
    </row>
    <row r="649" spans="1:7" x14ac:dyDescent="0.2">
      <c r="A649" s="90"/>
      <c r="B649" s="43"/>
      <c r="C649" s="43"/>
      <c r="D649" s="62"/>
      <c r="E649" s="92"/>
      <c r="F649" s="62"/>
      <c r="G649" s="69"/>
    </row>
    <row r="650" spans="1:7" x14ac:dyDescent="0.2">
      <c r="A650" s="90" t="s">
        <v>25</v>
      </c>
      <c r="B650" s="43" t="s">
        <v>25</v>
      </c>
      <c r="C650" s="43" t="s">
        <v>25</v>
      </c>
      <c r="D650" s="61" t="s">
        <v>25</v>
      </c>
      <c r="E650" s="92" t="s">
        <v>25</v>
      </c>
      <c r="F650" s="62" t="s">
        <v>25</v>
      </c>
      <c r="G650" s="43" t="s">
        <v>31</v>
      </c>
    </row>
    <row r="651" spans="1:7" x14ac:dyDescent="0.2">
      <c r="A651" s="90"/>
      <c r="B651" s="69"/>
      <c r="C651" s="69"/>
      <c r="D651" s="69"/>
      <c r="E651" s="69"/>
      <c r="F651" s="69"/>
      <c r="G651" s="64"/>
    </row>
    <row r="652" spans="1:7" ht="24" x14ac:dyDescent="0.2">
      <c r="A652" s="888" t="s">
        <v>41</v>
      </c>
      <c r="B652" s="80" t="s">
        <v>42</v>
      </c>
      <c r="C652" s="80" t="s">
        <v>43</v>
      </c>
      <c r="D652" s="80" t="s">
        <v>44</v>
      </c>
      <c r="E652" s="89" t="s">
        <v>306</v>
      </c>
      <c r="F652" s="80" t="s">
        <v>35</v>
      </c>
      <c r="G652" s="67"/>
    </row>
    <row r="653" spans="1:7" x14ac:dyDescent="0.2">
      <c r="A653" s="81"/>
      <c r="B653" s="81"/>
      <c r="C653" s="81"/>
      <c r="D653" s="81"/>
      <c r="E653" s="81"/>
      <c r="F653" s="81"/>
      <c r="G653" s="81"/>
    </row>
    <row r="654" spans="1:7" x14ac:dyDescent="0.2">
      <c r="A654" s="69" t="s">
        <v>336</v>
      </c>
      <c r="B654" s="85">
        <v>44000</v>
      </c>
      <c r="C654" s="96">
        <v>0.9</v>
      </c>
      <c r="D654" s="62">
        <f>B654*C654+B654</f>
        <v>83600</v>
      </c>
      <c r="E654" s="121">
        <v>18</v>
      </c>
      <c r="F654" s="62">
        <f xml:space="preserve"> D654/E654</f>
        <v>4644.4444444444443</v>
      </c>
      <c r="G654" s="69"/>
    </row>
    <row r="655" spans="1:7" x14ac:dyDescent="0.2">
      <c r="A655" s="69" t="s">
        <v>315</v>
      </c>
      <c r="B655" s="85">
        <v>27500.000000000004</v>
      </c>
      <c r="C655" s="96">
        <v>0.9</v>
      </c>
      <c r="D655" s="62">
        <f>B655*C655+B655</f>
        <v>52250.000000000007</v>
      </c>
      <c r="E655" s="121">
        <v>18</v>
      </c>
      <c r="F655" s="62">
        <f xml:space="preserve"> D655/E655</f>
        <v>2902.7777777777783</v>
      </c>
      <c r="G655" s="69" t="s">
        <v>25</v>
      </c>
    </row>
    <row r="656" spans="1:7" x14ac:dyDescent="0.2">
      <c r="A656" s="69"/>
      <c r="B656" s="85"/>
      <c r="C656" s="96"/>
      <c r="D656" s="62"/>
      <c r="E656" s="121"/>
      <c r="F656" s="62"/>
      <c r="G656" s="69"/>
    </row>
    <row r="657" spans="1:7" x14ac:dyDescent="0.2">
      <c r="A657" s="69"/>
      <c r="B657" s="85"/>
      <c r="C657" s="69"/>
      <c r="D657" s="62"/>
      <c r="E657" s="69"/>
      <c r="F657" s="62"/>
      <c r="G657" s="69"/>
    </row>
    <row r="658" spans="1:7" x14ac:dyDescent="0.2">
      <c r="A658" s="69"/>
      <c r="B658" s="69"/>
      <c r="C658" s="69"/>
      <c r="D658" s="69"/>
      <c r="E658" s="69"/>
      <c r="F658" s="69"/>
      <c r="G658" s="43" t="s">
        <v>31</v>
      </c>
    </row>
    <row r="659" spans="1:7" x14ac:dyDescent="0.2">
      <c r="A659" s="82"/>
      <c r="B659" s="82"/>
      <c r="C659" s="82"/>
      <c r="D659" s="82"/>
      <c r="E659" s="82"/>
      <c r="F659" s="82"/>
      <c r="G659" s="64">
        <f>F657+F655+F654</f>
        <v>7547.2222222222226</v>
      </c>
    </row>
    <row r="660" spans="1:7" x14ac:dyDescent="0.2">
      <c r="A660" s="1230" t="s">
        <v>25</v>
      </c>
      <c r="B660" s="1230"/>
      <c r="C660" s="1230"/>
      <c r="D660" s="1230"/>
      <c r="E660" s="1230"/>
      <c r="F660" s="1230"/>
      <c r="G660" s="1233"/>
    </row>
    <row r="661" spans="1:7" x14ac:dyDescent="0.2">
      <c r="A661" s="1248" t="s">
        <v>45</v>
      </c>
      <c r="B661" s="1248"/>
      <c r="C661" s="1248"/>
      <c r="D661" s="1248"/>
      <c r="E661" s="1231"/>
      <c r="F661" s="93"/>
      <c r="G661" s="70">
        <f xml:space="preserve"> G659+G651+G645+G634</f>
        <v>66675.025653312099</v>
      </c>
    </row>
    <row r="662" spans="1:7" x14ac:dyDescent="0.2">
      <c r="A662" s="1232" t="s">
        <v>476</v>
      </c>
      <c r="B662" s="1232"/>
      <c r="C662" s="1222"/>
      <c r="D662" s="1222"/>
      <c r="E662" s="1222" t="s">
        <v>44</v>
      </c>
      <c r="F662" s="1222" t="s">
        <v>51</v>
      </c>
      <c r="G662" s="1222" t="s">
        <v>307</v>
      </c>
    </row>
    <row r="663" spans="1:7" x14ac:dyDescent="0.2">
      <c r="A663" s="1232"/>
      <c r="B663" s="1232"/>
      <c r="C663" s="1222"/>
      <c r="D663" s="1222"/>
      <c r="E663" s="1222"/>
      <c r="F663" s="1222"/>
      <c r="G663" s="1222"/>
    </row>
    <row r="664" spans="1:7" x14ac:dyDescent="0.2">
      <c r="A664" s="1244" t="s">
        <v>17</v>
      </c>
      <c r="B664" s="1244"/>
      <c r="C664" s="1244"/>
      <c r="D664" s="1244"/>
      <c r="E664" s="1244"/>
      <c r="F664" s="1221"/>
      <c r="G664" s="1222"/>
    </row>
    <row r="665" spans="1:7" x14ac:dyDescent="0.2">
      <c r="A665" s="1244" t="s">
        <v>308</v>
      </c>
      <c r="B665" s="1244"/>
      <c r="C665" s="1244"/>
      <c r="D665" s="1244"/>
      <c r="E665" s="1244"/>
      <c r="F665" s="1221"/>
      <c r="G665" s="1222"/>
    </row>
    <row r="666" spans="1:7" x14ac:dyDescent="0.2">
      <c r="A666" s="1244" t="s">
        <v>19</v>
      </c>
      <c r="B666" s="1244"/>
      <c r="C666" s="1244"/>
      <c r="D666" s="1244"/>
      <c r="E666" s="1244"/>
      <c r="F666" s="1221"/>
      <c r="G666" s="1222"/>
    </row>
    <row r="667" spans="1:7" x14ac:dyDescent="0.2">
      <c r="A667" s="1244" t="s">
        <v>309</v>
      </c>
      <c r="B667" s="1244"/>
      <c r="C667" s="1244"/>
      <c r="D667" s="1244"/>
      <c r="E667" s="1244"/>
      <c r="F667" s="1221"/>
      <c r="G667" s="1222"/>
    </row>
    <row r="668" spans="1:7" x14ac:dyDescent="0.2">
      <c r="A668" s="1245" t="s">
        <v>310</v>
      </c>
      <c r="B668" s="1245"/>
      <c r="C668" s="1245"/>
      <c r="D668" s="1245"/>
      <c r="E668" s="1245"/>
      <c r="F668" s="1222"/>
      <c r="G668" s="1222"/>
    </row>
    <row r="669" spans="1:7" x14ac:dyDescent="0.2">
      <c r="A669" s="112"/>
      <c r="B669" s="113"/>
      <c r="C669" s="113"/>
      <c r="D669" s="113"/>
      <c r="E669" s="114"/>
      <c r="F669" s="889"/>
      <c r="G669" s="889"/>
    </row>
    <row r="670" spans="1:7" x14ac:dyDescent="0.2">
      <c r="A670" s="95"/>
      <c r="B670" s="94"/>
      <c r="C670" s="94"/>
      <c r="D670" s="94"/>
      <c r="E670" s="94"/>
      <c r="F670" s="108"/>
      <c r="G670" s="108"/>
    </row>
    <row r="671" spans="1:7" x14ac:dyDescent="0.2">
      <c r="A671" s="95"/>
      <c r="B671" s="94"/>
      <c r="C671" s="94"/>
      <c r="D671" s="94"/>
      <c r="E671" s="94"/>
      <c r="F671" s="108" t="s">
        <v>300</v>
      </c>
      <c r="G671" s="108" t="s">
        <v>2397</v>
      </c>
    </row>
    <row r="672" spans="1:7" x14ac:dyDescent="0.2">
      <c r="A672" s="95"/>
      <c r="B672" s="94"/>
      <c r="C672" s="94"/>
      <c r="D672" s="94"/>
      <c r="E672" s="94"/>
      <c r="F672" s="108"/>
      <c r="G672" s="108"/>
    </row>
    <row r="673" spans="1:7" x14ac:dyDescent="0.2">
      <c r="A673" s="95"/>
      <c r="B673" s="94"/>
      <c r="C673" s="94"/>
      <c r="D673" s="94"/>
      <c r="E673" s="94"/>
      <c r="F673" s="108"/>
      <c r="G673" s="108"/>
    </row>
    <row r="674" spans="1:7" x14ac:dyDescent="0.2">
      <c r="A674" s="1367" t="s">
        <v>1044</v>
      </c>
      <c r="B674" s="1368"/>
      <c r="C674" s="1368"/>
      <c r="D674" s="1368"/>
      <c r="E674" s="1369"/>
      <c r="F674" s="447" t="s">
        <v>24</v>
      </c>
      <c r="G674" s="446" t="s">
        <v>344</v>
      </c>
    </row>
    <row r="675" spans="1:7" x14ac:dyDescent="0.2">
      <c r="A675" s="1229" t="s">
        <v>25</v>
      </c>
      <c r="B675" s="1229"/>
      <c r="C675" s="1229"/>
      <c r="D675" s="1229"/>
      <c r="E675" s="1229"/>
      <c r="F675" s="1229"/>
      <c r="G675" s="1229"/>
    </row>
    <row r="676" spans="1:7" x14ac:dyDescent="0.2">
      <c r="A676" s="1234" t="s">
        <v>469</v>
      </c>
      <c r="B676" s="1235"/>
      <c r="C676" s="80" t="s">
        <v>26</v>
      </c>
      <c r="D676" s="80" t="s">
        <v>27</v>
      </c>
      <c r="E676" s="80" t="s">
        <v>28</v>
      </c>
      <c r="F676" s="80" t="s">
        <v>35</v>
      </c>
      <c r="G676" s="67"/>
    </row>
    <row r="677" spans="1:7" x14ac:dyDescent="0.2">
      <c r="A677" s="1236"/>
      <c r="B677" s="1236"/>
      <c r="C677" s="69"/>
      <c r="D677" s="62"/>
      <c r="E677" s="62"/>
      <c r="F677" s="62"/>
      <c r="G677" s="81"/>
    </row>
    <row r="678" spans="1:7" x14ac:dyDescent="0.2">
      <c r="A678" s="1236"/>
      <c r="B678" s="1236"/>
      <c r="C678" s="69"/>
      <c r="D678" s="62"/>
      <c r="E678" s="62"/>
      <c r="F678" s="62"/>
      <c r="G678" s="69"/>
    </row>
    <row r="679" spans="1:7" x14ac:dyDescent="0.2">
      <c r="A679" s="1236" t="s">
        <v>30</v>
      </c>
      <c r="B679" s="1236"/>
      <c r="C679" s="69"/>
      <c r="D679" s="69"/>
      <c r="E679" s="69"/>
      <c r="F679" s="62">
        <f>G707*0.05</f>
        <v>377.36111111111114</v>
      </c>
      <c r="G679" s="69"/>
    </row>
    <row r="680" spans="1:7" x14ac:dyDescent="0.2">
      <c r="A680" s="1236"/>
      <c r="B680" s="1236"/>
      <c r="C680" s="69"/>
      <c r="D680" s="69"/>
      <c r="E680" s="69"/>
      <c r="F680" s="69"/>
      <c r="G680" s="69"/>
    </row>
    <row r="681" spans="1:7" x14ac:dyDescent="0.2">
      <c r="A681" s="1236" t="s">
        <v>25</v>
      </c>
      <c r="B681" s="1236"/>
      <c r="C681" s="69"/>
      <c r="D681" s="69"/>
      <c r="E681" s="69"/>
      <c r="F681" s="69"/>
      <c r="G681" s="83" t="s">
        <v>31</v>
      </c>
    </row>
    <row r="682" spans="1:7" x14ac:dyDescent="0.2">
      <c r="A682" s="1237"/>
      <c r="B682" s="1237"/>
      <c r="C682" s="82"/>
      <c r="D682" s="82"/>
      <c r="E682" s="82"/>
      <c r="F682" s="82"/>
      <c r="G682" s="64">
        <f>F679+F678+F677</f>
        <v>377.36111111111114</v>
      </c>
    </row>
    <row r="683" spans="1:7" x14ac:dyDescent="0.2">
      <c r="A683" s="1234" t="s">
        <v>475</v>
      </c>
      <c r="B683" s="1235"/>
      <c r="C683" s="80" t="s">
        <v>32</v>
      </c>
      <c r="D683" s="80" t="s">
        <v>33</v>
      </c>
      <c r="E683" s="80" t="s">
        <v>34</v>
      </c>
      <c r="F683" s="80" t="s">
        <v>35</v>
      </c>
      <c r="G683" s="67"/>
    </row>
    <row r="684" spans="1:7" x14ac:dyDescent="0.2">
      <c r="A684" s="123"/>
      <c r="B684" s="890"/>
      <c r="C684" s="118"/>
      <c r="D684" s="118"/>
      <c r="E684" s="118"/>
      <c r="F684" s="118"/>
      <c r="G684" s="69"/>
    </row>
    <row r="685" spans="1:7" x14ac:dyDescent="0.2">
      <c r="A685" s="891"/>
      <c r="B685" s="890"/>
      <c r="C685" s="118"/>
      <c r="D685" s="92"/>
      <c r="E685" s="118"/>
      <c r="F685" s="85"/>
      <c r="G685" s="69"/>
    </row>
    <row r="686" spans="1:7" x14ac:dyDescent="0.2">
      <c r="A686" s="1364" t="s">
        <v>2399</v>
      </c>
      <c r="B686" s="1365"/>
      <c r="C686" s="43" t="s">
        <v>50</v>
      </c>
      <c r="D686" s="97">
        <f>39464.3+2500</f>
        <v>41964.3</v>
      </c>
      <c r="E686" s="102">
        <v>1</v>
      </c>
      <c r="F686" s="85">
        <f>D686*E686</f>
        <v>41964.3</v>
      </c>
      <c r="G686" s="69"/>
    </row>
    <row r="687" spans="1:7" x14ac:dyDescent="0.2">
      <c r="A687" s="1364" t="s">
        <v>2400</v>
      </c>
      <c r="B687" s="1365"/>
      <c r="C687" s="63" t="s">
        <v>238</v>
      </c>
      <c r="D687" s="97">
        <f>20315.681187+2200</f>
        <v>22515.681186999998</v>
      </c>
      <c r="E687" s="124">
        <v>0.2</v>
      </c>
      <c r="F687" s="85">
        <f>D687*E687</f>
        <v>4503.1362374</v>
      </c>
      <c r="G687" s="69"/>
    </row>
    <row r="688" spans="1:7" x14ac:dyDescent="0.2">
      <c r="A688" s="1229" t="s">
        <v>347</v>
      </c>
      <c r="B688" s="1365"/>
      <c r="C688" s="63">
        <v>0.25</v>
      </c>
      <c r="D688" s="97">
        <v>60173.689826250011</v>
      </c>
      <c r="E688" s="86">
        <v>0.04</v>
      </c>
      <c r="F688" s="85">
        <f>D688*E688</f>
        <v>2406.9475930500007</v>
      </c>
      <c r="G688" s="69"/>
    </row>
    <row r="689" spans="1:7" x14ac:dyDescent="0.2">
      <c r="A689" s="1229" t="s">
        <v>348</v>
      </c>
      <c r="B689" s="1365"/>
      <c r="C689" s="63">
        <v>0.25</v>
      </c>
      <c r="D689" s="97">
        <v>124798.03060725004</v>
      </c>
      <c r="E689" s="86">
        <v>0.04</v>
      </c>
      <c r="F689" s="85">
        <f>D689*E689</f>
        <v>4991.9212242900021</v>
      </c>
      <c r="G689" s="69"/>
    </row>
    <row r="690" spans="1:7" x14ac:dyDescent="0.2">
      <c r="A690" s="1366" t="s">
        <v>333</v>
      </c>
      <c r="B690" s="1365"/>
      <c r="C690" s="66" t="s">
        <v>54</v>
      </c>
      <c r="D690" s="97">
        <v>3014.5915800000007</v>
      </c>
      <c r="E690" s="98">
        <v>0.06</v>
      </c>
      <c r="F690" s="85">
        <f>D690*E690</f>
        <v>180.87549480000004</v>
      </c>
      <c r="G690" s="69"/>
    </row>
    <row r="691" spans="1:7" x14ac:dyDescent="0.2">
      <c r="A691" s="1228" t="s">
        <v>349</v>
      </c>
      <c r="B691" s="1229"/>
      <c r="C691" s="43" t="s">
        <v>51</v>
      </c>
      <c r="D691" s="97">
        <v>40964.300000000003</v>
      </c>
      <c r="E691" s="102">
        <v>5</v>
      </c>
      <c r="F691" s="85">
        <f>D691*0.05</f>
        <v>2048.2150000000001</v>
      </c>
      <c r="G691" s="43" t="s">
        <v>31</v>
      </c>
    </row>
    <row r="692" spans="1:7" x14ac:dyDescent="0.2">
      <c r="A692" s="886"/>
      <c r="B692" s="887"/>
      <c r="C692" s="43"/>
      <c r="D692" s="97"/>
      <c r="E692" s="92"/>
      <c r="F692" s="85"/>
      <c r="G692" s="43"/>
    </row>
    <row r="693" spans="1:7" x14ac:dyDescent="0.2">
      <c r="A693" s="1228"/>
      <c r="B693" s="1229"/>
      <c r="C693" s="69"/>
      <c r="D693" s="69"/>
      <c r="E693" s="69"/>
      <c r="F693" s="69"/>
      <c r="G693" s="65">
        <f>F686+F687+F688+F689+F690+F691+F685</f>
        <v>56095.395549540001</v>
      </c>
    </row>
    <row r="694" spans="1:7" ht="24" x14ac:dyDescent="0.2">
      <c r="A694" s="888" t="s">
        <v>329</v>
      </c>
      <c r="B694" s="89" t="s">
        <v>38</v>
      </c>
      <c r="C694" s="89" t="s">
        <v>39</v>
      </c>
      <c r="D694" s="80" t="s">
        <v>40</v>
      </c>
      <c r="E694" s="80" t="s">
        <v>34</v>
      </c>
      <c r="F694" s="80" t="s">
        <v>35</v>
      </c>
      <c r="G694" s="67"/>
    </row>
    <row r="695" spans="1:7" x14ac:dyDescent="0.2">
      <c r="A695" s="90"/>
      <c r="B695" s="43"/>
      <c r="C695" s="43"/>
      <c r="D695" s="62"/>
      <c r="E695" s="91"/>
      <c r="F695" s="62"/>
      <c r="G695" s="69"/>
    </row>
    <row r="696" spans="1:7" x14ac:dyDescent="0.2">
      <c r="A696" s="90"/>
      <c r="B696" s="43"/>
      <c r="C696" s="43"/>
      <c r="D696" s="62"/>
      <c r="E696" s="91"/>
      <c r="F696" s="62"/>
      <c r="G696" s="69"/>
    </row>
    <row r="697" spans="1:7" x14ac:dyDescent="0.2">
      <c r="A697" s="90"/>
      <c r="B697" s="43"/>
      <c r="C697" s="43"/>
      <c r="D697" s="62"/>
      <c r="E697" s="92"/>
      <c r="F697" s="62"/>
      <c r="G697" s="69"/>
    </row>
    <row r="698" spans="1:7" x14ac:dyDescent="0.2">
      <c r="A698" s="90" t="s">
        <v>25</v>
      </c>
      <c r="B698" s="43" t="s">
        <v>25</v>
      </c>
      <c r="C698" s="43" t="s">
        <v>25</v>
      </c>
      <c r="D698" s="61" t="s">
        <v>25</v>
      </c>
      <c r="E698" s="92" t="s">
        <v>25</v>
      </c>
      <c r="F698" s="62" t="s">
        <v>25</v>
      </c>
      <c r="G698" s="43" t="s">
        <v>31</v>
      </c>
    </row>
    <row r="699" spans="1:7" x14ac:dyDescent="0.2">
      <c r="A699" s="90"/>
      <c r="B699" s="69"/>
      <c r="C699" s="69"/>
      <c r="D699" s="69"/>
      <c r="E699" s="69"/>
      <c r="F699" s="69"/>
      <c r="G699" s="64"/>
    </row>
    <row r="700" spans="1:7" ht="24" x14ac:dyDescent="0.2">
      <c r="A700" s="888" t="s">
        <v>41</v>
      </c>
      <c r="B700" s="80" t="s">
        <v>42</v>
      </c>
      <c r="C700" s="80" t="s">
        <v>43</v>
      </c>
      <c r="D700" s="80" t="s">
        <v>44</v>
      </c>
      <c r="E700" s="89" t="s">
        <v>306</v>
      </c>
      <c r="F700" s="80" t="s">
        <v>35</v>
      </c>
      <c r="G700" s="67"/>
    </row>
    <row r="701" spans="1:7" x14ac:dyDescent="0.2">
      <c r="A701" s="81"/>
      <c r="B701" s="81"/>
      <c r="C701" s="81"/>
      <c r="D701" s="81"/>
      <c r="E701" s="81"/>
      <c r="F701" s="81"/>
      <c r="G701" s="81"/>
    </row>
    <row r="702" spans="1:7" x14ac:dyDescent="0.2">
      <c r="A702" s="69" t="s">
        <v>336</v>
      </c>
      <c r="B702" s="85">
        <v>44000</v>
      </c>
      <c r="C702" s="96">
        <v>0.9</v>
      </c>
      <c r="D702" s="62">
        <f>B702*C702+B702</f>
        <v>83600</v>
      </c>
      <c r="E702" s="121">
        <v>18</v>
      </c>
      <c r="F702" s="62">
        <f xml:space="preserve"> D702/E702</f>
        <v>4644.4444444444443</v>
      </c>
      <c r="G702" s="69"/>
    </row>
    <row r="703" spans="1:7" x14ac:dyDescent="0.2">
      <c r="A703" s="69" t="s">
        <v>315</v>
      </c>
      <c r="B703" s="85">
        <v>27500.000000000004</v>
      </c>
      <c r="C703" s="96">
        <v>0.9</v>
      </c>
      <c r="D703" s="62">
        <f>B703*C703+B703</f>
        <v>52250.000000000007</v>
      </c>
      <c r="E703" s="121">
        <v>18</v>
      </c>
      <c r="F703" s="62">
        <f xml:space="preserve"> D703/E703</f>
        <v>2902.7777777777783</v>
      </c>
      <c r="G703" s="69" t="s">
        <v>25</v>
      </c>
    </row>
    <row r="704" spans="1:7" x14ac:dyDescent="0.2">
      <c r="A704" s="69"/>
      <c r="B704" s="85"/>
      <c r="C704" s="96"/>
      <c r="D704" s="62"/>
      <c r="E704" s="121"/>
      <c r="F704" s="62"/>
      <c r="G704" s="69"/>
    </row>
    <row r="705" spans="1:7" x14ac:dyDescent="0.2">
      <c r="A705" s="69"/>
      <c r="B705" s="85"/>
      <c r="C705" s="69"/>
      <c r="D705" s="62"/>
      <c r="E705" s="69"/>
      <c r="F705" s="62"/>
      <c r="G705" s="69"/>
    </row>
    <row r="706" spans="1:7" x14ac:dyDescent="0.2">
      <c r="A706" s="69"/>
      <c r="B706" s="69"/>
      <c r="C706" s="69"/>
      <c r="D706" s="69"/>
      <c r="E706" s="69"/>
      <c r="F706" s="69"/>
      <c r="G706" s="43" t="s">
        <v>31</v>
      </c>
    </row>
    <row r="707" spans="1:7" x14ac:dyDescent="0.2">
      <c r="A707" s="82"/>
      <c r="B707" s="82"/>
      <c r="C707" s="82"/>
      <c r="D707" s="82"/>
      <c r="E707" s="82"/>
      <c r="F707" s="82"/>
      <c r="G707" s="64">
        <f>F705+F703+F702</f>
        <v>7547.2222222222226</v>
      </c>
    </row>
    <row r="708" spans="1:7" x14ac:dyDescent="0.2">
      <c r="A708" s="1230" t="s">
        <v>25</v>
      </c>
      <c r="B708" s="1230"/>
      <c r="C708" s="1230"/>
      <c r="D708" s="1230"/>
      <c r="E708" s="1230"/>
      <c r="F708" s="1230"/>
      <c r="G708" s="1233"/>
    </row>
    <row r="709" spans="1:7" x14ac:dyDescent="0.2">
      <c r="A709" s="1248" t="s">
        <v>45</v>
      </c>
      <c r="B709" s="1248"/>
      <c r="C709" s="1248"/>
      <c r="D709" s="1248"/>
      <c r="E709" s="1231"/>
      <c r="F709" s="93"/>
      <c r="G709" s="70">
        <f xml:space="preserve"> G707+G699+G693+G682</f>
        <v>64019.978882873329</v>
      </c>
    </row>
    <row r="710" spans="1:7" x14ac:dyDescent="0.2">
      <c r="A710" s="1232" t="s">
        <v>476</v>
      </c>
      <c r="B710" s="1232"/>
      <c r="C710" s="1222"/>
      <c r="D710" s="1222"/>
      <c r="E710" s="1222" t="s">
        <v>44</v>
      </c>
      <c r="F710" s="1222" t="s">
        <v>51</v>
      </c>
      <c r="G710" s="1222" t="s">
        <v>307</v>
      </c>
    </row>
    <row r="711" spans="1:7" x14ac:dyDescent="0.2">
      <c r="A711" s="1232"/>
      <c r="B711" s="1232"/>
      <c r="C711" s="1222"/>
      <c r="D711" s="1222"/>
      <c r="E711" s="1222"/>
      <c r="F711" s="1222"/>
      <c r="G711" s="1222"/>
    </row>
    <row r="712" spans="1:7" x14ac:dyDescent="0.2">
      <c r="A712" s="1244" t="s">
        <v>17</v>
      </c>
      <c r="B712" s="1244"/>
      <c r="C712" s="1244"/>
      <c r="D712" s="1244"/>
      <c r="E712" s="1244"/>
      <c r="F712" s="1221"/>
      <c r="G712" s="1222"/>
    </row>
    <row r="713" spans="1:7" x14ac:dyDescent="0.2">
      <c r="A713" s="1244" t="s">
        <v>308</v>
      </c>
      <c r="B713" s="1244"/>
      <c r="C713" s="1244"/>
      <c r="D713" s="1244"/>
      <c r="E713" s="1244"/>
      <c r="F713" s="1221"/>
      <c r="G713" s="1222"/>
    </row>
    <row r="714" spans="1:7" x14ac:dyDescent="0.2">
      <c r="A714" s="1244" t="s">
        <v>19</v>
      </c>
      <c r="B714" s="1244"/>
      <c r="C714" s="1244"/>
      <c r="D714" s="1244"/>
      <c r="E714" s="1244"/>
      <c r="F714" s="1221"/>
      <c r="G714" s="1222"/>
    </row>
    <row r="715" spans="1:7" x14ac:dyDescent="0.2">
      <c r="A715" s="1244" t="s">
        <v>309</v>
      </c>
      <c r="B715" s="1244"/>
      <c r="C715" s="1244"/>
      <c r="D715" s="1244"/>
      <c r="E715" s="1244"/>
      <c r="F715" s="1221"/>
      <c r="G715" s="1222"/>
    </row>
    <row r="716" spans="1:7" x14ac:dyDescent="0.2">
      <c r="A716" s="1245" t="s">
        <v>310</v>
      </c>
      <c r="B716" s="1245"/>
      <c r="C716" s="1245"/>
      <c r="D716" s="1245"/>
      <c r="E716" s="1245"/>
      <c r="F716" s="1222"/>
      <c r="G716" s="1222"/>
    </row>
    <row r="717" spans="1:7" x14ac:dyDescent="0.2">
      <c r="A717" s="112"/>
      <c r="B717" s="113"/>
      <c r="C717" s="113"/>
      <c r="D717" s="113"/>
      <c r="E717" s="114"/>
      <c r="F717" s="889"/>
      <c r="G717" s="889"/>
    </row>
    <row r="718" spans="1:7" x14ac:dyDescent="0.2">
      <c r="A718" s="95"/>
      <c r="B718" s="94"/>
      <c r="C718" s="94"/>
      <c r="D718" s="94"/>
      <c r="E718" s="94"/>
      <c r="F718" s="108"/>
      <c r="G718" s="108"/>
    </row>
    <row r="719" spans="1:7" x14ac:dyDescent="0.2">
      <c r="A719" s="95"/>
      <c r="B719" s="94"/>
      <c r="C719" s="94"/>
      <c r="D719" s="94"/>
      <c r="E719" s="94"/>
      <c r="F719" s="108" t="s">
        <v>300</v>
      </c>
      <c r="G719" s="108" t="s">
        <v>2398</v>
      </c>
    </row>
    <row r="720" spans="1:7" x14ac:dyDescent="0.2">
      <c r="A720" s="95"/>
      <c r="B720" s="94"/>
      <c r="C720" s="94"/>
      <c r="D720" s="94"/>
      <c r="E720" s="94"/>
      <c r="F720" s="108"/>
      <c r="G720" s="108"/>
    </row>
    <row r="721" spans="1:7" x14ac:dyDescent="0.2">
      <c r="A721" s="95"/>
      <c r="B721" s="94"/>
      <c r="C721" s="94"/>
      <c r="D721" s="94"/>
      <c r="E721" s="94"/>
      <c r="F721" s="108"/>
      <c r="G721" s="108"/>
    </row>
    <row r="722" spans="1:7" x14ac:dyDescent="0.2">
      <c r="A722" s="1367" t="s">
        <v>1045</v>
      </c>
      <c r="B722" s="1368"/>
      <c r="C722" s="1368"/>
      <c r="D722" s="1368"/>
      <c r="E722" s="1369"/>
      <c r="F722" s="447" t="s">
        <v>24</v>
      </c>
      <c r="G722" s="446" t="s">
        <v>344</v>
      </c>
    </row>
    <row r="723" spans="1:7" x14ac:dyDescent="0.2">
      <c r="A723" s="1229" t="s">
        <v>25</v>
      </c>
      <c r="B723" s="1229"/>
      <c r="C723" s="1229"/>
      <c r="D723" s="1229"/>
      <c r="E723" s="1229"/>
      <c r="F723" s="1229"/>
      <c r="G723" s="1229"/>
    </row>
    <row r="724" spans="1:7" x14ac:dyDescent="0.2">
      <c r="A724" s="1234" t="s">
        <v>469</v>
      </c>
      <c r="B724" s="1235"/>
      <c r="C724" s="80" t="s">
        <v>26</v>
      </c>
      <c r="D724" s="80" t="s">
        <v>27</v>
      </c>
      <c r="E724" s="80" t="s">
        <v>28</v>
      </c>
      <c r="F724" s="80" t="s">
        <v>35</v>
      </c>
      <c r="G724" s="67"/>
    </row>
    <row r="725" spans="1:7" x14ac:dyDescent="0.2">
      <c r="A725" s="1236"/>
      <c r="B725" s="1236"/>
      <c r="C725" s="69"/>
      <c r="D725" s="62"/>
      <c r="E725" s="62"/>
      <c r="F725" s="62"/>
      <c r="G725" s="81"/>
    </row>
    <row r="726" spans="1:7" x14ac:dyDescent="0.2">
      <c r="A726" s="1236"/>
      <c r="B726" s="1236"/>
      <c r="C726" s="69"/>
      <c r="D726" s="62"/>
      <c r="E726" s="62"/>
      <c r="F726" s="62"/>
      <c r="G726" s="69"/>
    </row>
    <row r="727" spans="1:7" x14ac:dyDescent="0.2">
      <c r="A727" s="1236" t="s">
        <v>30</v>
      </c>
      <c r="B727" s="1236"/>
      <c r="C727" s="69"/>
      <c r="D727" s="69"/>
      <c r="E727" s="69"/>
      <c r="F727" s="62">
        <f>G755*0.05</f>
        <v>377.36111111111114</v>
      </c>
      <c r="G727" s="69"/>
    </row>
    <row r="728" spans="1:7" x14ac:dyDescent="0.2">
      <c r="A728" s="1236"/>
      <c r="B728" s="1236"/>
      <c r="C728" s="69"/>
      <c r="D728" s="69"/>
      <c r="E728" s="69"/>
      <c r="F728" s="69"/>
      <c r="G728" s="69"/>
    </row>
    <row r="729" spans="1:7" x14ac:dyDescent="0.2">
      <c r="A729" s="1236" t="s">
        <v>25</v>
      </c>
      <c r="B729" s="1236"/>
      <c r="C729" s="69"/>
      <c r="D729" s="69"/>
      <c r="E729" s="69"/>
      <c r="F729" s="69"/>
      <c r="G729" s="83" t="s">
        <v>31</v>
      </c>
    </row>
    <row r="730" spans="1:7" x14ac:dyDescent="0.2">
      <c r="A730" s="1237"/>
      <c r="B730" s="1237"/>
      <c r="C730" s="82"/>
      <c r="D730" s="82"/>
      <c r="E730" s="82"/>
      <c r="F730" s="82"/>
      <c r="G730" s="64">
        <f>F727+F726+F725</f>
        <v>377.36111111111114</v>
      </c>
    </row>
    <row r="731" spans="1:7" x14ac:dyDescent="0.2">
      <c r="A731" s="1234" t="s">
        <v>475</v>
      </c>
      <c r="B731" s="1235"/>
      <c r="C731" s="80" t="s">
        <v>32</v>
      </c>
      <c r="D731" s="80" t="s">
        <v>33</v>
      </c>
      <c r="E731" s="80" t="s">
        <v>34</v>
      </c>
      <c r="F731" s="80" t="s">
        <v>35</v>
      </c>
      <c r="G731" s="67"/>
    </row>
    <row r="732" spans="1:7" x14ac:dyDescent="0.2">
      <c r="A732" s="123"/>
      <c r="B732" s="890"/>
      <c r="C732" s="118"/>
      <c r="D732" s="118"/>
      <c r="E732" s="118"/>
      <c r="F732" s="118"/>
      <c r="G732" s="69"/>
    </row>
    <row r="733" spans="1:7" x14ac:dyDescent="0.2">
      <c r="A733" s="891"/>
      <c r="B733" s="890"/>
      <c r="C733" s="118"/>
      <c r="D733" s="92"/>
      <c r="E733" s="118"/>
      <c r="F733" s="85"/>
      <c r="G733" s="69"/>
    </row>
    <row r="734" spans="1:7" x14ac:dyDescent="0.2">
      <c r="A734" s="1364" t="s">
        <v>2399</v>
      </c>
      <c r="B734" s="1365"/>
      <c r="C734" s="43" t="s">
        <v>50</v>
      </c>
      <c r="D734" s="97">
        <f>39464.3+3500</f>
        <v>42964.3</v>
      </c>
      <c r="E734" s="102">
        <v>1</v>
      </c>
      <c r="F734" s="85">
        <f>D734*E734</f>
        <v>42964.3</v>
      </c>
      <c r="G734" s="69"/>
    </row>
    <row r="735" spans="1:7" x14ac:dyDescent="0.2">
      <c r="A735" s="1364" t="s">
        <v>2400</v>
      </c>
      <c r="B735" s="1365"/>
      <c r="C735" s="63" t="s">
        <v>238</v>
      </c>
      <c r="D735" s="97">
        <f>20315.681187+3200</f>
        <v>23515.681186999998</v>
      </c>
      <c r="E735" s="124">
        <v>0.2</v>
      </c>
      <c r="F735" s="85">
        <f>D735*E735</f>
        <v>4703.1362374</v>
      </c>
      <c r="G735" s="69"/>
    </row>
    <row r="736" spans="1:7" x14ac:dyDescent="0.2">
      <c r="A736" s="1229" t="s">
        <v>347</v>
      </c>
      <c r="B736" s="1365"/>
      <c r="C736" s="63">
        <v>0.25</v>
      </c>
      <c r="D736" s="97">
        <v>60173.689826250011</v>
      </c>
      <c r="E736" s="86">
        <v>0.04</v>
      </c>
      <c r="F736" s="85">
        <f>D736*E736</f>
        <v>2406.9475930500007</v>
      </c>
      <c r="G736" s="69"/>
    </row>
    <row r="737" spans="1:7" x14ac:dyDescent="0.2">
      <c r="A737" s="1229" t="s">
        <v>348</v>
      </c>
      <c r="B737" s="1365"/>
      <c r="C737" s="63">
        <v>0.25</v>
      </c>
      <c r="D737" s="97">
        <v>124798.03060725004</v>
      </c>
      <c r="E737" s="86">
        <v>0.04</v>
      </c>
      <c r="F737" s="85">
        <f>D737*E737</f>
        <v>4991.9212242900021</v>
      </c>
      <c r="G737" s="69"/>
    </row>
    <row r="738" spans="1:7" x14ac:dyDescent="0.2">
      <c r="A738" s="1366" t="s">
        <v>333</v>
      </c>
      <c r="B738" s="1365"/>
      <c r="C738" s="66" t="s">
        <v>54</v>
      </c>
      <c r="D738" s="97">
        <v>3014.5915800000007</v>
      </c>
      <c r="E738" s="98">
        <v>0.06</v>
      </c>
      <c r="F738" s="85">
        <f>D738*E738</f>
        <v>180.87549480000004</v>
      </c>
      <c r="G738" s="69"/>
    </row>
    <row r="739" spans="1:7" x14ac:dyDescent="0.2">
      <c r="A739" s="1228" t="s">
        <v>349</v>
      </c>
      <c r="B739" s="1229"/>
      <c r="C739" s="43" t="s">
        <v>51</v>
      </c>
      <c r="D739" s="97">
        <v>40964.300000000003</v>
      </c>
      <c r="E739" s="102">
        <v>5</v>
      </c>
      <c r="F739" s="85">
        <f>D739*0.05</f>
        <v>2048.2150000000001</v>
      </c>
      <c r="G739" s="43" t="s">
        <v>31</v>
      </c>
    </row>
    <row r="740" spans="1:7" x14ac:dyDescent="0.2">
      <c r="A740" s="886"/>
      <c r="B740" s="887"/>
      <c r="C740" s="43"/>
      <c r="D740" s="97"/>
      <c r="E740" s="92"/>
      <c r="F740" s="85"/>
      <c r="G740" s="43"/>
    </row>
    <row r="741" spans="1:7" x14ac:dyDescent="0.2">
      <c r="A741" s="1228"/>
      <c r="B741" s="1229"/>
      <c r="C741" s="69"/>
      <c r="D741" s="69"/>
      <c r="E741" s="69"/>
      <c r="F741" s="69"/>
      <c r="G741" s="65">
        <f>F734+F735+F736+F737+F738+F739+F733</f>
        <v>57295.395549540001</v>
      </c>
    </row>
    <row r="742" spans="1:7" ht="24" x14ac:dyDescent="0.2">
      <c r="A742" s="888" t="s">
        <v>329</v>
      </c>
      <c r="B742" s="89" t="s">
        <v>38</v>
      </c>
      <c r="C742" s="89" t="s">
        <v>39</v>
      </c>
      <c r="D742" s="80" t="s">
        <v>40</v>
      </c>
      <c r="E742" s="80" t="s">
        <v>34</v>
      </c>
      <c r="F742" s="80" t="s">
        <v>35</v>
      </c>
      <c r="G742" s="67"/>
    </row>
    <row r="743" spans="1:7" x14ac:dyDescent="0.2">
      <c r="A743" s="90"/>
      <c r="B743" s="43"/>
      <c r="C743" s="43"/>
      <c r="D743" s="62"/>
      <c r="E743" s="91"/>
      <c r="F743" s="62"/>
      <c r="G743" s="69"/>
    </row>
    <row r="744" spans="1:7" x14ac:dyDescent="0.2">
      <c r="A744" s="90"/>
      <c r="B744" s="43"/>
      <c r="C744" s="43"/>
      <c r="D744" s="62"/>
      <c r="E744" s="91"/>
      <c r="F744" s="62"/>
      <c r="G744" s="69"/>
    </row>
    <row r="745" spans="1:7" x14ac:dyDescent="0.2">
      <c r="A745" s="90"/>
      <c r="B745" s="43"/>
      <c r="C745" s="43"/>
      <c r="D745" s="62"/>
      <c r="E745" s="92"/>
      <c r="F745" s="62"/>
      <c r="G745" s="69"/>
    </row>
    <row r="746" spans="1:7" x14ac:dyDescent="0.2">
      <c r="A746" s="90" t="s">
        <v>25</v>
      </c>
      <c r="B746" s="43" t="s">
        <v>25</v>
      </c>
      <c r="C746" s="43" t="s">
        <v>25</v>
      </c>
      <c r="D746" s="61" t="s">
        <v>25</v>
      </c>
      <c r="E746" s="92" t="s">
        <v>25</v>
      </c>
      <c r="F746" s="62" t="s">
        <v>25</v>
      </c>
      <c r="G746" s="43" t="s">
        <v>31</v>
      </c>
    </row>
    <row r="747" spans="1:7" x14ac:dyDescent="0.2">
      <c r="A747" s="90"/>
      <c r="B747" s="69"/>
      <c r="C747" s="69"/>
      <c r="D747" s="69"/>
      <c r="E747" s="69"/>
      <c r="F747" s="69"/>
      <c r="G747" s="64"/>
    </row>
    <row r="748" spans="1:7" ht="24" x14ac:dyDescent="0.2">
      <c r="A748" s="888" t="s">
        <v>41</v>
      </c>
      <c r="B748" s="80" t="s">
        <v>42</v>
      </c>
      <c r="C748" s="80" t="s">
        <v>43</v>
      </c>
      <c r="D748" s="80" t="s">
        <v>44</v>
      </c>
      <c r="E748" s="89" t="s">
        <v>306</v>
      </c>
      <c r="F748" s="80" t="s">
        <v>35</v>
      </c>
      <c r="G748" s="67"/>
    </row>
    <row r="749" spans="1:7" x14ac:dyDescent="0.2">
      <c r="A749" s="81"/>
      <c r="B749" s="81"/>
      <c r="C749" s="81"/>
      <c r="D749" s="81"/>
      <c r="E749" s="81"/>
      <c r="F749" s="81"/>
      <c r="G749" s="81"/>
    </row>
    <row r="750" spans="1:7" x14ac:dyDescent="0.2">
      <c r="A750" s="69" t="s">
        <v>336</v>
      </c>
      <c r="B750" s="85">
        <v>44000</v>
      </c>
      <c r="C750" s="96">
        <v>0.9</v>
      </c>
      <c r="D750" s="62">
        <f>B750*C750+B750</f>
        <v>83600</v>
      </c>
      <c r="E750" s="121">
        <v>18</v>
      </c>
      <c r="F750" s="62">
        <f xml:space="preserve"> D750/E750</f>
        <v>4644.4444444444443</v>
      </c>
      <c r="G750" s="69"/>
    </row>
    <row r="751" spans="1:7" x14ac:dyDescent="0.2">
      <c r="A751" s="69" t="s">
        <v>315</v>
      </c>
      <c r="B751" s="85">
        <v>27500.000000000004</v>
      </c>
      <c r="C751" s="96">
        <v>0.9</v>
      </c>
      <c r="D751" s="62">
        <f>B751*C751+B751</f>
        <v>52250.000000000007</v>
      </c>
      <c r="E751" s="121">
        <v>18</v>
      </c>
      <c r="F751" s="62">
        <f xml:space="preserve"> D751/E751</f>
        <v>2902.7777777777783</v>
      </c>
      <c r="G751" s="69" t="s">
        <v>25</v>
      </c>
    </row>
    <row r="752" spans="1:7" x14ac:dyDescent="0.2">
      <c r="A752" s="69"/>
      <c r="B752" s="85"/>
      <c r="C752" s="96"/>
      <c r="D752" s="62"/>
      <c r="E752" s="121"/>
      <c r="F752" s="62"/>
      <c r="G752" s="69"/>
    </row>
    <row r="753" spans="1:7" x14ac:dyDescent="0.2">
      <c r="A753" s="69"/>
      <c r="B753" s="85"/>
      <c r="C753" s="69"/>
      <c r="D753" s="62"/>
      <c r="E753" s="69"/>
      <c r="F753" s="62"/>
      <c r="G753" s="69"/>
    </row>
    <row r="754" spans="1:7" x14ac:dyDescent="0.2">
      <c r="A754" s="69"/>
      <c r="B754" s="69"/>
      <c r="C754" s="69"/>
      <c r="D754" s="69"/>
      <c r="E754" s="69"/>
      <c r="F754" s="69"/>
      <c r="G754" s="43" t="s">
        <v>31</v>
      </c>
    </row>
    <row r="755" spans="1:7" x14ac:dyDescent="0.2">
      <c r="A755" s="82"/>
      <c r="B755" s="82"/>
      <c r="C755" s="82"/>
      <c r="D755" s="82"/>
      <c r="E755" s="82"/>
      <c r="F755" s="82"/>
      <c r="G755" s="64">
        <f>F753+F751+F750</f>
        <v>7547.2222222222226</v>
      </c>
    </row>
    <row r="756" spans="1:7" x14ac:dyDescent="0.2">
      <c r="A756" s="1230" t="s">
        <v>25</v>
      </c>
      <c r="B756" s="1230"/>
      <c r="C756" s="1230"/>
      <c r="D756" s="1230"/>
      <c r="E756" s="1230"/>
      <c r="F756" s="1230"/>
      <c r="G756" s="1233"/>
    </row>
    <row r="757" spans="1:7" x14ac:dyDescent="0.2">
      <c r="A757" s="1248" t="s">
        <v>45</v>
      </c>
      <c r="B757" s="1248"/>
      <c r="C757" s="1248"/>
      <c r="D757" s="1248"/>
      <c r="E757" s="1231"/>
      <c r="F757" s="93"/>
      <c r="G757" s="70">
        <f xml:space="preserve"> G755+G747+G741+G730</f>
        <v>65219.978882873329</v>
      </c>
    </row>
    <row r="758" spans="1:7" x14ac:dyDescent="0.2">
      <c r="A758" s="1232" t="s">
        <v>476</v>
      </c>
      <c r="B758" s="1232"/>
      <c r="C758" s="1222"/>
      <c r="D758" s="1222"/>
      <c r="E758" s="1222" t="s">
        <v>44</v>
      </c>
      <c r="F758" s="1222" t="s">
        <v>51</v>
      </c>
      <c r="G758" s="1222" t="s">
        <v>307</v>
      </c>
    </row>
    <row r="759" spans="1:7" x14ac:dyDescent="0.2">
      <c r="A759" s="1232"/>
      <c r="B759" s="1232"/>
      <c r="C759" s="1222"/>
      <c r="D759" s="1222"/>
      <c r="E759" s="1222"/>
      <c r="F759" s="1222"/>
      <c r="G759" s="1222"/>
    </row>
    <row r="760" spans="1:7" x14ac:dyDescent="0.2">
      <c r="A760" s="1244" t="s">
        <v>17</v>
      </c>
      <c r="B760" s="1244"/>
      <c r="C760" s="1244"/>
      <c r="D760" s="1244"/>
      <c r="E760" s="1244"/>
      <c r="F760" s="1221"/>
      <c r="G760" s="1222"/>
    </row>
    <row r="761" spans="1:7" x14ac:dyDescent="0.2">
      <c r="A761" s="1244" t="s">
        <v>308</v>
      </c>
      <c r="B761" s="1244"/>
      <c r="C761" s="1244"/>
      <c r="D761" s="1244"/>
      <c r="E761" s="1244"/>
      <c r="F761" s="1221"/>
      <c r="G761" s="1222"/>
    </row>
    <row r="762" spans="1:7" x14ac:dyDescent="0.2">
      <c r="A762" s="1244" t="s">
        <v>19</v>
      </c>
      <c r="B762" s="1244"/>
      <c r="C762" s="1244"/>
      <c r="D762" s="1244"/>
      <c r="E762" s="1244"/>
      <c r="F762" s="1221"/>
      <c r="G762" s="1222"/>
    </row>
    <row r="763" spans="1:7" x14ac:dyDescent="0.2">
      <c r="A763" s="1244" t="s">
        <v>309</v>
      </c>
      <c r="B763" s="1244"/>
      <c r="C763" s="1244"/>
      <c r="D763" s="1244"/>
      <c r="E763" s="1244"/>
      <c r="F763" s="1221"/>
      <c r="G763" s="1222"/>
    </row>
    <row r="764" spans="1:7" x14ac:dyDescent="0.2">
      <c r="A764" s="1245" t="s">
        <v>310</v>
      </c>
      <c r="B764" s="1245"/>
      <c r="C764" s="1245"/>
      <c r="D764" s="1245"/>
      <c r="E764" s="1245"/>
      <c r="F764" s="1222"/>
      <c r="G764" s="1222"/>
    </row>
    <row r="765" spans="1:7" x14ac:dyDescent="0.2">
      <c r="A765" s="112"/>
      <c r="B765" s="113"/>
      <c r="C765" s="113"/>
      <c r="D765" s="113"/>
      <c r="E765" s="114"/>
      <c r="F765" s="889"/>
      <c r="G765" s="889"/>
    </row>
    <row r="766" spans="1:7" x14ac:dyDescent="0.2">
      <c r="A766" s="112"/>
      <c r="B766" s="113"/>
      <c r="C766" s="113"/>
      <c r="D766" s="113"/>
      <c r="E766" s="114"/>
      <c r="F766" s="889"/>
      <c r="G766" s="889"/>
    </row>
    <row r="767" spans="1:7" x14ac:dyDescent="0.2">
      <c r="A767" s="112"/>
      <c r="B767" s="113"/>
      <c r="C767" s="113"/>
      <c r="D767" s="113"/>
      <c r="E767" s="114"/>
      <c r="F767" s="889"/>
      <c r="G767" s="889"/>
    </row>
    <row r="768" spans="1:7" ht="12" customHeight="1" x14ac:dyDescent="0.2">
      <c r="A768" s="1398" t="s">
        <v>1910</v>
      </c>
      <c r="B768" s="1399"/>
      <c r="C768" s="1399"/>
      <c r="D768" s="1399"/>
      <c r="E768" s="1400"/>
      <c r="F768" s="451" t="s">
        <v>24</v>
      </c>
      <c r="G768" s="452" t="s">
        <v>344</v>
      </c>
    </row>
    <row r="769" spans="1:7" x14ac:dyDescent="0.2">
      <c r="A769" s="1233" t="s">
        <v>25</v>
      </c>
      <c r="B769" s="1233"/>
      <c r="C769" s="1233"/>
      <c r="D769" s="1233"/>
      <c r="E769" s="1233"/>
      <c r="F769" s="1233"/>
      <c r="G769" s="1233"/>
    </row>
    <row r="770" spans="1:7" x14ac:dyDescent="0.2">
      <c r="A770" s="1372" t="s">
        <v>469</v>
      </c>
      <c r="B770" s="1373"/>
      <c r="C770" s="80" t="s">
        <v>26</v>
      </c>
      <c r="D770" s="80" t="s">
        <v>27</v>
      </c>
      <c r="E770" s="80" t="s">
        <v>28</v>
      </c>
      <c r="F770" s="80" t="s">
        <v>35</v>
      </c>
      <c r="G770" s="67"/>
    </row>
    <row r="771" spans="1:7" x14ac:dyDescent="0.2">
      <c r="A771" s="1374"/>
      <c r="B771" s="1227"/>
      <c r="C771" s="69"/>
      <c r="D771" s="62"/>
      <c r="E771" s="62"/>
      <c r="F771" s="62"/>
      <c r="G771" s="81"/>
    </row>
    <row r="772" spans="1:7" x14ac:dyDescent="0.2">
      <c r="A772" s="1228"/>
      <c r="B772" s="1365"/>
      <c r="C772" s="69"/>
      <c r="D772" s="62"/>
      <c r="E772" s="62"/>
      <c r="F772" s="62"/>
      <c r="G772" s="69"/>
    </row>
    <row r="773" spans="1:7" x14ac:dyDescent="0.2">
      <c r="A773" s="1228" t="s">
        <v>30</v>
      </c>
      <c r="B773" s="1365"/>
      <c r="C773" s="69"/>
      <c r="D773" s="69"/>
      <c r="E773" s="69"/>
      <c r="F773" s="62">
        <f>G802*0.05</f>
        <v>424.53125</v>
      </c>
      <c r="G773" s="69"/>
    </row>
    <row r="774" spans="1:7" x14ac:dyDescent="0.2">
      <c r="A774" s="1228"/>
      <c r="B774" s="1365"/>
      <c r="C774" s="69"/>
      <c r="D774" s="69"/>
      <c r="E774" s="69"/>
      <c r="F774" s="69"/>
      <c r="G774" s="69"/>
    </row>
    <row r="775" spans="1:7" x14ac:dyDescent="0.2">
      <c r="A775" s="1228" t="s">
        <v>25</v>
      </c>
      <c r="B775" s="1365"/>
      <c r="C775" s="69"/>
      <c r="D775" s="69"/>
      <c r="E775" s="69"/>
      <c r="F775" s="69"/>
      <c r="G775" s="83" t="s">
        <v>31</v>
      </c>
    </row>
    <row r="776" spans="1:7" x14ac:dyDescent="0.2">
      <c r="A776" s="1401"/>
      <c r="B776" s="1402"/>
      <c r="C776" s="82"/>
      <c r="D776" s="82"/>
      <c r="E776" s="82"/>
      <c r="F776" s="82"/>
      <c r="G776" s="64">
        <f>F773+F772+F771</f>
        <v>424.53125</v>
      </c>
    </row>
    <row r="777" spans="1:7" x14ac:dyDescent="0.2">
      <c r="A777" s="1372" t="s">
        <v>475</v>
      </c>
      <c r="B777" s="1373"/>
      <c r="C777" s="80" t="s">
        <v>32</v>
      </c>
      <c r="D777" s="80" t="s">
        <v>33</v>
      </c>
      <c r="E777" s="80" t="s">
        <v>34</v>
      </c>
      <c r="F777" s="80" t="s">
        <v>35</v>
      </c>
      <c r="G777" s="67"/>
    </row>
    <row r="778" spans="1:7" x14ac:dyDescent="0.2">
      <c r="A778" s="123"/>
      <c r="B778" s="890"/>
      <c r="C778" s="118"/>
      <c r="D778" s="118"/>
      <c r="E778" s="118"/>
      <c r="F778" s="118"/>
      <c r="G778" s="69"/>
    </row>
    <row r="779" spans="1:7" x14ac:dyDescent="0.2">
      <c r="A779" s="123"/>
      <c r="B779" s="890"/>
      <c r="C779" s="118"/>
      <c r="D779" s="118"/>
      <c r="E779" s="118"/>
      <c r="F779" s="118"/>
      <c r="G779" s="69"/>
    </row>
    <row r="780" spans="1:7" x14ac:dyDescent="0.2">
      <c r="A780" s="1364" t="s">
        <v>350</v>
      </c>
      <c r="B780" s="1397"/>
      <c r="C780" s="43" t="s">
        <v>238</v>
      </c>
      <c r="D780" s="97">
        <f>'[17]Precios '!E149</f>
        <v>75400</v>
      </c>
      <c r="E780" s="102">
        <v>1</v>
      </c>
      <c r="F780" s="85">
        <f>D780*E780</f>
        <v>75400</v>
      </c>
      <c r="G780" s="69"/>
    </row>
    <row r="781" spans="1:7" x14ac:dyDescent="0.2">
      <c r="A781" s="1364" t="s">
        <v>351</v>
      </c>
      <c r="B781" s="1397"/>
      <c r="C781" s="63" t="s">
        <v>238</v>
      </c>
      <c r="D781" s="97">
        <f>'[17]Precios '!E131</f>
        <v>19559.710170000002</v>
      </c>
      <c r="E781" s="124">
        <v>0.2</v>
      </c>
      <c r="F781" s="85">
        <f>D781*E781</f>
        <v>3911.9420340000006</v>
      </c>
      <c r="G781" s="69"/>
    </row>
    <row r="782" spans="1:7" x14ac:dyDescent="0.2">
      <c r="A782" s="1229" t="s">
        <v>347</v>
      </c>
      <c r="B782" s="1365"/>
      <c r="C782" s="63">
        <v>0.25</v>
      </c>
      <c r="D782" s="97">
        <f>'[17]Precios '!I137</f>
        <v>60173.689826250011</v>
      </c>
      <c r="E782" s="86">
        <v>0.04</v>
      </c>
      <c r="F782" s="85">
        <f>D782*E782</f>
        <v>2406.9475930500007</v>
      </c>
      <c r="G782" s="69"/>
    </row>
    <row r="783" spans="1:7" x14ac:dyDescent="0.2">
      <c r="A783" s="1229" t="s">
        <v>348</v>
      </c>
      <c r="B783" s="1365"/>
      <c r="C783" s="63">
        <v>0.25</v>
      </c>
      <c r="D783" s="97">
        <f>'[17]Precios '!I138</f>
        <v>124798.03060725004</v>
      </c>
      <c r="E783" s="86">
        <v>0.04</v>
      </c>
      <c r="F783" s="85">
        <f>D783*E783</f>
        <v>4991.9212242900021</v>
      </c>
      <c r="G783" s="69"/>
    </row>
    <row r="784" spans="1:7" x14ac:dyDescent="0.2">
      <c r="A784" s="1366" t="s">
        <v>333</v>
      </c>
      <c r="B784" s="1365"/>
      <c r="C784" s="66" t="s">
        <v>54</v>
      </c>
      <c r="D784" s="97">
        <f>'[17]Precios '!E139</f>
        <v>3250</v>
      </c>
      <c r="E784" s="98">
        <v>0.06</v>
      </c>
      <c r="F784" s="85">
        <f>D784*E784</f>
        <v>195</v>
      </c>
      <c r="G784" s="69"/>
    </row>
    <row r="785" spans="1:7" x14ac:dyDescent="0.2">
      <c r="A785" s="1228" t="s">
        <v>349</v>
      </c>
      <c r="B785" s="1365"/>
      <c r="C785" s="43" t="s">
        <v>51</v>
      </c>
      <c r="D785" s="97">
        <f>F780</f>
        <v>75400</v>
      </c>
      <c r="E785" s="102">
        <v>5</v>
      </c>
      <c r="F785" s="85">
        <f>D785*0.05</f>
        <v>3770</v>
      </c>
      <c r="G785" s="43" t="s">
        <v>31</v>
      </c>
    </row>
    <row r="786" spans="1:7" x14ac:dyDescent="0.2">
      <c r="A786" s="886"/>
      <c r="B786" s="887"/>
      <c r="C786" s="43"/>
      <c r="D786" s="97"/>
      <c r="E786" s="92"/>
      <c r="F786" s="85"/>
      <c r="G786" s="43"/>
    </row>
    <row r="787" spans="1:7" x14ac:dyDescent="0.2">
      <c r="A787" s="1401"/>
      <c r="B787" s="1402"/>
      <c r="C787" s="69"/>
      <c r="D787" s="69"/>
      <c r="E787" s="69"/>
      <c r="F787" s="69"/>
      <c r="G787" s="65">
        <f>F780+F781+F782+F783+F784+F785</f>
        <v>90675.810851340008</v>
      </c>
    </row>
    <row r="788" spans="1:7" ht="24" x14ac:dyDescent="0.2">
      <c r="A788" s="888" t="s">
        <v>329</v>
      </c>
      <c r="B788" s="89" t="s">
        <v>38</v>
      </c>
      <c r="C788" s="89" t="s">
        <v>39</v>
      </c>
      <c r="D788" s="80" t="s">
        <v>40</v>
      </c>
      <c r="E788" s="80" t="s">
        <v>34</v>
      </c>
      <c r="F788" s="80" t="s">
        <v>35</v>
      </c>
      <c r="G788" s="67"/>
    </row>
    <row r="789" spans="1:7" x14ac:dyDescent="0.2">
      <c r="A789" s="90"/>
      <c r="B789" s="43"/>
      <c r="C789" s="43"/>
      <c r="D789" s="62"/>
      <c r="E789" s="91"/>
      <c r="F789" s="62"/>
      <c r="G789" s="69"/>
    </row>
    <row r="790" spans="1:7" x14ac:dyDescent="0.2">
      <c r="A790" s="90"/>
      <c r="B790" s="43"/>
      <c r="C790" s="43"/>
      <c r="D790" s="62"/>
      <c r="E790" s="91"/>
      <c r="F790" s="62"/>
      <c r="G790" s="69"/>
    </row>
    <row r="791" spans="1:7" x14ac:dyDescent="0.2">
      <c r="A791" s="90"/>
      <c r="B791" s="43"/>
      <c r="C791" s="43"/>
      <c r="D791" s="62"/>
      <c r="E791" s="91"/>
      <c r="F791" s="62"/>
      <c r="G791" s="69"/>
    </row>
    <row r="792" spans="1:7" x14ac:dyDescent="0.2">
      <c r="A792" s="90"/>
      <c r="B792" s="43"/>
      <c r="C792" s="43"/>
      <c r="D792" s="62"/>
      <c r="E792" s="92"/>
      <c r="F792" s="62"/>
      <c r="G792" s="69"/>
    </row>
    <row r="793" spans="1:7" x14ac:dyDescent="0.2">
      <c r="A793" s="90" t="s">
        <v>25</v>
      </c>
      <c r="B793" s="43" t="s">
        <v>25</v>
      </c>
      <c r="C793" s="43" t="s">
        <v>25</v>
      </c>
      <c r="D793" s="61" t="s">
        <v>25</v>
      </c>
      <c r="E793" s="92" t="s">
        <v>25</v>
      </c>
      <c r="F793" s="62" t="s">
        <v>25</v>
      </c>
      <c r="G793" s="43" t="s">
        <v>31</v>
      </c>
    </row>
    <row r="794" spans="1:7" x14ac:dyDescent="0.2">
      <c r="A794" s="90"/>
      <c r="B794" s="69"/>
      <c r="C794" s="69"/>
      <c r="D794" s="69"/>
      <c r="E794" s="69"/>
      <c r="F794" s="69"/>
      <c r="G794" s="64"/>
    </row>
    <row r="795" spans="1:7" ht="24" x14ac:dyDescent="0.2">
      <c r="A795" s="888" t="s">
        <v>41</v>
      </c>
      <c r="B795" s="80" t="s">
        <v>42</v>
      </c>
      <c r="C795" s="80" t="s">
        <v>43</v>
      </c>
      <c r="D795" s="80" t="s">
        <v>44</v>
      </c>
      <c r="E795" s="89" t="s">
        <v>306</v>
      </c>
      <c r="F795" s="80" t="s">
        <v>35</v>
      </c>
      <c r="G795" s="67"/>
    </row>
    <row r="796" spans="1:7" x14ac:dyDescent="0.2">
      <c r="A796" s="81"/>
      <c r="B796" s="81"/>
      <c r="C796" s="81"/>
      <c r="D796" s="81"/>
      <c r="E796" s="81"/>
      <c r="F796" s="81"/>
      <c r="G796" s="81"/>
    </row>
    <row r="797" spans="1:7" x14ac:dyDescent="0.2">
      <c r="A797" s="69" t="s">
        <v>336</v>
      </c>
      <c r="B797" s="85">
        <f>'[17]Jornal día'!B36</f>
        <v>44000</v>
      </c>
      <c r="C797" s="96">
        <v>0.9</v>
      </c>
      <c r="D797" s="62">
        <f>B797*C797+B797</f>
        <v>83600</v>
      </c>
      <c r="E797" s="121">
        <v>16</v>
      </c>
      <c r="F797" s="62">
        <f xml:space="preserve"> D797/E797</f>
        <v>5225</v>
      </c>
      <c r="G797" s="69"/>
    </row>
    <row r="798" spans="1:7" x14ac:dyDescent="0.2">
      <c r="A798" s="69" t="s">
        <v>315</v>
      </c>
      <c r="B798" s="85">
        <f>'[17]Jornal día'!B37</f>
        <v>27500.000000000004</v>
      </c>
      <c r="C798" s="96">
        <v>0.9</v>
      </c>
      <c r="D798" s="62">
        <f>B798*C798+B798</f>
        <v>52250.000000000007</v>
      </c>
      <c r="E798" s="121">
        <v>16</v>
      </c>
      <c r="F798" s="62">
        <f xml:space="preserve"> D798/E798</f>
        <v>3265.6250000000005</v>
      </c>
      <c r="G798" s="69" t="s">
        <v>25</v>
      </c>
    </row>
    <row r="799" spans="1:7" x14ac:dyDescent="0.2">
      <c r="A799" s="69"/>
      <c r="B799" s="85"/>
      <c r="C799" s="96"/>
      <c r="D799" s="62"/>
      <c r="E799" s="121"/>
      <c r="F799" s="62"/>
      <c r="G799" s="69"/>
    </row>
    <row r="800" spans="1:7" x14ac:dyDescent="0.2">
      <c r="A800" s="69"/>
      <c r="B800" s="85"/>
      <c r="C800" s="69"/>
      <c r="D800" s="62"/>
      <c r="E800" s="69"/>
      <c r="F800" s="62"/>
      <c r="G800" s="69"/>
    </row>
    <row r="801" spans="1:7" x14ac:dyDescent="0.2">
      <c r="A801" s="69"/>
      <c r="B801" s="69"/>
      <c r="C801" s="69"/>
      <c r="D801" s="69"/>
      <c r="E801" s="69"/>
      <c r="F801" s="69"/>
      <c r="G801" s="43" t="s">
        <v>31</v>
      </c>
    </row>
    <row r="802" spans="1:7" x14ac:dyDescent="0.2">
      <c r="A802" s="82"/>
      <c r="B802" s="82"/>
      <c r="C802" s="82"/>
      <c r="D802" s="82"/>
      <c r="E802" s="82"/>
      <c r="F802" s="82"/>
      <c r="G802" s="64">
        <f>F800+F798+F797</f>
        <v>8490.625</v>
      </c>
    </row>
    <row r="803" spans="1:7" x14ac:dyDescent="0.2">
      <c r="A803" s="1230" t="s">
        <v>25</v>
      </c>
      <c r="B803" s="1230"/>
      <c r="C803" s="1230"/>
      <c r="D803" s="1230"/>
      <c r="E803" s="1230"/>
      <c r="F803" s="1230"/>
      <c r="G803" s="1230"/>
    </row>
    <row r="804" spans="1:7" x14ac:dyDescent="0.2">
      <c r="A804" s="1231" t="s">
        <v>45</v>
      </c>
      <c r="B804" s="1230"/>
      <c r="C804" s="1230"/>
      <c r="D804" s="1230"/>
      <c r="E804" s="1230"/>
      <c r="F804" s="93"/>
      <c r="G804" s="70">
        <f xml:space="preserve"> G802+G794+G787+G776</f>
        <v>99590.967101340008</v>
      </c>
    </row>
    <row r="805" spans="1:7" x14ac:dyDescent="0.2">
      <c r="A805" s="1403" t="s">
        <v>476</v>
      </c>
      <c r="B805" s="1404"/>
      <c r="C805" s="1407"/>
      <c r="D805" s="1407"/>
      <c r="E805" s="1407" t="s">
        <v>44</v>
      </c>
      <c r="F805" s="1407" t="s">
        <v>51</v>
      </c>
      <c r="G805" s="1407" t="s">
        <v>307</v>
      </c>
    </row>
    <row r="806" spans="1:7" x14ac:dyDescent="0.2">
      <c r="A806" s="1405"/>
      <c r="B806" s="1406"/>
      <c r="C806" s="1408"/>
      <c r="D806" s="1408"/>
      <c r="E806" s="1408"/>
      <c r="F806" s="1408"/>
      <c r="G806" s="1408"/>
    </row>
    <row r="807" spans="1:7" x14ac:dyDescent="0.2">
      <c r="A807" s="1218" t="s">
        <v>17</v>
      </c>
      <c r="B807" s="1219"/>
      <c r="C807" s="1219"/>
      <c r="D807" s="1219"/>
      <c r="E807" s="1220"/>
      <c r="F807" s="1413"/>
      <c r="G807" s="1407"/>
    </row>
    <row r="808" spans="1:7" x14ac:dyDescent="0.2">
      <c r="A808" s="1218" t="s">
        <v>308</v>
      </c>
      <c r="B808" s="1219"/>
      <c r="C808" s="1219"/>
      <c r="D808" s="1219"/>
      <c r="E808" s="1220"/>
      <c r="F808" s="1414"/>
      <c r="G808" s="1416"/>
    </row>
    <row r="809" spans="1:7" x14ac:dyDescent="0.2">
      <c r="A809" s="1218" t="s">
        <v>19</v>
      </c>
      <c r="B809" s="1219"/>
      <c r="C809" s="1219"/>
      <c r="D809" s="1219"/>
      <c r="E809" s="1220"/>
      <c r="F809" s="1414"/>
      <c r="G809" s="1416"/>
    </row>
    <row r="810" spans="1:7" x14ac:dyDescent="0.2">
      <c r="A810" s="1218" t="s">
        <v>309</v>
      </c>
      <c r="B810" s="1219"/>
      <c r="C810" s="1219"/>
      <c r="D810" s="1219"/>
      <c r="E810" s="1220"/>
      <c r="F810" s="1415"/>
      <c r="G810" s="1408"/>
    </row>
    <row r="811" spans="1:7" x14ac:dyDescent="0.2">
      <c r="A811" s="1223" t="s">
        <v>310</v>
      </c>
      <c r="B811" s="1224"/>
      <c r="C811" s="1224"/>
      <c r="D811" s="1224"/>
      <c r="E811" s="1225"/>
      <c r="F811" s="1409"/>
      <c r="G811" s="1410"/>
    </row>
    <row r="812" spans="1:7" x14ac:dyDescent="0.2">
      <c r="A812" s="1238" t="s">
        <v>1911</v>
      </c>
      <c r="B812" s="1411"/>
      <c r="C812" s="1411"/>
      <c r="D812" s="1411"/>
      <c r="E812" s="1412"/>
      <c r="F812" s="78" t="s">
        <v>24</v>
      </c>
      <c r="G812" s="109" t="s">
        <v>344</v>
      </c>
    </row>
    <row r="813" spans="1:7" x14ac:dyDescent="0.2">
      <c r="A813" s="1229" t="s">
        <v>25</v>
      </c>
      <c r="B813" s="1229"/>
      <c r="C813" s="1229"/>
      <c r="D813" s="1229"/>
      <c r="E813" s="1229"/>
      <c r="F813" s="1229"/>
      <c r="G813" s="1229"/>
    </row>
    <row r="814" spans="1:7" x14ac:dyDescent="0.2">
      <c r="A814" s="1234" t="s">
        <v>469</v>
      </c>
      <c r="B814" s="1235"/>
      <c r="C814" s="80" t="s">
        <v>26</v>
      </c>
      <c r="D814" s="80" t="s">
        <v>27</v>
      </c>
      <c r="E814" s="80" t="s">
        <v>28</v>
      </c>
      <c r="F814" s="80" t="s">
        <v>35</v>
      </c>
      <c r="G814" s="67"/>
    </row>
    <row r="815" spans="1:7" x14ac:dyDescent="0.2">
      <c r="A815" s="1236"/>
      <c r="B815" s="1236"/>
      <c r="C815" s="69"/>
      <c r="D815" s="62"/>
      <c r="E815" s="62"/>
      <c r="F815" s="62"/>
      <c r="G815" s="81"/>
    </row>
    <row r="816" spans="1:7" x14ac:dyDescent="0.2">
      <c r="A816" s="1236"/>
      <c r="B816" s="1236"/>
      <c r="C816" s="69"/>
      <c r="D816" s="62"/>
      <c r="E816" s="62"/>
      <c r="F816" s="62"/>
      <c r="G816" s="69"/>
    </row>
    <row r="817" spans="1:7" x14ac:dyDescent="0.2">
      <c r="A817" s="1236" t="s">
        <v>30</v>
      </c>
      <c r="B817" s="1236"/>
      <c r="C817" s="69"/>
      <c r="D817" s="69"/>
      <c r="E817" s="69"/>
      <c r="F817" s="62">
        <f>G846*0.05</f>
        <v>399.55882352941182</v>
      </c>
      <c r="G817" s="69"/>
    </row>
    <row r="818" spans="1:7" x14ac:dyDescent="0.2">
      <c r="A818" s="1236"/>
      <c r="B818" s="1236"/>
      <c r="C818" s="69"/>
      <c r="D818" s="69"/>
      <c r="E818" s="69"/>
      <c r="F818" s="69"/>
      <c r="G818" s="69"/>
    </row>
    <row r="819" spans="1:7" x14ac:dyDescent="0.2">
      <c r="A819" s="1236" t="s">
        <v>25</v>
      </c>
      <c r="B819" s="1236"/>
      <c r="C819" s="69"/>
      <c r="D819" s="69"/>
      <c r="E819" s="69"/>
      <c r="F819" s="69"/>
      <c r="G819" s="83" t="s">
        <v>31</v>
      </c>
    </row>
    <row r="820" spans="1:7" x14ac:dyDescent="0.2">
      <c r="A820" s="1237"/>
      <c r="B820" s="1237"/>
      <c r="C820" s="82"/>
      <c r="D820" s="82"/>
      <c r="E820" s="82"/>
      <c r="F820" s="82"/>
      <c r="G820" s="64">
        <f>F817+F816+F815</f>
        <v>399.55882352941182</v>
      </c>
    </row>
    <row r="821" spans="1:7" x14ac:dyDescent="0.2">
      <c r="A821" s="1234" t="s">
        <v>475</v>
      </c>
      <c r="B821" s="1235"/>
      <c r="C821" s="80" t="s">
        <v>32</v>
      </c>
      <c r="D821" s="80" t="s">
        <v>33</v>
      </c>
      <c r="E821" s="80" t="s">
        <v>34</v>
      </c>
      <c r="F821" s="80" t="s">
        <v>35</v>
      </c>
      <c r="G821" s="67"/>
    </row>
    <row r="822" spans="1:7" x14ac:dyDescent="0.2">
      <c r="A822" s="123"/>
      <c r="B822" s="73"/>
      <c r="C822" s="118"/>
      <c r="D822" s="118"/>
      <c r="E822" s="118"/>
      <c r="F822" s="118"/>
      <c r="G822" s="69"/>
    </row>
    <row r="823" spans="1:7" x14ac:dyDescent="0.2">
      <c r="A823" s="123"/>
      <c r="B823" s="73"/>
      <c r="C823" s="118"/>
      <c r="D823" s="118"/>
      <c r="E823" s="118"/>
      <c r="F823" s="118"/>
      <c r="G823" s="69"/>
    </row>
    <row r="824" spans="1:7" x14ac:dyDescent="0.2">
      <c r="A824" s="1364" t="s">
        <v>352</v>
      </c>
      <c r="B824" s="1365"/>
      <c r="C824" s="43" t="s">
        <v>238</v>
      </c>
      <c r="D824" s="97">
        <f>'[17]Precios '!E147</f>
        <v>45500</v>
      </c>
      <c r="E824" s="102">
        <v>1</v>
      </c>
      <c r="F824" s="85">
        <f>'[17]Precios '!E147</f>
        <v>45500</v>
      </c>
      <c r="G824" s="69"/>
    </row>
    <row r="825" spans="1:7" x14ac:dyDescent="0.2">
      <c r="A825" s="1364" t="s">
        <v>353</v>
      </c>
      <c r="B825" s="1365"/>
      <c r="C825" s="63" t="s">
        <v>238</v>
      </c>
      <c r="D825" s="97">
        <f>'[17]Precios '!E148</f>
        <v>16116.1</v>
      </c>
      <c r="E825" s="124">
        <v>2</v>
      </c>
      <c r="F825" s="85">
        <f>D825*E825</f>
        <v>32232.2</v>
      </c>
      <c r="G825" s="69"/>
    </row>
    <row r="826" spans="1:7" x14ac:dyDescent="0.2">
      <c r="A826" s="1229" t="s">
        <v>347</v>
      </c>
      <c r="B826" s="1365"/>
      <c r="C826" s="63">
        <v>0.25</v>
      </c>
      <c r="D826" s="97">
        <f>'[17]Precios '!E137</f>
        <v>52324.94767500001</v>
      </c>
      <c r="E826" s="86">
        <v>0.04</v>
      </c>
      <c r="F826" s="85">
        <f>D826*E826</f>
        <v>2092.9979070000004</v>
      </c>
      <c r="G826" s="69"/>
    </row>
    <row r="827" spans="1:7" x14ac:dyDescent="0.2">
      <c r="A827" s="1229" t="s">
        <v>348</v>
      </c>
      <c r="B827" s="1365"/>
      <c r="C827" s="63">
        <v>0.25</v>
      </c>
      <c r="D827" s="97">
        <f>'[17]Precios '!E138</f>
        <v>108520.02661500004</v>
      </c>
      <c r="E827" s="86">
        <v>0.04</v>
      </c>
      <c r="F827" s="85">
        <f>D827*E827</f>
        <v>4340.8010646000021</v>
      </c>
      <c r="G827" s="69"/>
    </row>
    <row r="828" spans="1:7" x14ac:dyDescent="0.2">
      <c r="A828" s="1366" t="s">
        <v>333</v>
      </c>
      <c r="B828" s="1365"/>
      <c r="C828" s="66" t="s">
        <v>54</v>
      </c>
      <c r="D828" s="97">
        <f>'[17]Precios '!E139</f>
        <v>3250</v>
      </c>
      <c r="E828" s="98">
        <v>0.06</v>
      </c>
      <c r="F828" s="85">
        <f>D828*E828</f>
        <v>195</v>
      </c>
      <c r="G828" s="69"/>
    </row>
    <row r="829" spans="1:7" x14ac:dyDescent="0.2">
      <c r="A829" s="1228" t="s">
        <v>349</v>
      </c>
      <c r="B829" s="1229"/>
      <c r="C829" s="43" t="s">
        <v>51</v>
      </c>
      <c r="D829" s="97">
        <f>F824</f>
        <v>45500</v>
      </c>
      <c r="E829" s="102">
        <v>5</v>
      </c>
      <c r="F829" s="85">
        <f>D829*0.05</f>
        <v>2275</v>
      </c>
      <c r="G829" s="43" t="s">
        <v>31</v>
      </c>
    </row>
    <row r="830" spans="1:7" x14ac:dyDescent="0.2">
      <c r="A830" s="71"/>
      <c r="B830" s="72"/>
      <c r="C830" s="43"/>
      <c r="D830" s="97"/>
      <c r="E830" s="92"/>
      <c r="F830" s="85"/>
      <c r="G830" s="43"/>
    </row>
    <row r="831" spans="1:7" x14ac:dyDescent="0.2">
      <c r="A831" s="1228"/>
      <c r="B831" s="1229"/>
      <c r="C831" s="69"/>
      <c r="D831" s="69"/>
      <c r="E831" s="69"/>
      <c r="F831" s="69"/>
      <c r="G831" s="65">
        <f>F824+F825+F826+F827+F828+F829</f>
        <v>86635.998971599998</v>
      </c>
    </row>
    <row r="832" spans="1:7" ht="24" x14ac:dyDescent="0.2">
      <c r="A832" s="88" t="s">
        <v>329</v>
      </c>
      <c r="B832" s="89" t="s">
        <v>38</v>
      </c>
      <c r="C832" s="89" t="s">
        <v>39</v>
      </c>
      <c r="D832" s="80" t="s">
        <v>40</v>
      </c>
      <c r="E832" s="80" t="s">
        <v>34</v>
      </c>
      <c r="F832" s="80" t="s">
        <v>35</v>
      </c>
      <c r="G832" s="67"/>
    </row>
    <row r="833" spans="1:7" x14ac:dyDescent="0.2">
      <c r="A833" s="90"/>
      <c r="B833" s="43"/>
      <c r="C833" s="43"/>
      <c r="D833" s="62"/>
      <c r="E833" s="91"/>
      <c r="F833" s="62"/>
      <c r="G833" s="69"/>
    </row>
    <row r="834" spans="1:7" x14ac:dyDescent="0.2">
      <c r="A834" s="90"/>
      <c r="B834" s="43"/>
      <c r="C834" s="43"/>
      <c r="D834" s="62"/>
      <c r="E834" s="91"/>
      <c r="F834" s="62"/>
      <c r="G834" s="69"/>
    </row>
    <row r="835" spans="1:7" x14ac:dyDescent="0.2">
      <c r="A835" s="90"/>
      <c r="B835" s="43"/>
      <c r="C835" s="43"/>
      <c r="D835" s="62"/>
      <c r="E835" s="91"/>
      <c r="F835" s="62"/>
      <c r="G835" s="69"/>
    </row>
    <row r="836" spans="1:7" x14ac:dyDescent="0.2">
      <c r="A836" s="90"/>
      <c r="B836" s="43"/>
      <c r="C836" s="43"/>
      <c r="D836" s="62"/>
      <c r="E836" s="92"/>
      <c r="F836" s="62"/>
      <c r="G836" s="69"/>
    </row>
    <row r="837" spans="1:7" x14ac:dyDescent="0.2">
      <c r="A837" s="90" t="s">
        <v>25</v>
      </c>
      <c r="B837" s="43" t="s">
        <v>25</v>
      </c>
      <c r="C837" s="43" t="s">
        <v>25</v>
      </c>
      <c r="D837" s="61" t="s">
        <v>25</v>
      </c>
      <c r="E837" s="92" t="s">
        <v>25</v>
      </c>
      <c r="F837" s="62" t="s">
        <v>25</v>
      </c>
      <c r="G837" s="43" t="s">
        <v>31</v>
      </c>
    </row>
    <row r="838" spans="1:7" x14ac:dyDescent="0.2">
      <c r="A838" s="90"/>
      <c r="B838" s="69"/>
      <c r="C838" s="69"/>
      <c r="D838" s="69"/>
      <c r="E838" s="69"/>
      <c r="F838" s="69"/>
      <c r="G838" s="64"/>
    </row>
    <row r="839" spans="1:7" ht="24" x14ac:dyDescent="0.2">
      <c r="A839" s="88" t="s">
        <v>41</v>
      </c>
      <c r="B839" s="80" t="s">
        <v>42</v>
      </c>
      <c r="C839" s="80" t="s">
        <v>43</v>
      </c>
      <c r="D839" s="80" t="s">
        <v>44</v>
      </c>
      <c r="E839" s="89" t="s">
        <v>306</v>
      </c>
      <c r="F839" s="80" t="s">
        <v>35</v>
      </c>
      <c r="G839" s="67"/>
    </row>
    <row r="840" spans="1:7" x14ac:dyDescent="0.2">
      <c r="A840" s="81"/>
      <c r="B840" s="81"/>
      <c r="C840" s="81"/>
      <c r="D840" s="81"/>
      <c r="E840" s="81"/>
      <c r="F840" s="81"/>
      <c r="G840" s="81"/>
    </row>
    <row r="841" spans="1:7" x14ac:dyDescent="0.2">
      <c r="A841" s="69" t="s">
        <v>336</v>
      </c>
      <c r="B841" s="85">
        <f>'[17]Jornal día'!B36</f>
        <v>44000</v>
      </c>
      <c r="C841" s="96">
        <v>0.9</v>
      </c>
      <c r="D841" s="62">
        <f>B841*C841+B841</f>
        <v>83600</v>
      </c>
      <c r="E841" s="121">
        <v>17</v>
      </c>
      <c r="F841" s="62">
        <f xml:space="preserve"> D841/E841</f>
        <v>4917.6470588235297</v>
      </c>
      <c r="G841" s="69"/>
    </row>
    <row r="842" spans="1:7" x14ac:dyDescent="0.2">
      <c r="A842" s="69" t="s">
        <v>315</v>
      </c>
      <c r="B842" s="85">
        <f>'[17]Jornal día'!B37</f>
        <v>27500.000000000004</v>
      </c>
      <c r="C842" s="96">
        <v>0.9</v>
      </c>
      <c r="D842" s="62">
        <f>B842*C842+B842</f>
        <v>52250.000000000007</v>
      </c>
      <c r="E842" s="121">
        <v>17</v>
      </c>
      <c r="F842" s="62">
        <f xml:space="preserve"> D842/E842</f>
        <v>3073.5294117647063</v>
      </c>
      <c r="G842" s="69" t="s">
        <v>25</v>
      </c>
    </row>
    <row r="843" spans="1:7" x14ac:dyDescent="0.2">
      <c r="A843" s="69"/>
      <c r="B843" s="85"/>
      <c r="C843" s="96"/>
      <c r="D843" s="62"/>
      <c r="E843" s="121"/>
      <c r="F843" s="62"/>
      <c r="G843" s="69"/>
    </row>
    <row r="844" spans="1:7" x14ac:dyDescent="0.2">
      <c r="A844" s="69"/>
      <c r="B844" s="85"/>
      <c r="C844" s="69"/>
      <c r="D844" s="62"/>
      <c r="E844" s="69"/>
      <c r="F844" s="62"/>
      <c r="G844" s="69"/>
    </row>
    <row r="845" spans="1:7" x14ac:dyDescent="0.2">
      <c r="A845" s="69"/>
      <c r="B845" s="69"/>
      <c r="C845" s="69"/>
      <c r="D845" s="69"/>
      <c r="E845" s="69"/>
      <c r="F845" s="69"/>
      <c r="G845" s="43" t="s">
        <v>31</v>
      </c>
    </row>
    <row r="846" spans="1:7" x14ac:dyDescent="0.2">
      <c r="A846" s="82"/>
      <c r="B846" s="82"/>
      <c r="C846" s="82"/>
      <c r="D846" s="82"/>
      <c r="E846" s="82"/>
      <c r="F846" s="82"/>
      <c r="G846" s="64">
        <f>F844+F842+F841</f>
        <v>7991.176470588236</v>
      </c>
    </row>
    <row r="847" spans="1:7" x14ac:dyDescent="0.2">
      <c r="A847" s="1230" t="s">
        <v>25</v>
      </c>
      <c r="B847" s="1230"/>
      <c r="C847" s="1230"/>
      <c r="D847" s="1230"/>
      <c r="E847" s="1230"/>
      <c r="F847" s="1230"/>
      <c r="G847" s="1233"/>
    </row>
    <row r="848" spans="1:7" x14ac:dyDescent="0.2">
      <c r="A848" s="1248" t="s">
        <v>45</v>
      </c>
      <c r="B848" s="1248"/>
      <c r="C848" s="1248"/>
      <c r="D848" s="1248"/>
      <c r="E848" s="1231"/>
      <c r="F848" s="93"/>
      <c r="G848" s="70">
        <f xml:space="preserve"> G846+G838+G831+G820</f>
        <v>95026.734265717649</v>
      </c>
    </row>
    <row r="849" spans="1:7" x14ac:dyDescent="0.2">
      <c r="A849" s="1232" t="s">
        <v>476</v>
      </c>
      <c r="B849" s="1232"/>
      <c r="C849" s="1222"/>
      <c r="D849" s="1222"/>
      <c r="E849" s="1222" t="s">
        <v>44</v>
      </c>
      <c r="F849" s="1222" t="s">
        <v>51</v>
      </c>
      <c r="G849" s="1222" t="s">
        <v>307</v>
      </c>
    </row>
    <row r="850" spans="1:7" x14ac:dyDescent="0.2">
      <c r="A850" s="1232"/>
      <c r="B850" s="1232"/>
      <c r="C850" s="1222"/>
      <c r="D850" s="1222"/>
      <c r="E850" s="1222"/>
      <c r="F850" s="1222"/>
      <c r="G850" s="1222"/>
    </row>
    <row r="851" spans="1:7" x14ac:dyDescent="0.2">
      <c r="A851" s="1244" t="s">
        <v>17</v>
      </c>
      <c r="B851" s="1244"/>
      <c r="C851" s="1244"/>
      <c r="D851" s="1244"/>
      <c r="E851" s="1244"/>
      <c r="F851" s="1221"/>
      <c r="G851" s="1222"/>
    </row>
    <row r="852" spans="1:7" x14ac:dyDescent="0.2">
      <c r="A852" s="1244" t="s">
        <v>308</v>
      </c>
      <c r="B852" s="1244"/>
      <c r="C852" s="1244"/>
      <c r="D852" s="1244"/>
      <c r="E852" s="1244"/>
      <c r="F852" s="1221"/>
      <c r="G852" s="1222"/>
    </row>
    <row r="853" spans="1:7" x14ac:dyDescent="0.2">
      <c r="A853" s="1244" t="s">
        <v>19</v>
      </c>
      <c r="B853" s="1244"/>
      <c r="C853" s="1244"/>
      <c r="D853" s="1244"/>
      <c r="E853" s="1244"/>
      <c r="F853" s="1221"/>
      <c r="G853" s="1222"/>
    </row>
    <row r="854" spans="1:7" x14ac:dyDescent="0.2">
      <c r="A854" s="1244" t="s">
        <v>309</v>
      </c>
      <c r="B854" s="1244"/>
      <c r="C854" s="1244"/>
      <c r="D854" s="1244"/>
      <c r="E854" s="1244"/>
      <c r="F854" s="1221"/>
      <c r="G854" s="1222"/>
    </row>
    <row r="855" spans="1:7" x14ac:dyDescent="0.2">
      <c r="A855" s="1245" t="s">
        <v>310</v>
      </c>
      <c r="B855" s="1245"/>
      <c r="C855" s="1245"/>
      <c r="D855" s="1245"/>
      <c r="E855" s="1245"/>
      <c r="F855" s="1222"/>
      <c r="G855" s="1222"/>
    </row>
    <row r="856" spans="1:7" x14ac:dyDescent="0.2">
      <c r="A856" s="1238" t="s">
        <v>1912</v>
      </c>
      <c r="B856" s="1411"/>
      <c r="C856" s="1411"/>
      <c r="D856" s="1411"/>
      <c r="E856" s="1412"/>
      <c r="F856" s="78" t="s">
        <v>24</v>
      </c>
      <c r="G856" s="109" t="s">
        <v>344</v>
      </c>
    </row>
    <row r="857" spans="1:7" x14ac:dyDescent="0.2">
      <c r="A857" s="1229" t="s">
        <v>25</v>
      </c>
      <c r="B857" s="1229"/>
      <c r="C857" s="1229"/>
      <c r="D857" s="1229"/>
      <c r="E857" s="1229"/>
      <c r="F857" s="1229"/>
      <c r="G857" s="1229"/>
    </row>
    <row r="858" spans="1:7" x14ac:dyDescent="0.2">
      <c r="A858" s="1234" t="s">
        <v>469</v>
      </c>
      <c r="B858" s="1235"/>
      <c r="C858" s="80" t="s">
        <v>26</v>
      </c>
      <c r="D858" s="80" t="s">
        <v>27</v>
      </c>
      <c r="E858" s="80" t="s">
        <v>28</v>
      </c>
      <c r="F858" s="80" t="s">
        <v>35</v>
      </c>
      <c r="G858" s="67"/>
    </row>
    <row r="859" spans="1:7" x14ac:dyDescent="0.2">
      <c r="A859" s="1236"/>
      <c r="B859" s="1236"/>
      <c r="C859" s="69"/>
      <c r="D859" s="62"/>
      <c r="E859" s="62"/>
      <c r="F859" s="62"/>
      <c r="G859" s="81"/>
    </row>
    <row r="860" spans="1:7" x14ac:dyDescent="0.2">
      <c r="A860" s="1236"/>
      <c r="B860" s="1236"/>
      <c r="C860" s="69"/>
      <c r="D860" s="62"/>
      <c r="E860" s="62"/>
      <c r="F860" s="62"/>
      <c r="G860" s="69"/>
    </row>
    <row r="861" spans="1:7" x14ac:dyDescent="0.2">
      <c r="A861" s="1236" t="s">
        <v>30</v>
      </c>
      <c r="B861" s="1236"/>
      <c r="C861" s="69"/>
      <c r="D861" s="69"/>
      <c r="E861" s="69"/>
      <c r="F861" s="62">
        <f>G890*0.05</f>
        <v>377.36111111111114</v>
      </c>
      <c r="G861" s="69"/>
    </row>
    <row r="862" spans="1:7" x14ac:dyDescent="0.2">
      <c r="A862" s="1236"/>
      <c r="B862" s="1236"/>
      <c r="C862" s="69"/>
      <c r="D862" s="69"/>
      <c r="E862" s="69"/>
      <c r="F862" s="69"/>
      <c r="G862" s="69"/>
    </row>
    <row r="863" spans="1:7" x14ac:dyDescent="0.2">
      <c r="A863" s="1236" t="s">
        <v>25</v>
      </c>
      <c r="B863" s="1236"/>
      <c r="C863" s="69"/>
      <c r="D863" s="69"/>
      <c r="E863" s="69"/>
      <c r="F863" s="69"/>
      <c r="G863" s="83" t="s">
        <v>31</v>
      </c>
    </row>
    <row r="864" spans="1:7" x14ac:dyDescent="0.2">
      <c r="A864" s="1237"/>
      <c r="B864" s="1237"/>
      <c r="C864" s="82"/>
      <c r="D864" s="82"/>
      <c r="E864" s="82"/>
      <c r="F864" s="82"/>
      <c r="G864" s="64">
        <f>F861+F860+F859</f>
        <v>377.36111111111114</v>
      </c>
    </row>
    <row r="865" spans="1:7" x14ac:dyDescent="0.2">
      <c r="A865" s="1234" t="s">
        <v>475</v>
      </c>
      <c r="B865" s="1235"/>
      <c r="C865" s="80" t="s">
        <v>32</v>
      </c>
      <c r="D865" s="80" t="s">
        <v>33</v>
      </c>
      <c r="E865" s="80" t="s">
        <v>34</v>
      </c>
      <c r="F865" s="80" t="s">
        <v>35</v>
      </c>
      <c r="G865" s="67"/>
    </row>
    <row r="866" spans="1:7" x14ac:dyDescent="0.2">
      <c r="A866" s="123"/>
      <c r="B866" s="73"/>
      <c r="C866" s="118"/>
      <c r="D866" s="118"/>
      <c r="E866" s="118"/>
      <c r="F866" s="118"/>
      <c r="G866" s="69"/>
    </row>
    <row r="867" spans="1:7" x14ac:dyDescent="0.2">
      <c r="A867" s="123"/>
      <c r="B867" s="73"/>
      <c r="C867" s="118"/>
      <c r="D867" s="118"/>
      <c r="E867" s="118"/>
      <c r="F867" s="118"/>
      <c r="G867" s="69"/>
    </row>
    <row r="868" spans="1:7" x14ac:dyDescent="0.2">
      <c r="A868" s="1364" t="s">
        <v>354</v>
      </c>
      <c r="B868" s="1365"/>
      <c r="C868" s="43" t="s">
        <v>355</v>
      </c>
      <c r="D868" s="97">
        <f>'[17]Precios '!E146</f>
        <v>40964.300000000003</v>
      </c>
      <c r="E868" s="102">
        <v>1</v>
      </c>
      <c r="F868" s="85">
        <f>D868*E868</f>
        <v>40964.300000000003</v>
      </c>
      <c r="G868" s="69"/>
    </row>
    <row r="869" spans="1:7" x14ac:dyDescent="0.2">
      <c r="A869" s="1364" t="s">
        <v>346</v>
      </c>
      <c r="B869" s="1365"/>
      <c r="C869" s="63" t="s">
        <v>238</v>
      </c>
      <c r="D869" s="97">
        <f>'[17]Precios '!I131</f>
        <v>21515.681187000006</v>
      </c>
      <c r="E869" s="124">
        <v>0.2</v>
      </c>
      <c r="F869" s="85">
        <f>D869*E869</f>
        <v>4303.1362374000009</v>
      </c>
      <c r="G869" s="69"/>
    </row>
    <row r="870" spans="1:7" x14ac:dyDescent="0.2">
      <c r="A870" s="1229" t="s">
        <v>347</v>
      </c>
      <c r="B870" s="1365"/>
      <c r="C870" s="63">
        <v>0.25</v>
      </c>
      <c r="D870" s="97">
        <f>'[17]Precios '!I137</f>
        <v>60173.689826250011</v>
      </c>
      <c r="E870" s="86">
        <v>0.04</v>
      </c>
      <c r="F870" s="85">
        <f>D870*E870</f>
        <v>2406.9475930500007</v>
      </c>
      <c r="G870" s="69"/>
    </row>
    <row r="871" spans="1:7" x14ac:dyDescent="0.2">
      <c r="A871" s="1229" t="s">
        <v>348</v>
      </c>
      <c r="B871" s="1365"/>
      <c r="C871" s="63">
        <v>0.25</v>
      </c>
      <c r="D871" s="97">
        <f>'[17]Precios '!I138</f>
        <v>124798.03060725004</v>
      </c>
      <c r="E871" s="86">
        <v>0.04</v>
      </c>
      <c r="F871" s="85">
        <f>D871*E871</f>
        <v>4991.9212242900021</v>
      </c>
      <c r="G871" s="69"/>
    </row>
    <row r="872" spans="1:7" x14ac:dyDescent="0.2">
      <c r="A872" s="1366" t="s">
        <v>333</v>
      </c>
      <c r="B872" s="1365"/>
      <c r="C872" s="66" t="s">
        <v>54</v>
      </c>
      <c r="D872" s="97">
        <f>'[17]Precios '!I160</f>
        <v>3014.5915800000007</v>
      </c>
      <c r="E872" s="98">
        <v>0.06</v>
      </c>
      <c r="F872" s="85">
        <f>D872*E872</f>
        <v>180.87549480000004</v>
      </c>
      <c r="G872" s="69"/>
    </row>
    <row r="873" spans="1:7" x14ac:dyDescent="0.2">
      <c r="A873" s="1228" t="s">
        <v>349</v>
      </c>
      <c r="B873" s="1229"/>
      <c r="C873" s="43" t="s">
        <v>51</v>
      </c>
      <c r="D873" s="97">
        <f>F868</f>
        <v>40964.300000000003</v>
      </c>
      <c r="E873" s="102">
        <v>5</v>
      </c>
      <c r="F873" s="85">
        <f>D873*0.05</f>
        <v>2048.2150000000001</v>
      </c>
      <c r="G873" s="43" t="s">
        <v>31</v>
      </c>
    </row>
    <row r="874" spans="1:7" x14ac:dyDescent="0.2">
      <c r="A874" s="71"/>
      <c r="B874" s="72"/>
      <c r="C874" s="43"/>
      <c r="D874" s="97"/>
      <c r="E874" s="92"/>
      <c r="F874" s="85"/>
      <c r="G874" s="43"/>
    </row>
    <row r="875" spans="1:7" x14ac:dyDescent="0.2">
      <c r="A875" s="1228"/>
      <c r="B875" s="1229"/>
      <c r="C875" s="69"/>
      <c r="D875" s="69"/>
      <c r="E875" s="69"/>
      <c r="F875" s="69"/>
      <c r="G875" s="65">
        <f>F868+F869+F870+F871+F872+F873</f>
        <v>54895.395549540001</v>
      </c>
    </row>
    <row r="876" spans="1:7" ht="24" x14ac:dyDescent="0.2">
      <c r="A876" s="88" t="s">
        <v>329</v>
      </c>
      <c r="B876" s="89" t="s">
        <v>38</v>
      </c>
      <c r="C876" s="89" t="s">
        <v>39</v>
      </c>
      <c r="D876" s="80" t="s">
        <v>40</v>
      </c>
      <c r="E876" s="80" t="s">
        <v>34</v>
      </c>
      <c r="F876" s="80" t="s">
        <v>35</v>
      </c>
      <c r="G876" s="67"/>
    </row>
    <row r="877" spans="1:7" x14ac:dyDescent="0.2">
      <c r="A877" s="90"/>
      <c r="B877" s="43"/>
      <c r="C877" s="43"/>
      <c r="D877" s="62"/>
      <c r="E877" s="91"/>
      <c r="F877" s="62"/>
      <c r="G877" s="69"/>
    </row>
    <row r="878" spans="1:7" x14ac:dyDescent="0.2">
      <c r="A878" s="90"/>
      <c r="B878" s="43"/>
      <c r="C878" s="43"/>
      <c r="D878" s="62"/>
      <c r="E878" s="91"/>
      <c r="F878" s="62"/>
      <c r="G878" s="69"/>
    </row>
    <row r="879" spans="1:7" x14ac:dyDescent="0.2">
      <c r="A879" s="90"/>
      <c r="B879" s="43"/>
      <c r="C879" s="43"/>
      <c r="D879" s="62"/>
      <c r="E879" s="91"/>
      <c r="F879" s="62"/>
      <c r="G879" s="69"/>
    </row>
    <row r="880" spans="1:7" x14ac:dyDescent="0.2">
      <c r="A880" s="90"/>
      <c r="B880" s="43"/>
      <c r="C880" s="43"/>
      <c r="D880" s="62"/>
      <c r="E880" s="92"/>
      <c r="F880" s="62"/>
      <c r="G880" s="69"/>
    </row>
    <row r="881" spans="1:7" x14ac:dyDescent="0.2">
      <c r="A881" s="90" t="s">
        <v>25</v>
      </c>
      <c r="B881" s="43" t="s">
        <v>25</v>
      </c>
      <c r="C881" s="43" t="s">
        <v>25</v>
      </c>
      <c r="D881" s="61" t="s">
        <v>25</v>
      </c>
      <c r="E881" s="92" t="s">
        <v>25</v>
      </c>
      <c r="F881" s="62" t="s">
        <v>25</v>
      </c>
      <c r="G881" s="43" t="s">
        <v>31</v>
      </c>
    </row>
    <row r="882" spans="1:7" x14ac:dyDescent="0.2">
      <c r="A882" s="90"/>
      <c r="B882" s="69"/>
      <c r="C882" s="69"/>
      <c r="D882" s="69"/>
      <c r="E882" s="69"/>
      <c r="F882" s="69"/>
      <c r="G882" s="64"/>
    </row>
    <row r="883" spans="1:7" ht="24" x14ac:dyDescent="0.2">
      <c r="A883" s="88" t="s">
        <v>41</v>
      </c>
      <c r="B883" s="80" t="s">
        <v>42</v>
      </c>
      <c r="C883" s="80" t="s">
        <v>43</v>
      </c>
      <c r="D883" s="80" t="s">
        <v>44</v>
      </c>
      <c r="E883" s="89" t="s">
        <v>306</v>
      </c>
      <c r="F883" s="80" t="s">
        <v>35</v>
      </c>
      <c r="G883" s="67"/>
    </row>
    <row r="884" spans="1:7" x14ac:dyDescent="0.2">
      <c r="A884" s="81"/>
      <c r="B884" s="81"/>
      <c r="C884" s="81"/>
      <c r="D884" s="81"/>
      <c r="E884" s="81"/>
      <c r="F884" s="81"/>
      <c r="G884" s="81"/>
    </row>
    <row r="885" spans="1:7" x14ac:dyDescent="0.2">
      <c r="A885" s="69" t="s">
        <v>336</v>
      </c>
      <c r="B885" s="85">
        <f>'[17]Jornal día'!B36</f>
        <v>44000</v>
      </c>
      <c r="C885" s="96">
        <v>0.9</v>
      </c>
      <c r="D885" s="62">
        <f>B885*C885+B885</f>
        <v>83600</v>
      </c>
      <c r="E885" s="121">
        <v>18</v>
      </c>
      <c r="F885" s="62">
        <f xml:space="preserve"> D885/E885</f>
        <v>4644.4444444444443</v>
      </c>
      <c r="G885" s="69"/>
    </row>
    <row r="886" spans="1:7" x14ac:dyDescent="0.2">
      <c r="A886" s="69" t="s">
        <v>315</v>
      </c>
      <c r="B886" s="85">
        <f>'[17]Jornal día'!B37</f>
        <v>27500.000000000004</v>
      </c>
      <c r="C886" s="96">
        <v>0.9</v>
      </c>
      <c r="D886" s="62">
        <f>B886*C886+B886</f>
        <v>52250.000000000007</v>
      </c>
      <c r="E886" s="121">
        <v>18</v>
      </c>
      <c r="F886" s="62">
        <f xml:space="preserve"> D886/E886</f>
        <v>2902.7777777777783</v>
      </c>
      <c r="G886" s="69" t="s">
        <v>25</v>
      </c>
    </row>
    <row r="887" spans="1:7" x14ac:dyDescent="0.2">
      <c r="A887" s="69"/>
      <c r="B887" s="85"/>
      <c r="C887" s="96"/>
      <c r="D887" s="62"/>
      <c r="E887" s="121"/>
      <c r="F887" s="62"/>
      <c r="G887" s="69"/>
    </row>
    <row r="888" spans="1:7" x14ac:dyDescent="0.2">
      <c r="A888" s="69"/>
      <c r="B888" s="85"/>
      <c r="C888" s="69"/>
      <c r="D888" s="62"/>
      <c r="E888" s="69"/>
      <c r="F888" s="62"/>
      <c r="G888" s="69"/>
    </row>
    <row r="889" spans="1:7" x14ac:dyDescent="0.2">
      <c r="A889" s="69"/>
      <c r="B889" s="69"/>
      <c r="C889" s="69"/>
      <c r="D889" s="69"/>
      <c r="E889" s="69"/>
      <c r="F889" s="69"/>
      <c r="G889" s="43" t="s">
        <v>31</v>
      </c>
    </row>
    <row r="890" spans="1:7" x14ac:dyDescent="0.2">
      <c r="A890" s="82"/>
      <c r="B890" s="82"/>
      <c r="C890" s="82"/>
      <c r="D890" s="82"/>
      <c r="E890" s="82"/>
      <c r="F890" s="82"/>
      <c r="G890" s="64">
        <f>F888+F886+F885</f>
        <v>7547.2222222222226</v>
      </c>
    </row>
    <row r="891" spans="1:7" x14ac:dyDescent="0.2">
      <c r="A891" s="1230" t="s">
        <v>25</v>
      </c>
      <c r="B891" s="1230"/>
      <c r="C891" s="1230"/>
      <c r="D891" s="1230"/>
      <c r="E891" s="1230"/>
      <c r="F891" s="1230"/>
      <c r="G891" s="1233"/>
    </row>
    <row r="892" spans="1:7" x14ac:dyDescent="0.2">
      <c r="A892" s="1248" t="s">
        <v>45</v>
      </c>
      <c r="B892" s="1248"/>
      <c r="C892" s="1248"/>
      <c r="D892" s="1248"/>
      <c r="E892" s="1231"/>
      <c r="F892" s="93"/>
      <c r="G892" s="70">
        <f xml:space="preserve"> G890+G882+G875+G864</f>
        <v>62819.978882873329</v>
      </c>
    </row>
    <row r="893" spans="1:7" ht="30" customHeight="1" x14ac:dyDescent="0.2">
      <c r="A893" s="1232" t="s">
        <v>476</v>
      </c>
      <c r="B893" s="1232"/>
      <c r="C893" s="1222"/>
      <c r="D893" s="1222"/>
      <c r="E893" s="1222" t="s">
        <v>44</v>
      </c>
      <c r="F893" s="1222" t="s">
        <v>51</v>
      </c>
      <c r="G893" s="1222" t="s">
        <v>307</v>
      </c>
    </row>
    <row r="894" spans="1:7" x14ac:dyDescent="0.2">
      <c r="A894" s="1232"/>
      <c r="B894" s="1232"/>
      <c r="C894" s="1222"/>
      <c r="D894" s="1222"/>
      <c r="E894" s="1222"/>
      <c r="F894" s="1222"/>
      <c r="G894" s="1222"/>
    </row>
    <row r="895" spans="1:7" x14ac:dyDescent="0.2">
      <c r="A895" s="1244" t="s">
        <v>17</v>
      </c>
      <c r="B895" s="1244"/>
      <c r="C895" s="1244"/>
      <c r="D895" s="1244"/>
      <c r="E895" s="1244"/>
      <c r="F895" s="1221"/>
      <c r="G895" s="1222"/>
    </row>
    <row r="896" spans="1:7" x14ac:dyDescent="0.2">
      <c r="A896" s="1244" t="s">
        <v>308</v>
      </c>
      <c r="B896" s="1244"/>
      <c r="C896" s="1244"/>
      <c r="D896" s="1244"/>
      <c r="E896" s="1244"/>
      <c r="F896" s="1221"/>
      <c r="G896" s="1222"/>
    </row>
    <row r="897" spans="1:7" x14ac:dyDescent="0.2">
      <c r="A897" s="1244" t="s">
        <v>19</v>
      </c>
      <c r="B897" s="1244"/>
      <c r="C897" s="1244"/>
      <c r="D897" s="1244"/>
      <c r="E897" s="1244"/>
      <c r="F897" s="1221"/>
      <c r="G897" s="1222"/>
    </row>
    <row r="898" spans="1:7" x14ac:dyDescent="0.2">
      <c r="A898" s="1244" t="s">
        <v>309</v>
      </c>
      <c r="B898" s="1244"/>
      <c r="C898" s="1244"/>
      <c r="D898" s="1244"/>
      <c r="E898" s="1244"/>
      <c r="F898" s="1221"/>
      <c r="G898" s="1222"/>
    </row>
    <row r="899" spans="1:7" x14ac:dyDescent="0.2">
      <c r="A899" s="1245" t="s">
        <v>310</v>
      </c>
      <c r="B899" s="1245"/>
      <c r="C899" s="1245"/>
      <c r="D899" s="1245"/>
      <c r="E899" s="1245"/>
      <c r="F899" s="1222"/>
      <c r="G899" s="1222"/>
    </row>
    <row r="900" spans="1:7" x14ac:dyDescent="0.2">
      <c r="A900" s="112"/>
      <c r="B900" s="113"/>
      <c r="C900" s="113"/>
      <c r="D900" s="113"/>
      <c r="E900" s="114"/>
      <c r="F900" s="873"/>
      <c r="G900" s="873"/>
    </row>
    <row r="901" spans="1:7" x14ac:dyDescent="0.2">
      <c r="A901" s="112"/>
      <c r="B901" s="113"/>
      <c r="C901" s="113"/>
      <c r="D901" s="113"/>
      <c r="E901" s="114"/>
      <c r="F901" s="873"/>
      <c r="G901" s="873"/>
    </row>
    <row r="902" spans="1:7" x14ac:dyDescent="0.2">
      <c r="A902" s="112"/>
      <c r="B902" s="113"/>
      <c r="C902" s="113"/>
      <c r="D902" s="113"/>
      <c r="E902" s="114"/>
      <c r="F902" s="889" t="s">
        <v>300</v>
      </c>
      <c r="G902" s="889" t="s">
        <v>2401</v>
      </c>
    </row>
    <row r="903" spans="1:7" x14ac:dyDescent="0.2">
      <c r="A903" s="112"/>
      <c r="B903" s="113"/>
      <c r="C903" s="113"/>
      <c r="D903" s="113"/>
      <c r="E903" s="114"/>
      <c r="F903" s="873"/>
      <c r="G903" s="873"/>
    </row>
    <row r="904" spans="1:7" x14ac:dyDescent="0.2">
      <c r="A904" s="1367" t="s">
        <v>1046</v>
      </c>
      <c r="B904" s="1368"/>
      <c r="C904" s="1368"/>
      <c r="D904" s="1368"/>
      <c r="E904" s="1369"/>
      <c r="F904" s="447" t="s">
        <v>24</v>
      </c>
      <c r="G904" s="446" t="s">
        <v>85</v>
      </c>
    </row>
    <row r="905" spans="1:7" x14ac:dyDescent="0.2">
      <c r="A905" s="1229" t="s">
        <v>25</v>
      </c>
      <c r="B905" s="1229"/>
      <c r="C905" s="1229"/>
      <c r="D905" s="1229"/>
      <c r="E905" s="1229"/>
      <c r="F905" s="1229"/>
      <c r="G905" s="1229"/>
    </row>
    <row r="906" spans="1:7" x14ac:dyDescent="0.2">
      <c r="A906" s="1234" t="s">
        <v>469</v>
      </c>
      <c r="B906" s="1235"/>
      <c r="C906" s="80" t="s">
        <v>26</v>
      </c>
      <c r="D906" s="80" t="s">
        <v>27</v>
      </c>
      <c r="E906" s="80" t="s">
        <v>28</v>
      </c>
      <c r="F906" s="80" t="s">
        <v>35</v>
      </c>
      <c r="G906" s="67"/>
    </row>
    <row r="907" spans="1:7" x14ac:dyDescent="0.2">
      <c r="A907" s="1236"/>
      <c r="B907" s="1236"/>
      <c r="C907" s="69"/>
      <c r="D907" s="62"/>
      <c r="E907" s="62"/>
      <c r="F907" s="62"/>
      <c r="G907" s="81"/>
    </row>
    <row r="908" spans="1:7" x14ac:dyDescent="0.2">
      <c r="A908" s="1236"/>
      <c r="B908" s="1236"/>
      <c r="C908" s="69"/>
      <c r="D908" s="62"/>
      <c r="E908" s="62"/>
      <c r="F908" s="62"/>
      <c r="G908" s="69"/>
    </row>
    <row r="909" spans="1:7" x14ac:dyDescent="0.2">
      <c r="A909" s="1236" t="s">
        <v>30</v>
      </c>
      <c r="B909" s="1236"/>
      <c r="C909" s="69"/>
      <c r="D909" s="69"/>
      <c r="E909" s="69"/>
      <c r="F909" s="62">
        <f>G935*0.05</f>
        <v>308.75</v>
      </c>
      <c r="G909" s="69"/>
    </row>
    <row r="910" spans="1:7" x14ac:dyDescent="0.2">
      <c r="A910" s="1236"/>
      <c r="B910" s="1236"/>
      <c r="C910" s="69"/>
      <c r="D910" s="69"/>
      <c r="E910" s="69"/>
      <c r="F910" s="69"/>
      <c r="G910" s="69"/>
    </row>
    <row r="911" spans="1:7" x14ac:dyDescent="0.2">
      <c r="A911" s="1236" t="s">
        <v>25</v>
      </c>
      <c r="B911" s="1236"/>
      <c r="C911" s="69"/>
      <c r="D911" s="69"/>
      <c r="E911" s="69"/>
      <c r="F911" s="69"/>
      <c r="G911" s="83" t="s">
        <v>31</v>
      </c>
    </row>
    <row r="912" spans="1:7" x14ac:dyDescent="0.2">
      <c r="A912" s="1237"/>
      <c r="B912" s="1237"/>
      <c r="C912" s="82"/>
      <c r="D912" s="82"/>
      <c r="E912" s="82"/>
      <c r="F912" s="82"/>
      <c r="G912" s="64">
        <f>F909+F908+F907</f>
        <v>308.75</v>
      </c>
    </row>
    <row r="913" spans="1:7" x14ac:dyDescent="0.2">
      <c r="A913" s="1234" t="s">
        <v>475</v>
      </c>
      <c r="B913" s="1235"/>
      <c r="C913" s="80" t="s">
        <v>32</v>
      </c>
      <c r="D913" s="80" t="s">
        <v>33</v>
      </c>
      <c r="E913" s="80" t="s">
        <v>34</v>
      </c>
      <c r="F913" s="80" t="s">
        <v>35</v>
      </c>
      <c r="G913" s="67"/>
    </row>
    <row r="914" spans="1:7" x14ac:dyDescent="0.2">
      <c r="A914" s="123"/>
      <c r="B914" s="73"/>
      <c r="C914" s="118"/>
      <c r="D914" s="118"/>
      <c r="E914" s="118"/>
      <c r="F914" s="118"/>
      <c r="G914" s="69"/>
    </row>
    <row r="915" spans="1:7" x14ac:dyDescent="0.2">
      <c r="A915" s="123"/>
      <c r="B915" s="73"/>
      <c r="C915" s="118"/>
      <c r="D915" s="118"/>
      <c r="E915" s="118"/>
      <c r="F915" s="118"/>
      <c r="G915" s="69"/>
    </row>
    <row r="916" spans="1:7" x14ac:dyDescent="0.2">
      <c r="A916" s="1364" t="s">
        <v>2404</v>
      </c>
      <c r="B916" s="1365"/>
      <c r="C916" s="43" t="s">
        <v>85</v>
      </c>
      <c r="D916" s="97">
        <f>'[17]Precios '!E145</f>
        <v>27210.3</v>
      </c>
      <c r="E916" s="86">
        <v>1</v>
      </c>
      <c r="F916" s="85">
        <f>D916*E916</f>
        <v>27210.3</v>
      </c>
      <c r="G916" s="69"/>
    </row>
    <row r="917" spans="1:7" x14ac:dyDescent="0.2">
      <c r="A917" s="1364" t="s">
        <v>342</v>
      </c>
      <c r="B917" s="1365"/>
      <c r="C917" s="63" t="s">
        <v>238</v>
      </c>
      <c r="D917" s="97">
        <f>'[17]Precios '!I123</f>
        <v>14048.945410500004</v>
      </c>
      <c r="E917" s="86">
        <v>0.2</v>
      </c>
      <c r="F917" s="85">
        <f>D917*E917</f>
        <v>2809.789082100001</v>
      </c>
      <c r="G917" s="69"/>
    </row>
    <row r="918" spans="1:7" x14ac:dyDescent="0.2">
      <c r="A918" s="1229" t="s">
        <v>347</v>
      </c>
      <c r="B918" s="1365"/>
      <c r="C918" s="63">
        <v>0.25</v>
      </c>
      <c r="D918" s="97">
        <f>'[17]Precios '!I137</f>
        <v>60173.689826250011</v>
      </c>
      <c r="E918" s="86">
        <v>0.03</v>
      </c>
      <c r="F918" s="85">
        <f>D918*E918</f>
        <v>1805.2106947875002</v>
      </c>
      <c r="G918" s="69"/>
    </row>
    <row r="919" spans="1:7" x14ac:dyDescent="0.2">
      <c r="A919" s="1229" t="s">
        <v>348</v>
      </c>
      <c r="B919" s="1365"/>
      <c r="C919" s="63">
        <v>0.25</v>
      </c>
      <c r="D919" s="97">
        <f>'[17]Precios '!I138</f>
        <v>124798.03060725004</v>
      </c>
      <c r="E919" s="86">
        <v>0.03</v>
      </c>
      <c r="F919" s="85">
        <f>D919*E919</f>
        <v>3743.9409182175009</v>
      </c>
      <c r="G919" s="69"/>
    </row>
    <row r="920" spans="1:7" x14ac:dyDescent="0.2">
      <c r="A920" s="1366" t="s">
        <v>333</v>
      </c>
      <c r="B920" s="1365"/>
      <c r="C920" s="66" t="s">
        <v>54</v>
      </c>
      <c r="D920" s="97">
        <f>D872</f>
        <v>3014.5915800000007</v>
      </c>
      <c r="E920" s="98">
        <v>0.04</v>
      </c>
      <c r="F920" s="85">
        <f>D920*E920</f>
        <v>120.58366320000003</v>
      </c>
      <c r="G920" s="69"/>
    </row>
    <row r="921" spans="1:7" x14ac:dyDescent="0.2">
      <c r="A921" s="1228" t="s">
        <v>349</v>
      </c>
      <c r="B921" s="1229"/>
      <c r="C921" s="43" t="s">
        <v>51</v>
      </c>
      <c r="D921" s="97">
        <f>F916</f>
        <v>27210.3</v>
      </c>
      <c r="E921" s="102">
        <v>5</v>
      </c>
      <c r="F921" s="85">
        <f>D921*0.05</f>
        <v>1360.5150000000001</v>
      </c>
      <c r="G921" s="43" t="s">
        <v>31</v>
      </c>
    </row>
    <row r="922" spans="1:7" x14ac:dyDescent="0.2">
      <c r="A922" s="71"/>
      <c r="B922" s="72"/>
      <c r="C922" s="43"/>
      <c r="D922" s="97"/>
      <c r="E922" s="92"/>
      <c r="F922" s="85"/>
      <c r="G922" s="43"/>
    </row>
    <row r="923" spans="1:7" x14ac:dyDescent="0.2">
      <c r="A923" s="1228"/>
      <c r="B923" s="1229"/>
      <c r="C923" s="69"/>
      <c r="D923" s="69"/>
      <c r="E923" s="69"/>
      <c r="F923" s="69"/>
      <c r="G923" s="65">
        <f>F916+F917+F918+F919+F920+F921</f>
        <v>37050.339358304998</v>
      </c>
    </row>
    <row r="924" spans="1:7" ht="24" x14ac:dyDescent="0.2">
      <c r="A924" s="88" t="s">
        <v>329</v>
      </c>
      <c r="B924" s="89" t="s">
        <v>38</v>
      </c>
      <c r="C924" s="89" t="s">
        <v>39</v>
      </c>
      <c r="D924" s="80" t="s">
        <v>40</v>
      </c>
      <c r="E924" s="80" t="s">
        <v>34</v>
      </c>
      <c r="F924" s="80" t="s">
        <v>35</v>
      </c>
      <c r="G924" s="67"/>
    </row>
    <row r="925" spans="1:7" x14ac:dyDescent="0.2">
      <c r="A925" s="90"/>
      <c r="B925" s="43"/>
      <c r="C925" s="43"/>
      <c r="D925" s="62"/>
      <c r="E925" s="91"/>
      <c r="F925" s="62"/>
      <c r="G925" s="69"/>
    </row>
    <row r="926" spans="1:7" x14ac:dyDescent="0.2">
      <c r="A926" s="90" t="s">
        <v>25</v>
      </c>
      <c r="B926" s="43" t="s">
        <v>25</v>
      </c>
      <c r="C926" s="43" t="s">
        <v>25</v>
      </c>
      <c r="D926" s="61" t="s">
        <v>25</v>
      </c>
      <c r="E926" s="92" t="s">
        <v>25</v>
      </c>
      <c r="F926" s="62" t="s">
        <v>25</v>
      </c>
      <c r="G926" s="43" t="s">
        <v>31</v>
      </c>
    </row>
    <row r="927" spans="1:7" x14ac:dyDescent="0.2">
      <c r="A927" s="90"/>
      <c r="B927" s="69"/>
      <c r="C927" s="69"/>
      <c r="D927" s="69"/>
      <c r="E927" s="69"/>
      <c r="F927" s="69"/>
      <c r="G927" s="64"/>
    </row>
    <row r="928" spans="1:7" ht="24" x14ac:dyDescent="0.2">
      <c r="A928" s="88" t="s">
        <v>41</v>
      </c>
      <c r="B928" s="80" t="s">
        <v>42</v>
      </c>
      <c r="C928" s="80" t="s">
        <v>43</v>
      </c>
      <c r="D928" s="80" t="s">
        <v>44</v>
      </c>
      <c r="E928" s="89" t="s">
        <v>306</v>
      </c>
      <c r="F928" s="80" t="s">
        <v>35</v>
      </c>
      <c r="G928" s="67"/>
    </row>
    <row r="929" spans="1:7" x14ac:dyDescent="0.2">
      <c r="A929" s="81"/>
      <c r="B929" s="81"/>
      <c r="C929" s="81"/>
      <c r="D929" s="81"/>
      <c r="E929" s="81"/>
      <c r="F929" s="81"/>
      <c r="G929" s="81"/>
    </row>
    <row r="930" spans="1:7" x14ac:dyDescent="0.2">
      <c r="A930" s="69" t="s">
        <v>336</v>
      </c>
      <c r="B930" s="85">
        <f>'[17]Jornal día'!B36</f>
        <v>44000</v>
      </c>
      <c r="C930" s="96">
        <v>0.9</v>
      </c>
      <c r="D930" s="62">
        <f>B930*C930+B930</f>
        <v>83600</v>
      </c>
      <c r="E930" s="121">
        <v>22</v>
      </c>
      <c r="F930" s="62">
        <f xml:space="preserve"> D930/E930</f>
        <v>3800</v>
      </c>
      <c r="G930" s="69"/>
    </row>
    <row r="931" spans="1:7" x14ac:dyDescent="0.2">
      <c r="A931" s="69" t="s">
        <v>315</v>
      </c>
      <c r="B931" s="85">
        <f>'[17]Jornal día'!B37</f>
        <v>27500.000000000004</v>
      </c>
      <c r="C931" s="96">
        <v>0.9</v>
      </c>
      <c r="D931" s="62">
        <f>B931*C931+B931</f>
        <v>52250.000000000007</v>
      </c>
      <c r="E931" s="121">
        <v>22</v>
      </c>
      <c r="F931" s="62">
        <f xml:space="preserve"> D931/E931</f>
        <v>2375.0000000000005</v>
      </c>
      <c r="G931" s="69" t="s">
        <v>25</v>
      </c>
    </row>
    <row r="932" spans="1:7" x14ac:dyDescent="0.2">
      <c r="A932" s="69"/>
      <c r="B932" s="85"/>
      <c r="C932" s="96"/>
      <c r="D932" s="62"/>
      <c r="E932" s="121"/>
      <c r="F932" s="62"/>
      <c r="G932" s="69"/>
    </row>
    <row r="933" spans="1:7" x14ac:dyDescent="0.2">
      <c r="A933" s="69"/>
      <c r="B933" s="85"/>
      <c r="C933" s="69"/>
      <c r="D933" s="62"/>
      <c r="E933" s="69"/>
      <c r="F933" s="62"/>
      <c r="G933" s="69"/>
    </row>
    <row r="934" spans="1:7" x14ac:dyDescent="0.2">
      <c r="A934" s="69"/>
      <c r="B934" s="69"/>
      <c r="C934" s="69"/>
      <c r="D934" s="69"/>
      <c r="E934" s="69"/>
      <c r="F934" s="69"/>
      <c r="G934" s="43" t="s">
        <v>31</v>
      </c>
    </row>
    <row r="935" spans="1:7" x14ac:dyDescent="0.2">
      <c r="A935" s="82"/>
      <c r="B935" s="82"/>
      <c r="C935" s="82"/>
      <c r="D935" s="82"/>
      <c r="E935" s="82"/>
      <c r="F935" s="82"/>
      <c r="G935" s="64">
        <f>F933+F931+F930</f>
        <v>6175</v>
      </c>
    </row>
    <row r="936" spans="1:7" x14ac:dyDescent="0.2">
      <c r="A936" s="1230" t="s">
        <v>25</v>
      </c>
      <c r="B936" s="1230"/>
      <c r="C936" s="1230"/>
      <c r="D936" s="1230"/>
      <c r="E936" s="1230"/>
      <c r="F936" s="1230"/>
      <c r="G936" s="1233"/>
    </row>
    <row r="937" spans="1:7" x14ac:dyDescent="0.2">
      <c r="A937" s="1248" t="s">
        <v>45</v>
      </c>
      <c r="B937" s="1248"/>
      <c r="C937" s="1248"/>
      <c r="D937" s="1248"/>
      <c r="E937" s="1231"/>
      <c r="F937" s="93"/>
      <c r="G937" s="70">
        <f xml:space="preserve"> G935+G927+G923+G912</f>
        <v>43534.089358304998</v>
      </c>
    </row>
    <row r="938" spans="1:7" x14ac:dyDescent="0.2">
      <c r="A938" s="1232" t="s">
        <v>476</v>
      </c>
      <c r="B938" s="1232"/>
      <c r="C938" s="1222"/>
      <c r="D938" s="1222"/>
      <c r="E938" s="1222" t="s">
        <v>44</v>
      </c>
      <c r="F938" s="1222" t="s">
        <v>51</v>
      </c>
      <c r="G938" s="1222" t="s">
        <v>307</v>
      </c>
    </row>
    <row r="939" spans="1:7" x14ac:dyDescent="0.2">
      <c r="A939" s="1232"/>
      <c r="B939" s="1232"/>
      <c r="C939" s="1222"/>
      <c r="D939" s="1222"/>
      <c r="E939" s="1222"/>
      <c r="F939" s="1222"/>
      <c r="G939" s="1222"/>
    </row>
    <row r="940" spans="1:7" x14ac:dyDescent="0.2">
      <c r="A940" s="1244" t="s">
        <v>17</v>
      </c>
      <c r="B940" s="1244"/>
      <c r="C940" s="1244"/>
      <c r="D940" s="1244"/>
      <c r="E940" s="1244"/>
      <c r="F940" s="1221"/>
      <c r="G940" s="1222"/>
    </row>
    <row r="941" spans="1:7" x14ac:dyDescent="0.2">
      <c r="A941" s="1244" t="s">
        <v>308</v>
      </c>
      <c r="B941" s="1244"/>
      <c r="C941" s="1244"/>
      <c r="D941" s="1244"/>
      <c r="E941" s="1244"/>
      <c r="F941" s="1221"/>
      <c r="G941" s="1222"/>
    </row>
    <row r="942" spans="1:7" x14ac:dyDescent="0.2">
      <c r="A942" s="1244" t="s">
        <v>19</v>
      </c>
      <c r="B942" s="1244"/>
      <c r="C942" s="1244"/>
      <c r="D942" s="1244"/>
      <c r="E942" s="1244"/>
      <c r="F942" s="1221"/>
      <c r="G942" s="1222"/>
    </row>
    <row r="943" spans="1:7" x14ac:dyDescent="0.2">
      <c r="A943" s="1244" t="s">
        <v>309</v>
      </c>
      <c r="B943" s="1244"/>
      <c r="C943" s="1244"/>
      <c r="D943" s="1244"/>
      <c r="E943" s="1244"/>
      <c r="F943" s="1221"/>
      <c r="G943" s="1222"/>
    </row>
    <row r="944" spans="1:7" x14ac:dyDescent="0.2">
      <c r="A944" s="1245" t="s">
        <v>310</v>
      </c>
      <c r="B944" s="1245"/>
      <c r="C944" s="1245"/>
      <c r="D944" s="1245"/>
      <c r="E944" s="1245"/>
      <c r="F944" s="1222"/>
      <c r="G944" s="1222"/>
    </row>
    <row r="945" spans="1:7" x14ac:dyDescent="0.2">
      <c r="A945" s="108"/>
      <c r="B945" s="94"/>
      <c r="C945" s="94"/>
      <c r="D945" s="94"/>
      <c r="E945" s="94"/>
      <c r="F945" s="94"/>
      <c r="G945" s="94"/>
    </row>
    <row r="946" spans="1:7" x14ac:dyDescent="0.2">
      <c r="A946" s="108"/>
      <c r="B946" s="94"/>
      <c r="C946" s="94"/>
      <c r="D946" s="94"/>
      <c r="E946" s="94"/>
      <c r="F946" s="889" t="s">
        <v>300</v>
      </c>
      <c r="G946" s="889" t="s">
        <v>2403</v>
      </c>
    </row>
    <row r="947" spans="1:7" x14ac:dyDescent="0.2">
      <c r="A947" s="108"/>
      <c r="B947" s="94"/>
      <c r="C947" s="94"/>
      <c r="D947" s="94"/>
      <c r="E947" s="94"/>
      <c r="F947" s="94"/>
      <c r="G947" s="94"/>
    </row>
    <row r="948" spans="1:7" x14ac:dyDescent="0.2">
      <c r="A948" s="1238" t="s">
        <v>1913</v>
      </c>
      <c r="B948" s="1246"/>
      <c r="C948" s="1246"/>
      <c r="D948" s="1246"/>
      <c r="E948" s="1247"/>
      <c r="F948" s="78" t="s">
        <v>24</v>
      </c>
      <c r="G948" s="109" t="s">
        <v>85</v>
      </c>
    </row>
    <row r="949" spans="1:7" x14ac:dyDescent="0.2">
      <c r="A949" s="1229" t="s">
        <v>25</v>
      </c>
      <c r="B949" s="1229"/>
      <c r="C949" s="1229"/>
      <c r="D949" s="1229"/>
      <c r="E949" s="1229"/>
      <c r="F949" s="1229"/>
      <c r="G949" s="1229"/>
    </row>
    <row r="950" spans="1:7" x14ac:dyDescent="0.2">
      <c r="A950" s="1234" t="s">
        <v>469</v>
      </c>
      <c r="B950" s="1235"/>
      <c r="C950" s="80" t="s">
        <v>26</v>
      </c>
      <c r="D950" s="80" t="s">
        <v>27</v>
      </c>
      <c r="E950" s="80" t="s">
        <v>28</v>
      </c>
      <c r="F950" s="80" t="s">
        <v>35</v>
      </c>
      <c r="G950" s="67"/>
    </row>
    <row r="951" spans="1:7" x14ac:dyDescent="0.2">
      <c r="A951" s="1236"/>
      <c r="B951" s="1236"/>
      <c r="C951" s="69"/>
      <c r="D951" s="62"/>
      <c r="E951" s="62"/>
      <c r="F951" s="62"/>
      <c r="G951" s="81"/>
    </row>
    <row r="952" spans="1:7" x14ac:dyDescent="0.2">
      <c r="A952" s="1236"/>
      <c r="B952" s="1236"/>
      <c r="C952" s="69"/>
      <c r="D952" s="62"/>
      <c r="E952" s="62"/>
      <c r="F952" s="62"/>
      <c r="G952" s="69"/>
    </row>
    <row r="953" spans="1:7" x14ac:dyDescent="0.2">
      <c r="A953" s="1236" t="s">
        <v>30</v>
      </c>
      <c r="B953" s="1236"/>
      <c r="C953" s="69"/>
      <c r="D953" s="69"/>
      <c r="E953" s="69"/>
      <c r="F953" s="62">
        <f>G981*0.05</f>
        <v>308.75</v>
      </c>
      <c r="G953" s="69"/>
    </row>
    <row r="954" spans="1:7" x14ac:dyDescent="0.2">
      <c r="A954" s="1236"/>
      <c r="B954" s="1236"/>
      <c r="C954" s="69"/>
      <c r="D954" s="69"/>
      <c r="E954" s="69"/>
      <c r="F954" s="69"/>
      <c r="G954" s="69"/>
    </row>
    <row r="955" spans="1:7" x14ac:dyDescent="0.2">
      <c r="A955" s="1236" t="s">
        <v>25</v>
      </c>
      <c r="B955" s="1236"/>
      <c r="C955" s="69"/>
      <c r="D955" s="69"/>
      <c r="E955" s="69"/>
      <c r="F955" s="69"/>
      <c r="G955" s="83" t="s">
        <v>31</v>
      </c>
    </row>
    <row r="956" spans="1:7" x14ac:dyDescent="0.2">
      <c r="A956" s="1237"/>
      <c r="B956" s="1237"/>
      <c r="C956" s="82"/>
      <c r="D956" s="82"/>
      <c r="E956" s="82"/>
      <c r="F956" s="82"/>
      <c r="G956" s="64">
        <f>F953+F952+F951</f>
        <v>308.75</v>
      </c>
    </row>
    <row r="957" spans="1:7" x14ac:dyDescent="0.2">
      <c r="A957" s="1234" t="s">
        <v>475</v>
      </c>
      <c r="B957" s="1235"/>
      <c r="C957" s="80" t="s">
        <v>32</v>
      </c>
      <c r="D957" s="80" t="s">
        <v>33</v>
      </c>
      <c r="E957" s="80" t="s">
        <v>34</v>
      </c>
      <c r="F957" s="80" t="s">
        <v>35</v>
      </c>
      <c r="G957" s="67"/>
    </row>
    <row r="958" spans="1:7" x14ac:dyDescent="0.2">
      <c r="A958" s="123"/>
      <c r="B958" s="73"/>
      <c r="C958" s="118"/>
      <c r="D958" s="118"/>
      <c r="E958" s="118"/>
      <c r="F958" s="118"/>
      <c r="G958" s="69"/>
    </row>
    <row r="959" spans="1:7" x14ac:dyDescent="0.2">
      <c r="A959" s="123"/>
      <c r="B959" s="73"/>
      <c r="C959" s="118"/>
      <c r="D959" s="118"/>
      <c r="E959" s="118"/>
      <c r="F959" s="118"/>
      <c r="G959" s="69"/>
    </row>
    <row r="960" spans="1:7" x14ac:dyDescent="0.2">
      <c r="A960" s="1364" t="s">
        <v>357</v>
      </c>
      <c r="B960" s="1365"/>
      <c r="C960" s="43" t="s">
        <v>238</v>
      </c>
      <c r="D960" s="97">
        <f>28010.3+800</f>
        <v>28810.3</v>
      </c>
      <c r="E960" s="102">
        <v>1</v>
      </c>
      <c r="F960" s="85">
        <f>D960*E960</f>
        <v>28810.3</v>
      </c>
      <c r="G960" s="69"/>
    </row>
    <row r="961" spans="1:7" x14ac:dyDescent="0.2">
      <c r="A961" s="1364" t="s">
        <v>358</v>
      </c>
      <c r="B961" s="1365"/>
      <c r="C961" s="63" t="s">
        <v>238</v>
      </c>
      <c r="D961" s="97">
        <f>15148.9454105+700</f>
        <v>15848.9454105</v>
      </c>
      <c r="E961" s="124">
        <v>0.2</v>
      </c>
      <c r="F961" s="85">
        <f>D961*E961</f>
        <v>3169.7890821000001</v>
      </c>
      <c r="G961" s="69"/>
    </row>
    <row r="962" spans="1:7" x14ac:dyDescent="0.2">
      <c r="A962" s="1229" t="s">
        <v>347</v>
      </c>
      <c r="B962" s="1365"/>
      <c r="C962" s="63">
        <v>0.25</v>
      </c>
      <c r="D962" s="97">
        <v>60173.689826250011</v>
      </c>
      <c r="E962" s="86">
        <v>0.03</v>
      </c>
      <c r="F962" s="85">
        <f>D962*E962</f>
        <v>1805.2106947875002</v>
      </c>
      <c r="G962" s="69"/>
    </row>
    <row r="963" spans="1:7" x14ac:dyDescent="0.2">
      <c r="A963" s="1229" t="s">
        <v>348</v>
      </c>
      <c r="B963" s="1365"/>
      <c r="C963" s="63">
        <v>0.25</v>
      </c>
      <c r="D963" s="97">
        <v>124798.03060725004</v>
      </c>
      <c r="E963" s="86">
        <v>0.03</v>
      </c>
      <c r="F963" s="85">
        <f>D963*E963</f>
        <v>3743.9409182175009</v>
      </c>
      <c r="G963" s="69"/>
    </row>
    <row r="964" spans="1:7" x14ac:dyDescent="0.2">
      <c r="A964" s="1366" t="s">
        <v>333</v>
      </c>
      <c r="B964" s="1365"/>
      <c r="C964" s="66" t="s">
        <v>54</v>
      </c>
      <c r="D964" s="97">
        <v>3014.5915800000007</v>
      </c>
      <c r="E964" s="98">
        <v>0.04</v>
      </c>
      <c r="F964" s="85">
        <f>D964*E964</f>
        <v>120.58366320000003</v>
      </c>
      <c r="G964" s="69"/>
    </row>
    <row r="965" spans="1:7" x14ac:dyDescent="0.2">
      <c r="A965" s="1228" t="s">
        <v>349</v>
      </c>
      <c r="B965" s="1229"/>
      <c r="C965" s="43" t="s">
        <v>51</v>
      </c>
      <c r="D965" s="97">
        <v>27210.3</v>
      </c>
      <c r="E965" s="102">
        <v>5</v>
      </c>
      <c r="F965" s="85">
        <f>D965*0.05</f>
        <v>1360.5150000000001</v>
      </c>
      <c r="G965" s="43" t="s">
        <v>31</v>
      </c>
    </row>
    <row r="966" spans="1:7" x14ac:dyDescent="0.2">
      <c r="A966" s="71"/>
      <c r="B966" s="72"/>
      <c r="C966" s="43"/>
      <c r="D966" s="97"/>
      <c r="E966" s="92"/>
      <c r="F966" s="85"/>
      <c r="G966" s="43"/>
    </row>
    <row r="967" spans="1:7" x14ac:dyDescent="0.2">
      <c r="A967" s="1228"/>
      <c r="B967" s="1229"/>
      <c r="C967" s="69"/>
      <c r="D967" s="69"/>
      <c r="E967" s="69"/>
      <c r="F967" s="69"/>
      <c r="G967" s="65">
        <f>F960+F961+F962+F963+F964+F965</f>
        <v>39010.339358304998</v>
      </c>
    </row>
    <row r="968" spans="1:7" ht="24" x14ac:dyDescent="0.2">
      <c r="A968" s="88" t="s">
        <v>329</v>
      </c>
      <c r="B968" s="89" t="s">
        <v>38</v>
      </c>
      <c r="C968" s="89" t="s">
        <v>39</v>
      </c>
      <c r="D968" s="80" t="s">
        <v>40</v>
      </c>
      <c r="E968" s="80" t="s">
        <v>34</v>
      </c>
      <c r="F968" s="80" t="s">
        <v>35</v>
      </c>
      <c r="G968" s="67"/>
    </row>
    <row r="969" spans="1:7" x14ac:dyDescent="0.2">
      <c r="A969" s="90"/>
      <c r="B969" s="43"/>
      <c r="C969" s="43"/>
      <c r="D969" s="62"/>
      <c r="E969" s="91"/>
      <c r="F969" s="62"/>
      <c r="G969" s="69"/>
    </row>
    <row r="970" spans="1:7" x14ac:dyDescent="0.2">
      <c r="A970" s="90"/>
      <c r="B970" s="43"/>
      <c r="C970" s="43"/>
      <c r="D970" s="62"/>
      <c r="E970" s="91"/>
      <c r="F970" s="62"/>
      <c r="G970" s="69"/>
    </row>
    <row r="971" spans="1:7" x14ac:dyDescent="0.2">
      <c r="A971" s="90"/>
      <c r="B971" s="43"/>
      <c r="C971" s="43"/>
      <c r="D971" s="62"/>
      <c r="E971" s="92"/>
      <c r="F971" s="62"/>
      <c r="G971" s="69"/>
    </row>
    <row r="972" spans="1:7" x14ac:dyDescent="0.2">
      <c r="A972" s="90" t="s">
        <v>25</v>
      </c>
      <c r="B972" s="43" t="s">
        <v>25</v>
      </c>
      <c r="C972" s="43" t="s">
        <v>25</v>
      </c>
      <c r="D972" s="61" t="s">
        <v>25</v>
      </c>
      <c r="E972" s="92" t="s">
        <v>25</v>
      </c>
      <c r="F972" s="62" t="s">
        <v>25</v>
      </c>
      <c r="G972" s="43" t="s">
        <v>31</v>
      </c>
    </row>
    <row r="973" spans="1:7" x14ac:dyDescent="0.2">
      <c r="A973" s="90"/>
      <c r="B973" s="69"/>
      <c r="C973" s="69"/>
      <c r="D973" s="69"/>
      <c r="E973" s="69"/>
      <c r="F973" s="69"/>
      <c r="G973" s="64"/>
    </row>
    <row r="974" spans="1:7" ht="24" x14ac:dyDescent="0.2">
      <c r="A974" s="88" t="s">
        <v>41</v>
      </c>
      <c r="B974" s="80" t="s">
        <v>42</v>
      </c>
      <c r="C974" s="80" t="s">
        <v>43</v>
      </c>
      <c r="D974" s="80" t="s">
        <v>44</v>
      </c>
      <c r="E974" s="89" t="s">
        <v>306</v>
      </c>
      <c r="F974" s="80" t="s">
        <v>35</v>
      </c>
      <c r="G974" s="67"/>
    </row>
    <row r="975" spans="1:7" x14ac:dyDescent="0.2">
      <c r="A975" s="81"/>
      <c r="B975" s="81"/>
      <c r="C975" s="81"/>
      <c r="D975" s="81"/>
      <c r="E975" s="81"/>
      <c r="F975" s="81"/>
      <c r="G975" s="81"/>
    </row>
    <row r="976" spans="1:7" x14ac:dyDescent="0.2">
      <c r="A976" s="69" t="s">
        <v>336</v>
      </c>
      <c r="B976" s="85">
        <f>'[17]Jornal día'!B36</f>
        <v>44000</v>
      </c>
      <c r="C976" s="96">
        <v>0.9</v>
      </c>
      <c r="D976" s="62">
        <f>B976*C976+B976</f>
        <v>83600</v>
      </c>
      <c r="E976" s="121">
        <v>22</v>
      </c>
      <c r="F976" s="62">
        <f xml:space="preserve"> D976/E976</f>
        <v>3800</v>
      </c>
      <c r="G976" s="69"/>
    </row>
    <row r="977" spans="1:7" x14ac:dyDescent="0.2">
      <c r="A977" s="69" t="s">
        <v>315</v>
      </c>
      <c r="B977" s="85">
        <f>'[17]Jornal día'!B37</f>
        <v>27500.000000000004</v>
      </c>
      <c r="C977" s="96">
        <v>0.9</v>
      </c>
      <c r="D977" s="62">
        <f>B977*C977+B977</f>
        <v>52250.000000000007</v>
      </c>
      <c r="E977" s="121">
        <v>22</v>
      </c>
      <c r="F977" s="62">
        <f xml:space="preserve"> D977/E977</f>
        <v>2375.0000000000005</v>
      </c>
      <c r="G977" s="69" t="s">
        <v>25</v>
      </c>
    </row>
    <row r="978" spans="1:7" x14ac:dyDescent="0.2">
      <c r="A978" s="69"/>
      <c r="B978" s="85"/>
      <c r="C978" s="96"/>
      <c r="D978" s="62"/>
      <c r="E978" s="121"/>
      <c r="F978" s="62"/>
      <c r="G978" s="69"/>
    </row>
    <row r="979" spans="1:7" x14ac:dyDescent="0.2">
      <c r="A979" s="69"/>
      <c r="B979" s="85"/>
      <c r="C979" s="69"/>
      <c r="D979" s="62"/>
      <c r="E979" s="69"/>
      <c r="F979" s="62"/>
      <c r="G979" s="69"/>
    </row>
    <row r="980" spans="1:7" x14ac:dyDescent="0.2">
      <c r="A980" s="69"/>
      <c r="B980" s="69"/>
      <c r="C980" s="69"/>
      <c r="D980" s="69"/>
      <c r="E980" s="69"/>
      <c r="F980" s="69"/>
      <c r="G980" s="43" t="s">
        <v>31</v>
      </c>
    </row>
    <row r="981" spans="1:7" x14ac:dyDescent="0.2">
      <c r="A981" s="82"/>
      <c r="B981" s="82"/>
      <c r="C981" s="82"/>
      <c r="D981" s="82"/>
      <c r="E981" s="82"/>
      <c r="F981" s="82"/>
      <c r="G981" s="64">
        <f>F979+F977+F976</f>
        <v>6175</v>
      </c>
    </row>
    <row r="982" spans="1:7" x14ac:dyDescent="0.2">
      <c r="A982" s="1230" t="s">
        <v>25</v>
      </c>
      <c r="B982" s="1230"/>
      <c r="C982" s="1230"/>
      <c r="D982" s="1230"/>
      <c r="E982" s="1230"/>
      <c r="F982" s="1230"/>
      <c r="G982" s="1233"/>
    </row>
    <row r="983" spans="1:7" x14ac:dyDescent="0.2">
      <c r="A983" s="1248" t="s">
        <v>45</v>
      </c>
      <c r="B983" s="1248"/>
      <c r="C983" s="1248"/>
      <c r="D983" s="1248"/>
      <c r="E983" s="1231"/>
      <c r="F983" s="93"/>
      <c r="G983" s="70">
        <f xml:space="preserve"> G981+G973+G967+G956</f>
        <v>45494.089358304998</v>
      </c>
    </row>
    <row r="984" spans="1:7" x14ac:dyDescent="0.2">
      <c r="A984" s="1232" t="s">
        <v>476</v>
      </c>
      <c r="B984" s="1232"/>
      <c r="C984" s="1222"/>
      <c r="D984" s="1222"/>
      <c r="E984" s="1222" t="s">
        <v>44</v>
      </c>
      <c r="F984" s="1222" t="s">
        <v>51</v>
      </c>
      <c r="G984" s="1222" t="s">
        <v>307</v>
      </c>
    </row>
    <row r="985" spans="1:7" x14ac:dyDescent="0.2">
      <c r="A985" s="1232"/>
      <c r="B985" s="1232"/>
      <c r="C985" s="1222"/>
      <c r="D985" s="1222"/>
      <c r="E985" s="1222"/>
      <c r="F985" s="1222"/>
      <c r="G985" s="1222"/>
    </row>
    <row r="986" spans="1:7" x14ac:dyDescent="0.2">
      <c r="A986" s="1244" t="s">
        <v>17</v>
      </c>
      <c r="B986" s="1244"/>
      <c r="C986" s="1244"/>
      <c r="D986" s="1244"/>
      <c r="E986" s="1244"/>
      <c r="F986" s="1221"/>
      <c r="G986" s="1222"/>
    </row>
    <row r="987" spans="1:7" x14ac:dyDescent="0.2">
      <c r="A987" s="1244" t="s">
        <v>308</v>
      </c>
      <c r="B987" s="1244"/>
      <c r="C987" s="1244"/>
      <c r="D987" s="1244"/>
      <c r="E987" s="1244"/>
      <c r="F987" s="1221"/>
      <c r="G987" s="1222"/>
    </row>
    <row r="988" spans="1:7" x14ac:dyDescent="0.2">
      <c r="A988" s="1244" t="s">
        <v>19</v>
      </c>
      <c r="B988" s="1244"/>
      <c r="C988" s="1244"/>
      <c r="D988" s="1244"/>
      <c r="E988" s="1244"/>
      <c r="F988" s="1221"/>
      <c r="G988" s="1222"/>
    </row>
    <row r="989" spans="1:7" x14ac:dyDescent="0.2">
      <c r="A989" s="1244" t="s">
        <v>309</v>
      </c>
      <c r="B989" s="1244"/>
      <c r="C989" s="1244"/>
      <c r="D989" s="1244"/>
      <c r="E989" s="1244"/>
      <c r="F989" s="1221"/>
      <c r="G989" s="1222"/>
    </row>
    <row r="990" spans="1:7" x14ac:dyDescent="0.2">
      <c r="A990" s="1245" t="s">
        <v>310</v>
      </c>
      <c r="B990" s="1245"/>
      <c r="C990" s="1245"/>
      <c r="D990" s="1245"/>
      <c r="E990" s="1245"/>
      <c r="F990" s="1222"/>
      <c r="G990" s="1222"/>
    </row>
    <row r="991" spans="1:7" x14ac:dyDescent="0.2">
      <c r="A991" s="108"/>
      <c r="B991" s="94"/>
      <c r="C991" s="94"/>
      <c r="D991" s="94"/>
      <c r="E991" s="94"/>
      <c r="F991" s="889" t="s">
        <v>300</v>
      </c>
      <c r="G991" s="889" t="s">
        <v>2402</v>
      </c>
    </row>
    <row r="992" spans="1:7" x14ac:dyDescent="0.2">
      <c r="A992" s="1238" t="s">
        <v>1914</v>
      </c>
      <c r="B992" s="1411"/>
      <c r="C992" s="1411"/>
      <c r="D992" s="1411"/>
      <c r="E992" s="1412"/>
      <c r="F992" s="78" t="s">
        <v>24</v>
      </c>
      <c r="G992" s="109" t="s">
        <v>238</v>
      </c>
    </row>
    <row r="993" spans="1:7" x14ac:dyDescent="0.2">
      <c r="A993" s="1229" t="s">
        <v>25</v>
      </c>
      <c r="B993" s="1229"/>
      <c r="C993" s="1229"/>
      <c r="D993" s="1229"/>
      <c r="E993" s="1229"/>
      <c r="F993" s="1229"/>
      <c r="G993" s="1229"/>
    </row>
    <row r="994" spans="1:7" x14ac:dyDescent="0.2">
      <c r="A994" s="1234" t="s">
        <v>469</v>
      </c>
      <c r="B994" s="1235"/>
      <c r="C994" s="80" t="s">
        <v>26</v>
      </c>
      <c r="D994" s="80" t="s">
        <v>27</v>
      </c>
      <c r="E994" s="80" t="s">
        <v>28</v>
      </c>
      <c r="F994" s="80" t="s">
        <v>35</v>
      </c>
      <c r="G994" s="67"/>
    </row>
    <row r="995" spans="1:7" x14ac:dyDescent="0.2">
      <c r="A995" s="1236"/>
      <c r="B995" s="1236"/>
      <c r="C995" s="69"/>
      <c r="D995" s="62"/>
      <c r="E995" s="62"/>
      <c r="F995" s="62"/>
      <c r="G995" s="81"/>
    </row>
    <row r="996" spans="1:7" x14ac:dyDescent="0.2">
      <c r="A996" s="1236"/>
      <c r="B996" s="1236"/>
      <c r="C996" s="69"/>
      <c r="D996" s="62"/>
      <c r="E996" s="62"/>
      <c r="F996" s="62"/>
      <c r="G996" s="69"/>
    </row>
    <row r="997" spans="1:7" x14ac:dyDescent="0.2">
      <c r="A997" s="1236" t="s">
        <v>30</v>
      </c>
      <c r="B997" s="1236"/>
      <c r="C997" s="69"/>
      <c r="D997" s="69"/>
      <c r="E997" s="69"/>
      <c r="F997" s="62">
        <f>G1025*0.05</f>
        <v>308.75</v>
      </c>
      <c r="G997" s="69"/>
    </row>
    <row r="998" spans="1:7" x14ac:dyDescent="0.2">
      <c r="A998" s="1236"/>
      <c r="B998" s="1236"/>
      <c r="C998" s="69"/>
      <c r="D998" s="69"/>
      <c r="E998" s="69"/>
      <c r="F998" s="69"/>
      <c r="G998" s="69"/>
    </row>
    <row r="999" spans="1:7" x14ac:dyDescent="0.2">
      <c r="A999" s="1236" t="s">
        <v>25</v>
      </c>
      <c r="B999" s="1236"/>
      <c r="C999" s="69"/>
      <c r="D999" s="69"/>
      <c r="E999" s="69"/>
      <c r="F999" s="69"/>
      <c r="G999" s="83" t="s">
        <v>31</v>
      </c>
    </row>
    <row r="1000" spans="1:7" x14ac:dyDescent="0.2">
      <c r="A1000" s="1237"/>
      <c r="B1000" s="1237"/>
      <c r="C1000" s="82"/>
      <c r="D1000" s="82"/>
      <c r="E1000" s="82"/>
      <c r="F1000" s="82"/>
      <c r="G1000" s="64">
        <f>F997+F996+F995</f>
        <v>308.75</v>
      </c>
    </row>
    <row r="1001" spans="1:7" x14ac:dyDescent="0.2">
      <c r="A1001" s="1372" t="s">
        <v>475</v>
      </c>
      <c r="B1001" s="1373"/>
      <c r="C1001" s="80" t="s">
        <v>32</v>
      </c>
      <c r="D1001" s="80" t="s">
        <v>33</v>
      </c>
      <c r="E1001" s="80" t="s">
        <v>34</v>
      </c>
      <c r="F1001" s="80" t="s">
        <v>35</v>
      </c>
      <c r="G1001" s="67"/>
    </row>
    <row r="1002" spans="1:7" x14ac:dyDescent="0.2">
      <c r="A1002" s="123"/>
      <c r="B1002" s="890"/>
      <c r="C1002" s="118"/>
      <c r="D1002" s="118"/>
      <c r="E1002" s="118"/>
      <c r="F1002" s="118"/>
      <c r="G1002" s="69"/>
    </row>
    <row r="1003" spans="1:7" x14ac:dyDescent="0.2">
      <c r="A1003" s="123"/>
      <c r="B1003" s="890"/>
      <c r="C1003" s="118"/>
      <c r="D1003" s="118"/>
      <c r="E1003" s="118"/>
      <c r="F1003" s="118"/>
      <c r="G1003" s="69"/>
    </row>
    <row r="1004" spans="1:7" x14ac:dyDescent="0.2">
      <c r="A1004" s="1364" t="s">
        <v>359</v>
      </c>
      <c r="B1004" s="1397"/>
      <c r="C1004" s="43" t="s">
        <v>238</v>
      </c>
      <c r="D1004" s="97">
        <f>27210.3+800</f>
        <v>28010.3</v>
      </c>
      <c r="E1004" s="77">
        <v>1</v>
      </c>
      <c r="F1004" s="85">
        <f>D1004*E1004</f>
        <v>28010.3</v>
      </c>
      <c r="G1004" s="69"/>
    </row>
    <row r="1005" spans="1:7" x14ac:dyDescent="0.2">
      <c r="A1005" s="1364" t="s">
        <v>360</v>
      </c>
      <c r="B1005" s="1397"/>
      <c r="C1005" s="63" t="s">
        <v>238</v>
      </c>
      <c r="D1005" s="97">
        <f>14048.9454105+1100</f>
        <v>15148.9454105</v>
      </c>
      <c r="E1005" s="77">
        <v>0.2</v>
      </c>
      <c r="F1005" s="85">
        <f>D1005*E1005</f>
        <v>3029.7890821000001</v>
      </c>
      <c r="G1005" s="69"/>
    </row>
    <row r="1006" spans="1:7" x14ac:dyDescent="0.2">
      <c r="A1006" s="1229" t="s">
        <v>347</v>
      </c>
      <c r="B1006" s="1365"/>
      <c r="C1006" s="63">
        <v>0.25</v>
      </c>
      <c r="D1006" s="97">
        <v>60173.689826250011</v>
      </c>
      <c r="E1006" s="77">
        <v>0.03</v>
      </c>
      <c r="F1006" s="85">
        <f>D1006*E1006</f>
        <v>1805.2106947875002</v>
      </c>
      <c r="G1006" s="69"/>
    </row>
    <row r="1007" spans="1:7" x14ac:dyDescent="0.2">
      <c r="A1007" s="1229" t="s">
        <v>348</v>
      </c>
      <c r="B1007" s="1365"/>
      <c r="C1007" s="63">
        <v>0.25</v>
      </c>
      <c r="D1007" s="97">
        <v>124798.03060725004</v>
      </c>
      <c r="E1007" s="77">
        <v>0.03</v>
      </c>
      <c r="F1007" s="85">
        <f>D1007*E1007</f>
        <v>3743.9409182175009</v>
      </c>
      <c r="G1007" s="69"/>
    </row>
    <row r="1008" spans="1:7" x14ac:dyDescent="0.2">
      <c r="A1008" s="1366" t="s">
        <v>333</v>
      </c>
      <c r="B1008" s="1365"/>
      <c r="C1008" s="66" t="s">
        <v>54</v>
      </c>
      <c r="D1008" s="97">
        <v>3014.5915800000007</v>
      </c>
      <c r="E1008" s="77">
        <v>0.04</v>
      </c>
      <c r="F1008" s="85">
        <f>D1008*E1008</f>
        <v>120.58366320000003</v>
      </c>
      <c r="G1008" s="69"/>
    </row>
    <row r="1009" spans="1:7" x14ac:dyDescent="0.2">
      <c r="A1009" s="1228" t="s">
        <v>349</v>
      </c>
      <c r="B1009" s="1365"/>
      <c r="C1009" s="43" t="s">
        <v>51</v>
      </c>
      <c r="D1009" s="97">
        <v>27210.3</v>
      </c>
      <c r="E1009" s="77">
        <v>5</v>
      </c>
      <c r="F1009" s="85">
        <f>D1009*0.05</f>
        <v>1360.5150000000001</v>
      </c>
      <c r="G1009" s="43" t="s">
        <v>31</v>
      </c>
    </row>
    <row r="1010" spans="1:7" x14ac:dyDescent="0.2">
      <c r="A1010" s="886"/>
      <c r="B1010" s="887"/>
      <c r="C1010" s="43"/>
      <c r="D1010" s="97"/>
      <c r="E1010" s="92"/>
      <c r="F1010" s="85"/>
      <c r="G1010" s="43"/>
    </row>
    <row r="1011" spans="1:7" x14ac:dyDescent="0.2">
      <c r="A1011" s="1401"/>
      <c r="B1011" s="1402"/>
      <c r="C1011" s="69"/>
      <c r="D1011" s="69"/>
      <c r="E1011" s="69"/>
      <c r="F1011" s="69"/>
      <c r="G1011" s="65">
        <f>F1004+F1005+F1006+F1007+F1008+F1009</f>
        <v>38070.339358304998</v>
      </c>
    </row>
    <row r="1012" spans="1:7" ht="24" x14ac:dyDescent="0.2">
      <c r="A1012" s="88" t="s">
        <v>329</v>
      </c>
      <c r="B1012" s="89" t="s">
        <v>38</v>
      </c>
      <c r="C1012" s="89" t="s">
        <v>39</v>
      </c>
      <c r="D1012" s="80" t="s">
        <v>40</v>
      </c>
      <c r="E1012" s="80" t="s">
        <v>34</v>
      </c>
      <c r="F1012" s="80" t="s">
        <v>35</v>
      </c>
      <c r="G1012" s="67"/>
    </row>
    <row r="1013" spans="1:7" x14ac:dyDescent="0.2">
      <c r="A1013" s="90"/>
      <c r="B1013" s="43"/>
      <c r="C1013" s="43"/>
      <c r="D1013" s="62"/>
      <c r="E1013" s="91"/>
      <c r="F1013" s="62"/>
      <c r="G1013" s="69"/>
    </row>
    <row r="1014" spans="1:7" x14ac:dyDescent="0.2">
      <c r="A1014" s="90"/>
      <c r="B1014" s="43"/>
      <c r="C1014" s="43"/>
      <c r="D1014" s="62"/>
      <c r="E1014" s="91"/>
      <c r="F1014" s="62"/>
      <c r="G1014" s="69"/>
    </row>
    <row r="1015" spans="1:7" x14ac:dyDescent="0.2">
      <c r="A1015" s="90"/>
      <c r="B1015" s="43"/>
      <c r="C1015" s="43"/>
      <c r="D1015" s="62"/>
      <c r="E1015" s="92"/>
      <c r="F1015" s="62"/>
      <c r="G1015" s="69"/>
    </row>
    <row r="1016" spans="1:7" x14ac:dyDescent="0.2">
      <c r="A1016" s="90" t="s">
        <v>25</v>
      </c>
      <c r="B1016" s="43" t="s">
        <v>25</v>
      </c>
      <c r="C1016" s="43" t="s">
        <v>25</v>
      </c>
      <c r="D1016" s="61" t="s">
        <v>25</v>
      </c>
      <c r="E1016" s="92" t="s">
        <v>25</v>
      </c>
      <c r="F1016" s="62" t="s">
        <v>25</v>
      </c>
      <c r="G1016" s="43" t="s">
        <v>31</v>
      </c>
    </row>
    <row r="1017" spans="1:7" x14ac:dyDescent="0.2">
      <c r="A1017" s="90"/>
      <c r="B1017" s="69"/>
      <c r="C1017" s="69"/>
      <c r="D1017" s="69"/>
      <c r="E1017" s="69"/>
      <c r="F1017" s="69"/>
      <c r="G1017" s="64"/>
    </row>
    <row r="1018" spans="1:7" ht="24" x14ac:dyDescent="0.2">
      <c r="A1018" s="88" t="s">
        <v>41</v>
      </c>
      <c r="B1018" s="80" t="s">
        <v>42</v>
      </c>
      <c r="C1018" s="80" t="s">
        <v>43</v>
      </c>
      <c r="D1018" s="80" t="s">
        <v>44</v>
      </c>
      <c r="E1018" s="89" t="s">
        <v>306</v>
      </c>
      <c r="F1018" s="80" t="s">
        <v>35</v>
      </c>
      <c r="G1018" s="67"/>
    </row>
    <row r="1019" spans="1:7" x14ac:dyDescent="0.2">
      <c r="A1019" s="81"/>
      <c r="B1019" s="81"/>
      <c r="C1019" s="81"/>
      <c r="D1019" s="81"/>
      <c r="E1019" s="81"/>
      <c r="F1019" s="81"/>
      <c r="G1019" s="81"/>
    </row>
    <row r="1020" spans="1:7" x14ac:dyDescent="0.2">
      <c r="A1020" s="69" t="s">
        <v>336</v>
      </c>
      <c r="B1020" s="85">
        <f>'[17]Jornal día'!B36</f>
        <v>44000</v>
      </c>
      <c r="C1020" s="96">
        <v>0.9</v>
      </c>
      <c r="D1020" s="62">
        <f>B1020*C1020+B1020</f>
        <v>83600</v>
      </c>
      <c r="E1020" s="121">
        <v>22</v>
      </c>
      <c r="F1020" s="62">
        <f xml:space="preserve"> D1020/E1020</f>
        <v>3800</v>
      </c>
      <c r="G1020" s="69"/>
    </row>
    <row r="1021" spans="1:7" x14ac:dyDescent="0.2">
      <c r="A1021" s="69" t="s">
        <v>315</v>
      </c>
      <c r="B1021" s="85">
        <f>'[17]Jornal día'!B37</f>
        <v>27500.000000000004</v>
      </c>
      <c r="C1021" s="96">
        <v>0.9</v>
      </c>
      <c r="D1021" s="62">
        <f>B1021*C1021+B1021</f>
        <v>52250.000000000007</v>
      </c>
      <c r="E1021" s="121">
        <v>22</v>
      </c>
      <c r="F1021" s="62">
        <f xml:space="preserve"> D1021/E1021</f>
        <v>2375.0000000000005</v>
      </c>
      <c r="G1021" s="69" t="s">
        <v>25</v>
      </c>
    </row>
    <row r="1022" spans="1:7" x14ac:dyDescent="0.2">
      <c r="A1022" s="69"/>
      <c r="B1022" s="85"/>
      <c r="C1022" s="96"/>
      <c r="D1022" s="62"/>
      <c r="E1022" s="121"/>
      <c r="F1022" s="62"/>
      <c r="G1022" s="69"/>
    </row>
    <row r="1023" spans="1:7" x14ac:dyDescent="0.2">
      <c r="A1023" s="69"/>
      <c r="B1023" s="85"/>
      <c r="C1023" s="69"/>
      <c r="D1023" s="62"/>
      <c r="E1023" s="69"/>
      <c r="F1023" s="62"/>
      <c r="G1023" s="69"/>
    </row>
    <row r="1024" spans="1:7" x14ac:dyDescent="0.2">
      <c r="A1024" s="69"/>
      <c r="B1024" s="69"/>
      <c r="C1024" s="69"/>
      <c r="D1024" s="69"/>
      <c r="E1024" s="69"/>
      <c r="F1024" s="69"/>
      <c r="G1024" s="43" t="s">
        <v>31</v>
      </c>
    </row>
    <row r="1025" spans="1:7" x14ac:dyDescent="0.2">
      <c r="A1025" s="82"/>
      <c r="B1025" s="82"/>
      <c r="C1025" s="82"/>
      <c r="D1025" s="82"/>
      <c r="E1025" s="82"/>
      <c r="F1025" s="82"/>
      <c r="G1025" s="64">
        <f>F1023+F1021+F1020</f>
        <v>6175</v>
      </c>
    </row>
    <row r="1026" spans="1:7" x14ac:dyDescent="0.2">
      <c r="A1026" s="1230" t="s">
        <v>25</v>
      </c>
      <c r="B1026" s="1230"/>
      <c r="C1026" s="1230"/>
      <c r="D1026" s="1230"/>
      <c r="E1026" s="1230"/>
      <c r="F1026" s="1230"/>
      <c r="G1026" s="1233"/>
    </row>
    <row r="1027" spans="1:7" x14ac:dyDescent="0.2">
      <c r="A1027" s="1248" t="s">
        <v>45</v>
      </c>
      <c r="B1027" s="1248"/>
      <c r="C1027" s="1248"/>
      <c r="D1027" s="1248"/>
      <c r="E1027" s="1231"/>
      <c r="F1027" s="93"/>
      <c r="G1027" s="70">
        <f xml:space="preserve"> G1025+G1017+G1011+G1000</f>
        <v>44554.089358304998</v>
      </c>
    </row>
    <row r="1028" spans="1:7" x14ac:dyDescent="0.2">
      <c r="A1028" s="1232" t="s">
        <v>476</v>
      </c>
      <c r="B1028" s="1232"/>
      <c r="C1028" s="1222"/>
      <c r="D1028" s="1222"/>
      <c r="E1028" s="1222" t="s">
        <v>44</v>
      </c>
      <c r="F1028" s="1222" t="s">
        <v>51</v>
      </c>
      <c r="G1028" s="1222" t="s">
        <v>307</v>
      </c>
    </row>
    <row r="1029" spans="1:7" x14ac:dyDescent="0.2">
      <c r="A1029" s="1232"/>
      <c r="B1029" s="1232"/>
      <c r="C1029" s="1222"/>
      <c r="D1029" s="1222"/>
      <c r="E1029" s="1222"/>
      <c r="F1029" s="1222"/>
      <c r="G1029" s="1222"/>
    </row>
    <row r="1030" spans="1:7" x14ac:dyDescent="0.2">
      <c r="A1030" s="1244" t="s">
        <v>17</v>
      </c>
      <c r="B1030" s="1244"/>
      <c r="C1030" s="1244"/>
      <c r="D1030" s="1244"/>
      <c r="E1030" s="1244"/>
      <c r="F1030" s="1221"/>
      <c r="G1030" s="1222"/>
    </row>
    <row r="1031" spans="1:7" x14ac:dyDescent="0.2">
      <c r="A1031" s="1244" t="s">
        <v>308</v>
      </c>
      <c r="B1031" s="1244"/>
      <c r="C1031" s="1244"/>
      <c r="D1031" s="1244"/>
      <c r="E1031" s="1244"/>
      <c r="F1031" s="1221"/>
      <c r="G1031" s="1222"/>
    </row>
    <row r="1032" spans="1:7" x14ac:dyDescent="0.2">
      <c r="A1032" s="1244" t="s">
        <v>19</v>
      </c>
      <c r="B1032" s="1244"/>
      <c r="C1032" s="1244"/>
      <c r="D1032" s="1244"/>
      <c r="E1032" s="1244"/>
      <c r="F1032" s="1221"/>
      <c r="G1032" s="1222"/>
    </row>
    <row r="1033" spans="1:7" x14ac:dyDescent="0.2">
      <c r="A1033" s="1244" t="s">
        <v>309</v>
      </c>
      <c r="B1033" s="1244"/>
      <c r="C1033" s="1244"/>
      <c r="D1033" s="1244"/>
      <c r="E1033" s="1244"/>
      <c r="F1033" s="1221"/>
      <c r="G1033" s="1222"/>
    </row>
    <row r="1034" spans="1:7" x14ac:dyDescent="0.2">
      <c r="A1034" s="1245" t="s">
        <v>310</v>
      </c>
      <c r="B1034" s="1245"/>
      <c r="C1034" s="1245"/>
      <c r="D1034" s="1245"/>
      <c r="E1034" s="1245"/>
      <c r="F1034" s="1222"/>
      <c r="G1034" s="1222"/>
    </row>
    <row r="1035" spans="1:7" x14ac:dyDescent="0.2">
      <c r="A1035" s="108"/>
      <c r="B1035" s="94"/>
      <c r="C1035" s="94"/>
      <c r="D1035" s="94"/>
      <c r="E1035" s="94"/>
      <c r="F1035" s="94"/>
      <c r="G1035" s="94"/>
    </row>
    <row r="1036" spans="1:7" x14ac:dyDescent="0.2">
      <c r="A1036" s="1417" t="s">
        <v>1915</v>
      </c>
      <c r="B1036" s="1368"/>
      <c r="C1036" s="1368"/>
      <c r="D1036" s="1368"/>
      <c r="E1036" s="1369"/>
      <c r="F1036" s="447" t="s">
        <v>24</v>
      </c>
      <c r="G1036" s="445" t="s">
        <v>361</v>
      </c>
    </row>
    <row r="1037" spans="1:7" x14ac:dyDescent="0.2">
      <c r="A1037" s="1229" t="s">
        <v>25</v>
      </c>
      <c r="B1037" s="1229"/>
      <c r="C1037" s="1229"/>
      <c r="D1037" s="1229"/>
      <c r="E1037" s="1229"/>
      <c r="F1037" s="1229"/>
      <c r="G1037" s="1229"/>
    </row>
    <row r="1038" spans="1:7" x14ac:dyDescent="0.2">
      <c r="A1038" s="1234" t="s">
        <v>469</v>
      </c>
      <c r="B1038" s="1235"/>
      <c r="C1038" s="80" t="s">
        <v>26</v>
      </c>
      <c r="D1038" s="80" t="s">
        <v>27</v>
      </c>
      <c r="E1038" s="80" t="s">
        <v>28</v>
      </c>
      <c r="F1038" s="80" t="s">
        <v>35</v>
      </c>
      <c r="G1038" s="67"/>
    </row>
    <row r="1039" spans="1:7" x14ac:dyDescent="0.2">
      <c r="A1039" s="1236"/>
      <c r="B1039" s="1236"/>
      <c r="C1039" s="69"/>
      <c r="D1039" s="62"/>
      <c r="E1039" s="62"/>
      <c r="F1039" s="62"/>
      <c r="G1039" s="81"/>
    </row>
    <row r="1040" spans="1:7" x14ac:dyDescent="0.2">
      <c r="A1040" s="1236"/>
      <c r="B1040" s="1236"/>
      <c r="C1040" s="69"/>
      <c r="D1040" s="62"/>
      <c r="E1040" s="62"/>
      <c r="F1040" s="62"/>
      <c r="G1040" s="69"/>
    </row>
    <row r="1041" spans="1:7" x14ac:dyDescent="0.2">
      <c r="A1041" s="1236" t="s">
        <v>30</v>
      </c>
      <c r="B1041" s="1236"/>
      <c r="C1041" s="69"/>
      <c r="D1041" s="69"/>
      <c r="E1041" s="69"/>
      <c r="F1041" s="62">
        <f>G1068*0.05</f>
        <v>13585</v>
      </c>
      <c r="G1041" s="69"/>
    </row>
    <row r="1042" spans="1:7" x14ac:dyDescent="0.2">
      <c r="A1042" s="1236"/>
      <c r="B1042" s="1236"/>
      <c r="C1042" s="69"/>
      <c r="D1042" s="69"/>
      <c r="E1042" s="69"/>
      <c r="F1042" s="69"/>
      <c r="G1042" s="69"/>
    </row>
    <row r="1043" spans="1:7" x14ac:dyDescent="0.2">
      <c r="A1043" s="1236" t="s">
        <v>25</v>
      </c>
      <c r="B1043" s="1236"/>
      <c r="C1043" s="69"/>
      <c r="D1043" s="69"/>
      <c r="E1043" s="69"/>
      <c r="F1043" s="69"/>
      <c r="G1043" s="83" t="s">
        <v>31</v>
      </c>
    </row>
    <row r="1044" spans="1:7" x14ac:dyDescent="0.2">
      <c r="A1044" s="1237"/>
      <c r="B1044" s="1237"/>
      <c r="C1044" s="82"/>
      <c r="D1044" s="82"/>
      <c r="E1044" s="82"/>
      <c r="F1044" s="82"/>
      <c r="G1044" s="64">
        <f>F1041+F1040+F1039</f>
        <v>13585</v>
      </c>
    </row>
    <row r="1045" spans="1:7" x14ac:dyDescent="0.2">
      <c r="A1045" s="1234" t="s">
        <v>475</v>
      </c>
      <c r="B1045" s="1235"/>
      <c r="C1045" s="80" t="s">
        <v>32</v>
      </c>
      <c r="D1045" s="80" t="s">
        <v>33</v>
      </c>
      <c r="E1045" s="80" t="s">
        <v>34</v>
      </c>
      <c r="F1045" s="80" t="s">
        <v>35</v>
      </c>
      <c r="G1045" s="67"/>
    </row>
    <row r="1046" spans="1:7" x14ac:dyDescent="0.2">
      <c r="A1046" s="123"/>
      <c r="B1046" s="73"/>
      <c r="C1046" s="118"/>
      <c r="D1046" s="118"/>
      <c r="E1046" s="118"/>
      <c r="F1046" s="118"/>
      <c r="G1046" s="69"/>
    </row>
    <row r="1047" spans="1:7" x14ac:dyDescent="0.2">
      <c r="A1047" s="123"/>
      <c r="B1047" s="73"/>
      <c r="C1047" s="118"/>
      <c r="D1047" s="118"/>
      <c r="E1047" s="118"/>
      <c r="F1047" s="118"/>
      <c r="G1047" s="69"/>
    </row>
    <row r="1048" spans="1:7" x14ac:dyDescent="0.2">
      <c r="A1048" s="1364" t="s">
        <v>362</v>
      </c>
      <c r="B1048" s="1365"/>
      <c r="C1048" s="43" t="s">
        <v>344</v>
      </c>
      <c r="D1048" s="97">
        <f>'[17]Precios '!E171</f>
        <v>4816500</v>
      </c>
      <c r="E1048" s="102">
        <v>1</v>
      </c>
      <c r="F1048" s="85">
        <f t="shared" ref="F1048:F1053" si="4">D1048*E1048</f>
        <v>4816500</v>
      </c>
      <c r="G1048" s="69"/>
    </row>
    <row r="1049" spans="1:7" x14ac:dyDescent="0.2">
      <c r="A1049" s="1364" t="s">
        <v>363</v>
      </c>
      <c r="B1049" s="1365"/>
      <c r="C1049" s="63" t="s">
        <v>238</v>
      </c>
      <c r="D1049" s="97">
        <f>'[17]Precios '!E131</f>
        <v>19559.710170000002</v>
      </c>
      <c r="E1049" s="86">
        <v>4</v>
      </c>
      <c r="F1049" s="85">
        <f t="shared" si="4"/>
        <v>78238.840680000008</v>
      </c>
      <c r="G1049" s="69"/>
    </row>
    <row r="1050" spans="1:7" x14ac:dyDescent="0.2">
      <c r="A1050" s="122" t="s">
        <v>364</v>
      </c>
      <c r="B1050" s="73"/>
      <c r="C1050" s="63" t="s">
        <v>238</v>
      </c>
      <c r="D1050" s="97">
        <f>'[17]Precios '!E175</f>
        <v>369687.5</v>
      </c>
      <c r="E1050" s="86">
        <v>1</v>
      </c>
      <c r="F1050" s="85">
        <f t="shared" si="4"/>
        <v>369687.5</v>
      </c>
      <c r="G1050" s="69"/>
    </row>
    <row r="1051" spans="1:7" x14ac:dyDescent="0.2">
      <c r="A1051" s="122" t="s">
        <v>365</v>
      </c>
      <c r="B1051" s="73"/>
      <c r="C1051" s="63" t="s">
        <v>238</v>
      </c>
      <c r="D1051" s="97">
        <v>85000</v>
      </c>
      <c r="E1051" s="86">
        <v>2</v>
      </c>
      <c r="F1051" s="85">
        <f t="shared" si="4"/>
        <v>170000</v>
      </c>
      <c r="G1051" s="69"/>
    </row>
    <row r="1052" spans="1:7" x14ac:dyDescent="0.2">
      <c r="A1052" s="1229" t="s">
        <v>63</v>
      </c>
      <c r="B1052" s="1365"/>
      <c r="C1052" s="63" t="s">
        <v>37</v>
      </c>
      <c r="D1052" s="97">
        <v>300</v>
      </c>
      <c r="E1052" s="102">
        <v>1</v>
      </c>
      <c r="F1052" s="85">
        <f t="shared" si="4"/>
        <v>300</v>
      </c>
      <c r="G1052" s="69"/>
    </row>
    <row r="1053" spans="1:7" x14ac:dyDescent="0.2">
      <c r="A1053" s="1229" t="s">
        <v>120</v>
      </c>
      <c r="B1053" s="1365"/>
      <c r="C1053" s="63" t="s">
        <v>37</v>
      </c>
      <c r="D1053" s="97">
        <v>2000</v>
      </c>
      <c r="E1053" s="102">
        <v>1</v>
      </c>
      <c r="F1053" s="85">
        <f t="shared" si="4"/>
        <v>2000</v>
      </c>
      <c r="G1053" s="69"/>
    </row>
    <row r="1054" spans="1:7" x14ac:dyDescent="0.2">
      <c r="A1054" s="1366"/>
      <c r="B1054" s="1365"/>
      <c r="C1054" s="66"/>
      <c r="D1054" s="97"/>
      <c r="E1054" s="98"/>
      <c r="F1054" s="85"/>
      <c r="G1054" s="69"/>
    </row>
    <row r="1055" spans="1:7" x14ac:dyDescent="0.2">
      <c r="A1055" s="1228"/>
      <c r="B1055" s="1229"/>
      <c r="C1055" s="43"/>
      <c r="D1055" s="97"/>
      <c r="E1055" s="102"/>
      <c r="F1055" s="85"/>
      <c r="G1055" s="43" t="s">
        <v>31</v>
      </c>
    </row>
    <row r="1056" spans="1:7" x14ac:dyDescent="0.2">
      <c r="A1056" s="71"/>
      <c r="B1056" s="72"/>
      <c r="C1056" s="43"/>
      <c r="D1056" s="97"/>
      <c r="E1056" s="92"/>
      <c r="F1056" s="85"/>
      <c r="G1056" s="43"/>
    </row>
    <row r="1057" spans="1:7" x14ac:dyDescent="0.2">
      <c r="A1057" s="1228"/>
      <c r="B1057" s="1229"/>
      <c r="C1057" s="69"/>
      <c r="D1057" s="69"/>
      <c r="E1057" s="69"/>
      <c r="F1057" s="69"/>
      <c r="G1057" s="65">
        <f>F1053+F1052+F1049+F1048</f>
        <v>4897038.8406800004</v>
      </c>
    </row>
    <row r="1058" spans="1:7" ht="24" x14ac:dyDescent="0.2">
      <c r="A1058" s="88" t="s">
        <v>329</v>
      </c>
      <c r="B1058" s="89" t="s">
        <v>38</v>
      </c>
      <c r="C1058" s="89" t="s">
        <v>39</v>
      </c>
      <c r="D1058" s="80" t="s">
        <v>40</v>
      </c>
      <c r="E1058" s="80" t="s">
        <v>34</v>
      </c>
      <c r="F1058" s="80" t="s">
        <v>35</v>
      </c>
      <c r="G1058" s="67"/>
    </row>
    <row r="1059" spans="1:7" x14ac:dyDescent="0.2">
      <c r="A1059" s="90"/>
      <c r="B1059" s="43"/>
      <c r="C1059" s="43"/>
      <c r="D1059" s="62"/>
      <c r="E1059" s="91"/>
      <c r="F1059" s="62"/>
      <c r="G1059" s="69"/>
    </row>
    <row r="1060" spans="1:7" x14ac:dyDescent="0.2">
      <c r="A1060" s="90" t="s">
        <v>25</v>
      </c>
      <c r="B1060" s="43" t="s">
        <v>25</v>
      </c>
      <c r="C1060" s="43" t="s">
        <v>25</v>
      </c>
      <c r="D1060" s="61" t="s">
        <v>25</v>
      </c>
      <c r="E1060" s="92" t="s">
        <v>25</v>
      </c>
      <c r="F1060" s="62" t="s">
        <v>25</v>
      </c>
      <c r="G1060" s="43" t="s">
        <v>31</v>
      </c>
    </row>
    <row r="1061" spans="1:7" x14ac:dyDescent="0.2">
      <c r="A1061" s="90"/>
      <c r="B1061" s="69"/>
      <c r="C1061" s="69"/>
      <c r="D1061" s="69"/>
      <c r="E1061" s="69"/>
      <c r="F1061" s="69"/>
      <c r="G1061" s="64"/>
    </row>
    <row r="1062" spans="1:7" ht="24" x14ac:dyDescent="0.2">
      <c r="A1062" s="88" t="s">
        <v>41</v>
      </c>
      <c r="B1062" s="80" t="s">
        <v>42</v>
      </c>
      <c r="C1062" s="80" t="s">
        <v>43</v>
      </c>
      <c r="D1062" s="80" t="s">
        <v>44</v>
      </c>
      <c r="E1062" s="89" t="s">
        <v>306</v>
      </c>
      <c r="F1062" s="80" t="s">
        <v>35</v>
      </c>
      <c r="G1062" s="67"/>
    </row>
    <row r="1063" spans="1:7" x14ac:dyDescent="0.2">
      <c r="A1063" s="81"/>
      <c r="B1063" s="81"/>
      <c r="C1063" s="81"/>
      <c r="D1063" s="81"/>
      <c r="E1063" s="81"/>
      <c r="F1063" s="81"/>
      <c r="G1063" s="81"/>
    </row>
    <row r="1064" spans="1:7" x14ac:dyDescent="0.2">
      <c r="A1064" s="69" t="s">
        <v>366</v>
      </c>
      <c r="B1064" s="85">
        <f>'[17]Jornal día'!B43</f>
        <v>44000</v>
      </c>
      <c r="C1064" s="96">
        <v>0.9</v>
      </c>
      <c r="D1064" s="62">
        <f>B1064*C1064+B1064</f>
        <v>83600</v>
      </c>
      <c r="E1064" s="121">
        <v>0.5</v>
      </c>
      <c r="F1064" s="62">
        <f xml:space="preserve"> D1064/E1064</f>
        <v>167200</v>
      </c>
      <c r="G1064" s="69"/>
    </row>
    <row r="1065" spans="1:7" x14ac:dyDescent="0.2">
      <c r="A1065" s="69" t="s">
        <v>315</v>
      </c>
      <c r="B1065" s="85">
        <f>'[17]Jornal día'!B44</f>
        <v>27500.000000000004</v>
      </c>
      <c r="C1065" s="96">
        <v>0.9</v>
      </c>
      <c r="D1065" s="62">
        <f>B1065*C1065+B1065</f>
        <v>52250.000000000007</v>
      </c>
      <c r="E1065" s="121">
        <v>0.5</v>
      </c>
      <c r="F1065" s="62">
        <f xml:space="preserve"> D1065/E1065</f>
        <v>104500.00000000001</v>
      </c>
      <c r="G1065" s="69" t="s">
        <v>25</v>
      </c>
    </row>
    <row r="1066" spans="1:7" x14ac:dyDescent="0.2">
      <c r="A1066" s="69"/>
      <c r="B1066" s="85"/>
      <c r="C1066" s="69"/>
      <c r="D1066" s="62"/>
      <c r="E1066" s="69"/>
      <c r="F1066" s="62"/>
      <c r="G1066" s="69"/>
    </row>
    <row r="1067" spans="1:7" x14ac:dyDescent="0.2">
      <c r="A1067" s="69"/>
      <c r="B1067" s="69"/>
      <c r="C1067" s="69"/>
      <c r="D1067" s="69"/>
      <c r="E1067" s="69"/>
      <c r="F1067" s="69"/>
      <c r="G1067" s="43" t="s">
        <v>31</v>
      </c>
    </row>
    <row r="1068" spans="1:7" x14ac:dyDescent="0.2">
      <c r="A1068" s="82"/>
      <c r="B1068" s="82"/>
      <c r="C1068" s="82"/>
      <c r="D1068" s="82"/>
      <c r="E1068" s="82"/>
      <c r="F1068" s="82"/>
      <c r="G1068" s="64">
        <f>F1066+F1065+F1064</f>
        <v>271700</v>
      </c>
    </row>
    <row r="1069" spans="1:7" x14ac:dyDescent="0.2">
      <c r="A1069" s="1230" t="s">
        <v>25</v>
      </c>
      <c r="B1069" s="1230"/>
      <c r="C1069" s="1230"/>
      <c r="D1069" s="1230"/>
      <c r="E1069" s="1230"/>
      <c r="F1069" s="1230"/>
      <c r="G1069" s="1233"/>
    </row>
    <row r="1070" spans="1:7" ht="35.25" customHeight="1" x14ac:dyDescent="0.2">
      <c r="A1070" s="1248" t="s">
        <v>45</v>
      </c>
      <c r="B1070" s="1248"/>
      <c r="C1070" s="1248"/>
      <c r="D1070" s="1248"/>
      <c r="E1070" s="1231"/>
      <c r="F1070" s="93"/>
      <c r="G1070" s="70">
        <f xml:space="preserve"> G1068+G1061+G1057+G1044</f>
        <v>5182323.8406800004</v>
      </c>
    </row>
    <row r="1071" spans="1:7" x14ac:dyDescent="0.2">
      <c r="A1071" s="1232" t="s">
        <v>476</v>
      </c>
      <c r="B1071" s="1232"/>
      <c r="C1071" s="1222"/>
      <c r="D1071" s="1222"/>
      <c r="E1071" s="1222" t="s">
        <v>44</v>
      </c>
      <c r="F1071" s="1222" t="s">
        <v>51</v>
      </c>
      <c r="G1071" s="1222" t="s">
        <v>307</v>
      </c>
    </row>
    <row r="1072" spans="1:7" x14ac:dyDescent="0.2">
      <c r="A1072" s="1232"/>
      <c r="B1072" s="1232"/>
      <c r="C1072" s="1222"/>
      <c r="D1072" s="1222"/>
      <c r="E1072" s="1222"/>
      <c r="F1072" s="1222"/>
      <c r="G1072" s="1222"/>
    </row>
    <row r="1073" spans="1:7" x14ac:dyDescent="0.2">
      <c r="A1073" s="1244" t="s">
        <v>17</v>
      </c>
      <c r="B1073" s="1244"/>
      <c r="C1073" s="1244"/>
      <c r="D1073" s="1244"/>
      <c r="E1073" s="1244"/>
      <c r="F1073" s="1221"/>
      <c r="G1073" s="1222"/>
    </row>
    <row r="1074" spans="1:7" x14ac:dyDescent="0.2">
      <c r="A1074" s="1244" t="s">
        <v>308</v>
      </c>
      <c r="B1074" s="1244"/>
      <c r="C1074" s="1244"/>
      <c r="D1074" s="1244"/>
      <c r="E1074" s="1244"/>
      <c r="F1074" s="1221"/>
      <c r="G1074" s="1222"/>
    </row>
    <row r="1075" spans="1:7" x14ac:dyDescent="0.2">
      <c r="A1075" s="1244" t="s">
        <v>19</v>
      </c>
      <c r="B1075" s="1244"/>
      <c r="C1075" s="1244"/>
      <c r="D1075" s="1244"/>
      <c r="E1075" s="1244"/>
      <c r="F1075" s="1221"/>
      <c r="G1075" s="1222"/>
    </row>
    <row r="1076" spans="1:7" x14ac:dyDescent="0.2">
      <c r="A1076" s="1244" t="s">
        <v>309</v>
      </c>
      <c r="B1076" s="1244"/>
      <c r="C1076" s="1244"/>
      <c r="D1076" s="1244"/>
      <c r="E1076" s="1244"/>
      <c r="F1076" s="1221"/>
      <c r="G1076" s="1222"/>
    </row>
    <row r="1077" spans="1:7" x14ac:dyDescent="0.2">
      <c r="A1077" s="1245" t="s">
        <v>310</v>
      </c>
      <c r="B1077" s="1245"/>
      <c r="C1077" s="1245"/>
      <c r="D1077" s="1245"/>
      <c r="E1077" s="1245"/>
      <c r="F1077" s="1222"/>
      <c r="G1077" s="1222"/>
    </row>
    <row r="1078" spans="1:7" x14ac:dyDescent="0.2">
      <c r="A1078" s="1238" t="s">
        <v>1916</v>
      </c>
      <c r="B1078" s="1411"/>
      <c r="C1078" s="1411"/>
      <c r="D1078" s="1411"/>
      <c r="E1078" s="1412"/>
      <c r="F1078" s="78" t="s">
        <v>24</v>
      </c>
      <c r="G1078" s="79" t="s">
        <v>311</v>
      </c>
    </row>
    <row r="1079" spans="1:7" x14ac:dyDescent="0.2">
      <c r="A1079" s="1229" t="s">
        <v>25</v>
      </c>
      <c r="B1079" s="1229"/>
      <c r="C1079" s="1229"/>
      <c r="D1079" s="1229"/>
      <c r="E1079" s="1229"/>
      <c r="F1079" s="1229"/>
      <c r="G1079" s="1229"/>
    </row>
    <row r="1080" spans="1:7" x14ac:dyDescent="0.2">
      <c r="A1080" s="1234" t="s">
        <v>469</v>
      </c>
      <c r="B1080" s="1235"/>
      <c r="C1080" s="80" t="s">
        <v>26</v>
      </c>
      <c r="D1080" s="80" t="s">
        <v>27</v>
      </c>
      <c r="E1080" s="80" t="s">
        <v>28</v>
      </c>
      <c r="F1080" s="80" t="s">
        <v>35</v>
      </c>
      <c r="G1080" s="67"/>
    </row>
    <row r="1081" spans="1:7" x14ac:dyDescent="0.2">
      <c r="A1081" s="1236"/>
      <c r="B1081" s="1236"/>
      <c r="C1081" s="69"/>
      <c r="D1081" s="62"/>
      <c r="E1081" s="62"/>
      <c r="F1081" s="62"/>
      <c r="G1081" s="81"/>
    </row>
    <row r="1082" spans="1:7" x14ac:dyDescent="0.2">
      <c r="A1082" s="1236"/>
      <c r="B1082" s="1236"/>
      <c r="C1082" s="69"/>
      <c r="D1082" s="62"/>
      <c r="E1082" s="62"/>
      <c r="F1082" s="62"/>
      <c r="G1082" s="69"/>
    </row>
    <row r="1083" spans="1:7" x14ac:dyDescent="0.2">
      <c r="A1083" s="1236" t="s">
        <v>30</v>
      </c>
      <c r="B1083" s="1236"/>
      <c r="C1083" s="69"/>
      <c r="D1083" s="69"/>
      <c r="E1083" s="69"/>
      <c r="F1083" s="62">
        <f>G1112*0.05</f>
        <v>424.53125</v>
      </c>
      <c r="G1083" s="69"/>
    </row>
    <row r="1084" spans="1:7" x14ac:dyDescent="0.2">
      <c r="A1084" s="1236"/>
      <c r="B1084" s="1236"/>
      <c r="C1084" s="69"/>
      <c r="D1084" s="69"/>
      <c r="E1084" s="69"/>
      <c r="F1084" s="69"/>
      <c r="G1084" s="69"/>
    </row>
    <row r="1085" spans="1:7" x14ac:dyDescent="0.2">
      <c r="A1085" s="1236" t="s">
        <v>25</v>
      </c>
      <c r="B1085" s="1236"/>
      <c r="C1085" s="69"/>
      <c r="D1085" s="69"/>
      <c r="E1085" s="69"/>
      <c r="F1085" s="69"/>
      <c r="G1085" s="83" t="s">
        <v>31</v>
      </c>
    </row>
    <row r="1086" spans="1:7" x14ac:dyDescent="0.2">
      <c r="A1086" s="1237"/>
      <c r="B1086" s="1237"/>
      <c r="C1086" s="82"/>
      <c r="D1086" s="82"/>
      <c r="E1086" s="82"/>
      <c r="F1086" s="82"/>
      <c r="G1086" s="64">
        <f>F1083+F1082+F1081</f>
        <v>424.53125</v>
      </c>
    </row>
    <row r="1087" spans="1:7" x14ac:dyDescent="0.2">
      <c r="A1087" s="1234" t="s">
        <v>475</v>
      </c>
      <c r="B1087" s="1235"/>
      <c r="C1087" s="80" t="s">
        <v>32</v>
      </c>
      <c r="D1087" s="80" t="s">
        <v>33</v>
      </c>
      <c r="E1087" s="80" t="s">
        <v>34</v>
      </c>
      <c r="F1087" s="80" t="s">
        <v>35</v>
      </c>
      <c r="G1087" s="67"/>
    </row>
    <row r="1088" spans="1:7" x14ac:dyDescent="0.2">
      <c r="A1088" s="123"/>
      <c r="B1088" s="73"/>
      <c r="C1088" s="118"/>
      <c r="D1088" s="118"/>
      <c r="E1088" s="118"/>
      <c r="F1088" s="118"/>
      <c r="G1088" s="69"/>
    </row>
    <row r="1089" spans="1:7" x14ac:dyDescent="0.2">
      <c r="A1089" s="123"/>
      <c r="B1089" s="73"/>
      <c r="C1089" s="118"/>
      <c r="D1089" s="118"/>
      <c r="E1089" s="118"/>
      <c r="F1089" s="118"/>
      <c r="G1089" s="69"/>
    </row>
    <row r="1090" spans="1:7" x14ac:dyDescent="0.2">
      <c r="A1090" s="1364" t="s">
        <v>367</v>
      </c>
      <c r="B1090" s="1365"/>
      <c r="C1090" s="43" t="s">
        <v>50</v>
      </c>
      <c r="D1090" s="97">
        <f>'[17]Precios '!I95</f>
        <v>46169.088333333326</v>
      </c>
      <c r="E1090" s="102">
        <v>1</v>
      </c>
      <c r="F1090" s="85">
        <f>D1090*E1090</f>
        <v>46169.088333333326</v>
      </c>
      <c r="G1090" s="69"/>
    </row>
    <row r="1091" spans="1:7" x14ac:dyDescent="0.2">
      <c r="A1091" s="1364" t="s">
        <v>351</v>
      </c>
      <c r="B1091" s="1365"/>
      <c r="C1091" s="63" t="s">
        <v>238</v>
      </c>
      <c r="D1091" s="97">
        <f>'[17]Precios '!E131</f>
        <v>19559.710170000002</v>
      </c>
      <c r="E1091" s="124">
        <v>0.2</v>
      </c>
      <c r="F1091" s="85">
        <f>D1091*E1091</f>
        <v>3911.9420340000006</v>
      </c>
      <c r="G1091" s="69"/>
    </row>
    <row r="1092" spans="1:7" x14ac:dyDescent="0.2">
      <c r="A1092" s="1229" t="s">
        <v>347</v>
      </c>
      <c r="B1092" s="1365"/>
      <c r="C1092" s="63">
        <v>0.25</v>
      </c>
      <c r="D1092" s="97">
        <f>'[17]Precios '!E137</f>
        <v>52324.94767500001</v>
      </c>
      <c r="E1092" s="86">
        <v>0.04</v>
      </c>
      <c r="F1092" s="85">
        <f>D1092*E1092</f>
        <v>2092.9979070000004</v>
      </c>
      <c r="G1092" s="69"/>
    </row>
    <row r="1093" spans="1:7" x14ac:dyDescent="0.2">
      <c r="A1093" s="1229" t="s">
        <v>348</v>
      </c>
      <c r="B1093" s="1365"/>
      <c r="C1093" s="63">
        <v>0.25</v>
      </c>
      <c r="D1093" s="97">
        <f>'[17]Precios '!E138</f>
        <v>108520.02661500004</v>
      </c>
      <c r="E1093" s="86">
        <v>0.04</v>
      </c>
      <c r="F1093" s="85">
        <f>D1093*E1093</f>
        <v>4340.8010646000021</v>
      </c>
      <c r="G1093" s="69"/>
    </row>
    <row r="1094" spans="1:7" x14ac:dyDescent="0.2">
      <c r="A1094" s="1366" t="s">
        <v>333</v>
      </c>
      <c r="B1094" s="1365"/>
      <c r="C1094" s="66" t="s">
        <v>54</v>
      </c>
      <c r="D1094" s="97">
        <f>'[17]Precios '!E139</f>
        <v>3250</v>
      </c>
      <c r="E1094" s="98">
        <v>0.06</v>
      </c>
      <c r="F1094" s="85">
        <f>D1094*E1094</f>
        <v>195</v>
      </c>
      <c r="G1094" s="69"/>
    </row>
    <row r="1095" spans="1:7" x14ac:dyDescent="0.2">
      <c r="A1095" s="1228" t="s">
        <v>349</v>
      </c>
      <c r="B1095" s="1229"/>
      <c r="C1095" s="43" t="s">
        <v>51</v>
      </c>
      <c r="D1095" s="97">
        <f>F1090</f>
        <v>46169.088333333326</v>
      </c>
      <c r="E1095" s="102">
        <v>5</v>
      </c>
      <c r="F1095" s="85">
        <f>D1095*0.05</f>
        <v>2308.4544166666665</v>
      </c>
      <c r="G1095" s="43" t="s">
        <v>31</v>
      </c>
    </row>
    <row r="1096" spans="1:7" x14ac:dyDescent="0.2">
      <c r="A1096" s="71"/>
      <c r="B1096" s="72"/>
      <c r="C1096" s="43"/>
      <c r="D1096" s="97"/>
      <c r="E1096" s="92"/>
      <c r="F1096" s="85"/>
      <c r="G1096" s="43"/>
    </row>
    <row r="1097" spans="1:7" x14ac:dyDescent="0.2">
      <c r="A1097" s="1228"/>
      <c r="B1097" s="1229"/>
      <c r="C1097" s="69"/>
      <c r="D1097" s="69"/>
      <c r="E1097" s="69"/>
      <c r="F1097" s="69"/>
      <c r="G1097" s="65">
        <f>F1090+F1091+F1092+F1093+F1094+F1095</f>
        <v>59018.283755599994</v>
      </c>
    </row>
    <row r="1098" spans="1:7" ht="24" x14ac:dyDescent="0.2">
      <c r="A1098" s="88" t="s">
        <v>329</v>
      </c>
      <c r="B1098" s="89" t="s">
        <v>38</v>
      </c>
      <c r="C1098" s="89" t="s">
        <v>39</v>
      </c>
      <c r="D1098" s="80" t="s">
        <v>40</v>
      </c>
      <c r="E1098" s="80" t="s">
        <v>34</v>
      </c>
      <c r="F1098" s="80" t="s">
        <v>35</v>
      </c>
      <c r="G1098" s="67"/>
    </row>
    <row r="1099" spans="1:7" x14ac:dyDescent="0.2">
      <c r="A1099" s="90"/>
      <c r="B1099" s="43"/>
      <c r="C1099" s="43"/>
      <c r="D1099" s="62"/>
      <c r="E1099" s="91"/>
      <c r="F1099" s="62"/>
      <c r="G1099" s="69"/>
    </row>
    <row r="1100" spans="1:7" x14ac:dyDescent="0.2">
      <c r="A1100" s="90"/>
      <c r="B1100" s="43"/>
      <c r="C1100" s="43"/>
      <c r="D1100" s="62"/>
      <c r="E1100" s="91"/>
      <c r="F1100" s="62"/>
      <c r="G1100" s="69"/>
    </row>
    <row r="1101" spans="1:7" x14ac:dyDescent="0.2">
      <c r="A1101" s="90"/>
      <c r="B1101" s="43"/>
      <c r="C1101" s="43"/>
      <c r="D1101" s="62"/>
      <c r="E1101" s="91"/>
      <c r="F1101" s="62"/>
      <c r="G1101" s="69"/>
    </row>
    <row r="1102" spans="1:7" x14ac:dyDescent="0.2">
      <c r="A1102" s="90"/>
      <c r="B1102" s="43"/>
      <c r="C1102" s="43"/>
      <c r="D1102" s="62"/>
      <c r="E1102" s="92"/>
      <c r="F1102" s="62"/>
      <c r="G1102" s="69"/>
    </row>
    <row r="1103" spans="1:7" x14ac:dyDescent="0.2">
      <c r="A1103" s="90" t="s">
        <v>25</v>
      </c>
      <c r="B1103" s="43" t="s">
        <v>25</v>
      </c>
      <c r="C1103" s="43" t="s">
        <v>25</v>
      </c>
      <c r="D1103" s="61" t="s">
        <v>25</v>
      </c>
      <c r="E1103" s="92" t="s">
        <v>25</v>
      </c>
      <c r="F1103" s="62" t="s">
        <v>25</v>
      </c>
      <c r="G1103" s="43" t="s">
        <v>31</v>
      </c>
    </row>
    <row r="1104" spans="1:7" x14ac:dyDescent="0.2">
      <c r="A1104" s="90"/>
      <c r="B1104" s="69"/>
      <c r="C1104" s="69"/>
      <c r="D1104" s="69"/>
      <c r="E1104" s="69"/>
      <c r="F1104" s="69"/>
      <c r="G1104" s="64"/>
    </row>
    <row r="1105" spans="1:7" ht="24" x14ac:dyDescent="0.2">
      <c r="A1105" s="88" t="s">
        <v>41</v>
      </c>
      <c r="B1105" s="80" t="s">
        <v>42</v>
      </c>
      <c r="C1105" s="80" t="s">
        <v>43</v>
      </c>
      <c r="D1105" s="80" t="s">
        <v>44</v>
      </c>
      <c r="E1105" s="89" t="s">
        <v>306</v>
      </c>
      <c r="F1105" s="80" t="s">
        <v>35</v>
      </c>
      <c r="G1105" s="67"/>
    </row>
    <row r="1106" spans="1:7" x14ac:dyDescent="0.2">
      <c r="A1106" s="81"/>
      <c r="B1106" s="81"/>
      <c r="C1106" s="81"/>
      <c r="D1106" s="81"/>
      <c r="E1106" s="81"/>
      <c r="F1106" s="81"/>
      <c r="G1106" s="81"/>
    </row>
    <row r="1107" spans="1:7" x14ac:dyDescent="0.2">
      <c r="A1107" s="69" t="s">
        <v>336</v>
      </c>
      <c r="B1107" s="85">
        <f>'[17]Jornal día'!B36</f>
        <v>44000</v>
      </c>
      <c r="C1107" s="96">
        <v>0.9</v>
      </c>
      <c r="D1107" s="62">
        <f>B1107*C1107+B1107</f>
        <v>83600</v>
      </c>
      <c r="E1107" s="121">
        <v>16</v>
      </c>
      <c r="F1107" s="62">
        <f xml:space="preserve"> D1107/E1107</f>
        <v>5225</v>
      </c>
      <c r="G1107" s="69"/>
    </row>
    <row r="1108" spans="1:7" x14ac:dyDescent="0.2">
      <c r="A1108" s="69" t="s">
        <v>315</v>
      </c>
      <c r="B1108" s="85">
        <f>'[17]Jornal día'!B37</f>
        <v>27500.000000000004</v>
      </c>
      <c r="C1108" s="96">
        <v>0.9</v>
      </c>
      <c r="D1108" s="62">
        <f>B1108*C1108+B1108</f>
        <v>52250.000000000007</v>
      </c>
      <c r="E1108" s="121">
        <v>16</v>
      </c>
      <c r="F1108" s="62">
        <f xml:space="preserve"> D1108/E1108</f>
        <v>3265.6250000000005</v>
      </c>
      <c r="G1108" s="69" t="s">
        <v>25</v>
      </c>
    </row>
    <row r="1109" spans="1:7" x14ac:dyDescent="0.2">
      <c r="A1109" s="69"/>
      <c r="B1109" s="85"/>
      <c r="C1109" s="96"/>
      <c r="D1109" s="62"/>
      <c r="E1109" s="121"/>
      <c r="F1109" s="62"/>
      <c r="G1109" s="69"/>
    </row>
    <row r="1110" spans="1:7" x14ac:dyDescent="0.2">
      <c r="A1110" s="69"/>
      <c r="B1110" s="85"/>
      <c r="C1110" s="69"/>
      <c r="D1110" s="62"/>
      <c r="E1110" s="69"/>
      <c r="F1110" s="62"/>
      <c r="G1110" s="69"/>
    </row>
    <row r="1111" spans="1:7" x14ac:dyDescent="0.2">
      <c r="A1111" s="69"/>
      <c r="B1111" s="69"/>
      <c r="C1111" s="69"/>
      <c r="D1111" s="69"/>
      <c r="E1111" s="69"/>
      <c r="F1111" s="69"/>
      <c r="G1111" s="43" t="s">
        <v>31</v>
      </c>
    </row>
    <row r="1112" spans="1:7" x14ac:dyDescent="0.2">
      <c r="A1112" s="82"/>
      <c r="B1112" s="82"/>
      <c r="C1112" s="82"/>
      <c r="D1112" s="82"/>
      <c r="E1112" s="82"/>
      <c r="F1112" s="82"/>
      <c r="G1112" s="64">
        <f>F1110+F1108+F1107</f>
        <v>8490.625</v>
      </c>
    </row>
    <row r="1113" spans="1:7" ht="35.25" customHeight="1" x14ac:dyDescent="0.2">
      <c r="A1113" s="1230" t="s">
        <v>25</v>
      </c>
      <c r="B1113" s="1230"/>
      <c r="C1113" s="1230"/>
      <c r="D1113" s="1230"/>
      <c r="E1113" s="1230"/>
      <c r="F1113" s="1230"/>
      <c r="G1113" s="1233"/>
    </row>
    <row r="1114" spans="1:7" x14ac:dyDescent="0.2">
      <c r="A1114" s="1248" t="s">
        <v>45</v>
      </c>
      <c r="B1114" s="1248"/>
      <c r="C1114" s="1248"/>
      <c r="D1114" s="1248"/>
      <c r="E1114" s="1231"/>
      <c r="F1114" s="93"/>
      <c r="G1114" s="70">
        <f xml:space="preserve"> G1112+G1104+G1097+G1086</f>
        <v>67933.440005599987</v>
      </c>
    </row>
    <row r="1115" spans="1:7" x14ac:dyDescent="0.2">
      <c r="A1115" s="1232" t="s">
        <v>476</v>
      </c>
      <c r="B1115" s="1232"/>
      <c r="C1115" s="1222"/>
      <c r="D1115" s="1222"/>
      <c r="E1115" s="1222" t="s">
        <v>44</v>
      </c>
      <c r="F1115" s="1222" t="s">
        <v>51</v>
      </c>
      <c r="G1115" s="1222" t="s">
        <v>307</v>
      </c>
    </row>
    <row r="1116" spans="1:7" x14ac:dyDescent="0.2">
      <c r="A1116" s="1232"/>
      <c r="B1116" s="1232"/>
      <c r="C1116" s="1222"/>
      <c r="D1116" s="1222"/>
      <c r="E1116" s="1222"/>
      <c r="F1116" s="1222"/>
      <c r="G1116" s="1222"/>
    </row>
    <row r="1117" spans="1:7" x14ac:dyDescent="0.2">
      <c r="A1117" s="1244" t="s">
        <v>17</v>
      </c>
      <c r="B1117" s="1244"/>
      <c r="C1117" s="1244"/>
      <c r="D1117" s="1244"/>
      <c r="E1117" s="1244"/>
      <c r="F1117" s="1221"/>
      <c r="G1117" s="1222"/>
    </row>
    <row r="1118" spans="1:7" x14ac:dyDescent="0.2">
      <c r="A1118" s="1244" t="s">
        <v>308</v>
      </c>
      <c r="B1118" s="1244"/>
      <c r="C1118" s="1244"/>
      <c r="D1118" s="1244"/>
      <c r="E1118" s="1244"/>
      <c r="F1118" s="1221"/>
      <c r="G1118" s="1222"/>
    </row>
    <row r="1119" spans="1:7" x14ac:dyDescent="0.2">
      <c r="A1119" s="1244" t="s">
        <v>19</v>
      </c>
      <c r="B1119" s="1244"/>
      <c r="C1119" s="1244"/>
      <c r="D1119" s="1244"/>
      <c r="E1119" s="1244"/>
      <c r="F1119" s="1221"/>
      <c r="G1119" s="1222"/>
    </row>
    <row r="1120" spans="1:7" x14ac:dyDescent="0.2">
      <c r="A1120" s="1244" t="s">
        <v>309</v>
      </c>
      <c r="B1120" s="1244"/>
      <c r="C1120" s="1244"/>
      <c r="D1120" s="1244"/>
      <c r="E1120" s="1244"/>
      <c r="F1120" s="1221"/>
      <c r="G1120" s="1222"/>
    </row>
    <row r="1121" spans="1:7" x14ac:dyDescent="0.2">
      <c r="A1121" s="1245" t="s">
        <v>310</v>
      </c>
      <c r="B1121" s="1245"/>
      <c r="C1121" s="1245"/>
      <c r="D1121" s="1245"/>
      <c r="E1121" s="1245"/>
      <c r="F1121" s="1222"/>
      <c r="G1121" s="1222"/>
    </row>
    <row r="1122" spans="1:7" x14ac:dyDescent="0.2">
      <c r="A1122" s="1238" t="s">
        <v>1917</v>
      </c>
      <c r="B1122" s="1411"/>
      <c r="C1122" s="1411"/>
      <c r="D1122" s="1411"/>
      <c r="E1122" s="1412"/>
      <c r="F1122" s="78" t="s">
        <v>24</v>
      </c>
      <c r="G1122" s="79" t="s">
        <v>311</v>
      </c>
    </row>
    <row r="1123" spans="1:7" x14ac:dyDescent="0.2">
      <c r="A1123" s="1229" t="s">
        <v>25</v>
      </c>
      <c r="B1123" s="1229"/>
      <c r="C1123" s="1229"/>
      <c r="D1123" s="1229"/>
      <c r="E1123" s="1229"/>
      <c r="F1123" s="1229"/>
      <c r="G1123" s="1229"/>
    </row>
    <row r="1124" spans="1:7" x14ac:dyDescent="0.2">
      <c r="A1124" s="1234" t="s">
        <v>469</v>
      </c>
      <c r="B1124" s="1235"/>
      <c r="C1124" s="80" t="s">
        <v>26</v>
      </c>
      <c r="D1124" s="80" t="s">
        <v>27</v>
      </c>
      <c r="E1124" s="80" t="s">
        <v>28</v>
      </c>
      <c r="F1124" s="80" t="s">
        <v>35</v>
      </c>
      <c r="G1124" s="67"/>
    </row>
    <row r="1125" spans="1:7" x14ac:dyDescent="0.2">
      <c r="A1125" s="1236"/>
      <c r="B1125" s="1236"/>
      <c r="C1125" s="69"/>
      <c r="D1125" s="62"/>
      <c r="E1125" s="62"/>
      <c r="F1125" s="62"/>
      <c r="G1125" s="81"/>
    </row>
    <row r="1126" spans="1:7" x14ac:dyDescent="0.2">
      <c r="A1126" s="1236"/>
      <c r="B1126" s="1236"/>
      <c r="C1126" s="69"/>
      <c r="D1126" s="62"/>
      <c r="E1126" s="62"/>
      <c r="F1126" s="62"/>
      <c r="G1126" s="69"/>
    </row>
    <row r="1127" spans="1:7" x14ac:dyDescent="0.2">
      <c r="A1127" s="1236" t="s">
        <v>30</v>
      </c>
      <c r="B1127" s="1236"/>
      <c r="C1127" s="69"/>
      <c r="D1127" s="69"/>
      <c r="E1127" s="69"/>
      <c r="F1127" s="62">
        <f>G1156*0.05</f>
        <v>399.55882352941182</v>
      </c>
      <c r="G1127" s="69"/>
    </row>
    <row r="1128" spans="1:7" x14ac:dyDescent="0.2">
      <c r="A1128" s="1236"/>
      <c r="B1128" s="1236"/>
      <c r="C1128" s="69"/>
      <c r="D1128" s="69"/>
      <c r="E1128" s="69"/>
      <c r="F1128" s="69"/>
      <c r="G1128" s="69"/>
    </row>
    <row r="1129" spans="1:7" x14ac:dyDescent="0.2">
      <c r="A1129" s="1236" t="s">
        <v>25</v>
      </c>
      <c r="B1129" s="1236"/>
      <c r="C1129" s="69"/>
      <c r="D1129" s="69"/>
      <c r="E1129" s="69"/>
      <c r="F1129" s="69"/>
      <c r="G1129" s="83" t="s">
        <v>31</v>
      </c>
    </row>
    <row r="1130" spans="1:7" x14ac:dyDescent="0.2">
      <c r="A1130" s="1237"/>
      <c r="B1130" s="1237"/>
      <c r="C1130" s="82"/>
      <c r="D1130" s="82"/>
      <c r="E1130" s="82"/>
      <c r="F1130" s="82"/>
      <c r="G1130" s="64">
        <f>F1127+F1126+F1125</f>
        <v>399.55882352941182</v>
      </c>
    </row>
    <row r="1131" spans="1:7" x14ac:dyDescent="0.2">
      <c r="A1131" s="1234" t="s">
        <v>475</v>
      </c>
      <c r="B1131" s="1235"/>
      <c r="C1131" s="80" t="s">
        <v>32</v>
      </c>
      <c r="D1131" s="80" t="s">
        <v>33</v>
      </c>
      <c r="E1131" s="80" t="s">
        <v>34</v>
      </c>
      <c r="F1131" s="80" t="s">
        <v>35</v>
      </c>
      <c r="G1131" s="67"/>
    </row>
    <row r="1132" spans="1:7" x14ac:dyDescent="0.2">
      <c r="A1132" s="123"/>
      <c r="B1132" s="73"/>
      <c r="C1132" s="118"/>
      <c r="D1132" s="118"/>
      <c r="E1132" s="118"/>
      <c r="F1132" s="118"/>
      <c r="G1132" s="69"/>
    </row>
    <row r="1133" spans="1:7" x14ac:dyDescent="0.2">
      <c r="A1133" s="123"/>
      <c r="B1133" s="73"/>
      <c r="C1133" s="118"/>
      <c r="D1133" s="118"/>
      <c r="E1133" s="118"/>
      <c r="F1133" s="118"/>
      <c r="G1133" s="69"/>
    </row>
    <row r="1134" spans="1:7" x14ac:dyDescent="0.2">
      <c r="A1134" s="1364" t="s">
        <v>368</v>
      </c>
      <c r="B1134" s="1365"/>
      <c r="C1134" s="43" t="s">
        <v>50</v>
      </c>
      <c r="D1134" s="97">
        <f>'[17]Precios '!I94</f>
        <v>34579.848333333335</v>
      </c>
      <c r="E1134" s="102">
        <v>1</v>
      </c>
      <c r="F1134" s="85">
        <f>D1134*E1134</f>
        <v>34579.848333333335</v>
      </c>
      <c r="G1134" s="69"/>
    </row>
    <row r="1135" spans="1:7" x14ac:dyDescent="0.2">
      <c r="A1135" s="1364" t="s">
        <v>369</v>
      </c>
      <c r="B1135" s="1365"/>
      <c r="C1135" s="63" t="s">
        <v>238</v>
      </c>
      <c r="D1135" s="97">
        <f>'[17]Precios '!E130</f>
        <v>16778.767005000002</v>
      </c>
      <c r="E1135" s="124">
        <v>0.2</v>
      </c>
      <c r="F1135" s="85">
        <f>D1135*E1135</f>
        <v>3355.7534010000004</v>
      </c>
      <c r="G1135" s="69"/>
    </row>
    <row r="1136" spans="1:7" x14ac:dyDescent="0.2">
      <c r="A1136" s="1229" t="s">
        <v>347</v>
      </c>
      <c r="B1136" s="1365"/>
      <c r="C1136" s="63">
        <v>0.25</v>
      </c>
      <c r="D1136" s="97">
        <f>D1092</f>
        <v>52324.94767500001</v>
      </c>
      <c r="E1136" s="86">
        <v>0.04</v>
      </c>
      <c r="F1136" s="85">
        <f>D1136*E1136</f>
        <v>2092.9979070000004</v>
      </c>
      <c r="G1136" s="69"/>
    </row>
    <row r="1137" spans="1:7" x14ac:dyDescent="0.2">
      <c r="A1137" s="1229" t="s">
        <v>348</v>
      </c>
      <c r="B1137" s="1365"/>
      <c r="C1137" s="63">
        <v>0.25</v>
      </c>
      <c r="D1137" s="97">
        <f>D1093</f>
        <v>108520.02661500004</v>
      </c>
      <c r="E1137" s="86">
        <v>0.04</v>
      </c>
      <c r="F1137" s="85">
        <f>D1137*E1137</f>
        <v>4340.8010646000021</v>
      </c>
      <c r="G1137" s="69"/>
    </row>
    <row r="1138" spans="1:7" x14ac:dyDescent="0.2">
      <c r="A1138" s="1366" t="s">
        <v>333</v>
      </c>
      <c r="B1138" s="1365"/>
      <c r="C1138" s="66" t="s">
        <v>54</v>
      </c>
      <c r="D1138" s="97">
        <f>D1094</f>
        <v>3250</v>
      </c>
      <c r="E1138" s="98">
        <v>0.06</v>
      </c>
      <c r="F1138" s="85">
        <f>D1138*E1138</f>
        <v>195</v>
      </c>
      <c r="G1138" s="69"/>
    </row>
    <row r="1139" spans="1:7" x14ac:dyDescent="0.2">
      <c r="A1139" s="1228" t="s">
        <v>349</v>
      </c>
      <c r="B1139" s="1229"/>
      <c r="C1139" s="43" t="s">
        <v>51</v>
      </c>
      <c r="D1139" s="97">
        <f>F1134</f>
        <v>34579.848333333335</v>
      </c>
      <c r="E1139" s="102">
        <v>5</v>
      </c>
      <c r="F1139" s="85">
        <f>D1139*0.05</f>
        <v>1728.9924166666669</v>
      </c>
      <c r="G1139" s="43" t="s">
        <v>31</v>
      </c>
    </row>
    <row r="1140" spans="1:7" x14ac:dyDescent="0.2">
      <c r="A1140" s="71"/>
      <c r="B1140" s="72"/>
      <c r="C1140" s="43"/>
      <c r="D1140" s="97"/>
      <c r="E1140" s="92"/>
      <c r="F1140" s="85"/>
      <c r="G1140" s="43"/>
    </row>
    <row r="1141" spans="1:7" x14ac:dyDescent="0.2">
      <c r="A1141" s="1228"/>
      <c r="B1141" s="1229"/>
      <c r="C1141" s="69"/>
      <c r="D1141" s="69"/>
      <c r="E1141" s="69"/>
      <c r="F1141" s="69"/>
      <c r="G1141" s="65">
        <f>F1134+F1135+F1136+F1137+F1138+F1139</f>
        <v>46293.393122600006</v>
      </c>
    </row>
    <row r="1142" spans="1:7" ht="24" x14ac:dyDescent="0.2">
      <c r="A1142" s="88" t="s">
        <v>329</v>
      </c>
      <c r="B1142" s="89" t="s">
        <v>38</v>
      </c>
      <c r="C1142" s="89" t="s">
        <v>39</v>
      </c>
      <c r="D1142" s="80" t="s">
        <v>40</v>
      </c>
      <c r="E1142" s="80" t="s">
        <v>34</v>
      </c>
      <c r="F1142" s="80" t="s">
        <v>35</v>
      </c>
      <c r="G1142" s="67"/>
    </row>
    <row r="1143" spans="1:7" x14ac:dyDescent="0.2">
      <c r="A1143" s="90"/>
      <c r="B1143" s="43"/>
      <c r="C1143" s="43"/>
      <c r="D1143" s="62"/>
      <c r="E1143" s="91"/>
      <c r="F1143" s="62"/>
      <c r="G1143" s="69"/>
    </row>
    <row r="1144" spans="1:7" x14ac:dyDescent="0.2">
      <c r="A1144" s="90"/>
      <c r="B1144" s="43"/>
      <c r="C1144" s="43"/>
      <c r="D1144" s="62"/>
      <c r="E1144" s="91"/>
      <c r="F1144" s="62"/>
      <c r="G1144" s="69"/>
    </row>
    <row r="1145" spans="1:7" x14ac:dyDescent="0.2">
      <c r="A1145" s="90"/>
      <c r="B1145" s="43"/>
      <c r="C1145" s="43"/>
      <c r="D1145" s="62"/>
      <c r="E1145" s="91"/>
      <c r="F1145" s="62"/>
      <c r="G1145" s="69"/>
    </row>
    <row r="1146" spans="1:7" x14ac:dyDescent="0.2">
      <c r="A1146" s="90"/>
      <c r="B1146" s="43"/>
      <c r="C1146" s="43"/>
      <c r="D1146" s="62"/>
      <c r="E1146" s="92"/>
      <c r="F1146" s="62"/>
      <c r="G1146" s="69"/>
    </row>
    <row r="1147" spans="1:7" x14ac:dyDescent="0.2">
      <c r="A1147" s="90" t="s">
        <v>25</v>
      </c>
      <c r="B1147" s="43" t="s">
        <v>25</v>
      </c>
      <c r="C1147" s="43" t="s">
        <v>25</v>
      </c>
      <c r="D1147" s="61" t="s">
        <v>25</v>
      </c>
      <c r="E1147" s="92" t="s">
        <v>25</v>
      </c>
      <c r="F1147" s="62" t="s">
        <v>25</v>
      </c>
      <c r="G1147" s="43" t="s">
        <v>31</v>
      </c>
    </row>
    <row r="1148" spans="1:7" x14ac:dyDescent="0.2">
      <c r="A1148" s="90"/>
      <c r="B1148" s="69"/>
      <c r="C1148" s="69"/>
      <c r="D1148" s="69"/>
      <c r="E1148" s="69"/>
      <c r="F1148" s="69"/>
      <c r="G1148" s="64"/>
    </row>
    <row r="1149" spans="1:7" ht="24" x14ac:dyDescent="0.2">
      <c r="A1149" s="88" t="s">
        <v>41</v>
      </c>
      <c r="B1149" s="80" t="s">
        <v>42</v>
      </c>
      <c r="C1149" s="80" t="s">
        <v>43</v>
      </c>
      <c r="D1149" s="80" t="s">
        <v>44</v>
      </c>
      <c r="E1149" s="89" t="s">
        <v>306</v>
      </c>
      <c r="F1149" s="80" t="s">
        <v>35</v>
      </c>
      <c r="G1149" s="67"/>
    </row>
    <row r="1150" spans="1:7" x14ac:dyDescent="0.2">
      <c r="A1150" s="81"/>
      <c r="B1150" s="81"/>
      <c r="C1150" s="81"/>
      <c r="D1150" s="81"/>
      <c r="E1150" s="81"/>
      <c r="F1150" s="81"/>
      <c r="G1150" s="81"/>
    </row>
    <row r="1151" spans="1:7" x14ac:dyDescent="0.2">
      <c r="A1151" s="69" t="s">
        <v>336</v>
      </c>
      <c r="B1151" s="85">
        <f>B1107</f>
        <v>44000</v>
      </c>
      <c r="C1151" s="96">
        <v>0.9</v>
      </c>
      <c r="D1151" s="62">
        <f>B1151*C1151+B1151</f>
        <v>83600</v>
      </c>
      <c r="E1151" s="121">
        <v>17</v>
      </c>
      <c r="F1151" s="62">
        <f xml:space="preserve"> D1151/E1151</f>
        <v>4917.6470588235297</v>
      </c>
      <c r="G1151" s="69"/>
    </row>
    <row r="1152" spans="1:7" x14ac:dyDescent="0.2">
      <c r="A1152" s="69" t="s">
        <v>315</v>
      </c>
      <c r="B1152" s="85">
        <f>B1108</f>
        <v>27500.000000000004</v>
      </c>
      <c r="C1152" s="96">
        <v>0.9</v>
      </c>
      <c r="D1152" s="62">
        <f>B1152*C1152+B1152</f>
        <v>52250.000000000007</v>
      </c>
      <c r="E1152" s="121">
        <v>17</v>
      </c>
      <c r="F1152" s="62">
        <f xml:space="preserve"> D1152/E1152</f>
        <v>3073.5294117647063</v>
      </c>
      <c r="G1152" s="69" t="s">
        <v>25</v>
      </c>
    </row>
    <row r="1153" spans="1:7" x14ac:dyDescent="0.2">
      <c r="A1153" s="69"/>
      <c r="B1153" s="85"/>
      <c r="C1153" s="96"/>
      <c r="D1153" s="62"/>
      <c r="E1153" s="121"/>
      <c r="F1153" s="62"/>
      <c r="G1153" s="69"/>
    </row>
    <row r="1154" spans="1:7" x14ac:dyDescent="0.2">
      <c r="A1154" s="69"/>
      <c r="B1154" s="85"/>
      <c r="C1154" s="69"/>
      <c r="D1154" s="62"/>
      <c r="E1154" s="69"/>
      <c r="F1154" s="62"/>
      <c r="G1154" s="69"/>
    </row>
    <row r="1155" spans="1:7" x14ac:dyDescent="0.2">
      <c r="A1155" s="69"/>
      <c r="B1155" s="69"/>
      <c r="C1155" s="69"/>
      <c r="D1155" s="69"/>
      <c r="E1155" s="69"/>
      <c r="F1155" s="69"/>
      <c r="G1155" s="43" t="s">
        <v>31</v>
      </c>
    </row>
    <row r="1156" spans="1:7" x14ac:dyDescent="0.2">
      <c r="A1156" s="82"/>
      <c r="B1156" s="82"/>
      <c r="C1156" s="82"/>
      <c r="D1156" s="82"/>
      <c r="E1156" s="82"/>
      <c r="F1156" s="82"/>
      <c r="G1156" s="64">
        <f>F1154+F1152+F1151</f>
        <v>7991.176470588236</v>
      </c>
    </row>
    <row r="1157" spans="1:7" ht="33.75" customHeight="1" x14ac:dyDescent="0.2">
      <c r="A1157" s="1230" t="s">
        <v>25</v>
      </c>
      <c r="B1157" s="1230"/>
      <c r="C1157" s="1230"/>
      <c r="D1157" s="1230"/>
      <c r="E1157" s="1230"/>
      <c r="F1157" s="1230"/>
      <c r="G1157" s="1233"/>
    </row>
    <row r="1158" spans="1:7" ht="27.75" customHeight="1" x14ac:dyDescent="0.2">
      <c r="A1158" s="1248" t="s">
        <v>45</v>
      </c>
      <c r="B1158" s="1248"/>
      <c r="C1158" s="1248"/>
      <c r="D1158" s="1248"/>
      <c r="E1158" s="1231"/>
      <c r="F1158" s="93"/>
      <c r="G1158" s="70">
        <f xml:space="preserve"> G1156+G1148+G1141+G1130</f>
        <v>54684.128416717656</v>
      </c>
    </row>
    <row r="1159" spans="1:7" x14ac:dyDescent="0.2">
      <c r="A1159" s="1232" t="s">
        <v>476</v>
      </c>
      <c r="B1159" s="1232"/>
      <c r="C1159" s="1222"/>
      <c r="D1159" s="1222"/>
      <c r="E1159" s="1222" t="s">
        <v>44</v>
      </c>
      <c r="F1159" s="1222" t="s">
        <v>51</v>
      </c>
      <c r="G1159" s="1222" t="s">
        <v>307</v>
      </c>
    </row>
    <row r="1160" spans="1:7" x14ac:dyDescent="0.2">
      <c r="A1160" s="1232"/>
      <c r="B1160" s="1232"/>
      <c r="C1160" s="1222"/>
      <c r="D1160" s="1222"/>
      <c r="E1160" s="1222"/>
      <c r="F1160" s="1222"/>
      <c r="G1160" s="1222"/>
    </row>
    <row r="1161" spans="1:7" x14ac:dyDescent="0.2">
      <c r="A1161" s="1244" t="s">
        <v>17</v>
      </c>
      <c r="B1161" s="1244"/>
      <c r="C1161" s="1244"/>
      <c r="D1161" s="1244"/>
      <c r="E1161" s="1244"/>
      <c r="F1161" s="1221"/>
      <c r="G1161" s="1222"/>
    </row>
    <row r="1162" spans="1:7" x14ac:dyDescent="0.2">
      <c r="A1162" s="1244" t="s">
        <v>308</v>
      </c>
      <c r="B1162" s="1244"/>
      <c r="C1162" s="1244"/>
      <c r="D1162" s="1244"/>
      <c r="E1162" s="1244"/>
      <c r="F1162" s="1221"/>
      <c r="G1162" s="1222"/>
    </row>
    <row r="1163" spans="1:7" x14ac:dyDescent="0.2">
      <c r="A1163" s="1244" t="s">
        <v>19</v>
      </c>
      <c r="B1163" s="1244"/>
      <c r="C1163" s="1244"/>
      <c r="D1163" s="1244"/>
      <c r="E1163" s="1244"/>
      <c r="F1163" s="1221"/>
      <c r="G1163" s="1222"/>
    </row>
    <row r="1164" spans="1:7" x14ac:dyDescent="0.2">
      <c r="A1164" s="1244" t="s">
        <v>309</v>
      </c>
      <c r="B1164" s="1244"/>
      <c r="C1164" s="1244"/>
      <c r="D1164" s="1244"/>
      <c r="E1164" s="1244"/>
      <c r="F1164" s="1221"/>
      <c r="G1164" s="1222"/>
    </row>
    <row r="1165" spans="1:7" x14ac:dyDescent="0.2">
      <c r="A1165" s="1245" t="s">
        <v>310</v>
      </c>
      <c r="B1165" s="1245"/>
      <c r="C1165" s="1245"/>
      <c r="D1165" s="1245"/>
      <c r="E1165" s="1245"/>
      <c r="F1165" s="1222"/>
      <c r="G1165" s="1222"/>
    </row>
    <row r="1166" spans="1:7" x14ac:dyDescent="0.2">
      <c r="A1166" s="1238" t="s">
        <v>1918</v>
      </c>
      <c r="B1166" s="1411"/>
      <c r="C1166" s="1411"/>
      <c r="D1166" s="1411"/>
      <c r="E1166" s="1412"/>
      <c r="F1166" s="78" t="s">
        <v>24</v>
      </c>
      <c r="G1166" s="79" t="s">
        <v>311</v>
      </c>
    </row>
    <row r="1167" spans="1:7" x14ac:dyDescent="0.2">
      <c r="A1167" s="1229" t="s">
        <v>25</v>
      </c>
      <c r="B1167" s="1229"/>
      <c r="C1167" s="1229"/>
      <c r="D1167" s="1229"/>
      <c r="E1167" s="1229"/>
      <c r="F1167" s="1229"/>
      <c r="G1167" s="1229"/>
    </row>
    <row r="1168" spans="1:7" x14ac:dyDescent="0.2">
      <c r="A1168" s="1234" t="s">
        <v>469</v>
      </c>
      <c r="B1168" s="1235"/>
      <c r="C1168" s="80" t="s">
        <v>26</v>
      </c>
      <c r="D1168" s="80" t="s">
        <v>27</v>
      </c>
      <c r="E1168" s="80" t="s">
        <v>28</v>
      </c>
      <c r="F1168" s="80" t="s">
        <v>35</v>
      </c>
      <c r="G1168" s="67"/>
    </row>
    <row r="1169" spans="1:7" x14ac:dyDescent="0.2">
      <c r="A1169" s="1236"/>
      <c r="B1169" s="1236"/>
      <c r="C1169" s="69"/>
      <c r="D1169" s="62"/>
      <c r="E1169" s="62"/>
      <c r="F1169" s="62"/>
      <c r="G1169" s="81"/>
    </row>
    <row r="1170" spans="1:7" x14ac:dyDescent="0.2">
      <c r="A1170" s="1236"/>
      <c r="B1170" s="1236"/>
      <c r="C1170" s="69"/>
      <c r="D1170" s="62"/>
      <c r="E1170" s="62"/>
      <c r="F1170" s="62"/>
      <c r="G1170" s="69"/>
    </row>
    <row r="1171" spans="1:7" x14ac:dyDescent="0.2">
      <c r="A1171" s="1236" t="s">
        <v>30</v>
      </c>
      <c r="B1171" s="1236"/>
      <c r="C1171" s="69"/>
      <c r="D1171" s="69"/>
      <c r="E1171" s="69"/>
      <c r="F1171" s="62">
        <f>G1200*0.05</f>
        <v>377.36111111111114</v>
      </c>
      <c r="G1171" s="69"/>
    </row>
    <row r="1172" spans="1:7" x14ac:dyDescent="0.2">
      <c r="A1172" s="1236"/>
      <c r="B1172" s="1236"/>
      <c r="C1172" s="69"/>
      <c r="D1172" s="69"/>
      <c r="E1172" s="69"/>
      <c r="F1172" s="69"/>
      <c r="G1172" s="69"/>
    </row>
    <row r="1173" spans="1:7" x14ac:dyDescent="0.2">
      <c r="A1173" s="1236" t="s">
        <v>25</v>
      </c>
      <c r="B1173" s="1236"/>
      <c r="C1173" s="69"/>
      <c r="D1173" s="69"/>
      <c r="E1173" s="69"/>
      <c r="F1173" s="69"/>
      <c r="G1173" s="83" t="s">
        <v>31</v>
      </c>
    </row>
    <row r="1174" spans="1:7" x14ac:dyDescent="0.2">
      <c r="A1174" s="1237"/>
      <c r="B1174" s="1237"/>
      <c r="C1174" s="82"/>
      <c r="D1174" s="82"/>
      <c r="E1174" s="82"/>
      <c r="F1174" s="82"/>
      <c r="G1174" s="64">
        <f>F1171+F1170+F1169</f>
        <v>377.36111111111114</v>
      </c>
    </row>
    <row r="1175" spans="1:7" x14ac:dyDescent="0.2">
      <c r="A1175" s="1234" t="s">
        <v>475</v>
      </c>
      <c r="B1175" s="1235"/>
      <c r="C1175" s="80" t="s">
        <v>32</v>
      </c>
      <c r="D1175" s="80" t="s">
        <v>33</v>
      </c>
      <c r="E1175" s="80" t="s">
        <v>34</v>
      </c>
      <c r="F1175" s="80" t="s">
        <v>35</v>
      </c>
      <c r="G1175" s="67"/>
    </row>
    <row r="1176" spans="1:7" x14ac:dyDescent="0.2">
      <c r="A1176" s="123"/>
      <c r="B1176" s="73"/>
      <c r="C1176" s="118"/>
      <c r="D1176" s="118"/>
      <c r="E1176" s="118"/>
      <c r="F1176" s="118"/>
      <c r="G1176" s="69"/>
    </row>
    <row r="1177" spans="1:7" x14ac:dyDescent="0.2">
      <c r="A1177" s="123"/>
      <c r="B1177" s="73"/>
      <c r="C1177" s="118"/>
      <c r="D1177" s="118"/>
      <c r="E1177" s="118"/>
      <c r="F1177" s="118"/>
      <c r="G1177" s="69"/>
    </row>
    <row r="1178" spans="1:7" x14ac:dyDescent="0.2">
      <c r="A1178" s="1364" t="s">
        <v>345</v>
      </c>
      <c r="B1178" s="1365"/>
      <c r="C1178" s="43" t="s">
        <v>50</v>
      </c>
      <c r="D1178" s="97">
        <f>'[17]Precios '!G93</f>
        <v>18554.033333333333</v>
      </c>
      <c r="E1178" s="102">
        <v>1</v>
      </c>
      <c r="F1178" s="85">
        <f>D1178*E1178</f>
        <v>18554.033333333333</v>
      </c>
      <c r="G1178" s="69"/>
    </row>
    <row r="1179" spans="1:7" x14ac:dyDescent="0.2">
      <c r="A1179" s="1364" t="s">
        <v>346</v>
      </c>
      <c r="B1179" s="1365"/>
      <c r="C1179" s="63" t="s">
        <v>238</v>
      </c>
      <c r="D1179" s="97">
        <f>'[17]Precios '!E129</f>
        <v>15304.849560000002</v>
      </c>
      <c r="E1179" s="124">
        <v>0.2</v>
      </c>
      <c r="F1179" s="85">
        <f>D1179*E1179</f>
        <v>3060.9699120000005</v>
      </c>
      <c r="G1179" s="69"/>
    </row>
    <row r="1180" spans="1:7" x14ac:dyDescent="0.2">
      <c r="A1180" s="1229" t="s">
        <v>347</v>
      </c>
      <c r="B1180" s="1365"/>
      <c r="C1180" s="63">
        <v>0.25</v>
      </c>
      <c r="D1180" s="97">
        <f>D1136</f>
        <v>52324.94767500001</v>
      </c>
      <c r="E1180" s="86">
        <v>0.04</v>
      </c>
      <c r="F1180" s="85">
        <f>D1180*E1180</f>
        <v>2092.9979070000004</v>
      </c>
      <c r="G1180" s="69"/>
    </row>
    <row r="1181" spans="1:7" x14ac:dyDescent="0.2">
      <c r="A1181" s="1229" t="s">
        <v>348</v>
      </c>
      <c r="B1181" s="1365"/>
      <c r="C1181" s="63">
        <v>0.25</v>
      </c>
      <c r="D1181" s="97">
        <f>D1137</f>
        <v>108520.02661500004</v>
      </c>
      <c r="E1181" s="86">
        <v>0.04</v>
      </c>
      <c r="F1181" s="85">
        <f>D1181*E1181</f>
        <v>4340.8010646000021</v>
      </c>
      <c r="G1181" s="69"/>
    </row>
    <row r="1182" spans="1:7" x14ac:dyDescent="0.2">
      <c r="A1182" s="1366" t="s">
        <v>333</v>
      </c>
      <c r="B1182" s="1365"/>
      <c r="C1182" s="66" t="s">
        <v>54</v>
      </c>
      <c r="D1182" s="97">
        <f>D1138</f>
        <v>3250</v>
      </c>
      <c r="E1182" s="98">
        <v>0.06</v>
      </c>
      <c r="F1182" s="85">
        <f>D1182*E1182</f>
        <v>195</v>
      </c>
      <c r="G1182" s="69"/>
    </row>
    <row r="1183" spans="1:7" x14ac:dyDescent="0.2">
      <c r="A1183" s="1228" t="s">
        <v>349</v>
      </c>
      <c r="B1183" s="1229"/>
      <c r="C1183" s="43" t="s">
        <v>51</v>
      </c>
      <c r="D1183" s="97">
        <f>F1178</f>
        <v>18554.033333333333</v>
      </c>
      <c r="E1183" s="102">
        <v>5</v>
      </c>
      <c r="F1183" s="85">
        <f>D1183*0.05</f>
        <v>927.70166666666671</v>
      </c>
      <c r="G1183" s="43" t="s">
        <v>31</v>
      </c>
    </row>
    <row r="1184" spans="1:7" x14ac:dyDescent="0.2">
      <c r="A1184" s="71"/>
      <c r="B1184" s="72"/>
      <c r="C1184" s="43"/>
      <c r="D1184" s="97"/>
      <c r="E1184" s="92"/>
      <c r="F1184" s="85"/>
      <c r="G1184" s="43"/>
    </row>
    <row r="1185" spans="1:7" x14ac:dyDescent="0.2">
      <c r="A1185" s="1228"/>
      <c r="B1185" s="1229"/>
      <c r="C1185" s="69"/>
      <c r="D1185" s="69"/>
      <c r="E1185" s="69"/>
      <c r="F1185" s="69"/>
      <c r="G1185" s="65">
        <f>F1178+F1179+F1180+F1181+F1182+F1183</f>
        <v>29171.503883600002</v>
      </c>
    </row>
    <row r="1186" spans="1:7" ht="24" x14ac:dyDescent="0.2">
      <c r="A1186" s="88" t="s">
        <v>329</v>
      </c>
      <c r="B1186" s="89" t="s">
        <v>38</v>
      </c>
      <c r="C1186" s="89" t="s">
        <v>39</v>
      </c>
      <c r="D1186" s="80" t="s">
        <v>40</v>
      </c>
      <c r="E1186" s="80" t="s">
        <v>34</v>
      </c>
      <c r="F1186" s="80" t="s">
        <v>35</v>
      </c>
      <c r="G1186" s="67"/>
    </row>
    <row r="1187" spans="1:7" x14ac:dyDescent="0.2">
      <c r="A1187" s="90"/>
      <c r="B1187" s="43"/>
      <c r="C1187" s="43"/>
      <c r="D1187" s="62"/>
      <c r="E1187" s="91"/>
      <c r="F1187" s="62"/>
      <c r="G1187" s="69"/>
    </row>
    <row r="1188" spans="1:7" x14ac:dyDescent="0.2">
      <c r="A1188" s="90"/>
      <c r="B1188" s="43"/>
      <c r="C1188" s="43"/>
      <c r="D1188" s="62"/>
      <c r="E1188" s="91"/>
      <c r="F1188" s="62"/>
      <c r="G1188" s="69"/>
    </row>
    <row r="1189" spans="1:7" x14ac:dyDescent="0.2">
      <c r="A1189" s="90"/>
      <c r="B1189" s="43"/>
      <c r="C1189" s="43"/>
      <c r="D1189" s="62"/>
      <c r="E1189" s="91"/>
      <c r="F1189" s="62"/>
      <c r="G1189" s="69"/>
    </row>
    <row r="1190" spans="1:7" x14ac:dyDescent="0.2">
      <c r="A1190" s="90"/>
      <c r="B1190" s="43"/>
      <c r="C1190" s="43"/>
      <c r="D1190" s="62"/>
      <c r="E1190" s="92"/>
      <c r="F1190" s="62"/>
      <c r="G1190" s="69"/>
    </row>
    <row r="1191" spans="1:7" x14ac:dyDescent="0.2">
      <c r="A1191" s="90" t="s">
        <v>25</v>
      </c>
      <c r="B1191" s="43" t="s">
        <v>25</v>
      </c>
      <c r="C1191" s="43" t="s">
        <v>25</v>
      </c>
      <c r="D1191" s="61" t="s">
        <v>25</v>
      </c>
      <c r="E1191" s="92" t="s">
        <v>25</v>
      </c>
      <c r="F1191" s="62" t="s">
        <v>25</v>
      </c>
      <c r="G1191" s="43" t="s">
        <v>31</v>
      </c>
    </row>
    <row r="1192" spans="1:7" x14ac:dyDescent="0.2">
      <c r="A1192" s="90"/>
      <c r="B1192" s="69"/>
      <c r="C1192" s="69"/>
      <c r="D1192" s="69"/>
      <c r="E1192" s="69"/>
      <c r="F1192" s="69"/>
      <c r="G1192" s="64"/>
    </row>
    <row r="1193" spans="1:7" ht="24" x14ac:dyDescent="0.2">
      <c r="A1193" s="88" t="s">
        <v>41</v>
      </c>
      <c r="B1193" s="80" t="s">
        <v>42</v>
      </c>
      <c r="C1193" s="80" t="s">
        <v>43</v>
      </c>
      <c r="D1193" s="80" t="s">
        <v>44</v>
      </c>
      <c r="E1193" s="89" t="s">
        <v>306</v>
      </c>
      <c r="F1193" s="80" t="s">
        <v>35</v>
      </c>
      <c r="G1193" s="67"/>
    </row>
    <row r="1194" spans="1:7" x14ac:dyDescent="0.2">
      <c r="A1194" s="81"/>
      <c r="B1194" s="81"/>
      <c r="C1194" s="81"/>
      <c r="D1194" s="81"/>
      <c r="E1194" s="81"/>
      <c r="F1194" s="81"/>
      <c r="G1194" s="81"/>
    </row>
    <row r="1195" spans="1:7" x14ac:dyDescent="0.2">
      <c r="A1195" s="69" t="s">
        <v>336</v>
      </c>
      <c r="B1195" s="85">
        <f>B1151</f>
        <v>44000</v>
      </c>
      <c r="C1195" s="96">
        <v>0.9</v>
      </c>
      <c r="D1195" s="62">
        <f>B1195*C1195+B1195</f>
        <v>83600</v>
      </c>
      <c r="E1195" s="121">
        <v>18</v>
      </c>
      <c r="F1195" s="62">
        <f xml:space="preserve"> D1195/E1195</f>
        <v>4644.4444444444443</v>
      </c>
      <c r="G1195" s="69"/>
    </row>
    <row r="1196" spans="1:7" x14ac:dyDescent="0.2">
      <c r="A1196" s="69" t="s">
        <v>315</v>
      </c>
      <c r="B1196" s="85">
        <f>B1152</f>
        <v>27500.000000000004</v>
      </c>
      <c r="C1196" s="96">
        <v>0.9</v>
      </c>
      <c r="D1196" s="62">
        <f>B1196*C1196+B1196</f>
        <v>52250.000000000007</v>
      </c>
      <c r="E1196" s="121">
        <v>18</v>
      </c>
      <c r="F1196" s="62">
        <f xml:space="preserve"> D1196/E1196</f>
        <v>2902.7777777777783</v>
      </c>
      <c r="G1196" s="69" t="s">
        <v>25</v>
      </c>
    </row>
    <row r="1197" spans="1:7" x14ac:dyDescent="0.2">
      <c r="A1197" s="69"/>
      <c r="B1197" s="85"/>
      <c r="C1197" s="96"/>
      <c r="D1197" s="62"/>
      <c r="E1197" s="121"/>
      <c r="F1197" s="62"/>
      <c r="G1197" s="69"/>
    </row>
    <row r="1198" spans="1:7" x14ac:dyDescent="0.2">
      <c r="A1198" s="69"/>
      <c r="B1198" s="85"/>
      <c r="C1198" s="69"/>
      <c r="D1198" s="62"/>
      <c r="E1198" s="69"/>
      <c r="F1198" s="62"/>
      <c r="G1198" s="69"/>
    </row>
    <row r="1199" spans="1:7" x14ac:dyDescent="0.2">
      <c r="A1199" s="69"/>
      <c r="B1199" s="69"/>
      <c r="C1199" s="69"/>
      <c r="D1199" s="69"/>
      <c r="E1199" s="69"/>
      <c r="F1199" s="69"/>
      <c r="G1199" s="43" t="s">
        <v>31</v>
      </c>
    </row>
    <row r="1200" spans="1:7" x14ac:dyDescent="0.2">
      <c r="A1200" s="82"/>
      <c r="B1200" s="82"/>
      <c r="C1200" s="82"/>
      <c r="D1200" s="82"/>
      <c r="E1200" s="82"/>
      <c r="F1200" s="82"/>
      <c r="G1200" s="64">
        <f>F1198+F1196+F1195</f>
        <v>7547.2222222222226</v>
      </c>
    </row>
    <row r="1201" spans="1:7" ht="33.75" customHeight="1" x14ac:dyDescent="0.2">
      <c r="A1201" s="1230" t="s">
        <v>25</v>
      </c>
      <c r="B1201" s="1230"/>
      <c r="C1201" s="1230"/>
      <c r="D1201" s="1230"/>
      <c r="E1201" s="1230"/>
      <c r="F1201" s="1230"/>
      <c r="G1201" s="1233"/>
    </row>
    <row r="1202" spans="1:7" x14ac:dyDescent="0.2">
      <c r="A1202" s="1248" t="s">
        <v>45</v>
      </c>
      <c r="B1202" s="1248"/>
      <c r="C1202" s="1248"/>
      <c r="D1202" s="1248"/>
      <c r="E1202" s="1231"/>
      <c r="F1202" s="93"/>
      <c r="G1202" s="70">
        <f xml:space="preserve"> G1200+G1192+G1185+G1174</f>
        <v>37096.087216933331</v>
      </c>
    </row>
    <row r="1203" spans="1:7" x14ac:dyDescent="0.2">
      <c r="A1203" s="1232" t="s">
        <v>476</v>
      </c>
      <c r="B1203" s="1232"/>
      <c r="C1203" s="1222"/>
      <c r="D1203" s="1222"/>
      <c r="E1203" s="1222" t="s">
        <v>44</v>
      </c>
      <c r="F1203" s="1222" t="s">
        <v>51</v>
      </c>
      <c r="G1203" s="1222" t="s">
        <v>307</v>
      </c>
    </row>
    <row r="1204" spans="1:7" x14ac:dyDescent="0.2">
      <c r="A1204" s="1232"/>
      <c r="B1204" s="1232"/>
      <c r="C1204" s="1222"/>
      <c r="D1204" s="1222"/>
      <c r="E1204" s="1222"/>
      <c r="F1204" s="1222"/>
      <c r="G1204" s="1222"/>
    </row>
    <row r="1205" spans="1:7" x14ac:dyDescent="0.2">
      <c r="A1205" s="1244" t="s">
        <v>17</v>
      </c>
      <c r="B1205" s="1244"/>
      <c r="C1205" s="1244"/>
      <c r="D1205" s="1244"/>
      <c r="E1205" s="1244"/>
      <c r="F1205" s="1221"/>
      <c r="G1205" s="1222"/>
    </row>
    <row r="1206" spans="1:7" x14ac:dyDescent="0.2">
      <c r="A1206" s="1244" t="s">
        <v>308</v>
      </c>
      <c r="B1206" s="1244"/>
      <c r="C1206" s="1244"/>
      <c r="D1206" s="1244"/>
      <c r="E1206" s="1244"/>
      <c r="F1206" s="1221"/>
      <c r="G1206" s="1222"/>
    </row>
    <row r="1207" spans="1:7" x14ac:dyDescent="0.2">
      <c r="A1207" s="1244" t="s">
        <v>19</v>
      </c>
      <c r="B1207" s="1244"/>
      <c r="C1207" s="1244"/>
      <c r="D1207" s="1244"/>
      <c r="E1207" s="1244"/>
      <c r="F1207" s="1221"/>
      <c r="G1207" s="1222"/>
    </row>
    <row r="1208" spans="1:7" x14ac:dyDescent="0.2">
      <c r="A1208" s="1244" t="s">
        <v>309</v>
      </c>
      <c r="B1208" s="1244"/>
      <c r="C1208" s="1244"/>
      <c r="D1208" s="1244"/>
      <c r="E1208" s="1244"/>
      <c r="F1208" s="1221"/>
      <c r="G1208" s="1222"/>
    </row>
    <row r="1209" spans="1:7" x14ac:dyDescent="0.2">
      <c r="A1209" s="1245" t="s">
        <v>310</v>
      </c>
      <c r="B1209" s="1245"/>
      <c r="C1209" s="1245"/>
      <c r="D1209" s="1245"/>
      <c r="E1209" s="1245"/>
      <c r="F1209" s="1222"/>
      <c r="G1209" s="1222"/>
    </row>
    <row r="1210" spans="1:7" ht="12.75" x14ac:dyDescent="0.2">
      <c r="A1210" s="108"/>
      <c r="B1210" s="94"/>
      <c r="C1210" s="94"/>
      <c r="D1210" s="94"/>
      <c r="E1210" s="94"/>
      <c r="F1210" s="883" t="s">
        <v>300</v>
      </c>
      <c r="G1210" s="883" t="s">
        <v>2394</v>
      </c>
    </row>
    <row r="1211" spans="1:7" x14ac:dyDescent="0.2">
      <c r="A1211" s="1367" t="s">
        <v>1920</v>
      </c>
      <c r="B1211" s="1368"/>
      <c r="C1211" s="1368"/>
      <c r="D1211" s="1368"/>
      <c r="E1211" s="1369"/>
      <c r="F1211" s="884" t="s">
        <v>24</v>
      </c>
      <c r="G1211" s="884" t="s">
        <v>311</v>
      </c>
    </row>
    <row r="1212" spans="1:7" x14ac:dyDescent="0.2">
      <c r="A1212" s="1229" t="s">
        <v>25</v>
      </c>
      <c r="B1212" s="1229"/>
      <c r="C1212" s="1229"/>
      <c r="D1212" s="1229"/>
      <c r="E1212" s="1229"/>
      <c r="F1212" s="1229"/>
      <c r="G1212" s="1229"/>
    </row>
    <row r="1213" spans="1:7" x14ac:dyDescent="0.2">
      <c r="A1213" s="1234" t="s">
        <v>469</v>
      </c>
      <c r="B1213" s="1235"/>
      <c r="C1213" s="80" t="s">
        <v>26</v>
      </c>
      <c r="D1213" s="80" t="s">
        <v>27</v>
      </c>
      <c r="E1213" s="80" t="s">
        <v>28</v>
      </c>
      <c r="F1213" s="80" t="s">
        <v>35</v>
      </c>
      <c r="G1213" s="67"/>
    </row>
    <row r="1214" spans="1:7" x14ac:dyDescent="0.2">
      <c r="A1214" s="1236"/>
      <c r="B1214" s="1236"/>
      <c r="C1214" s="69"/>
      <c r="D1214" s="62"/>
      <c r="E1214" s="62"/>
      <c r="F1214" s="62"/>
      <c r="G1214" s="81"/>
    </row>
    <row r="1215" spans="1:7" x14ac:dyDescent="0.2">
      <c r="A1215" s="1236"/>
      <c r="B1215" s="1236"/>
      <c r="C1215" s="69"/>
      <c r="D1215" s="62"/>
      <c r="E1215" s="62"/>
      <c r="F1215" s="62"/>
      <c r="G1215" s="69"/>
    </row>
    <row r="1216" spans="1:7" x14ac:dyDescent="0.2">
      <c r="A1216" s="1236" t="s">
        <v>30</v>
      </c>
      <c r="B1216" s="1236"/>
      <c r="C1216" s="69"/>
      <c r="D1216" s="69"/>
      <c r="E1216" s="69"/>
      <c r="F1216" s="62">
        <f>G1242*0.05</f>
        <v>308.75</v>
      </c>
      <c r="G1216" s="69"/>
    </row>
    <row r="1217" spans="1:7" x14ac:dyDescent="0.2">
      <c r="A1217" s="1236"/>
      <c r="B1217" s="1236"/>
      <c r="C1217" s="69"/>
      <c r="D1217" s="69"/>
      <c r="E1217" s="69"/>
      <c r="F1217" s="69"/>
      <c r="G1217" s="69"/>
    </row>
    <row r="1218" spans="1:7" x14ac:dyDescent="0.2">
      <c r="A1218" s="1236" t="s">
        <v>25</v>
      </c>
      <c r="B1218" s="1236"/>
      <c r="C1218" s="69"/>
      <c r="D1218" s="69"/>
      <c r="E1218" s="69"/>
      <c r="F1218" s="69"/>
      <c r="G1218" s="83" t="s">
        <v>31</v>
      </c>
    </row>
    <row r="1219" spans="1:7" x14ac:dyDescent="0.2">
      <c r="A1219" s="1237"/>
      <c r="B1219" s="1237"/>
      <c r="C1219" s="82"/>
      <c r="D1219" s="82"/>
      <c r="E1219" s="82"/>
      <c r="F1219" s="82"/>
      <c r="G1219" s="64">
        <f>F1216+F1215+F1214</f>
        <v>308.75</v>
      </c>
    </row>
    <row r="1220" spans="1:7" x14ac:dyDescent="0.2">
      <c r="A1220" s="1234" t="s">
        <v>475</v>
      </c>
      <c r="B1220" s="1235"/>
      <c r="C1220" s="80" t="s">
        <v>32</v>
      </c>
      <c r="D1220" s="80" t="s">
        <v>33</v>
      </c>
      <c r="E1220" s="80" t="s">
        <v>34</v>
      </c>
      <c r="F1220" s="80" t="s">
        <v>35</v>
      </c>
      <c r="G1220" s="67"/>
    </row>
    <row r="1221" spans="1:7" x14ac:dyDescent="0.2">
      <c r="A1221" s="123"/>
      <c r="B1221" s="73"/>
      <c r="C1221" s="118"/>
      <c r="D1221" s="118"/>
      <c r="E1221" s="118"/>
      <c r="F1221" s="118"/>
      <c r="G1221" s="69"/>
    </row>
    <row r="1222" spans="1:7" x14ac:dyDescent="0.2">
      <c r="A1222" s="123"/>
      <c r="B1222" s="73"/>
      <c r="C1222" s="118"/>
      <c r="D1222" s="118"/>
      <c r="E1222" s="118"/>
      <c r="F1222" s="118"/>
      <c r="G1222" s="69"/>
    </row>
    <row r="1223" spans="1:7" x14ac:dyDescent="0.2">
      <c r="A1223" s="1364" t="s">
        <v>370</v>
      </c>
      <c r="B1223" s="1365"/>
      <c r="C1223" s="43" t="s">
        <v>50</v>
      </c>
      <c r="D1223" s="97">
        <f>'[17]Precios '!I92</f>
        <v>13914.463333333331</v>
      </c>
      <c r="E1223" s="86">
        <v>1</v>
      </c>
      <c r="F1223" s="85">
        <f>D1223*E1223</f>
        <v>13914.463333333331</v>
      </c>
      <c r="G1223" s="69"/>
    </row>
    <row r="1224" spans="1:7" x14ac:dyDescent="0.2">
      <c r="A1224" s="1364" t="s">
        <v>356</v>
      </c>
      <c r="B1224" s="1365"/>
      <c r="C1224" s="63" t="s">
        <v>238</v>
      </c>
      <c r="D1224" s="97">
        <f>'[17]Precios '!E123</f>
        <v>12216.474270000004</v>
      </c>
      <c r="E1224" s="86">
        <v>0.2</v>
      </c>
      <c r="F1224" s="85">
        <f>D1224*E1224</f>
        <v>2443.2948540000011</v>
      </c>
      <c r="G1224" s="69"/>
    </row>
    <row r="1225" spans="1:7" x14ac:dyDescent="0.2">
      <c r="A1225" s="1229" t="s">
        <v>347</v>
      </c>
      <c r="B1225" s="1365"/>
      <c r="C1225" s="63">
        <v>0.25</v>
      </c>
      <c r="D1225" s="97">
        <f>D1180</f>
        <v>52324.94767500001</v>
      </c>
      <c r="E1225" s="86">
        <v>0.03</v>
      </c>
      <c r="F1225" s="85">
        <f>D1225*E1225</f>
        <v>1569.7484302500002</v>
      </c>
      <c r="G1225" s="69"/>
    </row>
    <row r="1226" spans="1:7" x14ac:dyDescent="0.2">
      <c r="A1226" s="1229" t="s">
        <v>348</v>
      </c>
      <c r="B1226" s="1365"/>
      <c r="C1226" s="63">
        <v>0.25</v>
      </c>
      <c r="D1226" s="97">
        <f>D1181</f>
        <v>108520.02661500004</v>
      </c>
      <c r="E1226" s="86">
        <v>0.03</v>
      </c>
      <c r="F1226" s="85">
        <f>D1226*E1226</f>
        <v>3255.6007984500011</v>
      </c>
      <c r="G1226" s="69"/>
    </row>
    <row r="1227" spans="1:7" x14ac:dyDescent="0.2">
      <c r="A1227" s="1366" t="s">
        <v>333</v>
      </c>
      <c r="B1227" s="1365"/>
      <c r="C1227" s="66" t="s">
        <v>54</v>
      </c>
      <c r="D1227" s="97">
        <f>D1182</f>
        <v>3250</v>
      </c>
      <c r="E1227" s="98">
        <v>0.04</v>
      </c>
      <c r="F1227" s="85">
        <f>D1227*E1227</f>
        <v>130</v>
      </c>
      <c r="G1227" s="69"/>
    </row>
    <row r="1228" spans="1:7" x14ac:dyDescent="0.2">
      <c r="A1228" s="1228" t="s">
        <v>349</v>
      </c>
      <c r="B1228" s="1229"/>
      <c r="C1228" s="43" t="s">
        <v>51</v>
      </c>
      <c r="D1228" s="97">
        <f>F1223</f>
        <v>13914.463333333331</v>
      </c>
      <c r="E1228" s="102">
        <v>5</v>
      </c>
      <c r="F1228" s="85">
        <f>D1228*0.05</f>
        <v>695.72316666666666</v>
      </c>
      <c r="G1228" s="43" t="s">
        <v>31</v>
      </c>
    </row>
    <row r="1229" spans="1:7" x14ac:dyDescent="0.2">
      <c r="A1229" s="71"/>
      <c r="B1229" s="72"/>
      <c r="C1229" s="43"/>
      <c r="D1229" s="97"/>
      <c r="E1229" s="92"/>
      <c r="F1229" s="85"/>
      <c r="G1229" s="43"/>
    </row>
    <row r="1230" spans="1:7" x14ac:dyDescent="0.2">
      <c r="A1230" s="1228"/>
      <c r="B1230" s="1229"/>
      <c r="C1230" s="69"/>
      <c r="D1230" s="69"/>
      <c r="E1230" s="69"/>
      <c r="F1230" s="69"/>
      <c r="G1230" s="65">
        <f>F1223+F1224+F1225+F1226+F1227+F1228</f>
        <v>22008.830582700004</v>
      </c>
    </row>
    <row r="1231" spans="1:7" ht="24" x14ac:dyDescent="0.2">
      <c r="A1231" s="88" t="s">
        <v>329</v>
      </c>
      <c r="B1231" s="89" t="s">
        <v>38</v>
      </c>
      <c r="C1231" s="89" t="s">
        <v>39</v>
      </c>
      <c r="D1231" s="80" t="s">
        <v>40</v>
      </c>
      <c r="E1231" s="80" t="s">
        <v>34</v>
      </c>
      <c r="F1231" s="80" t="s">
        <v>35</v>
      </c>
      <c r="G1231" s="67"/>
    </row>
    <row r="1232" spans="1:7" x14ac:dyDescent="0.2">
      <c r="A1232" s="90"/>
      <c r="B1232" s="43"/>
      <c r="C1232" s="43"/>
      <c r="D1232" s="62"/>
      <c r="E1232" s="91"/>
      <c r="F1232" s="62"/>
      <c r="G1232" s="69"/>
    </row>
    <row r="1233" spans="1:7" x14ac:dyDescent="0.2">
      <c r="A1233" s="90" t="s">
        <v>25</v>
      </c>
      <c r="B1233" s="43" t="s">
        <v>25</v>
      </c>
      <c r="C1233" s="43" t="s">
        <v>25</v>
      </c>
      <c r="D1233" s="61" t="s">
        <v>25</v>
      </c>
      <c r="E1233" s="92" t="s">
        <v>25</v>
      </c>
      <c r="F1233" s="62" t="s">
        <v>25</v>
      </c>
      <c r="G1233" s="43" t="s">
        <v>31</v>
      </c>
    </row>
    <row r="1234" spans="1:7" x14ac:dyDescent="0.2">
      <c r="A1234" s="90"/>
      <c r="B1234" s="69"/>
      <c r="C1234" s="69"/>
      <c r="D1234" s="69"/>
      <c r="E1234" s="69"/>
      <c r="F1234" s="69"/>
      <c r="G1234" s="64"/>
    </row>
    <row r="1235" spans="1:7" ht="24" x14ac:dyDescent="0.2">
      <c r="A1235" s="88" t="s">
        <v>41</v>
      </c>
      <c r="B1235" s="80" t="s">
        <v>42</v>
      </c>
      <c r="C1235" s="80" t="s">
        <v>43</v>
      </c>
      <c r="D1235" s="80" t="s">
        <v>44</v>
      </c>
      <c r="E1235" s="89" t="s">
        <v>306</v>
      </c>
      <c r="F1235" s="80" t="s">
        <v>35</v>
      </c>
      <c r="G1235" s="67"/>
    </row>
    <row r="1236" spans="1:7" x14ac:dyDescent="0.2">
      <c r="A1236" s="81"/>
      <c r="B1236" s="81"/>
      <c r="C1236" s="81"/>
      <c r="D1236" s="81"/>
      <c r="E1236" s="81"/>
      <c r="F1236" s="81"/>
      <c r="G1236" s="81"/>
    </row>
    <row r="1237" spans="1:7" x14ac:dyDescent="0.2">
      <c r="A1237" s="69" t="s">
        <v>336</v>
      </c>
      <c r="B1237" s="85">
        <f>B1195</f>
        <v>44000</v>
      </c>
      <c r="C1237" s="96">
        <v>0.9</v>
      </c>
      <c r="D1237" s="62">
        <f>B1237*C1237+B1237</f>
        <v>83600</v>
      </c>
      <c r="E1237" s="121">
        <v>22</v>
      </c>
      <c r="F1237" s="62">
        <f xml:space="preserve"> D1237/E1237</f>
        <v>3800</v>
      </c>
      <c r="G1237" s="69"/>
    </row>
    <row r="1238" spans="1:7" x14ac:dyDescent="0.2">
      <c r="A1238" s="69" t="s">
        <v>315</v>
      </c>
      <c r="B1238" s="85">
        <f>B1196</f>
        <v>27500.000000000004</v>
      </c>
      <c r="C1238" s="96">
        <v>0.9</v>
      </c>
      <c r="D1238" s="62">
        <f>B1238*C1238+B1238</f>
        <v>52250.000000000007</v>
      </c>
      <c r="E1238" s="121">
        <v>22</v>
      </c>
      <c r="F1238" s="62">
        <f xml:space="preserve"> D1238/E1238</f>
        <v>2375.0000000000005</v>
      </c>
      <c r="G1238" s="69" t="s">
        <v>25</v>
      </c>
    </row>
    <row r="1239" spans="1:7" x14ac:dyDescent="0.2">
      <c r="A1239" s="69"/>
      <c r="B1239" s="85"/>
      <c r="C1239" s="96"/>
      <c r="D1239" s="62"/>
      <c r="E1239" s="121"/>
      <c r="F1239" s="62"/>
      <c r="G1239" s="69"/>
    </row>
    <row r="1240" spans="1:7" x14ac:dyDescent="0.2">
      <c r="A1240" s="69"/>
      <c r="B1240" s="85"/>
      <c r="C1240" s="69"/>
      <c r="D1240" s="62"/>
      <c r="E1240" s="69"/>
      <c r="F1240" s="62"/>
      <c r="G1240" s="69"/>
    </row>
    <row r="1241" spans="1:7" x14ac:dyDescent="0.2">
      <c r="A1241" s="69"/>
      <c r="B1241" s="69"/>
      <c r="C1241" s="69"/>
      <c r="D1241" s="69"/>
      <c r="E1241" s="69"/>
      <c r="F1241" s="69"/>
      <c r="G1241" s="43" t="s">
        <v>31</v>
      </c>
    </row>
    <row r="1242" spans="1:7" x14ac:dyDescent="0.2">
      <c r="A1242" s="82"/>
      <c r="B1242" s="82"/>
      <c r="C1242" s="82"/>
      <c r="D1242" s="82"/>
      <c r="E1242" s="82"/>
      <c r="F1242" s="82"/>
      <c r="G1242" s="64">
        <f>F1240+F1238+F1237</f>
        <v>6175</v>
      </c>
    </row>
    <row r="1243" spans="1:7" x14ac:dyDescent="0.2">
      <c r="A1243" s="1230" t="s">
        <v>25</v>
      </c>
      <c r="B1243" s="1230"/>
      <c r="C1243" s="1230"/>
      <c r="D1243" s="1230"/>
      <c r="E1243" s="1230"/>
      <c r="F1243" s="1230"/>
      <c r="G1243" s="1233"/>
    </row>
    <row r="1244" spans="1:7" x14ac:dyDescent="0.2">
      <c r="A1244" s="1248" t="s">
        <v>45</v>
      </c>
      <c r="B1244" s="1248"/>
      <c r="C1244" s="1248"/>
      <c r="D1244" s="1248"/>
      <c r="E1244" s="1231"/>
      <c r="F1244" s="93"/>
      <c r="G1244" s="70">
        <f xml:space="preserve"> G1242+G1234+G1230+G1219</f>
        <v>28492.580582700004</v>
      </c>
    </row>
    <row r="1245" spans="1:7" x14ac:dyDescent="0.2">
      <c r="A1245" s="1232" t="s">
        <v>476</v>
      </c>
      <c r="B1245" s="1232"/>
      <c r="C1245" s="1222"/>
      <c r="D1245" s="1222"/>
      <c r="E1245" s="1222" t="s">
        <v>44</v>
      </c>
      <c r="F1245" s="1222" t="s">
        <v>51</v>
      </c>
      <c r="G1245" s="1222" t="s">
        <v>307</v>
      </c>
    </row>
    <row r="1246" spans="1:7" x14ac:dyDescent="0.2">
      <c r="A1246" s="1232"/>
      <c r="B1246" s="1232"/>
      <c r="C1246" s="1222"/>
      <c r="D1246" s="1222"/>
      <c r="E1246" s="1222"/>
      <c r="F1246" s="1222"/>
      <c r="G1246" s="1222"/>
    </row>
    <row r="1247" spans="1:7" x14ac:dyDescent="0.2">
      <c r="A1247" s="1244" t="s">
        <v>17</v>
      </c>
      <c r="B1247" s="1244"/>
      <c r="C1247" s="1244"/>
      <c r="D1247" s="1244"/>
      <c r="E1247" s="1244"/>
      <c r="F1247" s="1221"/>
      <c r="G1247" s="1222"/>
    </row>
    <row r="1248" spans="1:7" x14ac:dyDescent="0.2">
      <c r="A1248" s="1244" t="s">
        <v>308</v>
      </c>
      <c r="B1248" s="1244"/>
      <c r="C1248" s="1244"/>
      <c r="D1248" s="1244"/>
      <c r="E1248" s="1244"/>
      <c r="F1248" s="1221"/>
      <c r="G1248" s="1222"/>
    </row>
    <row r="1249" spans="1:7" x14ac:dyDescent="0.2">
      <c r="A1249" s="1244" t="s">
        <v>19</v>
      </c>
      <c r="B1249" s="1244"/>
      <c r="C1249" s="1244"/>
      <c r="D1249" s="1244"/>
      <c r="E1249" s="1244"/>
      <c r="F1249" s="1221"/>
      <c r="G1249" s="1222"/>
    </row>
    <row r="1250" spans="1:7" x14ac:dyDescent="0.2">
      <c r="A1250" s="1244" t="s">
        <v>309</v>
      </c>
      <c r="B1250" s="1244"/>
      <c r="C1250" s="1244"/>
      <c r="D1250" s="1244"/>
      <c r="E1250" s="1244"/>
      <c r="F1250" s="1221"/>
      <c r="G1250" s="1222"/>
    </row>
    <row r="1251" spans="1:7" x14ac:dyDescent="0.2">
      <c r="A1251" s="1245" t="s">
        <v>310</v>
      </c>
      <c r="B1251" s="1245"/>
      <c r="C1251" s="1245"/>
      <c r="D1251" s="1245"/>
      <c r="E1251" s="1245"/>
      <c r="F1251" s="1222"/>
      <c r="G1251" s="1222"/>
    </row>
    <row r="1252" spans="1:7" x14ac:dyDescent="0.2">
      <c r="A1252" s="112"/>
      <c r="B1252" s="113"/>
      <c r="C1252" s="113"/>
      <c r="D1252" s="113"/>
      <c r="E1252" s="114"/>
      <c r="F1252" s="873"/>
      <c r="G1252" s="873"/>
    </row>
    <row r="1253" spans="1:7" ht="12.75" x14ac:dyDescent="0.2">
      <c r="A1253" s="108"/>
      <c r="B1253" s="94"/>
      <c r="C1253" s="94"/>
      <c r="D1253" s="94"/>
      <c r="E1253" s="94"/>
      <c r="F1253" s="883" t="s">
        <v>300</v>
      </c>
      <c r="G1253" s="883" t="s">
        <v>2393</v>
      </c>
    </row>
    <row r="1254" spans="1:7" x14ac:dyDescent="0.2">
      <c r="A1254" s="1367" t="s">
        <v>1041</v>
      </c>
      <c r="B1254" s="1368"/>
      <c r="C1254" s="1368"/>
      <c r="D1254" s="1368"/>
      <c r="E1254" s="1369"/>
      <c r="F1254" s="447" t="s">
        <v>24</v>
      </c>
      <c r="G1254" s="445" t="s">
        <v>311</v>
      </c>
    </row>
    <row r="1255" spans="1:7" x14ac:dyDescent="0.2">
      <c r="A1255" s="1229" t="s">
        <v>25</v>
      </c>
      <c r="B1255" s="1229"/>
      <c r="C1255" s="1229"/>
      <c r="D1255" s="1229"/>
      <c r="E1255" s="1229"/>
      <c r="F1255" s="1229"/>
      <c r="G1255" s="1229"/>
    </row>
    <row r="1256" spans="1:7" x14ac:dyDescent="0.2">
      <c r="A1256" s="1234" t="s">
        <v>469</v>
      </c>
      <c r="B1256" s="1235"/>
      <c r="C1256" s="80" t="s">
        <v>26</v>
      </c>
      <c r="D1256" s="80" t="s">
        <v>27</v>
      </c>
      <c r="E1256" s="80" t="s">
        <v>28</v>
      </c>
      <c r="F1256" s="80" t="s">
        <v>35</v>
      </c>
      <c r="G1256" s="67"/>
    </row>
    <row r="1257" spans="1:7" x14ac:dyDescent="0.2">
      <c r="A1257" s="1236"/>
      <c r="B1257" s="1236"/>
      <c r="C1257" s="69"/>
      <c r="D1257" s="62"/>
      <c r="E1257" s="62"/>
      <c r="F1257" s="62"/>
      <c r="G1257" s="81"/>
    </row>
    <row r="1258" spans="1:7" x14ac:dyDescent="0.2">
      <c r="A1258" s="1236"/>
      <c r="B1258" s="1236"/>
      <c r="C1258" s="69"/>
      <c r="D1258" s="62"/>
      <c r="E1258" s="62"/>
      <c r="F1258" s="62"/>
      <c r="G1258" s="69"/>
    </row>
    <row r="1259" spans="1:7" x14ac:dyDescent="0.2">
      <c r="A1259" s="1236" t="s">
        <v>30</v>
      </c>
      <c r="B1259" s="1236"/>
      <c r="C1259" s="69"/>
      <c r="D1259" s="69"/>
      <c r="E1259" s="69"/>
      <c r="F1259" s="62">
        <f>G1287*0.05</f>
        <v>271.7</v>
      </c>
      <c r="G1259" s="69"/>
    </row>
    <row r="1260" spans="1:7" x14ac:dyDescent="0.2">
      <c r="A1260" s="1236"/>
      <c r="B1260" s="1236"/>
      <c r="C1260" s="69"/>
      <c r="D1260" s="69"/>
      <c r="E1260" s="69"/>
      <c r="F1260" s="69"/>
      <c r="G1260" s="69"/>
    </row>
    <row r="1261" spans="1:7" x14ac:dyDescent="0.2">
      <c r="A1261" s="1236" t="s">
        <v>25</v>
      </c>
      <c r="B1261" s="1236"/>
      <c r="C1261" s="69"/>
      <c r="D1261" s="69"/>
      <c r="E1261" s="69"/>
      <c r="F1261" s="69"/>
      <c r="G1261" s="83" t="s">
        <v>31</v>
      </c>
    </row>
    <row r="1262" spans="1:7" x14ac:dyDescent="0.2">
      <c r="A1262" s="1237"/>
      <c r="B1262" s="1237"/>
      <c r="C1262" s="82"/>
      <c r="D1262" s="82"/>
      <c r="E1262" s="82"/>
      <c r="F1262" s="82"/>
      <c r="G1262" s="64">
        <f>F1259+F1258+F1257</f>
        <v>271.7</v>
      </c>
    </row>
    <row r="1263" spans="1:7" x14ac:dyDescent="0.2">
      <c r="A1263" s="1234" t="s">
        <v>475</v>
      </c>
      <c r="B1263" s="1235"/>
      <c r="C1263" s="80" t="s">
        <v>32</v>
      </c>
      <c r="D1263" s="80" t="s">
        <v>33</v>
      </c>
      <c r="E1263" s="80" t="s">
        <v>34</v>
      </c>
      <c r="F1263" s="80" t="s">
        <v>35</v>
      </c>
      <c r="G1263" s="67"/>
    </row>
    <row r="1264" spans="1:7" x14ac:dyDescent="0.2">
      <c r="A1264" s="123"/>
      <c r="B1264" s="73"/>
      <c r="C1264" s="118"/>
      <c r="D1264" s="118"/>
      <c r="E1264" s="118"/>
      <c r="F1264" s="118"/>
      <c r="G1264" s="69"/>
    </row>
    <row r="1265" spans="1:7" x14ac:dyDescent="0.2">
      <c r="A1265" s="123"/>
      <c r="B1265" s="73"/>
      <c r="C1265" s="118"/>
      <c r="D1265" s="118"/>
      <c r="E1265" s="118"/>
      <c r="F1265" s="118"/>
      <c r="G1265" s="69"/>
    </row>
    <row r="1266" spans="1:7" x14ac:dyDescent="0.2">
      <c r="A1266" s="1364" t="s">
        <v>371</v>
      </c>
      <c r="B1266" s="1365"/>
      <c r="C1266" s="43" t="s">
        <v>50</v>
      </c>
      <c r="D1266" s="97">
        <f>'[17]Precios '!I91</f>
        <v>5916.2133333333331</v>
      </c>
      <c r="E1266" s="102">
        <v>1</v>
      </c>
      <c r="F1266" s="85">
        <f>D1266*E1266</f>
        <v>5916.2133333333331</v>
      </c>
      <c r="G1266" s="69"/>
    </row>
    <row r="1267" spans="1:7" x14ac:dyDescent="0.2">
      <c r="A1267" s="1364" t="s">
        <v>358</v>
      </c>
      <c r="B1267" s="1365"/>
      <c r="C1267" s="63" t="s">
        <v>238</v>
      </c>
      <c r="D1267" s="97">
        <f>'[17]Precios '!E115</f>
        <v>3624.1855650000002</v>
      </c>
      <c r="E1267" s="124">
        <v>0.2</v>
      </c>
      <c r="F1267" s="85">
        <f>D1267*E1267</f>
        <v>724.83711300000004</v>
      </c>
      <c r="G1267" s="69"/>
    </row>
    <row r="1268" spans="1:7" x14ac:dyDescent="0.2">
      <c r="A1268" s="1229" t="s">
        <v>347</v>
      </c>
      <c r="B1268" s="1365"/>
      <c r="C1268" s="63">
        <v>0.25</v>
      </c>
      <c r="D1268" s="97">
        <f>D1225</f>
        <v>52324.94767500001</v>
      </c>
      <c r="E1268" s="86">
        <v>0.02</v>
      </c>
      <c r="F1268" s="85">
        <f>D1268*E1268</f>
        <v>1046.4989535000002</v>
      </c>
      <c r="G1268" s="69"/>
    </row>
    <row r="1269" spans="1:7" x14ac:dyDescent="0.2">
      <c r="A1269" s="1229" t="s">
        <v>348</v>
      </c>
      <c r="B1269" s="1365"/>
      <c r="C1269" s="63">
        <v>0.25</v>
      </c>
      <c r="D1269" s="97">
        <f>D1226</f>
        <v>108520.02661500004</v>
      </c>
      <c r="E1269" s="86">
        <v>0.02</v>
      </c>
      <c r="F1269" s="85">
        <f>D1269*E1269</f>
        <v>2170.400532300001</v>
      </c>
      <c r="G1269" s="69"/>
    </row>
    <row r="1270" spans="1:7" x14ac:dyDescent="0.2">
      <c r="A1270" s="1366" t="s">
        <v>333</v>
      </c>
      <c r="B1270" s="1365"/>
      <c r="C1270" s="66" t="s">
        <v>54</v>
      </c>
      <c r="D1270" s="97">
        <f>D1227</f>
        <v>3250</v>
      </c>
      <c r="E1270" s="98">
        <v>0.03</v>
      </c>
      <c r="F1270" s="85">
        <f>D1270*E1270</f>
        <v>97.5</v>
      </c>
      <c r="G1270" s="69"/>
    </row>
    <row r="1271" spans="1:7" x14ac:dyDescent="0.2">
      <c r="A1271" s="1228" t="s">
        <v>349</v>
      </c>
      <c r="B1271" s="1229"/>
      <c r="C1271" s="43" t="s">
        <v>51</v>
      </c>
      <c r="D1271" s="97">
        <f>F1266</f>
        <v>5916.2133333333331</v>
      </c>
      <c r="E1271" s="102">
        <v>5</v>
      </c>
      <c r="F1271" s="85">
        <f>D1271*0.05</f>
        <v>295.81066666666669</v>
      </c>
      <c r="G1271" s="43" t="s">
        <v>31</v>
      </c>
    </row>
    <row r="1272" spans="1:7" x14ac:dyDescent="0.2">
      <c r="A1272" s="71"/>
      <c r="B1272" s="72"/>
      <c r="C1272" s="43"/>
      <c r="D1272" s="97"/>
      <c r="E1272" s="92"/>
      <c r="F1272" s="85"/>
      <c r="G1272" s="43"/>
    </row>
    <row r="1273" spans="1:7" x14ac:dyDescent="0.2">
      <c r="A1273" s="1228"/>
      <c r="B1273" s="1229"/>
      <c r="C1273" s="69"/>
      <c r="D1273" s="69"/>
      <c r="E1273" s="69"/>
      <c r="F1273" s="69"/>
      <c r="G1273" s="65">
        <f>F1266+F1267+F1268+F1269+F1270+F1271</f>
        <v>10251.260598800001</v>
      </c>
    </row>
    <row r="1274" spans="1:7" ht="24" x14ac:dyDescent="0.2">
      <c r="A1274" s="88" t="s">
        <v>329</v>
      </c>
      <c r="B1274" s="89" t="s">
        <v>38</v>
      </c>
      <c r="C1274" s="89" t="s">
        <v>39</v>
      </c>
      <c r="D1274" s="80" t="s">
        <v>40</v>
      </c>
      <c r="E1274" s="80" t="s">
        <v>34</v>
      </c>
      <c r="F1274" s="80" t="s">
        <v>35</v>
      </c>
      <c r="G1274" s="67"/>
    </row>
    <row r="1275" spans="1:7" x14ac:dyDescent="0.2">
      <c r="A1275" s="90"/>
      <c r="B1275" s="43"/>
      <c r="C1275" s="43"/>
      <c r="D1275" s="62"/>
      <c r="E1275" s="91"/>
      <c r="F1275" s="62"/>
      <c r="G1275" s="69"/>
    </row>
    <row r="1276" spans="1:7" x14ac:dyDescent="0.2">
      <c r="A1276" s="90"/>
      <c r="B1276" s="43"/>
      <c r="C1276" s="43"/>
      <c r="D1276" s="62"/>
      <c r="E1276" s="91"/>
      <c r="F1276" s="62"/>
      <c r="G1276" s="69"/>
    </row>
    <row r="1277" spans="1:7" x14ac:dyDescent="0.2">
      <c r="A1277" s="90"/>
      <c r="B1277" s="43"/>
      <c r="C1277" s="43"/>
      <c r="D1277" s="62"/>
      <c r="E1277" s="92"/>
      <c r="F1277" s="62"/>
      <c r="G1277" s="69"/>
    </row>
    <row r="1278" spans="1:7" x14ac:dyDescent="0.2">
      <c r="A1278" s="90" t="s">
        <v>25</v>
      </c>
      <c r="B1278" s="43" t="s">
        <v>25</v>
      </c>
      <c r="C1278" s="43" t="s">
        <v>25</v>
      </c>
      <c r="D1278" s="61" t="s">
        <v>25</v>
      </c>
      <c r="E1278" s="92" t="s">
        <v>25</v>
      </c>
      <c r="F1278" s="62" t="s">
        <v>25</v>
      </c>
      <c r="G1278" s="43" t="s">
        <v>31</v>
      </c>
    </row>
    <row r="1279" spans="1:7" x14ac:dyDescent="0.2">
      <c r="A1279" s="90"/>
      <c r="B1279" s="69"/>
      <c r="C1279" s="69"/>
      <c r="D1279" s="69"/>
      <c r="E1279" s="69"/>
      <c r="F1279" s="69"/>
      <c r="G1279" s="64"/>
    </row>
    <row r="1280" spans="1:7" ht="24" x14ac:dyDescent="0.2">
      <c r="A1280" s="88" t="s">
        <v>41</v>
      </c>
      <c r="B1280" s="80" t="s">
        <v>42</v>
      </c>
      <c r="C1280" s="80" t="s">
        <v>43</v>
      </c>
      <c r="D1280" s="80" t="s">
        <v>44</v>
      </c>
      <c r="E1280" s="89" t="s">
        <v>306</v>
      </c>
      <c r="F1280" s="80" t="s">
        <v>35</v>
      </c>
      <c r="G1280" s="67"/>
    </row>
    <row r="1281" spans="1:7" x14ac:dyDescent="0.2">
      <c r="A1281" s="81"/>
      <c r="B1281" s="81"/>
      <c r="C1281" s="81"/>
      <c r="D1281" s="81"/>
      <c r="E1281" s="81"/>
      <c r="F1281" s="81"/>
      <c r="G1281" s="81"/>
    </row>
    <row r="1282" spans="1:7" x14ac:dyDescent="0.2">
      <c r="A1282" s="69" t="s">
        <v>336</v>
      </c>
      <c r="B1282" s="85">
        <f>B1237</f>
        <v>44000</v>
      </c>
      <c r="C1282" s="96">
        <v>0.9</v>
      </c>
      <c r="D1282" s="62">
        <f>B1282*C1282+B1282</f>
        <v>83600</v>
      </c>
      <c r="E1282" s="121">
        <v>25</v>
      </c>
      <c r="F1282" s="62">
        <f xml:space="preserve"> D1282/E1282</f>
        <v>3344</v>
      </c>
      <c r="G1282" s="69"/>
    </row>
    <row r="1283" spans="1:7" x14ac:dyDescent="0.2">
      <c r="A1283" s="69" t="s">
        <v>315</v>
      </c>
      <c r="B1283" s="85">
        <f>B1238</f>
        <v>27500.000000000004</v>
      </c>
      <c r="C1283" s="96">
        <v>0.9</v>
      </c>
      <c r="D1283" s="62">
        <f>B1283*C1283+B1283</f>
        <v>52250.000000000007</v>
      </c>
      <c r="E1283" s="121">
        <v>25</v>
      </c>
      <c r="F1283" s="62">
        <f xml:space="preserve"> D1283/E1283</f>
        <v>2090.0000000000005</v>
      </c>
      <c r="G1283" s="69" t="s">
        <v>25</v>
      </c>
    </row>
    <row r="1284" spans="1:7" x14ac:dyDescent="0.2">
      <c r="A1284" s="69"/>
      <c r="B1284" s="85"/>
      <c r="C1284" s="96"/>
      <c r="D1284" s="62"/>
      <c r="E1284" s="121"/>
      <c r="F1284" s="62"/>
      <c r="G1284" s="69"/>
    </row>
    <row r="1285" spans="1:7" x14ac:dyDescent="0.2">
      <c r="A1285" s="69"/>
      <c r="B1285" s="85"/>
      <c r="C1285" s="69"/>
      <c r="D1285" s="62"/>
      <c r="E1285" s="69"/>
      <c r="F1285" s="62"/>
      <c r="G1285" s="69"/>
    </row>
    <row r="1286" spans="1:7" x14ac:dyDescent="0.2">
      <c r="A1286" s="69"/>
      <c r="B1286" s="69"/>
      <c r="C1286" s="69"/>
      <c r="D1286" s="69"/>
      <c r="E1286" s="69"/>
      <c r="F1286" s="69"/>
      <c r="G1286" s="43" t="s">
        <v>31</v>
      </c>
    </row>
    <row r="1287" spans="1:7" x14ac:dyDescent="0.2">
      <c r="A1287" s="82"/>
      <c r="B1287" s="82"/>
      <c r="C1287" s="82"/>
      <c r="D1287" s="82"/>
      <c r="E1287" s="82"/>
      <c r="F1287" s="82"/>
      <c r="G1287" s="64">
        <f>F1285+F1283+F1282</f>
        <v>5434</v>
      </c>
    </row>
    <row r="1288" spans="1:7" x14ac:dyDescent="0.2">
      <c r="A1288" s="1230" t="s">
        <v>25</v>
      </c>
      <c r="B1288" s="1230"/>
      <c r="C1288" s="1230"/>
      <c r="D1288" s="1230"/>
      <c r="E1288" s="1230"/>
      <c r="F1288" s="1230"/>
      <c r="G1288" s="1233"/>
    </row>
    <row r="1289" spans="1:7" x14ac:dyDescent="0.2">
      <c r="A1289" s="1248" t="s">
        <v>45</v>
      </c>
      <c r="B1289" s="1248"/>
      <c r="C1289" s="1248"/>
      <c r="D1289" s="1248"/>
      <c r="E1289" s="1231"/>
      <c r="F1289" s="93"/>
      <c r="G1289" s="70">
        <f xml:space="preserve"> G1287+G1279+G1273+G1262</f>
        <v>15956.960598800002</v>
      </c>
    </row>
    <row r="1290" spans="1:7" x14ac:dyDescent="0.2">
      <c r="A1290" s="1232" t="s">
        <v>476</v>
      </c>
      <c r="B1290" s="1232"/>
      <c r="C1290" s="1222"/>
      <c r="D1290" s="1222"/>
      <c r="E1290" s="1222" t="s">
        <v>44</v>
      </c>
      <c r="F1290" s="1222" t="s">
        <v>51</v>
      </c>
      <c r="G1290" s="1222" t="s">
        <v>307</v>
      </c>
    </row>
    <row r="1291" spans="1:7" x14ac:dyDescent="0.2">
      <c r="A1291" s="1232"/>
      <c r="B1291" s="1232"/>
      <c r="C1291" s="1222"/>
      <c r="D1291" s="1222"/>
      <c r="E1291" s="1222"/>
      <c r="F1291" s="1222"/>
      <c r="G1291" s="1222"/>
    </row>
    <row r="1292" spans="1:7" x14ac:dyDescent="0.2">
      <c r="A1292" s="1244" t="s">
        <v>17</v>
      </c>
      <c r="B1292" s="1244"/>
      <c r="C1292" s="1244"/>
      <c r="D1292" s="1244"/>
      <c r="E1292" s="1244"/>
      <c r="F1292" s="1221"/>
      <c r="G1292" s="1222"/>
    </row>
    <row r="1293" spans="1:7" x14ac:dyDescent="0.2">
      <c r="A1293" s="1244" t="s">
        <v>308</v>
      </c>
      <c r="B1293" s="1244"/>
      <c r="C1293" s="1244"/>
      <c r="D1293" s="1244"/>
      <c r="E1293" s="1244"/>
      <c r="F1293" s="1221"/>
      <c r="G1293" s="1222"/>
    </row>
    <row r="1294" spans="1:7" x14ac:dyDescent="0.2">
      <c r="A1294" s="1244" t="s">
        <v>19</v>
      </c>
      <c r="B1294" s="1244"/>
      <c r="C1294" s="1244"/>
      <c r="D1294" s="1244"/>
      <c r="E1294" s="1244"/>
      <c r="F1294" s="1221"/>
      <c r="G1294" s="1222"/>
    </row>
    <row r="1295" spans="1:7" x14ac:dyDescent="0.2">
      <c r="A1295" s="1244" t="s">
        <v>309</v>
      </c>
      <c r="B1295" s="1244"/>
      <c r="C1295" s="1244"/>
      <c r="D1295" s="1244"/>
      <c r="E1295" s="1244"/>
      <c r="F1295" s="1221"/>
      <c r="G1295" s="1222"/>
    </row>
    <row r="1296" spans="1:7" x14ac:dyDescent="0.2">
      <c r="A1296" s="1245" t="s">
        <v>310</v>
      </c>
      <c r="B1296" s="1245"/>
      <c r="C1296" s="1245"/>
      <c r="D1296" s="1245"/>
      <c r="E1296" s="1245"/>
      <c r="F1296" s="1222"/>
      <c r="G1296" s="1222"/>
    </row>
    <row r="1297" spans="1:7" ht="12.75" x14ac:dyDescent="0.2">
      <c r="A1297" s="108"/>
      <c r="B1297" s="94"/>
      <c r="C1297" s="94"/>
      <c r="D1297" s="94"/>
      <c r="E1297" s="94"/>
      <c r="F1297" s="883" t="s">
        <v>300</v>
      </c>
      <c r="G1297" s="883" t="s">
        <v>2391</v>
      </c>
    </row>
    <row r="1298" spans="1:7" x14ac:dyDescent="0.2">
      <c r="A1298" s="1367" t="s">
        <v>1039</v>
      </c>
      <c r="B1298" s="1368"/>
      <c r="C1298" s="1368"/>
      <c r="D1298" s="1368"/>
      <c r="E1298" s="1369"/>
      <c r="F1298" s="447" t="s">
        <v>24</v>
      </c>
      <c r="G1298" s="445" t="s">
        <v>311</v>
      </c>
    </row>
    <row r="1299" spans="1:7" x14ac:dyDescent="0.2">
      <c r="A1299" s="1229" t="s">
        <v>25</v>
      </c>
      <c r="B1299" s="1229"/>
      <c r="C1299" s="1229"/>
      <c r="D1299" s="1229"/>
      <c r="E1299" s="1229"/>
      <c r="F1299" s="1229"/>
      <c r="G1299" s="1229"/>
    </row>
    <row r="1300" spans="1:7" x14ac:dyDescent="0.2">
      <c r="A1300" s="1234" t="s">
        <v>469</v>
      </c>
      <c r="B1300" s="1235"/>
      <c r="C1300" s="80" t="s">
        <v>26</v>
      </c>
      <c r="D1300" s="80" t="s">
        <v>27</v>
      </c>
      <c r="E1300" s="80" t="s">
        <v>28</v>
      </c>
      <c r="F1300" s="80" t="s">
        <v>35</v>
      </c>
      <c r="G1300" s="67"/>
    </row>
    <row r="1301" spans="1:7" x14ac:dyDescent="0.2">
      <c r="A1301" s="1236"/>
      <c r="B1301" s="1236"/>
      <c r="C1301" s="69"/>
      <c r="D1301" s="62"/>
      <c r="E1301" s="62"/>
      <c r="F1301" s="62"/>
      <c r="G1301" s="81"/>
    </row>
    <row r="1302" spans="1:7" x14ac:dyDescent="0.2">
      <c r="A1302" s="1236"/>
      <c r="B1302" s="1236"/>
      <c r="C1302" s="69"/>
      <c r="D1302" s="62"/>
      <c r="E1302" s="62"/>
      <c r="F1302" s="62"/>
      <c r="G1302" s="69"/>
    </row>
    <row r="1303" spans="1:7" x14ac:dyDescent="0.2">
      <c r="A1303" s="1236" t="s">
        <v>30</v>
      </c>
      <c r="B1303" s="1236"/>
      <c r="C1303" s="69"/>
      <c r="D1303" s="69"/>
      <c r="E1303" s="69"/>
      <c r="F1303" s="62">
        <f>G1331*0.05</f>
        <v>308.75</v>
      </c>
      <c r="G1303" s="69"/>
    </row>
    <row r="1304" spans="1:7" x14ac:dyDescent="0.2">
      <c r="A1304" s="1236"/>
      <c r="B1304" s="1236"/>
      <c r="C1304" s="69"/>
      <c r="D1304" s="69"/>
      <c r="E1304" s="69"/>
      <c r="F1304" s="69"/>
      <c r="G1304" s="69"/>
    </row>
    <row r="1305" spans="1:7" x14ac:dyDescent="0.2">
      <c r="A1305" s="1236" t="s">
        <v>25</v>
      </c>
      <c r="B1305" s="1236"/>
      <c r="C1305" s="69"/>
      <c r="D1305" s="69"/>
      <c r="E1305" s="69"/>
      <c r="F1305" s="69"/>
      <c r="G1305" s="83" t="s">
        <v>31</v>
      </c>
    </row>
    <row r="1306" spans="1:7" x14ac:dyDescent="0.2">
      <c r="A1306" s="1237"/>
      <c r="B1306" s="1237"/>
      <c r="C1306" s="82"/>
      <c r="D1306" s="82"/>
      <c r="E1306" s="82"/>
      <c r="F1306" s="82"/>
      <c r="G1306" s="64">
        <f>F1303+F1302+F1301</f>
        <v>308.75</v>
      </c>
    </row>
    <row r="1307" spans="1:7" x14ac:dyDescent="0.2">
      <c r="A1307" s="1234" t="s">
        <v>475</v>
      </c>
      <c r="B1307" s="1235"/>
      <c r="C1307" s="80" t="s">
        <v>32</v>
      </c>
      <c r="D1307" s="80" t="s">
        <v>33</v>
      </c>
      <c r="E1307" s="80" t="s">
        <v>34</v>
      </c>
      <c r="F1307" s="80" t="s">
        <v>35</v>
      </c>
      <c r="G1307" s="67"/>
    </row>
    <row r="1308" spans="1:7" x14ac:dyDescent="0.2">
      <c r="A1308" s="123"/>
      <c r="B1308" s="73"/>
      <c r="C1308" s="118"/>
      <c r="D1308" s="118"/>
      <c r="E1308" s="118"/>
      <c r="F1308" s="118"/>
      <c r="G1308" s="69"/>
    </row>
    <row r="1309" spans="1:7" x14ac:dyDescent="0.2">
      <c r="A1309" s="123"/>
      <c r="B1309" s="73"/>
      <c r="C1309" s="118"/>
      <c r="D1309" s="118"/>
      <c r="E1309" s="118"/>
      <c r="F1309" s="118"/>
      <c r="G1309" s="69"/>
    </row>
    <row r="1310" spans="1:7" x14ac:dyDescent="0.2">
      <c r="A1310" s="1364" t="s">
        <v>372</v>
      </c>
      <c r="B1310" s="1365"/>
      <c r="C1310" s="43" t="s">
        <v>50</v>
      </c>
      <c r="D1310" s="97">
        <f>'[17]Precios '!I90</f>
        <v>4214.9033333333327</v>
      </c>
      <c r="E1310" s="86">
        <v>1</v>
      </c>
      <c r="F1310" s="85">
        <f>D1310*E1310</f>
        <v>4214.9033333333327</v>
      </c>
      <c r="G1310" s="69"/>
    </row>
    <row r="1311" spans="1:7" x14ac:dyDescent="0.2">
      <c r="A1311" s="1364" t="s">
        <v>360</v>
      </c>
      <c r="B1311" s="1365"/>
      <c r="C1311" s="63" t="s">
        <v>238</v>
      </c>
      <c r="D1311" s="97">
        <f>'[17]Precios '!E107</f>
        <v>1851.6197700000005</v>
      </c>
      <c r="E1311" s="124">
        <v>0.2</v>
      </c>
      <c r="F1311" s="85">
        <f>D1311*E1311</f>
        <v>370.32395400000013</v>
      </c>
      <c r="G1311" s="69"/>
    </row>
    <row r="1312" spans="1:7" x14ac:dyDescent="0.2">
      <c r="A1312" s="1229" t="s">
        <v>347</v>
      </c>
      <c r="B1312" s="1365"/>
      <c r="C1312" s="63">
        <v>0.25</v>
      </c>
      <c r="D1312" s="97">
        <f>LIST_APUS_HIDROSAN!D1268</f>
        <v>52324.94767500001</v>
      </c>
      <c r="E1312" s="86">
        <v>0.02</v>
      </c>
      <c r="F1312" s="85">
        <f>D1312*E1312</f>
        <v>1046.4989535000002</v>
      </c>
      <c r="G1312" s="69"/>
    </row>
    <row r="1313" spans="1:7" x14ac:dyDescent="0.2">
      <c r="A1313" s="1229" t="s">
        <v>348</v>
      </c>
      <c r="B1313" s="1365"/>
      <c r="C1313" s="63">
        <v>0.25</v>
      </c>
      <c r="D1313" s="97">
        <f>LIST_APUS_HIDROSAN!D1269</f>
        <v>108520.02661500004</v>
      </c>
      <c r="E1313" s="86">
        <v>0.02</v>
      </c>
      <c r="F1313" s="85">
        <f>D1313*E1313</f>
        <v>2170.400532300001</v>
      </c>
      <c r="G1313" s="69"/>
    </row>
    <row r="1314" spans="1:7" x14ac:dyDescent="0.2">
      <c r="A1314" s="1366" t="s">
        <v>333</v>
      </c>
      <c r="B1314" s="1365"/>
      <c r="C1314" s="66" t="s">
        <v>54</v>
      </c>
      <c r="D1314" s="97">
        <f>LIST_APUS_HIDROSAN!D1270</f>
        <v>3250</v>
      </c>
      <c r="E1314" s="98">
        <v>0.02</v>
      </c>
      <c r="F1314" s="85">
        <f>D1314*E1314</f>
        <v>65</v>
      </c>
      <c r="G1314" s="69"/>
    </row>
    <row r="1315" spans="1:7" x14ac:dyDescent="0.2">
      <c r="A1315" s="1228" t="s">
        <v>349</v>
      </c>
      <c r="B1315" s="1229"/>
      <c r="C1315" s="43" t="s">
        <v>51</v>
      </c>
      <c r="D1315" s="97">
        <f>LIST_APUS_HIDROSAN!D1271</f>
        <v>5916.2133333333331</v>
      </c>
      <c r="E1315" s="102">
        <v>5</v>
      </c>
      <c r="F1315" s="85">
        <f>D1315*0.05</f>
        <v>295.81066666666669</v>
      </c>
      <c r="G1315" s="43" t="s">
        <v>31</v>
      </c>
    </row>
    <row r="1316" spans="1:7" x14ac:dyDescent="0.2">
      <c r="A1316" s="71"/>
      <c r="B1316" s="72"/>
      <c r="C1316" s="43"/>
      <c r="D1316" s="97"/>
      <c r="E1316" s="92"/>
      <c r="F1316" s="85"/>
      <c r="G1316" s="43"/>
    </row>
    <row r="1317" spans="1:7" x14ac:dyDescent="0.2">
      <c r="A1317" s="1228"/>
      <c r="B1317" s="1229"/>
      <c r="C1317" s="69"/>
      <c r="D1317" s="69"/>
      <c r="E1317" s="69"/>
      <c r="F1317" s="69"/>
      <c r="G1317" s="65">
        <f>F1310+F1311+F1312+F1313+F1314+F1315</f>
        <v>8162.9374398000009</v>
      </c>
    </row>
    <row r="1318" spans="1:7" ht="24" x14ac:dyDescent="0.2">
      <c r="A1318" s="88" t="s">
        <v>329</v>
      </c>
      <c r="B1318" s="89" t="s">
        <v>38</v>
      </c>
      <c r="C1318" s="89" t="s">
        <v>39</v>
      </c>
      <c r="D1318" s="80" t="s">
        <v>40</v>
      </c>
      <c r="E1318" s="80" t="s">
        <v>34</v>
      </c>
      <c r="F1318" s="80" t="s">
        <v>35</v>
      </c>
      <c r="G1318" s="67"/>
    </row>
    <row r="1319" spans="1:7" x14ac:dyDescent="0.2">
      <c r="A1319" s="90"/>
      <c r="B1319" s="43"/>
      <c r="C1319" s="43"/>
      <c r="D1319" s="62"/>
      <c r="E1319" s="91"/>
      <c r="F1319" s="62"/>
      <c r="G1319" s="69"/>
    </row>
    <row r="1320" spans="1:7" x14ac:dyDescent="0.2">
      <c r="A1320" s="90"/>
      <c r="B1320" s="43"/>
      <c r="C1320" s="43"/>
      <c r="D1320" s="62"/>
      <c r="E1320" s="91"/>
      <c r="F1320" s="62"/>
      <c r="G1320" s="69"/>
    </row>
    <row r="1321" spans="1:7" x14ac:dyDescent="0.2">
      <c r="A1321" s="90"/>
      <c r="B1321" s="43"/>
      <c r="C1321" s="43"/>
      <c r="D1321" s="62"/>
      <c r="E1321" s="92"/>
      <c r="F1321" s="62"/>
      <c r="G1321" s="69"/>
    </row>
    <row r="1322" spans="1:7" x14ac:dyDescent="0.2">
      <c r="A1322" s="90" t="s">
        <v>25</v>
      </c>
      <c r="B1322" s="43" t="s">
        <v>25</v>
      </c>
      <c r="C1322" s="43" t="s">
        <v>25</v>
      </c>
      <c r="D1322" s="61" t="s">
        <v>25</v>
      </c>
      <c r="E1322" s="92" t="s">
        <v>25</v>
      </c>
      <c r="F1322" s="62" t="s">
        <v>25</v>
      </c>
      <c r="G1322" s="43" t="s">
        <v>31</v>
      </c>
    </row>
    <row r="1323" spans="1:7" x14ac:dyDescent="0.2">
      <c r="A1323" s="90"/>
      <c r="B1323" s="69"/>
      <c r="C1323" s="69"/>
      <c r="D1323" s="69"/>
      <c r="E1323" s="69"/>
      <c r="F1323" s="69"/>
      <c r="G1323" s="64"/>
    </row>
    <row r="1324" spans="1:7" ht="24" x14ac:dyDescent="0.2">
      <c r="A1324" s="88" t="s">
        <v>41</v>
      </c>
      <c r="B1324" s="80" t="s">
        <v>42</v>
      </c>
      <c r="C1324" s="80" t="s">
        <v>43</v>
      </c>
      <c r="D1324" s="80" t="s">
        <v>44</v>
      </c>
      <c r="E1324" s="89" t="s">
        <v>306</v>
      </c>
      <c r="F1324" s="80" t="s">
        <v>35</v>
      </c>
      <c r="G1324" s="67"/>
    </row>
    <row r="1325" spans="1:7" x14ac:dyDescent="0.2">
      <c r="A1325" s="81"/>
      <c r="B1325" s="81"/>
      <c r="C1325" s="81"/>
      <c r="D1325" s="81"/>
      <c r="E1325" s="81"/>
      <c r="F1325" s="81"/>
      <c r="G1325" s="81"/>
    </row>
    <row r="1326" spans="1:7" x14ac:dyDescent="0.2">
      <c r="A1326" s="69" t="s">
        <v>336</v>
      </c>
      <c r="B1326" s="85">
        <f>B1282</f>
        <v>44000</v>
      </c>
      <c r="C1326" s="96">
        <v>0.9</v>
      </c>
      <c r="D1326" s="62">
        <f>B1326*C1326+B1326</f>
        <v>83600</v>
      </c>
      <c r="E1326" s="121">
        <v>22</v>
      </c>
      <c r="F1326" s="62">
        <f xml:space="preserve"> D1326/E1326</f>
        <v>3800</v>
      </c>
      <c r="G1326" s="69"/>
    </row>
    <row r="1327" spans="1:7" x14ac:dyDescent="0.2">
      <c r="A1327" s="69" t="s">
        <v>315</v>
      </c>
      <c r="B1327" s="85">
        <f>B1283</f>
        <v>27500.000000000004</v>
      </c>
      <c r="C1327" s="96">
        <v>0.9</v>
      </c>
      <c r="D1327" s="62">
        <f>B1327*C1327+B1327</f>
        <v>52250.000000000007</v>
      </c>
      <c r="E1327" s="121">
        <v>22</v>
      </c>
      <c r="F1327" s="62">
        <f xml:space="preserve"> D1327/E1327</f>
        <v>2375.0000000000005</v>
      </c>
      <c r="G1327" s="69" t="s">
        <v>25</v>
      </c>
    </row>
    <row r="1328" spans="1:7" x14ac:dyDescent="0.2">
      <c r="A1328" s="69"/>
      <c r="B1328" s="85"/>
      <c r="C1328" s="96"/>
      <c r="D1328" s="62"/>
      <c r="E1328" s="121"/>
      <c r="F1328" s="62"/>
      <c r="G1328" s="69"/>
    </row>
    <row r="1329" spans="1:7" x14ac:dyDescent="0.2">
      <c r="A1329" s="69"/>
      <c r="B1329" s="85"/>
      <c r="C1329" s="69"/>
      <c r="D1329" s="62"/>
      <c r="E1329" s="69"/>
      <c r="F1329" s="62"/>
      <c r="G1329" s="69"/>
    </row>
    <row r="1330" spans="1:7" x14ac:dyDescent="0.2">
      <c r="A1330" s="69"/>
      <c r="B1330" s="69"/>
      <c r="C1330" s="69"/>
      <c r="D1330" s="69"/>
      <c r="E1330" s="69"/>
      <c r="F1330" s="69"/>
      <c r="G1330" s="43" t="s">
        <v>31</v>
      </c>
    </row>
    <row r="1331" spans="1:7" x14ac:dyDescent="0.2">
      <c r="A1331" s="82"/>
      <c r="B1331" s="82"/>
      <c r="C1331" s="82"/>
      <c r="D1331" s="82"/>
      <c r="E1331" s="82"/>
      <c r="F1331" s="82"/>
      <c r="G1331" s="64">
        <f>F1329+F1327+F1326</f>
        <v>6175</v>
      </c>
    </row>
    <row r="1332" spans="1:7" x14ac:dyDescent="0.2">
      <c r="A1332" s="1230" t="s">
        <v>25</v>
      </c>
      <c r="B1332" s="1230"/>
      <c r="C1332" s="1230"/>
      <c r="D1332" s="1230"/>
      <c r="E1332" s="1230"/>
      <c r="F1332" s="1230"/>
      <c r="G1332" s="1233"/>
    </row>
    <row r="1333" spans="1:7" x14ac:dyDescent="0.2">
      <c r="A1333" s="1248" t="s">
        <v>45</v>
      </c>
      <c r="B1333" s="1248"/>
      <c r="C1333" s="1248"/>
      <c r="D1333" s="1248"/>
      <c r="E1333" s="1231"/>
      <c r="F1333" s="93"/>
      <c r="G1333" s="70">
        <f xml:space="preserve"> G1331+G1323+G1317+G1306</f>
        <v>14646.6874398</v>
      </c>
    </row>
    <row r="1334" spans="1:7" x14ac:dyDescent="0.2">
      <c r="A1334" s="1232" t="s">
        <v>476</v>
      </c>
      <c r="B1334" s="1232"/>
      <c r="C1334" s="1222"/>
      <c r="D1334" s="1222"/>
      <c r="E1334" s="1222" t="s">
        <v>44</v>
      </c>
      <c r="F1334" s="1222" t="s">
        <v>51</v>
      </c>
      <c r="G1334" s="1222" t="s">
        <v>307</v>
      </c>
    </row>
    <row r="1335" spans="1:7" x14ac:dyDescent="0.2">
      <c r="A1335" s="1232"/>
      <c r="B1335" s="1232"/>
      <c r="C1335" s="1222"/>
      <c r="D1335" s="1222"/>
      <c r="E1335" s="1222"/>
      <c r="F1335" s="1222"/>
      <c r="G1335" s="1222"/>
    </row>
    <row r="1336" spans="1:7" x14ac:dyDescent="0.2">
      <c r="A1336" s="1244" t="s">
        <v>17</v>
      </c>
      <c r="B1336" s="1244"/>
      <c r="C1336" s="1244"/>
      <c r="D1336" s="1244"/>
      <c r="E1336" s="1244"/>
      <c r="F1336" s="1221"/>
      <c r="G1336" s="1222"/>
    </row>
    <row r="1337" spans="1:7" x14ac:dyDescent="0.2">
      <c r="A1337" s="1244" t="s">
        <v>308</v>
      </c>
      <c r="B1337" s="1244"/>
      <c r="C1337" s="1244"/>
      <c r="D1337" s="1244"/>
      <c r="E1337" s="1244"/>
      <c r="F1337" s="1221"/>
      <c r="G1337" s="1222"/>
    </row>
    <row r="1338" spans="1:7" x14ac:dyDescent="0.2">
      <c r="A1338" s="1244" t="s">
        <v>19</v>
      </c>
      <c r="B1338" s="1244"/>
      <c r="C1338" s="1244"/>
      <c r="D1338" s="1244"/>
      <c r="E1338" s="1244"/>
      <c r="F1338" s="1221"/>
      <c r="G1338" s="1222"/>
    </row>
    <row r="1339" spans="1:7" x14ac:dyDescent="0.2">
      <c r="A1339" s="1244" t="s">
        <v>309</v>
      </c>
      <c r="B1339" s="1244"/>
      <c r="C1339" s="1244"/>
      <c r="D1339" s="1244"/>
      <c r="E1339" s="1244"/>
      <c r="F1339" s="1221"/>
      <c r="G1339" s="1222"/>
    </row>
    <row r="1340" spans="1:7" x14ac:dyDescent="0.2">
      <c r="A1340" s="1245" t="s">
        <v>310</v>
      </c>
      <c r="B1340" s="1245"/>
      <c r="C1340" s="1245"/>
      <c r="D1340" s="1245"/>
      <c r="E1340" s="1245"/>
      <c r="F1340" s="1222"/>
      <c r="G1340" s="1222"/>
    </row>
    <row r="1341" spans="1:7" ht="12.75" x14ac:dyDescent="0.2">
      <c r="A1341" s="108"/>
      <c r="B1341" s="94"/>
      <c r="C1341" s="94"/>
      <c r="D1341" s="94"/>
      <c r="E1341" s="94"/>
      <c r="F1341" s="883" t="s">
        <v>300</v>
      </c>
      <c r="G1341" s="883" t="s">
        <v>2392</v>
      </c>
    </row>
    <row r="1342" spans="1:7" x14ac:dyDescent="0.2">
      <c r="A1342" s="1367" t="s">
        <v>1040</v>
      </c>
      <c r="B1342" s="1368"/>
      <c r="C1342" s="1368"/>
      <c r="D1342" s="1368"/>
      <c r="E1342" s="1369"/>
      <c r="F1342" s="447" t="s">
        <v>24</v>
      </c>
      <c r="G1342" s="445" t="s">
        <v>311</v>
      </c>
    </row>
    <row r="1343" spans="1:7" x14ac:dyDescent="0.2">
      <c r="A1343" s="1229" t="s">
        <v>25</v>
      </c>
      <c r="B1343" s="1229"/>
      <c r="C1343" s="1229"/>
      <c r="D1343" s="1229"/>
      <c r="E1343" s="1229"/>
      <c r="F1343" s="1229"/>
      <c r="G1343" s="1229"/>
    </row>
    <row r="1344" spans="1:7" x14ac:dyDescent="0.2">
      <c r="A1344" s="1234" t="s">
        <v>469</v>
      </c>
      <c r="B1344" s="1235"/>
      <c r="C1344" s="80" t="s">
        <v>26</v>
      </c>
      <c r="D1344" s="80" t="s">
        <v>27</v>
      </c>
      <c r="E1344" s="80" t="s">
        <v>28</v>
      </c>
      <c r="F1344" s="80" t="s">
        <v>35</v>
      </c>
      <c r="G1344" s="67"/>
    </row>
    <row r="1345" spans="1:7" x14ac:dyDescent="0.2">
      <c r="A1345" s="1236"/>
      <c r="B1345" s="1236"/>
      <c r="C1345" s="69"/>
      <c r="D1345" s="62"/>
      <c r="E1345" s="62"/>
      <c r="F1345" s="62"/>
      <c r="G1345" s="81"/>
    </row>
    <row r="1346" spans="1:7" x14ac:dyDescent="0.2">
      <c r="A1346" s="1236"/>
      <c r="B1346" s="1236"/>
      <c r="C1346" s="69"/>
      <c r="D1346" s="62"/>
      <c r="E1346" s="62"/>
      <c r="F1346" s="62"/>
      <c r="G1346" s="69"/>
    </row>
    <row r="1347" spans="1:7" x14ac:dyDescent="0.2">
      <c r="A1347" s="1236" t="s">
        <v>30</v>
      </c>
      <c r="B1347" s="1236"/>
      <c r="C1347" s="69"/>
      <c r="D1347" s="69"/>
      <c r="E1347" s="69"/>
      <c r="F1347" s="62">
        <f>G1375*0.05</f>
        <v>308.75</v>
      </c>
      <c r="G1347" s="69"/>
    </row>
    <row r="1348" spans="1:7" x14ac:dyDescent="0.2">
      <c r="A1348" s="1236"/>
      <c r="B1348" s="1236"/>
      <c r="C1348" s="69"/>
      <c r="D1348" s="69"/>
      <c r="E1348" s="69"/>
      <c r="F1348" s="69"/>
      <c r="G1348" s="69"/>
    </row>
    <row r="1349" spans="1:7" x14ac:dyDescent="0.2">
      <c r="A1349" s="1236" t="s">
        <v>25</v>
      </c>
      <c r="B1349" s="1236"/>
      <c r="C1349" s="69"/>
      <c r="D1349" s="69"/>
      <c r="E1349" s="69"/>
      <c r="F1349" s="69"/>
      <c r="G1349" s="83" t="s">
        <v>31</v>
      </c>
    </row>
    <row r="1350" spans="1:7" x14ac:dyDescent="0.2">
      <c r="A1350" s="1237"/>
      <c r="B1350" s="1237"/>
      <c r="C1350" s="82"/>
      <c r="D1350" s="82"/>
      <c r="E1350" s="82"/>
      <c r="F1350" s="82"/>
      <c r="G1350" s="64">
        <f>F1347+F1346+F1345</f>
        <v>308.75</v>
      </c>
    </row>
    <row r="1351" spans="1:7" x14ac:dyDescent="0.2">
      <c r="A1351" s="1234" t="s">
        <v>475</v>
      </c>
      <c r="B1351" s="1235"/>
      <c r="C1351" s="80" t="s">
        <v>32</v>
      </c>
      <c r="D1351" s="80" t="s">
        <v>33</v>
      </c>
      <c r="E1351" s="80" t="s">
        <v>34</v>
      </c>
      <c r="F1351" s="80" t="s">
        <v>35</v>
      </c>
      <c r="G1351" s="67"/>
    </row>
    <row r="1352" spans="1:7" x14ac:dyDescent="0.2">
      <c r="A1352" s="123"/>
      <c r="B1352" s="877"/>
      <c r="C1352" s="118"/>
      <c r="D1352" s="118"/>
      <c r="E1352" s="118"/>
      <c r="F1352" s="118"/>
      <c r="G1352" s="69"/>
    </row>
    <row r="1353" spans="1:7" x14ac:dyDescent="0.2">
      <c r="A1353" s="123"/>
      <c r="B1353" s="877"/>
      <c r="C1353" s="118"/>
      <c r="D1353" s="118"/>
      <c r="E1353" s="118"/>
      <c r="F1353" s="118"/>
      <c r="G1353" s="69"/>
    </row>
    <row r="1354" spans="1:7" x14ac:dyDescent="0.2">
      <c r="A1354" s="1364" t="s">
        <v>372</v>
      </c>
      <c r="B1354" s="1365"/>
      <c r="C1354" s="43" t="s">
        <v>50</v>
      </c>
      <c r="D1354" s="97">
        <v>4214.9033333333327</v>
      </c>
      <c r="E1354" s="86">
        <v>1</v>
      </c>
      <c r="F1354" s="85">
        <f>D1354*E1354</f>
        <v>4214.9033333333327</v>
      </c>
      <c r="G1354" s="69"/>
    </row>
    <row r="1355" spans="1:7" x14ac:dyDescent="0.2">
      <c r="A1355" s="1364" t="s">
        <v>360</v>
      </c>
      <c r="B1355" s="1365"/>
      <c r="C1355" s="63" t="s">
        <v>238</v>
      </c>
      <c r="D1355" s="97">
        <v>1851.6197700000005</v>
      </c>
      <c r="E1355" s="124">
        <v>0.2</v>
      </c>
      <c r="F1355" s="85">
        <f>D1355*E1355</f>
        <v>370.32395400000013</v>
      </c>
      <c r="G1355" s="69"/>
    </row>
    <row r="1356" spans="1:7" x14ac:dyDescent="0.2">
      <c r="A1356" s="1229" t="s">
        <v>347</v>
      </c>
      <c r="B1356" s="1365"/>
      <c r="C1356" s="63">
        <v>0.25</v>
      </c>
      <c r="D1356" s="97">
        <v>52324.94767500001</v>
      </c>
      <c r="E1356" s="86">
        <v>0.02</v>
      </c>
      <c r="F1356" s="85">
        <f>D1356*E1356</f>
        <v>1046.4989535000002</v>
      </c>
      <c r="G1356" s="69"/>
    </row>
    <row r="1357" spans="1:7" x14ac:dyDescent="0.2">
      <c r="A1357" s="1229" t="s">
        <v>348</v>
      </c>
      <c r="B1357" s="1365"/>
      <c r="C1357" s="63">
        <v>0.25</v>
      </c>
      <c r="D1357" s="97">
        <v>108520.02661500004</v>
      </c>
      <c r="E1357" s="86">
        <v>0.02</v>
      </c>
      <c r="F1357" s="85">
        <f>D1357*E1357</f>
        <v>2170.400532300001</v>
      </c>
      <c r="G1357" s="69"/>
    </row>
    <row r="1358" spans="1:7" x14ac:dyDescent="0.2">
      <c r="A1358" s="1366" t="s">
        <v>333</v>
      </c>
      <c r="B1358" s="1365"/>
      <c r="C1358" s="66" t="s">
        <v>54</v>
      </c>
      <c r="D1358" s="97">
        <v>3250</v>
      </c>
      <c r="E1358" s="98">
        <v>0.02</v>
      </c>
      <c r="F1358" s="85">
        <f>D1358*E1358</f>
        <v>65</v>
      </c>
      <c r="G1358" s="69"/>
    </row>
    <row r="1359" spans="1:7" x14ac:dyDescent="0.2">
      <c r="A1359" s="1228" t="s">
        <v>349</v>
      </c>
      <c r="B1359" s="1229"/>
      <c r="C1359" s="43" t="s">
        <v>51</v>
      </c>
      <c r="D1359" s="97">
        <v>5916.2133333333331</v>
      </c>
      <c r="E1359" s="102">
        <v>5</v>
      </c>
      <c r="F1359" s="85">
        <f>D1359*0.05</f>
        <v>295.81066666666669</v>
      </c>
      <c r="G1359" s="43" t="s">
        <v>31</v>
      </c>
    </row>
    <row r="1360" spans="1:7" x14ac:dyDescent="0.2">
      <c r="A1360" s="874"/>
      <c r="B1360" s="875"/>
      <c r="C1360" s="43"/>
      <c r="D1360" s="97"/>
      <c r="E1360" s="92"/>
      <c r="F1360" s="85"/>
      <c r="G1360" s="43"/>
    </row>
    <row r="1361" spans="1:7" x14ac:dyDescent="0.2">
      <c r="A1361" s="1228"/>
      <c r="B1361" s="1229"/>
      <c r="C1361" s="69"/>
      <c r="D1361" s="69"/>
      <c r="E1361" s="69"/>
      <c r="F1361" s="69"/>
      <c r="G1361" s="65">
        <f>F1354+F1355+F1356+F1357+F1358+F1359</f>
        <v>8162.9374398000009</v>
      </c>
    </row>
    <row r="1362" spans="1:7" ht="24" x14ac:dyDescent="0.2">
      <c r="A1362" s="878" t="s">
        <v>329</v>
      </c>
      <c r="B1362" s="89" t="s">
        <v>38</v>
      </c>
      <c r="C1362" s="89" t="s">
        <v>39</v>
      </c>
      <c r="D1362" s="80" t="s">
        <v>40</v>
      </c>
      <c r="E1362" s="80" t="s">
        <v>34</v>
      </c>
      <c r="F1362" s="80" t="s">
        <v>35</v>
      </c>
      <c r="G1362" s="67"/>
    </row>
    <row r="1363" spans="1:7" x14ac:dyDescent="0.2">
      <c r="A1363" s="90"/>
      <c r="B1363" s="43"/>
      <c r="C1363" s="43"/>
      <c r="D1363" s="62"/>
      <c r="E1363" s="91"/>
      <c r="F1363" s="62"/>
      <c r="G1363" s="69"/>
    </row>
    <row r="1364" spans="1:7" x14ac:dyDescent="0.2">
      <c r="A1364" s="90"/>
      <c r="B1364" s="43"/>
      <c r="C1364" s="43"/>
      <c r="D1364" s="62"/>
      <c r="E1364" s="91"/>
      <c r="F1364" s="62"/>
      <c r="G1364" s="69"/>
    </row>
    <row r="1365" spans="1:7" x14ac:dyDescent="0.2">
      <c r="A1365" s="90"/>
      <c r="B1365" s="43"/>
      <c r="C1365" s="43"/>
      <c r="D1365" s="62"/>
      <c r="E1365" s="92"/>
      <c r="F1365" s="62"/>
      <c r="G1365" s="69"/>
    </row>
    <row r="1366" spans="1:7" x14ac:dyDescent="0.2">
      <c r="A1366" s="90" t="s">
        <v>25</v>
      </c>
      <c r="B1366" s="43" t="s">
        <v>25</v>
      </c>
      <c r="C1366" s="43" t="s">
        <v>25</v>
      </c>
      <c r="D1366" s="61" t="s">
        <v>25</v>
      </c>
      <c r="E1366" s="92" t="s">
        <v>25</v>
      </c>
      <c r="F1366" s="62" t="s">
        <v>25</v>
      </c>
      <c r="G1366" s="43" t="s">
        <v>31</v>
      </c>
    </row>
    <row r="1367" spans="1:7" x14ac:dyDescent="0.2">
      <c r="A1367" s="90"/>
      <c r="B1367" s="69"/>
      <c r="C1367" s="69"/>
      <c r="D1367" s="69"/>
      <c r="E1367" s="69"/>
      <c r="F1367" s="69"/>
      <c r="G1367" s="64"/>
    </row>
    <row r="1368" spans="1:7" ht="24" x14ac:dyDescent="0.2">
      <c r="A1368" s="878" t="s">
        <v>41</v>
      </c>
      <c r="B1368" s="80" t="s">
        <v>42</v>
      </c>
      <c r="C1368" s="80" t="s">
        <v>43</v>
      </c>
      <c r="D1368" s="80" t="s">
        <v>44</v>
      </c>
      <c r="E1368" s="89" t="s">
        <v>306</v>
      </c>
      <c r="F1368" s="80" t="s">
        <v>35</v>
      </c>
      <c r="G1368" s="67"/>
    </row>
    <row r="1369" spans="1:7" x14ac:dyDescent="0.2">
      <c r="A1369" s="81"/>
      <c r="B1369" s="81"/>
      <c r="C1369" s="81"/>
      <c r="D1369" s="81"/>
      <c r="E1369" s="81"/>
      <c r="F1369" s="81"/>
      <c r="G1369" s="81"/>
    </row>
    <row r="1370" spans="1:7" x14ac:dyDescent="0.2">
      <c r="A1370" s="69" t="s">
        <v>336</v>
      </c>
      <c r="B1370" s="85">
        <f>B1326</f>
        <v>44000</v>
      </c>
      <c r="C1370" s="96">
        <v>0.9</v>
      </c>
      <c r="D1370" s="62">
        <f>B1370*C1370+B1370</f>
        <v>83600</v>
      </c>
      <c r="E1370" s="121">
        <v>22</v>
      </c>
      <c r="F1370" s="62">
        <f xml:space="preserve"> D1370/E1370</f>
        <v>3800</v>
      </c>
      <c r="G1370" s="69"/>
    </row>
    <row r="1371" spans="1:7" x14ac:dyDescent="0.2">
      <c r="A1371" s="69" t="s">
        <v>315</v>
      </c>
      <c r="B1371" s="85">
        <f>B1327</f>
        <v>27500.000000000004</v>
      </c>
      <c r="C1371" s="96">
        <v>0.9</v>
      </c>
      <c r="D1371" s="62">
        <f>B1371*C1371+B1371</f>
        <v>52250.000000000007</v>
      </c>
      <c r="E1371" s="121">
        <v>22</v>
      </c>
      <c r="F1371" s="62">
        <f xml:space="preserve"> D1371/E1371</f>
        <v>2375.0000000000005</v>
      </c>
      <c r="G1371" s="69" t="s">
        <v>25</v>
      </c>
    </row>
    <row r="1372" spans="1:7" x14ac:dyDescent="0.2">
      <c r="A1372" s="69"/>
      <c r="B1372" s="85"/>
      <c r="C1372" s="96"/>
      <c r="D1372" s="62"/>
      <c r="E1372" s="121"/>
      <c r="F1372" s="62"/>
      <c r="G1372" s="69"/>
    </row>
    <row r="1373" spans="1:7" x14ac:dyDescent="0.2">
      <c r="A1373" s="69"/>
      <c r="B1373" s="85"/>
      <c r="C1373" s="69"/>
      <c r="D1373" s="62"/>
      <c r="E1373" s="69"/>
      <c r="F1373" s="62"/>
      <c r="G1373" s="69"/>
    </row>
    <row r="1374" spans="1:7" x14ac:dyDescent="0.2">
      <c r="A1374" s="69"/>
      <c r="B1374" s="69"/>
      <c r="C1374" s="69"/>
      <c r="D1374" s="69"/>
      <c r="E1374" s="69"/>
      <c r="F1374" s="69"/>
      <c r="G1374" s="43" t="s">
        <v>31</v>
      </c>
    </row>
    <row r="1375" spans="1:7" x14ac:dyDescent="0.2">
      <c r="A1375" s="82"/>
      <c r="B1375" s="82"/>
      <c r="C1375" s="82"/>
      <c r="D1375" s="82"/>
      <c r="E1375" s="82"/>
      <c r="F1375" s="82"/>
      <c r="G1375" s="64">
        <f>F1373+F1371+F1370</f>
        <v>6175</v>
      </c>
    </row>
    <row r="1376" spans="1:7" x14ac:dyDescent="0.2">
      <c r="A1376" s="1230" t="s">
        <v>25</v>
      </c>
      <c r="B1376" s="1230"/>
      <c r="C1376" s="1230"/>
      <c r="D1376" s="1230"/>
      <c r="E1376" s="1230"/>
      <c r="F1376" s="1230"/>
      <c r="G1376" s="1233"/>
    </row>
    <row r="1377" spans="1:7" x14ac:dyDescent="0.2">
      <c r="A1377" s="1248" t="s">
        <v>45</v>
      </c>
      <c r="B1377" s="1248"/>
      <c r="C1377" s="1248"/>
      <c r="D1377" s="1248"/>
      <c r="E1377" s="1231"/>
      <c r="F1377" s="93"/>
      <c r="G1377" s="70">
        <f xml:space="preserve"> G1375+G1367+G1361+G1350</f>
        <v>14646.6874398</v>
      </c>
    </row>
    <row r="1378" spans="1:7" x14ac:dyDescent="0.2">
      <c r="A1378" s="1232" t="s">
        <v>476</v>
      </c>
      <c r="B1378" s="1232"/>
      <c r="C1378" s="1222"/>
      <c r="D1378" s="1222"/>
      <c r="E1378" s="1222" t="s">
        <v>44</v>
      </c>
      <c r="F1378" s="1222" t="s">
        <v>51</v>
      </c>
      <c r="G1378" s="1222" t="s">
        <v>307</v>
      </c>
    </row>
    <row r="1379" spans="1:7" x14ac:dyDescent="0.2">
      <c r="A1379" s="1232"/>
      <c r="B1379" s="1232"/>
      <c r="C1379" s="1222"/>
      <c r="D1379" s="1222"/>
      <c r="E1379" s="1222"/>
      <c r="F1379" s="1222"/>
      <c r="G1379" s="1222"/>
    </row>
    <row r="1380" spans="1:7" x14ac:dyDescent="0.2">
      <c r="A1380" s="1244" t="s">
        <v>17</v>
      </c>
      <c r="B1380" s="1244"/>
      <c r="C1380" s="1244"/>
      <c r="D1380" s="1244"/>
      <c r="E1380" s="1244"/>
      <c r="F1380" s="1221"/>
      <c r="G1380" s="1222"/>
    </row>
    <row r="1381" spans="1:7" x14ac:dyDescent="0.2">
      <c r="A1381" s="1244" t="s">
        <v>308</v>
      </c>
      <c r="B1381" s="1244"/>
      <c r="C1381" s="1244"/>
      <c r="D1381" s="1244"/>
      <c r="E1381" s="1244"/>
      <c r="F1381" s="1221"/>
      <c r="G1381" s="1222"/>
    </row>
    <row r="1382" spans="1:7" x14ac:dyDescent="0.2">
      <c r="A1382" s="1244" t="s">
        <v>19</v>
      </c>
      <c r="B1382" s="1244"/>
      <c r="C1382" s="1244"/>
      <c r="D1382" s="1244"/>
      <c r="E1382" s="1244"/>
      <c r="F1382" s="1221"/>
      <c r="G1382" s="1222"/>
    </row>
    <row r="1383" spans="1:7" x14ac:dyDescent="0.2">
      <c r="A1383" s="1244" t="s">
        <v>309</v>
      </c>
      <c r="B1383" s="1244"/>
      <c r="C1383" s="1244"/>
      <c r="D1383" s="1244"/>
      <c r="E1383" s="1244"/>
      <c r="F1383" s="1221"/>
      <c r="G1383" s="1222"/>
    </row>
    <row r="1384" spans="1:7" x14ac:dyDescent="0.2">
      <c r="A1384" s="1245" t="s">
        <v>310</v>
      </c>
      <c r="B1384" s="1245"/>
      <c r="C1384" s="1245"/>
      <c r="D1384" s="1245"/>
      <c r="E1384" s="1245"/>
      <c r="F1384" s="1222"/>
      <c r="G1384" s="1222"/>
    </row>
  </sheetData>
  <mergeCells count="1065">
    <mergeCell ref="A1348:B1348"/>
    <mergeCell ref="A1349:B1349"/>
    <mergeCell ref="A1350:B1350"/>
    <mergeCell ref="A1377:E1377"/>
    <mergeCell ref="A1378:B1379"/>
    <mergeCell ref="C1378:C1379"/>
    <mergeCell ref="D1378:D1379"/>
    <mergeCell ref="E1378:E1379"/>
    <mergeCell ref="F1378:F1379"/>
    <mergeCell ref="G1378:G1379"/>
    <mergeCell ref="A1376:G1376"/>
    <mergeCell ref="A1384:E1384"/>
    <mergeCell ref="F1384:G1384"/>
    <mergeCell ref="A1254:E1254"/>
    <mergeCell ref="A1339:E1339"/>
    <mergeCell ref="A1317:B1317"/>
    <mergeCell ref="A1332:G1332"/>
    <mergeCell ref="A1333:E1333"/>
    <mergeCell ref="A1334:B1335"/>
    <mergeCell ref="C1334:C1335"/>
    <mergeCell ref="D1334:D1335"/>
    <mergeCell ref="E1334:E1335"/>
    <mergeCell ref="F1334:F1335"/>
    <mergeCell ref="G1334:G1335"/>
    <mergeCell ref="A1296:E1296"/>
    <mergeCell ref="F1296:G1296"/>
    <mergeCell ref="A1298:E1298"/>
    <mergeCell ref="A1299:G1299"/>
    <mergeCell ref="A1300:B1300"/>
    <mergeCell ref="A1315:B1315"/>
    <mergeCell ref="A1302:B1302"/>
    <mergeCell ref="A1303:B1303"/>
    <mergeCell ref="A1380:E1380"/>
    <mergeCell ref="F1380:F1383"/>
    <mergeCell ref="G1380:G1383"/>
    <mergeCell ref="A1381:E1381"/>
    <mergeCell ref="A1382:E1382"/>
    <mergeCell ref="A1383:E1383"/>
    <mergeCell ref="A1351:B1351"/>
    <mergeCell ref="A1354:B1354"/>
    <mergeCell ref="A1355:B1355"/>
    <mergeCell ref="A1356:B1356"/>
    <mergeCell ref="A1361:B1361"/>
    <mergeCell ref="A1301:B1301"/>
    <mergeCell ref="A1292:E1292"/>
    <mergeCell ref="F1292:F1295"/>
    <mergeCell ref="G1292:G1295"/>
    <mergeCell ref="A1293:E1293"/>
    <mergeCell ref="A1294:E1294"/>
    <mergeCell ref="A1295:E1295"/>
    <mergeCell ref="A1310:B1310"/>
    <mergeCell ref="A1311:B1311"/>
    <mergeCell ref="A1312:B1312"/>
    <mergeCell ref="A1313:B1313"/>
    <mergeCell ref="A1314:B1314"/>
    <mergeCell ref="A1357:B1357"/>
    <mergeCell ref="A1358:B1358"/>
    <mergeCell ref="A1359:B1359"/>
    <mergeCell ref="A1342:E1342"/>
    <mergeCell ref="A1343:G1343"/>
    <mergeCell ref="A1344:B1344"/>
    <mergeCell ref="A1345:B1345"/>
    <mergeCell ref="A1346:B1346"/>
    <mergeCell ref="A1304:B1304"/>
    <mergeCell ref="A1305:B1305"/>
    <mergeCell ref="A1306:B1306"/>
    <mergeCell ref="A1307:B1307"/>
    <mergeCell ref="A1340:E1340"/>
    <mergeCell ref="F1340:G1340"/>
    <mergeCell ref="A1336:E1336"/>
    <mergeCell ref="F1336:F1339"/>
    <mergeCell ref="G1336:G1339"/>
    <mergeCell ref="A1337:E1337"/>
    <mergeCell ref="A1338:E1338"/>
    <mergeCell ref="A1347:B1347"/>
    <mergeCell ref="A1266:B1266"/>
    <mergeCell ref="A1267:B1267"/>
    <mergeCell ref="A1268:B1268"/>
    <mergeCell ref="A1269:B1269"/>
    <mergeCell ref="A1270:B1270"/>
    <mergeCell ref="A1271:B1271"/>
    <mergeCell ref="A1258:B1258"/>
    <mergeCell ref="A1259:B1259"/>
    <mergeCell ref="A1260:B1260"/>
    <mergeCell ref="A1261:B1261"/>
    <mergeCell ref="A1262:B1262"/>
    <mergeCell ref="A1263:B1263"/>
    <mergeCell ref="A1273:B1273"/>
    <mergeCell ref="A1288:G1288"/>
    <mergeCell ref="A1289:E1289"/>
    <mergeCell ref="A1290:B1291"/>
    <mergeCell ref="C1290:C1291"/>
    <mergeCell ref="D1290:D1291"/>
    <mergeCell ref="E1290:E1291"/>
    <mergeCell ref="F1290:F1291"/>
    <mergeCell ref="G1290:G1291"/>
    <mergeCell ref="A1230:B1230"/>
    <mergeCell ref="A1243:G1243"/>
    <mergeCell ref="A1244:E1244"/>
    <mergeCell ref="A1245:B1246"/>
    <mergeCell ref="C1245:C1246"/>
    <mergeCell ref="D1245:D1246"/>
    <mergeCell ref="E1245:E1246"/>
    <mergeCell ref="F1245:F1246"/>
    <mergeCell ref="G1245:G1246"/>
    <mergeCell ref="A1251:E1251"/>
    <mergeCell ref="F1251:G1251"/>
    <mergeCell ref="A1255:G1255"/>
    <mergeCell ref="A1256:B1256"/>
    <mergeCell ref="A1257:B1257"/>
    <mergeCell ref="A1247:E1247"/>
    <mergeCell ref="F1247:F1250"/>
    <mergeCell ref="G1247:G1250"/>
    <mergeCell ref="A1248:E1248"/>
    <mergeCell ref="A1249:E1249"/>
    <mergeCell ref="A1250:E1250"/>
    <mergeCell ref="A1209:E1209"/>
    <mergeCell ref="F1209:G1209"/>
    <mergeCell ref="A1212:G1212"/>
    <mergeCell ref="A1213:B1213"/>
    <mergeCell ref="A1214:B1214"/>
    <mergeCell ref="A1205:E1205"/>
    <mergeCell ref="F1205:F1208"/>
    <mergeCell ref="G1205:G1208"/>
    <mergeCell ref="A1206:E1206"/>
    <mergeCell ref="A1207:E1207"/>
    <mergeCell ref="A1208:E1208"/>
    <mergeCell ref="A1223:B1223"/>
    <mergeCell ref="A1224:B1224"/>
    <mergeCell ref="A1225:B1225"/>
    <mergeCell ref="A1226:B1226"/>
    <mergeCell ref="A1227:B1227"/>
    <mergeCell ref="A1228:B1228"/>
    <mergeCell ref="A1215:B1215"/>
    <mergeCell ref="A1216:B1216"/>
    <mergeCell ref="A1217:B1217"/>
    <mergeCell ref="A1218:B1218"/>
    <mergeCell ref="A1219:B1219"/>
    <mergeCell ref="A1220:B1220"/>
    <mergeCell ref="A1211:E1211"/>
    <mergeCell ref="A1178:B1178"/>
    <mergeCell ref="A1179:B1179"/>
    <mergeCell ref="A1180:B1180"/>
    <mergeCell ref="A1181:B1181"/>
    <mergeCell ref="A1182:B1182"/>
    <mergeCell ref="A1183:B1183"/>
    <mergeCell ref="A1170:B1170"/>
    <mergeCell ref="A1171:B1171"/>
    <mergeCell ref="A1172:B1172"/>
    <mergeCell ref="A1173:B1173"/>
    <mergeCell ref="A1174:B1174"/>
    <mergeCell ref="A1175:B1175"/>
    <mergeCell ref="A1185:B1185"/>
    <mergeCell ref="A1201:G1201"/>
    <mergeCell ref="A1202:E1202"/>
    <mergeCell ref="A1203:B1204"/>
    <mergeCell ref="C1203:C1204"/>
    <mergeCell ref="D1203:D1204"/>
    <mergeCell ref="E1203:E1204"/>
    <mergeCell ref="F1203:F1204"/>
    <mergeCell ref="G1203:G1204"/>
    <mergeCell ref="A1141:B1141"/>
    <mergeCell ref="A1157:G1157"/>
    <mergeCell ref="A1158:E1158"/>
    <mergeCell ref="A1159:B1160"/>
    <mergeCell ref="C1159:C1160"/>
    <mergeCell ref="D1159:D1160"/>
    <mergeCell ref="E1159:E1160"/>
    <mergeCell ref="F1159:F1160"/>
    <mergeCell ref="G1159:G1160"/>
    <mergeCell ref="A1165:E1165"/>
    <mergeCell ref="F1165:G1165"/>
    <mergeCell ref="A1166:E1166"/>
    <mergeCell ref="A1167:G1167"/>
    <mergeCell ref="A1168:B1168"/>
    <mergeCell ref="A1169:B1169"/>
    <mergeCell ref="A1161:E1161"/>
    <mergeCell ref="F1161:F1164"/>
    <mergeCell ref="G1161:G1164"/>
    <mergeCell ref="A1162:E1162"/>
    <mergeCell ref="A1163:E1163"/>
    <mergeCell ref="A1164:E1164"/>
    <mergeCell ref="A1122:E1122"/>
    <mergeCell ref="A1123:G1123"/>
    <mergeCell ref="A1124:B1124"/>
    <mergeCell ref="A1125:B1125"/>
    <mergeCell ref="A1117:E1117"/>
    <mergeCell ref="F1117:F1120"/>
    <mergeCell ref="G1117:G1120"/>
    <mergeCell ref="A1118:E1118"/>
    <mergeCell ref="A1119:E1119"/>
    <mergeCell ref="A1120:E1120"/>
    <mergeCell ref="A1134:B1134"/>
    <mergeCell ref="A1135:B1135"/>
    <mergeCell ref="A1136:B1136"/>
    <mergeCell ref="A1137:B1137"/>
    <mergeCell ref="A1138:B1138"/>
    <mergeCell ref="A1139:B1139"/>
    <mergeCell ref="A1126:B1126"/>
    <mergeCell ref="A1127:B1127"/>
    <mergeCell ref="A1128:B1128"/>
    <mergeCell ref="A1129:B1129"/>
    <mergeCell ref="A1130:B1130"/>
    <mergeCell ref="A1131:B1131"/>
    <mergeCell ref="A1095:B1095"/>
    <mergeCell ref="A1082:B1082"/>
    <mergeCell ref="A1083:B1083"/>
    <mergeCell ref="A1084:B1084"/>
    <mergeCell ref="A1085:B1085"/>
    <mergeCell ref="A1086:B1086"/>
    <mergeCell ref="A1087:B1087"/>
    <mergeCell ref="A1097:B1097"/>
    <mergeCell ref="A1113:G1113"/>
    <mergeCell ref="A1114:E1114"/>
    <mergeCell ref="A1115:B1116"/>
    <mergeCell ref="C1115:C1116"/>
    <mergeCell ref="D1115:D1116"/>
    <mergeCell ref="E1115:E1116"/>
    <mergeCell ref="F1115:F1116"/>
    <mergeCell ref="G1115:G1116"/>
    <mergeCell ref="A1121:E1121"/>
    <mergeCell ref="F1121:G1121"/>
    <mergeCell ref="A1077:E1077"/>
    <mergeCell ref="F1077:G1077"/>
    <mergeCell ref="A1078:E1078"/>
    <mergeCell ref="A1079:G1079"/>
    <mergeCell ref="A1080:B1080"/>
    <mergeCell ref="A1081:B1081"/>
    <mergeCell ref="A1073:E1073"/>
    <mergeCell ref="F1073:F1076"/>
    <mergeCell ref="G1073:G1076"/>
    <mergeCell ref="A1074:E1074"/>
    <mergeCell ref="A1075:E1075"/>
    <mergeCell ref="A1076:E1076"/>
    <mergeCell ref="A1090:B1090"/>
    <mergeCell ref="A1091:B1091"/>
    <mergeCell ref="A1092:B1092"/>
    <mergeCell ref="A1093:B1093"/>
    <mergeCell ref="A1094:B1094"/>
    <mergeCell ref="A1048:B1048"/>
    <mergeCell ref="A1049:B1049"/>
    <mergeCell ref="A1052:B1052"/>
    <mergeCell ref="A1053:B1053"/>
    <mergeCell ref="A1054:B1054"/>
    <mergeCell ref="A1055:B1055"/>
    <mergeCell ref="A1040:B1040"/>
    <mergeCell ref="A1041:B1041"/>
    <mergeCell ref="A1042:B1042"/>
    <mergeCell ref="A1043:B1043"/>
    <mergeCell ref="A1044:B1044"/>
    <mergeCell ref="A1045:B1045"/>
    <mergeCell ref="A1057:B1057"/>
    <mergeCell ref="A1069:G1069"/>
    <mergeCell ref="A1070:E1070"/>
    <mergeCell ref="A1071:B1072"/>
    <mergeCell ref="C1071:C1072"/>
    <mergeCell ref="D1071:D1072"/>
    <mergeCell ref="E1071:E1072"/>
    <mergeCell ref="F1071:F1072"/>
    <mergeCell ref="G1071:G1072"/>
    <mergeCell ref="A1011:B1011"/>
    <mergeCell ref="A1026:G1026"/>
    <mergeCell ref="A1027:E1027"/>
    <mergeCell ref="A1028:B1029"/>
    <mergeCell ref="C1028:C1029"/>
    <mergeCell ref="D1028:D1029"/>
    <mergeCell ref="E1028:E1029"/>
    <mergeCell ref="F1028:F1029"/>
    <mergeCell ref="G1028:G1029"/>
    <mergeCell ref="A1034:E1034"/>
    <mergeCell ref="F1034:G1034"/>
    <mergeCell ref="A1036:E1036"/>
    <mergeCell ref="A1037:G1037"/>
    <mergeCell ref="A1038:B1038"/>
    <mergeCell ref="A1039:B1039"/>
    <mergeCell ref="A1030:E1030"/>
    <mergeCell ref="F1030:F1033"/>
    <mergeCell ref="G1030:G1033"/>
    <mergeCell ref="A1031:E1031"/>
    <mergeCell ref="A1032:E1032"/>
    <mergeCell ref="A1033:E1033"/>
    <mergeCell ref="A992:E992"/>
    <mergeCell ref="A993:G993"/>
    <mergeCell ref="A994:B994"/>
    <mergeCell ref="A995:B995"/>
    <mergeCell ref="A986:E986"/>
    <mergeCell ref="F986:F989"/>
    <mergeCell ref="G986:G989"/>
    <mergeCell ref="A987:E987"/>
    <mergeCell ref="A988:E988"/>
    <mergeCell ref="A989:E989"/>
    <mergeCell ref="A1004:B1004"/>
    <mergeCell ref="A1005:B1005"/>
    <mergeCell ref="A1006:B1006"/>
    <mergeCell ref="A1007:B1007"/>
    <mergeCell ref="A1008:B1008"/>
    <mergeCell ref="A1009:B1009"/>
    <mergeCell ref="A996:B996"/>
    <mergeCell ref="A997:B997"/>
    <mergeCell ref="A998:B998"/>
    <mergeCell ref="A999:B999"/>
    <mergeCell ref="A1000:B1000"/>
    <mergeCell ref="A1001:B1001"/>
    <mergeCell ref="A965:B965"/>
    <mergeCell ref="A952:B952"/>
    <mergeCell ref="A953:B953"/>
    <mergeCell ref="A954:B954"/>
    <mergeCell ref="A955:B955"/>
    <mergeCell ref="A956:B956"/>
    <mergeCell ref="A957:B957"/>
    <mergeCell ref="A967:B967"/>
    <mergeCell ref="A982:G982"/>
    <mergeCell ref="A983:E983"/>
    <mergeCell ref="A984:B985"/>
    <mergeCell ref="C984:C985"/>
    <mergeCell ref="D984:D985"/>
    <mergeCell ref="E984:E985"/>
    <mergeCell ref="F984:F985"/>
    <mergeCell ref="G984:G985"/>
    <mergeCell ref="A990:E990"/>
    <mergeCell ref="F990:G990"/>
    <mergeCell ref="A944:E944"/>
    <mergeCell ref="F944:G944"/>
    <mergeCell ref="A948:E948"/>
    <mergeCell ref="A949:G949"/>
    <mergeCell ref="A950:B950"/>
    <mergeCell ref="A951:B951"/>
    <mergeCell ref="A940:E940"/>
    <mergeCell ref="F940:F943"/>
    <mergeCell ref="G940:G943"/>
    <mergeCell ref="A941:E941"/>
    <mergeCell ref="A942:E942"/>
    <mergeCell ref="A943:E943"/>
    <mergeCell ref="A960:B960"/>
    <mergeCell ref="A961:B961"/>
    <mergeCell ref="A962:B962"/>
    <mergeCell ref="A963:B963"/>
    <mergeCell ref="A964:B964"/>
    <mergeCell ref="A916:B916"/>
    <mergeCell ref="A917:B917"/>
    <mergeCell ref="A918:B918"/>
    <mergeCell ref="A919:B919"/>
    <mergeCell ref="A920:B920"/>
    <mergeCell ref="A921:B921"/>
    <mergeCell ref="A908:B908"/>
    <mergeCell ref="A909:B909"/>
    <mergeCell ref="A910:B910"/>
    <mergeCell ref="A911:B911"/>
    <mergeCell ref="A912:B912"/>
    <mergeCell ref="A913:B913"/>
    <mergeCell ref="A923:B923"/>
    <mergeCell ref="A936:G936"/>
    <mergeCell ref="A937:E937"/>
    <mergeCell ref="A938:B939"/>
    <mergeCell ref="C938:C939"/>
    <mergeCell ref="D938:D939"/>
    <mergeCell ref="E938:E939"/>
    <mergeCell ref="F938:F939"/>
    <mergeCell ref="G938:G939"/>
    <mergeCell ref="A875:B875"/>
    <mergeCell ref="A891:G891"/>
    <mergeCell ref="A892:E892"/>
    <mergeCell ref="A893:B894"/>
    <mergeCell ref="C893:C894"/>
    <mergeCell ref="D893:D894"/>
    <mergeCell ref="E893:E894"/>
    <mergeCell ref="F893:F894"/>
    <mergeCell ref="G893:G894"/>
    <mergeCell ref="A899:E899"/>
    <mergeCell ref="F899:G899"/>
    <mergeCell ref="A904:E904"/>
    <mergeCell ref="A905:G905"/>
    <mergeCell ref="A906:B906"/>
    <mergeCell ref="A907:B907"/>
    <mergeCell ref="A895:E895"/>
    <mergeCell ref="F895:F898"/>
    <mergeCell ref="G895:G898"/>
    <mergeCell ref="A896:E896"/>
    <mergeCell ref="A897:E897"/>
    <mergeCell ref="A898:E898"/>
    <mergeCell ref="A856:E856"/>
    <mergeCell ref="A857:G857"/>
    <mergeCell ref="A858:B858"/>
    <mergeCell ref="A859:B859"/>
    <mergeCell ref="A851:E851"/>
    <mergeCell ref="F851:F854"/>
    <mergeCell ref="G851:G854"/>
    <mergeCell ref="A852:E852"/>
    <mergeCell ref="A853:E853"/>
    <mergeCell ref="A854:E854"/>
    <mergeCell ref="A868:B868"/>
    <mergeCell ref="A869:B869"/>
    <mergeCell ref="A870:B870"/>
    <mergeCell ref="A871:B871"/>
    <mergeCell ref="A872:B872"/>
    <mergeCell ref="A873:B873"/>
    <mergeCell ref="A860:B860"/>
    <mergeCell ref="A861:B861"/>
    <mergeCell ref="A862:B862"/>
    <mergeCell ref="A863:B863"/>
    <mergeCell ref="A864:B864"/>
    <mergeCell ref="A865:B865"/>
    <mergeCell ref="A829:B829"/>
    <mergeCell ref="A816:B816"/>
    <mergeCell ref="A817:B817"/>
    <mergeCell ref="A818:B818"/>
    <mergeCell ref="A819:B819"/>
    <mergeCell ref="A820:B820"/>
    <mergeCell ref="A821:B821"/>
    <mergeCell ref="A831:B831"/>
    <mergeCell ref="A847:G847"/>
    <mergeCell ref="A848:E848"/>
    <mergeCell ref="A849:B850"/>
    <mergeCell ref="C849:C850"/>
    <mergeCell ref="D849:D850"/>
    <mergeCell ref="E849:E850"/>
    <mergeCell ref="F849:F850"/>
    <mergeCell ref="G849:G850"/>
    <mergeCell ref="A855:E855"/>
    <mergeCell ref="F855:G855"/>
    <mergeCell ref="A811:E811"/>
    <mergeCell ref="F811:G811"/>
    <mergeCell ref="A812:E812"/>
    <mergeCell ref="A813:G813"/>
    <mergeCell ref="A814:B814"/>
    <mergeCell ref="A815:B815"/>
    <mergeCell ref="A807:E807"/>
    <mergeCell ref="F807:F810"/>
    <mergeCell ref="G807:G810"/>
    <mergeCell ref="A808:E808"/>
    <mergeCell ref="A809:E809"/>
    <mergeCell ref="A810:E810"/>
    <mergeCell ref="A824:B824"/>
    <mergeCell ref="A825:B825"/>
    <mergeCell ref="A826:B826"/>
    <mergeCell ref="A827:B827"/>
    <mergeCell ref="A828:B828"/>
    <mergeCell ref="A780:B780"/>
    <mergeCell ref="A781:B781"/>
    <mergeCell ref="A782:B782"/>
    <mergeCell ref="A783:B783"/>
    <mergeCell ref="A784:B784"/>
    <mergeCell ref="A785:B785"/>
    <mergeCell ref="A772:B772"/>
    <mergeCell ref="A773:B773"/>
    <mergeCell ref="A774:B774"/>
    <mergeCell ref="A775:B775"/>
    <mergeCell ref="A776:B776"/>
    <mergeCell ref="A777:B777"/>
    <mergeCell ref="A787:B787"/>
    <mergeCell ref="A803:G803"/>
    <mergeCell ref="A804:E804"/>
    <mergeCell ref="A805:B806"/>
    <mergeCell ref="C805:C806"/>
    <mergeCell ref="D805:D806"/>
    <mergeCell ref="E805:E806"/>
    <mergeCell ref="F805:F806"/>
    <mergeCell ref="G805:G806"/>
    <mergeCell ref="A768:E768"/>
    <mergeCell ref="A769:G769"/>
    <mergeCell ref="A770:B770"/>
    <mergeCell ref="A771:B771"/>
    <mergeCell ref="A616:E616"/>
    <mergeCell ref="F616:F619"/>
    <mergeCell ref="G616:G619"/>
    <mergeCell ref="A617:E617"/>
    <mergeCell ref="A618:E618"/>
    <mergeCell ref="A619:E619"/>
    <mergeCell ref="A626:E626"/>
    <mergeCell ref="A627:G627"/>
    <mergeCell ref="A660:G660"/>
    <mergeCell ref="A661:E661"/>
    <mergeCell ref="A662:B663"/>
    <mergeCell ref="C662:C663"/>
    <mergeCell ref="D662:D663"/>
    <mergeCell ref="E662:E663"/>
    <mergeCell ref="F662:F663"/>
    <mergeCell ref="G662:G663"/>
    <mergeCell ref="A664:E664"/>
    <mergeCell ref="F664:F667"/>
    <mergeCell ref="G664:G667"/>
    <mergeCell ref="A665:E665"/>
    <mergeCell ref="A666:E666"/>
    <mergeCell ref="A667:E667"/>
    <mergeCell ref="A668:E668"/>
    <mergeCell ref="F668:G668"/>
    <mergeCell ref="A674:E674"/>
    <mergeCell ref="A675:G675"/>
    <mergeCell ref="A676:B676"/>
    <mergeCell ref="A643:B643"/>
    <mergeCell ref="A595:B595"/>
    <mergeCell ref="A582:B582"/>
    <mergeCell ref="A583:B583"/>
    <mergeCell ref="A584:B584"/>
    <mergeCell ref="A585:B585"/>
    <mergeCell ref="A586:B586"/>
    <mergeCell ref="A587:B587"/>
    <mergeCell ref="A597:B597"/>
    <mergeCell ref="A612:G612"/>
    <mergeCell ref="A613:E613"/>
    <mergeCell ref="A614:B615"/>
    <mergeCell ref="C614:C615"/>
    <mergeCell ref="D614:D615"/>
    <mergeCell ref="E614:E615"/>
    <mergeCell ref="F614:F615"/>
    <mergeCell ref="G614:G615"/>
    <mergeCell ref="A620:E620"/>
    <mergeCell ref="F620:G620"/>
    <mergeCell ref="A572:E572"/>
    <mergeCell ref="F572:G572"/>
    <mergeCell ref="A578:E578"/>
    <mergeCell ref="A579:G579"/>
    <mergeCell ref="A580:B580"/>
    <mergeCell ref="A581:B581"/>
    <mergeCell ref="A568:E568"/>
    <mergeCell ref="F568:F571"/>
    <mergeCell ref="G568:G571"/>
    <mergeCell ref="A569:E569"/>
    <mergeCell ref="A570:E570"/>
    <mergeCell ref="A571:E571"/>
    <mergeCell ref="A590:B590"/>
    <mergeCell ref="A591:B591"/>
    <mergeCell ref="A592:B592"/>
    <mergeCell ref="A593:B593"/>
    <mergeCell ref="A594:B594"/>
    <mergeCell ref="A545:B545"/>
    <mergeCell ref="A546:B546"/>
    <mergeCell ref="A535:B535"/>
    <mergeCell ref="A536:B536"/>
    <mergeCell ref="A537:B537"/>
    <mergeCell ref="A538:B538"/>
    <mergeCell ref="A539:B539"/>
    <mergeCell ref="A540:B540"/>
    <mergeCell ref="A566:B567"/>
    <mergeCell ref="C566:C567"/>
    <mergeCell ref="D566:D567"/>
    <mergeCell ref="E566:E567"/>
    <mergeCell ref="F566:F567"/>
    <mergeCell ref="G566:G567"/>
    <mergeCell ref="A547:B547"/>
    <mergeCell ref="A548:B548"/>
    <mergeCell ref="A549:B549"/>
    <mergeCell ref="A550:B550"/>
    <mergeCell ref="A564:G564"/>
    <mergeCell ref="A565:E565"/>
    <mergeCell ref="A528:E528"/>
    <mergeCell ref="F528:G528"/>
    <mergeCell ref="A531:E531"/>
    <mergeCell ref="A532:G532"/>
    <mergeCell ref="A533:B533"/>
    <mergeCell ref="A534:B534"/>
    <mergeCell ref="G522:G523"/>
    <mergeCell ref="A524:E524"/>
    <mergeCell ref="F524:F527"/>
    <mergeCell ref="G524:G527"/>
    <mergeCell ref="A525:E525"/>
    <mergeCell ref="A526:E526"/>
    <mergeCell ref="A527:E527"/>
    <mergeCell ref="A541:B541"/>
    <mergeCell ref="A542:B542"/>
    <mergeCell ref="A543:B543"/>
    <mergeCell ref="A544:B544"/>
    <mergeCell ref="A502:B502"/>
    <mergeCell ref="A503:B503"/>
    <mergeCell ref="A491:B491"/>
    <mergeCell ref="A492:B492"/>
    <mergeCell ref="A493:B493"/>
    <mergeCell ref="A494:B494"/>
    <mergeCell ref="A495:B495"/>
    <mergeCell ref="A496:B496"/>
    <mergeCell ref="A504:B504"/>
    <mergeCell ref="A505:B505"/>
    <mergeCell ref="A506:B506"/>
    <mergeCell ref="A520:G520"/>
    <mergeCell ref="A521:E521"/>
    <mergeCell ref="A522:B523"/>
    <mergeCell ref="C522:C523"/>
    <mergeCell ref="D522:D523"/>
    <mergeCell ref="E522:E523"/>
    <mergeCell ref="F522:F523"/>
    <mergeCell ref="A484:E484"/>
    <mergeCell ref="F484:G484"/>
    <mergeCell ref="A487:E487"/>
    <mergeCell ref="A488:G488"/>
    <mergeCell ref="A489:B489"/>
    <mergeCell ref="A490:B490"/>
    <mergeCell ref="G478:G479"/>
    <mergeCell ref="A480:E480"/>
    <mergeCell ref="F480:F483"/>
    <mergeCell ref="G480:G483"/>
    <mergeCell ref="A481:E481"/>
    <mergeCell ref="A482:E482"/>
    <mergeCell ref="A483:E483"/>
    <mergeCell ref="A497:B497"/>
    <mergeCell ref="A498:B498"/>
    <mergeCell ref="A500:B500"/>
    <mergeCell ref="A501:B501"/>
    <mergeCell ref="A458:B458"/>
    <mergeCell ref="A459:B459"/>
    <mergeCell ref="A447:B447"/>
    <mergeCell ref="A448:B448"/>
    <mergeCell ref="A449:B449"/>
    <mergeCell ref="A450:B450"/>
    <mergeCell ref="A451:B451"/>
    <mergeCell ref="A452:B452"/>
    <mergeCell ref="A460:B460"/>
    <mergeCell ref="A461:B461"/>
    <mergeCell ref="A462:B462"/>
    <mergeCell ref="A476:G476"/>
    <mergeCell ref="A477:E477"/>
    <mergeCell ref="A478:B479"/>
    <mergeCell ref="C478:C479"/>
    <mergeCell ref="D478:D479"/>
    <mergeCell ref="E478:E479"/>
    <mergeCell ref="F478:F479"/>
    <mergeCell ref="A440:E440"/>
    <mergeCell ref="F440:G440"/>
    <mergeCell ref="A443:E443"/>
    <mergeCell ref="A444:G444"/>
    <mergeCell ref="A445:B445"/>
    <mergeCell ref="A446:B446"/>
    <mergeCell ref="G434:G435"/>
    <mergeCell ref="A436:E436"/>
    <mergeCell ref="F436:F439"/>
    <mergeCell ref="G436:G439"/>
    <mergeCell ref="A437:E437"/>
    <mergeCell ref="A438:E438"/>
    <mergeCell ref="A439:E439"/>
    <mergeCell ref="A453:B453"/>
    <mergeCell ref="A454:B454"/>
    <mergeCell ref="A455:B455"/>
    <mergeCell ref="A456:B456"/>
    <mergeCell ref="A414:B414"/>
    <mergeCell ref="A415:B415"/>
    <mergeCell ref="A403:B403"/>
    <mergeCell ref="A404:B404"/>
    <mergeCell ref="A405:B405"/>
    <mergeCell ref="A406:B406"/>
    <mergeCell ref="A407:B407"/>
    <mergeCell ref="A408:B408"/>
    <mergeCell ref="A416:B416"/>
    <mergeCell ref="A417:B417"/>
    <mergeCell ref="A418:B418"/>
    <mergeCell ref="A432:G432"/>
    <mergeCell ref="A433:E433"/>
    <mergeCell ref="A434:B435"/>
    <mergeCell ref="C434:C435"/>
    <mergeCell ref="D434:D435"/>
    <mergeCell ref="E434:E435"/>
    <mergeCell ref="F434:F435"/>
    <mergeCell ref="A395:E395"/>
    <mergeCell ref="F395:G395"/>
    <mergeCell ref="A399:E399"/>
    <mergeCell ref="A400:G400"/>
    <mergeCell ref="A401:B401"/>
    <mergeCell ref="A402:B402"/>
    <mergeCell ref="G389:G390"/>
    <mergeCell ref="A391:E391"/>
    <mergeCell ref="F391:F394"/>
    <mergeCell ref="G391:G394"/>
    <mergeCell ref="A392:E392"/>
    <mergeCell ref="A393:E393"/>
    <mergeCell ref="A394:E394"/>
    <mergeCell ref="A409:B409"/>
    <mergeCell ref="A410:B410"/>
    <mergeCell ref="A411:B411"/>
    <mergeCell ref="A412:B412"/>
    <mergeCell ref="A368:B368"/>
    <mergeCell ref="A369:B369"/>
    <mergeCell ref="A358:B358"/>
    <mergeCell ref="A359:B359"/>
    <mergeCell ref="A360:B360"/>
    <mergeCell ref="A361:B361"/>
    <mergeCell ref="A362:B362"/>
    <mergeCell ref="A363:B363"/>
    <mergeCell ref="A388:E388"/>
    <mergeCell ref="A389:B390"/>
    <mergeCell ref="C389:C390"/>
    <mergeCell ref="D389:D390"/>
    <mergeCell ref="E389:E390"/>
    <mergeCell ref="F389:F390"/>
    <mergeCell ref="A370:B370"/>
    <mergeCell ref="A371:B371"/>
    <mergeCell ref="A372:B372"/>
    <mergeCell ref="A373:B373"/>
    <mergeCell ref="A375:A376"/>
    <mergeCell ref="A387:G387"/>
    <mergeCell ref="A351:E351"/>
    <mergeCell ref="F351:G351"/>
    <mergeCell ref="A354:E354"/>
    <mergeCell ref="A355:G355"/>
    <mergeCell ref="A356:B356"/>
    <mergeCell ref="A357:B357"/>
    <mergeCell ref="G345:G346"/>
    <mergeCell ref="A347:E347"/>
    <mergeCell ref="F347:F350"/>
    <mergeCell ref="G347:G350"/>
    <mergeCell ref="A348:E348"/>
    <mergeCell ref="A349:E349"/>
    <mergeCell ref="A350:E350"/>
    <mergeCell ref="A364:B364"/>
    <mergeCell ref="A365:B365"/>
    <mergeCell ref="A366:B366"/>
    <mergeCell ref="A367:B367"/>
    <mergeCell ref="A325:B325"/>
    <mergeCell ref="A314:B314"/>
    <mergeCell ref="A315:B315"/>
    <mergeCell ref="A316:B316"/>
    <mergeCell ref="A317:B317"/>
    <mergeCell ref="A318:B318"/>
    <mergeCell ref="A319:B319"/>
    <mergeCell ref="A344:E344"/>
    <mergeCell ref="A345:B346"/>
    <mergeCell ref="C345:C346"/>
    <mergeCell ref="D345:D346"/>
    <mergeCell ref="E345:E346"/>
    <mergeCell ref="F345:F346"/>
    <mergeCell ref="A326:B326"/>
    <mergeCell ref="A327:B327"/>
    <mergeCell ref="A328:B328"/>
    <mergeCell ref="A329:B329"/>
    <mergeCell ref="A331:A332"/>
    <mergeCell ref="A343:G343"/>
    <mergeCell ref="A309:E309"/>
    <mergeCell ref="F309:G309"/>
    <mergeCell ref="A310:E310"/>
    <mergeCell ref="A311:G311"/>
    <mergeCell ref="A312:B312"/>
    <mergeCell ref="A313:B313"/>
    <mergeCell ref="A305:E305"/>
    <mergeCell ref="F305:F308"/>
    <mergeCell ref="G305:G308"/>
    <mergeCell ref="A306:E306"/>
    <mergeCell ref="A307:E307"/>
    <mergeCell ref="A308:E308"/>
    <mergeCell ref="A320:B320"/>
    <mergeCell ref="A321:B321"/>
    <mergeCell ref="A322:B322"/>
    <mergeCell ref="A323:B323"/>
    <mergeCell ref="A324:B324"/>
    <mergeCell ref="A282:B282"/>
    <mergeCell ref="A271:B271"/>
    <mergeCell ref="A272:B272"/>
    <mergeCell ref="A273:B273"/>
    <mergeCell ref="A274:B274"/>
    <mergeCell ref="A275:B275"/>
    <mergeCell ref="A276:B276"/>
    <mergeCell ref="A303:B304"/>
    <mergeCell ref="C303:C304"/>
    <mergeCell ref="D303:D304"/>
    <mergeCell ref="E303:E304"/>
    <mergeCell ref="F303:F304"/>
    <mergeCell ref="G303:G304"/>
    <mergeCell ref="A283:B283"/>
    <mergeCell ref="A284:B284"/>
    <mergeCell ref="A286:B286"/>
    <mergeCell ref="A289:A290"/>
    <mergeCell ref="A301:G301"/>
    <mergeCell ref="A302:E302"/>
    <mergeCell ref="A264:E264"/>
    <mergeCell ref="F264:G264"/>
    <mergeCell ref="A267:E267"/>
    <mergeCell ref="A268:B268"/>
    <mergeCell ref="A269:B269"/>
    <mergeCell ref="A270:B270"/>
    <mergeCell ref="A260:E260"/>
    <mergeCell ref="F260:F263"/>
    <mergeCell ref="G260:G263"/>
    <mergeCell ref="A261:E261"/>
    <mergeCell ref="A262:E262"/>
    <mergeCell ref="A263:E263"/>
    <mergeCell ref="A277:B277"/>
    <mergeCell ref="A278:B278"/>
    <mergeCell ref="A279:B279"/>
    <mergeCell ref="A280:B280"/>
    <mergeCell ref="A281:B281"/>
    <mergeCell ref="A238:B238"/>
    <mergeCell ref="A227:B227"/>
    <mergeCell ref="A228:B228"/>
    <mergeCell ref="A229:B229"/>
    <mergeCell ref="A230:B230"/>
    <mergeCell ref="A231:B231"/>
    <mergeCell ref="A232:B232"/>
    <mergeCell ref="A241:B241"/>
    <mergeCell ref="A242:B242"/>
    <mergeCell ref="A256:G256"/>
    <mergeCell ref="A257:E257"/>
    <mergeCell ref="A258:B259"/>
    <mergeCell ref="C258:C259"/>
    <mergeCell ref="D258:D259"/>
    <mergeCell ref="E258:E259"/>
    <mergeCell ref="F258:F259"/>
    <mergeCell ref="G258:G259"/>
    <mergeCell ref="A220:E220"/>
    <mergeCell ref="F220:G220"/>
    <mergeCell ref="A223:E223"/>
    <mergeCell ref="A224:G224"/>
    <mergeCell ref="A225:B225"/>
    <mergeCell ref="A226:B226"/>
    <mergeCell ref="A216:E216"/>
    <mergeCell ref="F216:F219"/>
    <mergeCell ref="G216:G219"/>
    <mergeCell ref="A217:E217"/>
    <mergeCell ref="A218:E218"/>
    <mergeCell ref="A219:E219"/>
    <mergeCell ref="A233:B233"/>
    <mergeCell ref="A234:B234"/>
    <mergeCell ref="A235:B235"/>
    <mergeCell ref="A236:B236"/>
    <mergeCell ref="A237:B237"/>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97:B197"/>
    <mergeCell ref="A198:B198"/>
    <mergeCell ref="A212:G212"/>
    <mergeCell ref="A213:E213"/>
    <mergeCell ref="A214:B215"/>
    <mergeCell ref="C214:C215"/>
    <mergeCell ref="D214:D215"/>
    <mergeCell ref="E214:E215"/>
    <mergeCell ref="F214:F215"/>
    <mergeCell ref="G214:G215"/>
    <mergeCell ref="G170:G171"/>
    <mergeCell ref="A151:B151"/>
    <mergeCell ref="A152:B152"/>
    <mergeCell ref="A153:B153"/>
    <mergeCell ref="A154:B154"/>
    <mergeCell ref="A168:G168"/>
    <mergeCell ref="A169:E169"/>
    <mergeCell ref="A176:E176"/>
    <mergeCell ref="F176:G176"/>
    <mergeCell ref="A179:E179"/>
    <mergeCell ref="A180:G180"/>
    <mergeCell ref="A181:B181"/>
    <mergeCell ref="A182:B182"/>
    <mergeCell ref="A172:E172"/>
    <mergeCell ref="F172:F175"/>
    <mergeCell ref="G172:G175"/>
    <mergeCell ref="A173:E173"/>
    <mergeCell ref="A174:E174"/>
    <mergeCell ref="A175:E175"/>
    <mergeCell ref="A145:B145"/>
    <mergeCell ref="A146:B146"/>
    <mergeCell ref="A147:B147"/>
    <mergeCell ref="A148:B148"/>
    <mergeCell ref="A149:B149"/>
    <mergeCell ref="A150:B150"/>
    <mergeCell ref="A139:B139"/>
    <mergeCell ref="A140:B140"/>
    <mergeCell ref="A141:B141"/>
    <mergeCell ref="A142:B142"/>
    <mergeCell ref="A143:B143"/>
    <mergeCell ref="A144:B144"/>
    <mergeCell ref="A170:B171"/>
    <mergeCell ref="C170:C171"/>
    <mergeCell ref="D170:D171"/>
    <mergeCell ref="E170:E171"/>
    <mergeCell ref="F170:F171"/>
    <mergeCell ref="G126:G127"/>
    <mergeCell ref="A107:B107"/>
    <mergeCell ref="A108:B108"/>
    <mergeCell ref="A109:B109"/>
    <mergeCell ref="A110:B110"/>
    <mergeCell ref="A124:G124"/>
    <mergeCell ref="A125:E125"/>
    <mergeCell ref="A132:E132"/>
    <mergeCell ref="F132:G132"/>
    <mergeCell ref="A135:E135"/>
    <mergeCell ref="A136:G136"/>
    <mergeCell ref="A137:B137"/>
    <mergeCell ref="A138:B138"/>
    <mergeCell ref="A128:E128"/>
    <mergeCell ref="F128:F131"/>
    <mergeCell ref="G128:G131"/>
    <mergeCell ref="A129:E129"/>
    <mergeCell ref="A130:E130"/>
    <mergeCell ref="A131:E131"/>
    <mergeCell ref="A101:B101"/>
    <mergeCell ref="A102:B102"/>
    <mergeCell ref="A103:B103"/>
    <mergeCell ref="A104:B104"/>
    <mergeCell ref="A105:B105"/>
    <mergeCell ref="A106:B106"/>
    <mergeCell ref="A95:B95"/>
    <mergeCell ref="A96:B96"/>
    <mergeCell ref="A97:B97"/>
    <mergeCell ref="A98:B98"/>
    <mergeCell ref="A99:B99"/>
    <mergeCell ref="A100:B100"/>
    <mergeCell ref="A126:B127"/>
    <mergeCell ref="C126:C127"/>
    <mergeCell ref="D126:D127"/>
    <mergeCell ref="E126:E127"/>
    <mergeCell ref="F126:F127"/>
    <mergeCell ref="G84:G85"/>
    <mergeCell ref="A65:B65"/>
    <mergeCell ref="A66:B66"/>
    <mergeCell ref="A67:B67"/>
    <mergeCell ref="A68:B68"/>
    <mergeCell ref="A82:G82"/>
    <mergeCell ref="A83:E83"/>
    <mergeCell ref="A90:E90"/>
    <mergeCell ref="F90:G90"/>
    <mergeCell ref="A91:E91"/>
    <mergeCell ref="A92:G92"/>
    <mergeCell ref="A93:B93"/>
    <mergeCell ref="A94:B94"/>
    <mergeCell ref="A86:E86"/>
    <mergeCell ref="F86:F89"/>
    <mergeCell ref="G86:G89"/>
    <mergeCell ref="A87:E87"/>
    <mergeCell ref="A88:E88"/>
    <mergeCell ref="A89:E89"/>
    <mergeCell ref="A59:B59"/>
    <mergeCell ref="A60:B60"/>
    <mergeCell ref="A61:B61"/>
    <mergeCell ref="A62:B62"/>
    <mergeCell ref="A63:B63"/>
    <mergeCell ref="A64:B64"/>
    <mergeCell ref="A53:B53"/>
    <mergeCell ref="A54:B54"/>
    <mergeCell ref="A55:B55"/>
    <mergeCell ref="A56:B56"/>
    <mergeCell ref="A57:B57"/>
    <mergeCell ref="A58:B58"/>
    <mergeCell ref="A84:B85"/>
    <mergeCell ref="C84:C85"/>
    <mergeCell ref="D84:D85"/>
    <mergeCell ref="E84:E85"/>
    <mergeCell ref="F84:F85"/>
    <mergeCell ref="A42:B43"/>
    <mergeCell ref="C42:C43"/>
    <mergeCell ref="D42:D43"/>
    <mergeCell ref="E42:E43"/>
    <mergeCell ref="F42:F43"/>
    <mergeCell ref="G42:G43"/>
    <mergeCell ref="A24:B24"/>
    <mergeCell ref="A25:B25"/>
    <mergeCell ref="A26:B26"/>
    <mergeCell ref="A40:G40"/>
    <mergeCell ref="A41:E41"/>
    <mergeCell ref="A48:E48"/>
    <mergeCell ref="F48:G48"/>
    <mergeCell ref="A49:E49"/>
    <mergeCell ref="A50:G50"/>
    <mergeCell ref="A51:B51"/>
    <mergeCell ref="A52:B52"/>
    <mergeCell ref="A44:E44"/>
    <mergeCell ref="F44:F47"/>
    <mergeCell ref="G44:G47"/>
    <mergeCell ref="A45:E45"/>
    <mergeCell ref="A46:E46"/>
    <mergeCell ref="A47:E47"/>
    <mergeCell ref="A8:G8"/>
    <mergeCell ref="A9:B9"/>
    <mergeCell ref="A10:B10"/>
    <mergeCell ref="A23:B23"/>
    <mergeCell ref="A7:E7"/>
    <mergeCell ref="A5:D5"/>
    <mergeCell ref="A1:C1"/>
    <mergeCell ref="E1:G1"/>
    <mergeCell ref="A2:C2"/>
    <mergeCell ref="E2:G2"/>
    <mergeCell ref="A3:C3"/>
    <mergeCell ref="A4:C4"/>
    <mergeCell ref="A6:G6"/>
    <mergeCell ref="A17:B17"/>
    <mergeCell ref="A18:B18"/>
    <mergeCell ref="A19:B19"/>
    <mergeCell ref="A20:B20"/>
    <mergeCell ref="A21:B21"/>
    <mergeCell ref="A22:B22"/>
    <mergeCell ref="A11:B11"/>
    <mergeCell ref="A12:B12"/>
    <mergeCell ref="A13:B13"/>
    <mergeCell ref="A14:B14"/>
    <mergeCell ref="A15:B15"/>
    <mergeCell ref="A16:B16"/>
    <mergeCell ref="A645:B645"/>
    <mergeCell ref="A628:B628"/>
    <mergeCell ref="A629:B629"/>
    <mergeCell ref="A630:B630"/>
    <mergeCell ref="A631:B631"/>
    <mergeCell ref="A632:B632"/>
    <mergeCell ref="A633:B633"/>
    <mergeCell ref="A634:B634"/>
    <mergeCell ref="A635:B635"/>
    <mergeCell ref="A638:B638"/>
    <mergeCell ref="A639:B639"/>
    <mergeCell ref="A640:B640"/>
    <mergeCell ref="A641:B641"/>
    <mergeCell ref="A642:B642"/>
    <mergeCell ref="A688:B688"/>
    <mergeCell ref="A689:B689"/>
    <mergeCell ref="A690:B690"/>
    <mergeCell ref="A691:B691"/>
    <mergeCell ref="A693:B693"/>
    <mergeCell ref="A708:G708"/>
    <mergeCell ref="A709:E709"/>
    <mergeCell ref="A710:B711"/>
    <mergeCell ref="C710:C711"/>
    <mergeCell ref="D710:D711"/>
    <mergeCell ref="E710:E711"/>
    <mergeCell ref="F710:F711"/>
    <mergeCell ref="G710:G711"/>
    <mergeCell ref="A677:B677"/>
    <mergeCell ref="A678:B678"/>
    <mergeCell ref="A679:B679"/>
    <mergeCell ref="A680:B680"/>
    <mergeCell ref="A681:B681"/>
    <mergeCell ref="A682:B682"/>
    <mergeCell ref="A683:B683"/>
    <mergeCell ref="A686:B686"/>
    <mergeCell ref="A687:B687"/>
    <mergeCell ref="A723:G723"/>
    <mergeCell ref="A724:B724"/>
    <mergeCell ref="A725:B725"/>
    <mergeCell ref="A726:B726"/>
    <mergeCell ref="A727:B727"/>
    <mergeCell ref="A728:B728"/>
    <mergeCell ref="A729:B729"/>
    <mergeCell ref="A730:B730"/>
    <mergeCell ref="A731:B731"/>
    <mergeCell ref="A712:E712"/>
    <mergeCell ref="F712:F715"/>
    <mergeCell ref="G712:G715"/>
    <mergeCell ref="A713:E713"/>
    <mergeCell ref="A714:E714"/>
    <mergeCell ref="A715:E715"/>
    <mergeCell ref="A716:E716"/>
    <mergeCell ref="F716:G716"/>
    <mergeCell ref="A722:E722"/>
    <mergeCell ref="A764:E764"/>
    <mergeCell ref="F764:G764"/>
    <mergeCell ref="A758:B759"/>
    <mergeCell ref="C758:C759"/>
    <mergeCell ref="D758:D759"/>
    <mergeCell ref="E758:E759"/>
    <mergeCell ref="F758:F759"/>
    <mergeCell ref="G758:G759"/>
    <mergeCell ref="A760:E760"/>
    <mergeCell ref="F760:F763"/>
    <mergeCell ref="G760:G763"/>
    <mergeCell ref="A761:E761"/>
    <mergeCell ref="A762:E762"/>
    <mergeCell ref="A763:E763"/>
    <mergeCell ref="A734:B734"/>
    <mergeCell ref="A735:B735"/>
    <mergeCell ref="A736:B736"/>
    <mergeCell ref="A737:B737"/>
    <mergeCell ref="A738:B738"/>
    <mergeCell ref="A739:B739"/>
    <mergeCell ref="A741:B741"/>
    <mergeCell ref="A756:G756"/>
    <mergeCell ref="A757:E757"/>
  </mergeCells>
  <phoneticPr fontId="25" type="noConversion"/>
  <pageMargins left="0.78740157480314965" right="0" top="1.1023622047244095" bottom="1.0629921259842521" header="0" footer="0"/>
  <pageSetup paperSize="9" scale="81" orientation="portrait" horizontalDpi="300" verticalDpi="300" r:id="rId1"/>
  <headerFooter alignWithMargins="0"/>
  <rowBreaks count="30" manualBreakCount="30">
    <brk id="48" max="6" man="1"/>
    <brk id="90" max="6" man="1"/>
    <brk id="133" max="6" man="1"/>
    <brk id="177" max="6" man="1"/>
    <brk id="221" max="6" man="1"/>
    <brk id="265" max="6" man="1"/>
    <brk id="309" max="6" man="1"/>
    <brk id="352" max="6" man="1"/>
    <brk id="396" max="6" man="1"/>
    <brk id="441" max="6" man="1"/>
    <brk id="485" max="6" man="1"/>
    <brk id="529" max="6" man="1"/>
    <brk id="573" max="6" man="1"/>
    <brk id="620" max="16383" man="1"/>
    <brk id="668" max="16383" man="1"/>
    <brk id="716" max="16383" man="1"/>
    <brk id="767" max="6" man="1"/>
    <brk id="811" max="6" man="1"/>
    <brk id="855" max="6" man="1"/>
    <brk id="900" max="6" man="1"/>
    <brk id="944" max="6" man="1"/>
    <brk id="990" max="6" man="1"/>
    <brk id="1034" max="6" man="1"/>
    <brk id="1077" max="6" man="1"/>
    <brk id="1121" max="6" man="1"/>
    <brk id="1165" max="6" man="1"/>
    <brk id="1209" max="6" man="1"/>
    <brk id="1252" max="6" man="1"/>
    <brk id="1296" max="6" man="1"/>
    <brk id="119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dimension ref="A1"/>
  <sheetViews>
    <sheetView workbookViewId="0"/>
  </sheetViews>
  <sheetFormatPr baseColWidth="10" defaultRowHeight="15" x14ac:dyDescent="0.25"/>
  <sheetData/>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24</vt:i4>
      </vt:variant>
      <vt:variant>
        <vt:lpstr>Rangos con nombre</vt:lpstr>
      </vt:variant>
      <vt:variant>
        <vt:i4>23</vt:i4>
      </vt:variant>
    </vt:vector>
  </HeadingPairs>
  <TitlesOfParts>
    <vt:vector size="47" baseType="lpstr">
      <vt:lpstr>comparativo ascensor -vrf </vt:lpstr>
      <vt:lpstr>comparativo vrf</vt:lpstr>
      <vt:lpstr>comparativo (2)</vt:lpstr>
      <vt:lpstr>comparativo</vt:lpstr>
      <vt:lpstr>Cálculo AIU</vt:lpstr>
      <vt:lpstr>PRECIOS</vt:lpstr>
      <vt:lpstr>JORNALES</vt:lpstr>
      <vt:lpstr>F.M_INTERVEN</vt:lpstr>
      <vt:lpstr>PRESTACIONES</vt:lpstr>
      <vt:lpstr>LIST_ACTIVIDADES</vt:lpstr>
      <vt:lpstr>PRESUPUESTO DE OBRA</vt:lpstr>
      <vt:lpstr>MEMORIASCANT</vt:lpstr>
      <vt:lpstr>PDT_FLUJODECAJA</vt:lpstr>
      <vt:lpstr>CUADRO_ACERO</vt:lpstr>
      <vt:lpstr>ACERO_ESTRCUBIERTA</vt:lpstr>
      <vt:lpstr>LIST_APUS_AUX</vt:lpstr>
      <vt:lpstr>LIST_APUS_ELEC_2</vt:lpstr>
      <vt:lpstr>LIST_APUS_ELEC</vt:lpstr>
      <vt:lpstr>LIST_RED_INCENDIOS</vt:lpstr>
      <vt:lpstr>LIST_APUS CIVILES</vt:lpstr>
      <vt:lpstr>LIST_APUS_CIVILES_2</vt:lpstr>
      <vt:lpstr>LIST_RED_CIVILES_3</vt:lpstr>
      <vt:lpstr>LIST_APUS_HIDROSAN</vt:lpstr>
      <vt:lpstr>Hoja1</vt:lpstr>
      <vt:lpstr>'Cálculo AIU'!Área_de_impresión</vt:lpstr>
      <vt:lpstr>'comparativo (2)'!Área_de_impresión</vt:lpstr>
      <vt:lpstr>'comparativo ascensor -vrf '!Área_de_impresión</vt:lpstr>
      <vt:lpstr>F.M_INTERVEN!Área_de_impresión</vt:lpstr>
      <vt:lpstr>LIST_ACTIVIDADES!Área_de_impresión</vt:lpstr>
      <vt:lpstr>'LIST_APUS CIVILES'!Área_de_impresión</vt:lpstr>
      <vt:lpstr>LIST_APUS_AUX!Área_de_impresión</vt:lpstr>
      <vt:lpstr>LIST_APUS_ELEC!Área_de_impresión</vt:lpstr>
      <vt:lpstr>LIST_APUS_HIDROSAN!Área_de_impresión</vt:lpstr>
      <vt:lpstr>MEMORIASCANT!Área_de_impresión</vt:lpstr>
      <vt:lpstr>PDT_FLUJODECAJA!Área_de_impresión</vt:lpstr>
      <vt:lpstr>PRECIOS!Área_de_impresión</vt:lpstr>
      <vt:lpstr>'PRESUPUESTO DE OBRA'!Área_de_impresión</vt:lpstr>
      <vt:lpstr>MEMORIASCANT!I</vt:lpstr>
      <vt:lpstr>MEMORIASCANT!OBRAS_PRELIMINARES</vt:lpstr>
      <vt:lpstr>'Cálculo AIU'!Títulos_a_imprimir</vt:lpstr>
      <vt:lpstr>CUADRO_ACERO!Títulos_a_imprimir</vt:lpstr>
      <vt:lpstr>LIST_ACTIVIDADES!Títulos_a_imprimir</vt:lpstr>
      <vt:lpstr>'LIST_APUS CIVILES'!Títulos_a_imprimir</vt:lpstr>
      <vt:lpstr>LIST_APUS_AUX!Títulos_a_imprimir</vt:lpstr>
      <vt:lpstr>LIST_APUS_HIDROSAN!Títulos_a_imprimir</vt:lpstr>
      <vt:lpstr>PRECIOS!Títulos_a_imprimir</vt:lpstr>
      <vt:lpstr>'PRESUPUESTO DE OBRA'!Títulos_a_imprimir</vt:lpstr>
    </vt:vector>
  </TitlesOfParts>
  <Company>usuario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dc:creator>
  <cp:lastModifiedBy>CONTRATACION-2020</cp:lastModifiedBy>
  <cp:lastPrinted>2020-11-11T00:26:00Z</cp:lastPrinted>
  <dcterms:created xsi:type="dcterms:W3CDTF">2010-04-25T22:39:26Z</dcterms:created>
  <dcterms:modified xsi:type="dcterms:W3CDTF">2020-12-07T17:38:31Z</dcterms:modified>
</cp:coreProperties>
</file>