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edgar\OneDrive\VIGENCIA 2026\DNP 2026\1. MESA DE SERVICIOS\ENVIADO A SG\"/>
    </mc:Choice>
  </mc:AlternateContent>
  <xr:revisionPtr revIDLastSave="2" documentId="13_ncr:1_{2F543B5F-2006-48C3-B3F9-EEBE4F3E1891}" xr6:coauthVersionLast="36" xr6:coauthVersionMax="47" xr10:uidLastSave="{3B01C445-1F53-4393-AB31-21F0F3FFD015}"/>
  <bookViews>
    <workbookView xWindow="0" yWindow="0" windowWidth="23040" windowHeight="8652" firstSheet="4" activeTab="8" xr2:uid="{57A47F2B-1F4B-4D1C-BFA9-94D9A484E085}"/>
  </bookViews>
  <sheets>
    <sheet name="COINSA" sheetId="24" r:id="rId1"/>
    <sheet name="TSG" sheetId="23" r:id="rId2"/>
    <sheet name="DATASEC" sheetId="26" r:id="rId3"/>
    <sheet name="GROW DATA" sheetId="20" r:id="rId4"/>
    <sheet name="EYC" sheetId="28" r:id="rId5"/>
    <sheet name="HEIMCORE" sheetId="25" r:id="rId6"/>
    <sheet name="WEXLER" sheetId="22" r:id="rId7"/>
    <sheet name="OPEN GROUP" sheetId="27" r:id="rId8"/>
    <sheet name="Consolidado 2026_8,67 meses" sheetId="29" r:id="rId9"/>
    <sheet name="Consolidado 2026_9 meses" sheetId="19" state="hidden" r:id="rId10"/>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2" i="29" l="1"/>
  <c r="E30" i="29"/>
  <c r="E31" i="29" s="1"/>
  <c r="F30" i="29"/>
  <c r="G30" i="29"/>
  <c r="H30" i="29"/>
  <c r="H66" i="29"/>
  <c r="L59" i="29"/>
  <c r="I59" i="29"/>
  <c r="K31" i="19"/>
  <c r="L21" i="29"/>
  <c r="E32" i="19"/>
  <c r="E31" i="19"/>
  <c r="E30" i="19"/>
  <c r="J37" i="29"/>
  <c r="C45" i="29"/>
  <c r="C44" i="29"/>
  <c r="C43" i="29"/>
  <c r="C42" i="29"/>
  <c r="C41" i="29"/>
  <c r="C40" i="29"/>
  <c r="C39" i="29"/>
  <c r="C38" i="29"/>
  <c r="L28" i="29"/>
  <c r="C28" i="29"/>
  <c r="L27" i="29"/>
  <c r="C27" i="29"/>
  <c r="L26" i="29"/>
  <c r="C26" i="29"/>
  <c r="L25" i="29"/>
  <c r="C25" i="29"/>
  <c r="L24" i="29"/>
  <c r="C24" i="29"/>
  <c r="L23" i="29"/>
  <c r="C23" i="29"/>
  <c r="L22" i="29"/>
  <c r="L30" i="29" s="1"/>
  <c r="L31" i="29" s="1"/>
  <c r="C22" i="29"/>
  <c r="C21" i="29"/>
  <c r="AF15" i="29"/>
  <c r="AF16" i="29" s="1"/>
  <c r="AC15" i="29"/>
  <c r="AC16" i="29" s="1"/>
  <c r="Z15" i="29"/>
  <c r="Z16" i="29" s="1"/>
  <c r="W15" i="29"/>
  <c r="W16" i="29" s="1"/>
  <c r="T15" i="29"/>
  <c r="T16" i="29" s="1"/>
  <c r="Q15" i="29"/>
  <c r="Q16" i="29" s="1"/>
  <c r="N15" i="29"/>
  <c r="N16" i="29" s="1"/>
  <c r="K15" i="29"/>
  <c r="K16" i="29" s="1"/>
  <c r="AD11" i="29"/>
  <c r="K28" i="29" s="1"/>
  <c r="AA11" i="29"/>
  <c r="X11" i="29"/>
  <c r="K26" i="29" s="1"/>
  <c r="U11" i="29"/>
  <c r="R11" i="29"/>
  <c r="O11" i="29"/>
  <c r="L11" i="29"/>
  <c r="K22" i="29" s="1"/>
  <c r="I11" i="29"/>
  <c r="K21" i="29" s="1"/>
  <c r="AD10" i="29"/>
  <c r="J28" i="29" s="1"/>
  <c r="AA10" i="29"/>
  <c r="AB10" i="29" s="1"/>
  <c r="X10" i="29"/>
  <c r="J26" i="29" s="1"/>
  <c r="U10" i="29"/>
  <c r="R10" i="29"/>
  <c r="J24" i="29" s="1"/>
  <c r="O10" i="29"/>
  <c r="J23" i="29" s="1"/>
  <c r="L10" i="29"/>
  <c r="J22" i="29" s="1"/>
  <c r="I10" i="29"/>
  <c r="J21" i="29" s="1"/>
  <c r="AD9" i="29"/>
  <c r="AA9" i="29"/>
  <c r="I27" i="29" s="1"/>
  <c r="X9" i="29"/>
  <c r="I26" i="29" s="1"/>
  <c r="U9" i="29"/>
  <c r="I25" i="29" s="1"/>
  <c r="R9" i="29"/>
  <c r="I24" i="29" s="1"/>
  <c r="O9" i="29"/>
  <c r="L9" i="29"/>
  <c r="I22" i="29" s="1"/>
  <c r="I9" i="29"/>
  <c r="I21" i="29" s="1"/>
  <c r="AD8" i="29"/>
  <c r="H28" i="29" s="1"/>
  <c r="AA8" i="29"/>
  <c r="X8" i="29"/>
  <c r="H26" i="29" s="1"/>
  <c r="U8" i="29"/>
  <c r="R8" i="29"/>
  <c r="H24" i="29" s="1"/>
  <c r="O8" i="29"/>
  <c r="H23" i="29" s="1"/>
  <c r="L8" i="29"/>
  <c r="H22" i="29" s="1"/>
  <c r="I8" i="29"/>
  <c r="H21" i="29" s="1"/>
  <c r="AD7" i="29"/>
  <c r="AA7" i="29"/>
  <c r="AB7" i="29" s="1"/>
  <c r="AC7" i="29" s="1"/>
  <c r="X7" i="29"/>
  <c r="G26" i="29" s="1"/>
  <c r="U7" i="29"/>
  <c r="G25" i="29" s="1"/>
  <c r="R7" i="29"/>
  <c r="G24" i="29" s="1"/>
  <c r="O7" i="29"/>
  <c r="L7" i="29"/>
  <c r="G22" i="29" s="1"/>
  <c r="I7" i="29"/>
  <c r="G21" i="29" s="1"/>
  <c r="AD6" i="29"/>
  <c r="F28" i="29" s="1"/>
  <c r="AA6" i="29"/>
  <c r="F27" i="29" s="1"/>
  <c r="X6" i="29"/>
  <c r="F26" i="29" s="1"/>
  <c r="U6" i="29"/>
  <c r="F25" i="29" s="1"/>
  <c r="R6" i="29"/>
  <c r="F24" i="29" s="1"/>
  <c r="O6" i="29"/>
  <c r="F23" i="29" s="1"/>
  <c r="L6" i="29"/>
  <c r="F22" i="29" s="1"/>
  <c r="I6" i="29"/>
  <c r="AD5" i="29"/>
  <c r="E28" i="29" s="1"/>
  <c r="AA5" i="29"/>
  <c r="E27" i="29" s="1"/>
  <c r="X5" i="29"/>
  <c r="E26" i="29" s="1"/>
  <c r="U5" i="29"/>
  <c r="E25" i="29" s="1"/>
  <c r="R5" i="29"/>
  <c r="E24" i="29" s="1"/>
  <c r="O5" i="29"/>
  <c r="E23" i="29" s="1"/>
  <c r="L5" i="29"/>
  <c r="N12" i="29" s="1"/>
  <c r="I5" i="29"/>
  <c r="E21" i="29" s="1"/>
  <c r="K13" i="19"/>
  <c r="K12" i="19"/>
  <c r="J35" i="23"/>
  <c r="J35" i="24"/>
  <c r="K25" i="19"/>
  <c r="K24" i="19"/>
  <c r="K23" i="19"/>
  <c r="J25" i="19"/>
  <c r="J24" i="19"/>
  <c r="J23" i="19"/>
  <c r="J22" i="19"/>
  <c r="K22" i="19"/>
  <c r="K21" i="19"/>
  <c r="J21" i="19"/>
  <c r="K26" i="19"/>
  <c r="J26" i="19"/>
  <c r="J27" i="19"/>
  <c r="K27" i="19"/>
  <c r="K28" i="19"/>
  <c r="J28" i="19"/>
  <c r="I28" i="19"/>
  <c r="I27" i="19"/>
  <c r="I26" i="19"/>
  <c r="H28" i="19"/>
  <c r="H27" i="19"/>
  <c r="H26" i="19"/>
  <c r="G28" i="19"/>
  <c r="G27" i="19"/>
  <c r="G26" i="19"/>
  <c r="F28" i="19"/>
  <c r="F27" i="19"/>
  <c r="F26" i="19"/>
  <c r="F21" i="19"/>
  <c r="E28" i="19"/>
  <c r="E27" i="19"/>
  <c r="L30" i="19"/>
  <c r="K30" i="19"/>
  <c r="J30" i="19"/>
  <c r="J31" i="19" s="1"/>
  <c r="I30" i="19"/>
  <c r="L28" i="19"/>
  <c r="L27" i="19"/>
  <c r="L26" i="19"/>
  <c r="L25" i="19"/>
  <c r="L24" i="19"/>
  <c r="L23" i="19"/>
  <c r="L22" i="19"/>
  <c r="L21" i="19"/>
  <c r="L31" i="19"/>
  <c r="E26" i="19"/>
  <c r="E21" i="19"/>
  <c r="H30" i="19"/>
  <c r="G30" i="19"/>
  <c r="F30" i="19"/>
  <c r="F31" i="19" s="1"/>
  <c r="I10" i="19"/>
  <c r="F44" i="19"/>
  <c r="F43" i="19"/>
  <c r="F42" i="19"/>
  <c r="E44" i="19"/>
  <c r="E43" i="19"/>
  <c r="E42" i="19"/>
  <c r="E41" i="19"/>
  <c r="E40" i="19"/>
  <c r="E39" i="19"/>
  <c r="E38" i="19"/>
  <c r="AD11" i="19"/>
  <c r="AD10" i="19"/>
  <c r="AD9" i="19"/>
  <c r="AD8" i="19"/>
  <c r="AD7" i="19"/>
  <c r="AD6" i="19"/>
  <c r="AD5" i="19"/>
  <c r="AE6" i="19"/>
  <c r="AE7" i="19"/>
  <c r="AE8" i="19"/>
  <c r="AE9" i="19"/>
  <c r="AE10" i="19"/>
  <c r="AE11" i="19"/>
  <c r="AE5" i="19"/>
  <c r="AF5" i="19" s="1"/>
  <c r="AF11" i="19"/>
  <c r="AF6" i="19"/>
  <c r="AF7" i="19"/>
  <c r="AF8" i="19"/>
  <c r="AF9" i="19"/>
  <c r="AF10" i="19"/>
  <c r="AF12" i="19"/>
  <c r="AA10" i="19"/>
  <c r="AA9" i="19"/>
  <c r="AA11" i="19"/>
  <c r="AA8" i="19"/>
  <c r="AA7" i="19"/>
  <c r="AA6" i="19"/>
  <c r="AA5" i="19"/>
  <c r="AC12" i="19" s="1"/>
  <c r="AB7" i="19"/>
  <c r="AB8" i="19"/>
  <c r="AB9" i="19"/>
  <c r="AB10" i="19"/>
  <c r="AB11" i="19"/>
  <c r="AC11" i="19"/>
  <c r="AC7" i="19"/>
  <c r="AC8" i="19"/>
  <c r="AC9" i="19"/>
  <c r="AC10" i="19"/>
  <c r="AB5" i="19"/>
  <c r="AC5" i="19" s="1"/>
  <c r="AF15" i="19"/>
  <c r="AC15" i="19"/>
  <c r="Z15" i="19"/>
  <c r="X11" i="19"/>
  <c r="X10" i="19"/>
  <c r="X9" i="19"/>
  <c r="X8" i="19"/>
  <c r="X7" i="19"/>
  <c r="X6" i="19"/>
  <c r="X5" i="19"/>
  <c r="Y6" i="19"/>
  <c r="Z6" i="19" s="1"/>
  <c r="Y7" i="19"/>
  <c r="Z7" i="19" s="1"/>
  <c r="Y8" i="19"/>
  <c r="Z8" i="19" s="1"/>
  <c r="Y9" i="19"/>
  <c r="Z9" i="19" s="1"/>
  <c r="Y10" i="19"/>
  <c r="Z10" i="19" s="1"/>
  <c r="Y5" i="19"/>
  <c r="Z5" i="19" s="1"/>
  <c r="U11" i="19"/>
  <c r="U10" i="19"/>
  <c r="U9" i="19"/>
  <c r="I25" i="19" s="1"/>
  <c r="U8" i="19"/>
  <c r="H25" i="19" s="1"/>
  <c r="U7" i="19"/>
  <c r="G25" i="19" s="1"/>
  <c r="U6" i="19"/>
  <c r="F25" i="19" s="1"/>
  <c r="U5" i="19"/>
  <c r="E25" i="19" s="1"/>
  <c r="W12" i="19"/>
  <c r="V6" i="19"/>
  <c r="W6" i="19" s="1"/>
  <c r="V7" i="19"/>
  <c r="W7" i="19" s="1"/>
  <c r="V8" i="19"/>
  <c r="W8" i="19" s="1"/>
  <c r="V9" i="19"/>
  <c r="W9" i="19" s="1"/>
  <c r="V10" i="19"/>
  <c r="V11" i="19"/>
  <c r="V5" i="19"/>
  <c r="W5" i="19" s="1"/>
  <c r="J35" i="20"/>
  <c r="R11" i="19"/>
  <c r="R10" i="19"/>
  <c r="R9" i="19"/>
  <c r="R8" i="19"/>
  <c r="H24" i="19" s="1"/>
  <c r="R7" i="19"/>
  <c r="R6" i="19"/>
  <c r="F24" i="19" s="1"/>
  <c r="R5" i="19"/>
  <c r="E24" i="19" s="1"/>
  <c r="O11" i="19"/>
  <c r="O10" i="19"/>
  <c r="O9" i="19"/>
  <c r="O8" i="19"/>
  <c r="O7" i="19"/>
  <c r="O6" i="19"/>
  <c r="O5" i="19"/>
  <c r="L11" i="19"/>
  <c r="L10" i="19"/>
  <c r="L9" i="19"/>
  <c r="L8" i="19"/>
  <c r="L7" i="19"/>
  <c r="L6" i="19"/>
  <c r="L5" i="19"/>
  <c r="J72" i="19"/>
  <c r="I11" i="19"/>
  <c r="I9" i="19"/>
  <c r="I8" i="19"/>
  <c r="I7" i="19"/>
  <c r="I6" i="19"/>
  <c r="I5" i="19"/>
  <c r="E60" i="19"/>
  <c r="E58" i="19"/>
  <c r="I22" i="19"/>
  <c r="J33" i="24"/>
  <c r="J34" i="24"/>
  <c r="I28" i="24"/>
  <c r="C44" i="19"/>
  <c r="C43" i="19"/>
  <c r="C42" i="19"/>
  <c r="C41" i="19"/>
  <c r="C40" i="19"/>
  <c r="C39" i="19"/>
  <c r="C38" i="19"/>
  <c r="C37" i="19"/>
  <c r="C28" i="19"/>
  <c r="C27" i="19"/>
  <c r="C26" i="19"/>
  <c r="C25" i="19"/>
  <c r="C24" i="19"/>
  <c r="C23" i="19"/>
  <c r="C22" i="19"/>
  <c r="C21" i="19"/>
  <c r="J28" i="24"/>
  <c r="I28" i="23"/>
  <c r="J38" i="23"/>
  <c r="I34" i="23"/>
  <c r="J34" i="23" s="1"/>
  <c r="I33" i="23"/>
  <c r="I32" i="23"/>
  <c r="I31" i="23"/>
  <c r="I30" i="23"/>
  <c r="I29" i="23"/>
  <c r="J38" i="28"/>
  <c r="J35" i="28"/>
  <c r="I34" i="28"/>
  <c r="J34" i="28" s="1"/>
  <c r="I33" i="28"/>
  <c r="J33" i="28" s="1"/>
  <c r="I32" i="28"/>
  <c r="J32" i="28" s="1"/>
  <c r="I31" i="28"/>
  <c r="J31" i="28" s="1"/>
  <c r="I30" i="28"/>
  <c r="J30" i="28" s="1"/>
  <c r="I29" i="28"/>
  <c r="J29" i="28" s="1"/>
  <c r="I28" i="28"/>
  <c r="J28" i="28" s="1"/>
  <c r="J38" i="27"/>
  <c r="J35" i="27"/>
  <c r="I34" i="27"/>
  <c r="J34" i="27" s="1"/>
  <c r="I33" i="27"/>
  <c r="J33" i="27" s="1"/>
  <c r="I32" i="27"/>
  <c r="J32" i="27" s="1"/>
  <c r="I31" i="27"/>
  <c r="J31" i="27" s="1"/>
  <c r="I30" i="27"/>
  <c r="J30" i="27" s="1"/>
  <c r="I29" i="27"/>
  <c r="J29" i="27" s="1"/>
  <c r="I28" i="27"/>
  <c r="J28" i="27" s="1"/>
  <c r="J38" i="26"/>
  <c r="J35" i="26"/>
  <c r="I34" i="26"/>
  <c r="J34" i="26" s="1"/>
  <c r="I33" i="26"/>
  <c r="J33" i="26" s="1"/>
  <c r="I32" i="26"/>
  <c r="J32" i="26" s="1"/>
  <c r="I31" i="26"/>
  <c r="J31" i="26" s="1"/>
  <c r="I30" i="26"/>
  <c r="J30" i="26" s="1"/>
  <c r="I29" i="26"/>
  <c r="J29" i="26" s="1"/>
  <c r="I28" i="26"/>
  <c r="J28" i="26" s="1"/>
  <c r="J38" i="25"/>
  <c r="J35" i="25"/>
  <c r="I34" i="25"/>
  <c r="J34" i="25" s="1"/>
  <c r="I33" i="25"/>
  <c r="J33" i="25" s="1"/>
  <c r="I32" i="25"/>
  <c r="J32" i="25" s="1"/>
  <c r="I31" i="25"/>
  <c r="J31" i="25" s="1"/>
  <c r="I30" i="25"/>
  <c r="J30" i="25" s="1"/>
  <c r="I29" i="25"/>
  <c r="J29" i="25" s="1"/>
  <c r="I28" i="25"/>
  <c r="J28" i="25" s="1"/>
  <c r="J38" i="24"/>
  <c r="I34" i="24"/>
  <c r="I33" i="24"/>
  <c r="I32" i="24"/>
  <c r="J32" i="24" s="1"/>
  <c r="I31" i="24"/>
  <c r="J31" i="24" s="1"/>
  <c r="I30" i="24"/>
  <c r="J30" i="24" s="1"/>
  <c r="I29" i="24"/>
  <c r="J29" i="24" s="1"/>
  <c r="J38" i="22"/>
  <c r="J35" i="22"/>
  <c r="I34" i="22"/>
  <c r="J34" i="22" s="1"/>
  <c r="I33" i="22"/>
  <c r="J33" i="22" s="1"/>
  <c r="I32" i="22"/>
  <c r="J32" i="22" s="1"/>
  <c r="I31" i="22"/>
  <c r="J31" i="22" s="1"/>
  <c r="I30" i="22"/>
  <c r="J30" i="22" s="1"/>
  <c r="J29" i="22"/>
  <c r="I29" i="22"/>
  <c r="I28" i="22"/>
  <c r="J28" i="22" s="1"/>
  <c r="J38" i="20"/>
  <c r="I34" i="20"/>
  <c r="J34" i="20" s="1"/>
  <c r="I33" i="20"/>
  <c r="J33" i="20" s="1"/>
  <c r="I32" i="20"/>
  <c r="J32" i="20" s="1"/>
  <c r="I31" i="20"/>
  <c r="J31" i="20" s="1"/>
  <c r="I30" i="20"/>
  <c r="J30" i="20" s="1"/>
  <c r="I29" i="20"/>
  <c r="J29" i="20" s="1"/>
  <c r="I28" i="20"/>
  <c r="J28" i="20" s="1"/>
  <c r="W15" i="19"/>
  <c r="T15" i="19"/>
  <c r="Q15" i="19"/>
  <c r="N15" i="19"/>
  <c r="K15" i="19"/>
  <c r="K12" i="29" l="1"/>
  <c r="I73" i="29"/>
  <c r="J73" i="29" s="1"/>
  <c r="Q17" i="29"/>
  <c r="F41" i="29" s="1"/>
  <c r="S6" i="29"/>
  <c r="V6" i="29"/>
  <c r="W6" i="29" s="1"/>
  <c r="T17" i="29"/>
  <c r="F42" i="29" s="1"/>
  <c r="J7" i="29"/>
  <c r="K7" i="29" s="1"/>
  <c r="AB9" i="29"/>
  <c r="W17" i="29"/>
  <c r="F43" i="29" s="1"/>
  <c r="AC9" i="29"/>
  <c r="Z17" i="29"/>
  <c r="F44" i="29" s="1"/>
  <c r="T6" i="29"/>
  <c r="Z12" i="29"/>
  <c r="Z13" i="29" s="1"/>
  <c r="Z14" i="29" s="1"/>
  <c r="Z18" i="29" s="1"/>
  <c r="E22" i="29"/>
  <c r="I66" i="29" s="1"/>
  <c r="P5" i="29"/>
  <c r="Q5" i="29" s="1"/>
  <c r="Q12" i="29"/>
  <c r="K23" i="29"/>
  <c r="P11" i="29"/>
  <c r="Q11" i="29" s="1"/>
  <c r="J6" i="29"/>
  <c r="K6" i="29" s="1"/>
  <c r="AE7" i="29"/>
  <c r="AF7" i="29" s="1"/>
  <c r="J9" i="29"/>
  <c r="K9" i="29" s="1"/>
  <c r="S10" i="29"/>
  <c r="T10" i="29" s="1"/>
  <c r="K27" i="29"/>
  <c r="AC12" i="29"/>
  <c r="T5" i="29"/>
  <c r="G23" i="29"/>
  <c r="Q7" i="29"/>
  <c r="J25" i="29"/>
  <c r="V10" i="29"/>
  <c r="W10" i="29" s="1"/>
  <c r="AB11" i="29"/>
  <c r="AC11" i="29" s="1"/>
  <c r="P7" i="29"/>
  <c r="S8" i="29"/>
  <c r="T8" i="29"/>
  <c r="AE11" i="29"/>
  <c r="AF12" i="29"/>
  <c r="AF11" i="29"/>
  <c r="I23" i="29"/>
  <c r="P9" i="29"/>
  <c r="Q9" i="29" s="1"/>
  <c r="S5" i="29"/>
  <c r="H25" i="29"/>
  <c r="V8" i="29"/>
  <c r="W8" i="29" s="1"/>
  <c r="F21" i="29"/>
  <c r="I67" i="29" s="1"/>
  <c r="J67" i="29" s="1"/>
  <c r="AE5" i="29"/>
  <c r="AF5" i="29" s="1"/>
  <c r="G27" i="29"/>
  <c r="G28" i="29"/>
  <c r="I28" i="29"/>
  <c r="AE9" i="29"/>
  <c r="AF9" i="29" s="1"/>
  <c r="J11" i="29"/>
  <c r="K11" i="29" s="1"/>
  <c r="AC17" i="29"/>
  <c r="AF17" i="29"/>
  <c r="F45" i="29" s="1"/>
  <c r="V5" i="29"/>
  <c r="W5" i="29" s="1"/>
  <c r="T12" i="29"/>
  <c r="H27" i="29"/>
  <c r="S7" i="29"/>
  <c r="T7" i="29" s="1"/>
  <c r="S9" i="29"/>
  <c r="P6" i="29"/>
  <c r="Q6" i="29" s="1"/>
  <c r="T9" i="29"/>
  <c r="AC10" i="29"/>
  <c r="J27" i="29"/>
  <c r="AE6" i="29"/>
  <c r="AF6" i="29" s="1"/>
  <c r="W12" i="29"/>
  <c r="K25" i="29"/>
  <c r="AB5" i="29"/>
  <c r="AC5" i="29" s="1"/>
  <c r="V7" i="29"/>
  <c r="W7" i="29" s="1"/>
  <c r="P8" i="29"/>
  <c r="Q8" i="29" s="1"/>
  <c r="AE8" i="29"/>
  <c r="AF8" i="29" s="1"/>
  <c r="V9" i="29"/>
  <c r="W9" i="29" s="1"/>
  <c r="P10" i="29"/>
  <c r="Q10" i="29" s="1"/>
  <c r="AE10" i="29"/>
  <c r="AF10" i="29" s="1"/>
  <c r="V11" i="29"/>
  <c r="W11" i="29" s="1"/>
  <c r="K17" i="29"/>
  <c r="F38" i="29" s="1"/>
  <c r="AB6" i="29"/>
  <c r="AC6" i="29"/>
  <c r="J8" i="29"/>
  <c r="K8" i="29" s="1"/>
  <c r="AB8" i="29"/>
  <c r="AC8" i="29" s="1"/>
  <c r="J10" i="29"/>
  <c r="K10" i="29" s="1"/>
  <c r="S11" i="29"/>
  <c r="T11" i="29" s="1"/>
  <c r="J5" i="29"/>
  <c r="K5" i="29"/>
  <c r="N13" i="29"/>
  <c r="N14" i="29" s="1"/>
  <c r="N17" i="29"/>
  <c r="K24" i="29"/>
  <c r="M5" i="29"/>
  <c r="N5" i="29" s="1"/>
  <c r="Y5" i="29"/>
  <c r="Z5" i="29" s="1"/>
  <c r="M6" i="29"/>
  <c r="N6" i="29" s="1"/>
  <c r="Y6" i="29"/>
  <c r="Z6" i="29" s="1"/>
  <c r="M7" i="29"/>
  <c r="N7" i="29" s="1"/>
  <c r="Y7" i="29"/>
  <c r="Z7" i="29" s="1"/>
  <c r="M8" i="29"/>
  <c r="N8" i="29" s="1"/>
  <c r="Y8" i="29"/>
  <c r="Z8" i="29" s="1"/>
  <c r="M9" i="29"/>
  <c r="N9" i="29" s="1"/>
  <c r="Y9" i="29"/>
  <c r="Z9" i="29" s="1"/>
  <c r="M10" i="29"/>
  <c r="N10" i="29" s="1"/>
  <c r="Y10" i="29"/>
  <c r="Z10" i="29" s="1"/>
  <c r="M11" i="29"/>
  <c r="N11" i="29" s="1"/>
  <c r="Y11" i="29"/>
  <c r="Z11" i="29" s="1"/>
  <c r="N12" i="19"/>
  <c r="AB6" i="19"/>
  <c r="AC6" i="19" s="1"/>
  <c r="Q12" i="19"/>
  <c r="Q13" i="19" s="1"/>
  <c r="Q14" i="19" s="1"/>
  <c r="Z12" i="19"/>
  <c r="Z13" i="19" s="1"/>
  <c r="Z14" i="19" s="1"/>
  <c r="Y11" i="19"/>
  <c r="Z11" i="19" s="1"/>
  <c r="W11" i="19"/>
  <c r="W10" i="19"/>
  <c r="E61" i="19"/>
  <c r="S11" i="19"/>
  <c r="T11" i="19" s="1"/>
  <c r="S10" i="19"/>
  <c r="T10" i="19" s="1"/>
  <c r="S9" i="19"/>
  <c r="T9" i="19" s="1"/>
  <c r="S8" i="19"/>
  <c r="T8" i="19" s="1"/>
  <c r="S7" i="19"/>
  <c r="T7" i="19" s="1"/>
  <c r="S6" i="19"/>
  <c r="T6" i="19" s="1"/>
  <c r="T12" i="19"/>
  <c r="S5" i="19"/>
  <c r="T5" i="19" s="1"/>
  <c r="I24" i="19"/>
  <c r="G24" i="19"/>
  <c r="P11" i="19"/>
  <c r="Q11" i="19" s="1"/>
  <c r="P10" i="19"/>
  <c r="Q10" i="19" s="1"/>
  <c r="I23" i="19"/>
  <c r="P9" i="19"/>
  <c r="Q9" i="19" s="1"/>
  <c r="H23" i="19"/>
  <c r="P8" i="19"/>
  <c r="Q8" i="19" s="1"/>
  <c r="G23" i="19"/>
  <c r="P7" i="19"/>
  <c r="Q7" i="19" s="1"/>
  <c r="F23" i="19"/>
  <c r="P6" i="19"/>
  <c r="Q6" i="19" s="1"/>
  <c r="E23" i="19"/>
  <c r="P5" i="19"/>
  <c r="Q5" i="19" s="1"/>
  <c r="M11" i="19"/>
  <c r="N11" i="19"/>
  <c r="M10" i="19"/>
  <c r="N10" i="19" s="1"/>
  <c r="M9" i="19"/>
  <c r="N9" i="19"/>
  <c r="M8" i="19"/>
  <c r="N8" i="19"/>
  <c r="M7" i="19"/>
  <c r="N7" i="19" s="1"/>
  <c r="M6" i="19"/>
  <c r="N6" i="19" s="1"/>
  <c r="M5" i="19"/>
  <c r="N5" i="19" s="1"/>
  <c r="J11" i="19"/>
  <c r="K11" i="19" s="1"/>
  <c r="J10" i="19"/>
  <c r="K10" i="19" s="1"/>
  <c r="J9" i="19"/>
  <c r="K9" i="19" s="1"/>
  <c r="J8" i="19"/>
  <c r="K8" i="19" s="1"/>
  <c r="J7" i="19"/>
  <c r="K7" i="19" s="1"/>
  <c r="J6" i="19"/>
  <c r="K6" i="19" s="1"/>
  <c r="J5" i="19"/>
  <c r="K5" i="19" s="1"/>
  <c r="H22" i="19"/>
  <c r="G22" i="19"/>
  <c r="F22" i="19"/>
  <c r="E22" i="19"/>
  <c r="I21" i="19"/>
  <c r="H21" i="19"/>
  <c r="H31" i="19" s="1"/>
  <c r="G21" i="19"/>
  <c r="D61" i="19"/>
  <c r="W13" i="19"/>
  <c r="W14" i="19" s="1"/>
  <c r="AF16" i="19"/>
  <c r="AF17" i="19" s="1"/>
  <c r="AC16" i="19"/>
  <c r="AC17" i="19" s="1"/>
  <c r="Z16" i="19"/>
  <c r="Z17" i="19" s="1"/>
  <c r="J39" i="23"/>
  <c r="J40" i="23" s="1"/>
  <c r="J36" i="23"/>
  <c r="J37" i="23" s="1"/>
  <c r="J41" i="23" s="1"/>
  <c r="J39" i="28"/>
  <c r="J40" i="28" s="1"/>
  <c r="J36" i="28"/>
  <c r="J37" i="28" s="1"/>
  <c r="J41" i="28" s="1"/>
  <c r="J39" i="27"/>
  <c r="J40" i="27" s="1"/>
  <c r="J36" i="27"/>
  <c r="J37" i="27" s="1"/>
  <c r="J41" i="27" s="1"/>
  <c r="J39" i="26"/>
  <c r="J40" i="26" s="1"/>
  <c r="J36" i="26"/>
  <c r="J37" i="26" s="1"/>
  <c r="J41" i="26" s="1"/>
  <c r="J39" i="25"/>
  <c r="J40" i="25" s="1"/>
  <c r="J36" i="25"/>
  <c r="J37" i="25" s="1"/>
  <c r="J41" i="25" s="1"/>
  <c r="J39" i="24"/>
  <c r="J40" i="24" s="1"/>
  <c r="J36" i="24"/>
  <c r="J37" i="24" s="1"/>
  <c r="J41" i="24" s="1"/>
  <c r="J40" i="22"/>
  <c r="J39" i="22"/>
  <c r="J36" i="22"/>
  <c r="J37" i="22" s="1"/>
  <c r="J41" i="22" s="1"/>
  <c r="J39" i="20"/>
  <c r="J40" i="20" s="1"/>
  <c r="J36" i="20"/>
  <c r="J37" i="20" s="1"/>
  <c r="J41" i="20" s="1"/>
  <c r="W16" i="19"/>
  <c r="W17" i="19" s="1"/>
  <c r="G44" i="19" s="1"/>
  <c r="T16" i="19"/>
  <c r="T17" i="19" s="1"/>
  <c r="Q16" i="19"/>
  <c r="Q17" i="19" s="1"/>
  <c r="N16" i="19"/>
  <c r="N17" i="19" s="1"/>
  <c r="K16" i="19"/>
  <c r="K17" i="19" s="1"/>
  <c r="F37" i="19" s="1"/>
  <c r="I68" i="29" l="1"/>
  <c r="J68" i="29" s="1"/>
  <c r="K30" i="29"/>
  <c r="G31" i="29"/>
  <c r="I30" i="29"/>
  <c r="I70" i="29" s="1"/>
  <c r="J70" i="29" s="1"/>
  <c r="J66" i="29"/>
  <c r="F31" i="29"/>
  <c r="E43" i="29"/>
  <c r="G43" i="29" s="1"/>
  <c r="I69" i="29"/>
  <c r="J69" i="29" s="1"/>
  <c r="E39" i="29"/>
  <c r="N18" i="29"/>
  <c r="T13" i="29"/>
  <c r="T14" i="29" s="1"/>
  <c r="F39" i="29"/>
  <c r="F40" i="29"/>
  <c r="W13" i="29"/>
  <c r="W14" i="29" s="1"/>
  <c r="Q13" i="29"/>
  <c r="Q14" i="29" s="1"/>
  <c r="J30" i="29"/>
  <c r="I71" i="29" s="1"/>
  <c r="J71" i="29" s="1"/>
  <c r="K13" i="29"/>
  <c r="K14" i="29" s="1"/>
  <c r="E38" i="29" s="1"/>
  <c r="AF13" i="29"/>
  <c r="AF14" i="29"/>
  <c r="AC13" i="29"/>
  <c r="AC14" i="29" s="1"/>
  <c r="I31" i="19"/>
  <c r="G31" i="19"/>
  <c r="E33" i="19" s="1"/>
  <c r="E34" i="19" s="1"/>
  <c r="T13" i="19"/>
  <c r="T14" i="19" s="1"/>
  <c r="N13" i="19"/>
  <c r="N14" i="19" s="1"/>
  <c r="K14" i="19"/>
  <c r="E37" i="19" s="1"/>
  <c r="F41" i="19"/>
  <c r="G43" i="19"/>
  <c r="F40" i="19"/>
  <c r="G42" i="19"/>
  <c r="AF13" i="19"/>
  <c r="AF14" i="19" s="1"/>
  <c r="AF18" i="19" s="1"/>
  <c r="Z18" i="19"/>
  <c r="F38" i="19"/>
  <c r="F39" i="19"/>
  <c r="Q18" i="19"/>
  <c r="W18" i="19"/>
  <c r="G41" i="19"/>
  <c r="T18" i="19"/>
  <c r="G40" i="19"/>
  <c r="I72" i="29" l="1"/>
  <c r="J72" i="29" s="1"/>
  <c r="K31" i="29"/>
  <c r="J74" i="29"/>
  <c r="J31" i="29"/>
  <c r="I31" i="29"/>
  <c r="H31" i="29"/>
  <c r="E32" i="29" s="1"/>
  <c r="G38" i="29"/>
  <c r="K18" i="29"/>
  <c r="Q18" i="29"/>
  <c r="E40" i="29"/>
  <c r="G40" i="29" s="1"/>
  <c r="W18" i="29"/>
  <c r="E42" i="29"/>
  <c r="G42" i="29" s="1"/>
  <c r="E41" i="29"/>
  <c r="G41" i="29" s="1"/>
  <c r="T18" i="29"/>
  <c r="AF18" i="29"/>
  <c r="E45" i="29"/>
  <c r="G45" i="29" s="1"/>
  <c r="E44" i="29"/>
  <c r="G44" i="29" s="1"/>
  <c r="AC18" i="29"/>
  <c r="G39" i="29"/>
  <c r="AC13" i="19"/>
  <c r="AC14" i="19" s="1"/>
  <c r="AC18" i="19" s="1"/>
  <c r="N18" i="19"/>
  <c r="G38" i="19"/>
  <c r="K18" i="19"/>
  <c r="G37" i="19"/>
  <c r="G39" i="19"/>
  <c r="E33" i="29" l="1"/>
  <c r="E34" i="29" s="1"/>
  <c r="E49" i="29"/>
  <c r="E48" i="29"/>
  <c r="E47" i="29"/>
  <c r="E47" i="19"/>
  <c r="E48" i="19"/>
  <c r="E46" i="19"/>
  <c r="K74" i="29" l="1"/>
  <c r="E35" i="29"/>
  <c r="E50" i="29"/>
  <c r="E59" i="29"/>
  <c r="E49" i="19"/>
  <c r="J57" i="29" l="1"/>
  <c r="K57" i="29"/>
  <c r="E62" i="29"/>
  <c r="J58" i="29"/>
  <c r="K58" i="29"/>
  <c r="N58" i="29" s="1"/>
  <c r="D60" i="29" l="1"/>
  <c r="D61" i="29"/>
  <c r="G61" i="29" s="1"/>
  <c r="N57" i="29"/>
  <c r="N59" i="29" s="1"/>
  <c r="K59" i="29"/>
  <c r="J59" i="29"/>
  <c r="D62" i="29" l="1"/>
</calcChain>
</file>

<file path=xl/sharedStrings.xml><?xml version="1.0" encoding="utf-8"?>
<sst xmlns="http://schemas.openxmlformats.org/spreadsheetml/2006/main" count="876" uniqueCount="141">
  <si>
    <t>FORMATO COTIZACION</t>
  </si>
  <si>
    <t>OBJETO:</t>
  </si>
  <si>
    <t>DOCUMENTOS Y/O REQUERIMIENTOS TÉCNICOS ADICIONALES:</t>
  </si>
  <si>
    <t>Riesgo</t>
  </si>
  <si>
    <t>Valor</t>
  </si>
  <si>
    <t>Vigencia</t>
  </si>
  <si>
    <t>Cumplimiento</t>
  </si>
  <si>
    <t xml:space="preserve">ESPECIFICACIONES TÉCNICAS REQUERIDAS </t>
  </si>
  <si>
    <t>EMPRESA</t>
  </si>
  <si>
    <t>PROMEDIO DEL COMPONENTE</t>
  </si>
  <si>
    <t>VALOR TOTAL</t>
  </si>
  <si>
    <t>IVA</t>
  </si>
  <si>
    <t>VALOR TOTAL ESTIMADO</t>
  </si>
  <si>
    <t>VALOR TOTAL COTIZACIÓN</t>
  </si>
  <si>
    <t xml:space="preserve">Media </t>
  </si>
  <si>
    <t>Mediana</t>
  </si>
  <si>
    <t>Desv estandar</t>
  </si>
  <si>
    <t>Coeficiente de Variación</t>
  </si>
  <si>
    <t>*El coeficiente de variación es el número de veces que la desviación estándar incluye a la media, a mayor coeficiente de variación, mayor dispersión, si 0≤CV≤0,3 existe poca dispersión, por lo tanto la media es representativa. Si 0,3 ≤CV&lt;1 la dispersión es alta. La dispersión será baja si CV es cercano a 0,3 y alta si es cercano a 1.</t>
  </si>
  <si>
    <r>
      <t>JUSTIFICACION:</t>
    </r>
    <r>
      <rPr>
        <sz val="11"/>
        <color theme="4" tint="-0.249977111117893"/>
        <rFont val="Aptos Narrow"/>
        <family val="2"/>
        <scheme val="minor"/>
      </rPr>
      <t xml:space="preserve"> </t>
    </r>
  </si>
  <si>
    <r>
      <t xml:space="preserve">CLASIFICADOR DE BIENES Y SERVICIOS: </t>
    </r>
    <r>
      <rPr>
        <sz val="11"/>
        <rFont val="Aptos Narrow"/>
        <family val="2"/>
        <scheme val="minor"/>
      </rPr>
      <t>(</t>
    </r>
    <r>
      <rPr>
        <b/>
        <sz val="11"/>
        <rFont val="Aptos Narrow"/>
        <family val="2"/>
        <scheme val="minor"/>
      </rPr>
      <t>Nota</t>
    </r>
    <r>
      <rPr>
        <sz val="11"/>
        <rFont val="Aptos Narrow"/>
        <family val="2"/>
        <scheme val="minor"/>
      </rPr>
      <t>. El proveedor podrá sugerir otros códigos que se relacionen con el bien y/o servicio a contratar)</t>
    </r>
  </si>
  <si>
    <r>
      <t xml:space="preserve">ACTIVIDADES ESPECÍFICAS ESTIMADAS A DESARROLLAR: </t>
    </r>
    <r>
      <rPr>
        <b/>
        <sz val="11"/>
        <rFont val="Aptos Narrow"/>
        <family val="2"/>
        <scheme val="minor"/>
      </rPr>
      <t xml:space="preserve">(Nota. </t>
    </r>
    <r>
      <rPr>
        <sz val="11"/>
        <rFont val="Aptos Narrow"/>
        <family val="2"/>
        <scheme val="minor"/>
      </rPr>
      <t>En la publicacion del proceso la entidad podrá incluir actividades adicionales que tengan relacion directa con el objeto a contractual)</t>
    </r>
  </si>
  <si>
    <r>
      <rPr>
        <b/>
        <sz val="11"/>
        <color theme="4" tint="-0.249977111117893"/>
        <rFont val="Aptos Narrow"/>
        <family val="2"/>
        <scheme val="minor"/>
      </rPr>
      <t xml:space="preserve">REQUISITOS TÉCNICOS </t>
    </r>
    <r>
      <rPr>
        <b/>
        <sz val="11"/>
        <color rgb="FFFF0000"/>
        <rFont val="Aptos Narrow"/>
        <family val="2"/>
        <scheme val="minor"/>
      </rPr>
      <t xml:space="preserve">
</t>
    </r>
    <r>
      <rPr>
        <sz val="11"/>
        <rFont val="Aptos Narrow"/>
        <family val="2"/>
        <scheme val="minor"/>
      </rPr>
      <t>Los especificados en el Anexo Técnico y matriz de roles que se adjuntan</t>
    </r>
  </si>
  <si>
    <r>
      <t xml:space="preserve">MECANISMOS MÍNIMOS DE COBERTURA DEL CONTRATO. </t>
    </r>
    <r>
      <rPr>
        <sz val="11"/>
        <rFont val="Aptos Narrow"/>
        <family val="2"/>
        <scheme val="minor"/>
      </rPr>
      <t>(</t>
    </r>
    <r>
      <rPr>
        <b/>
        <sz val="11"/>
        <rFont val="Aptos Narrow"/>
        <family val="2"/>
        <scheme val="minor"/>
      </rPr>
      <t>Nota</t>
    </r>
    <r>
      <rPr>
        <sz val="11"/>
        <rFont val="Aptos Narrow"/>
        <family val="2"/>
        <scheme val="minor"/>
      </rPr>
      <t>. Las garantías pueden ser modificadas de acuerdo al análisis del estudio sector y afinidad con el objeto a desarrollar)</t>
    </r>
  </si>
  <si>
    <t>Porcentaje</t>
  </si>
  <si>
    <t>Del contrato</t>
  </si>
  <si>
    <t>El plazo de ejecución del contrato y seis (6) meses más.</t>
  </si>
  <si>
    <t>Calidad del Servicio</t>
  </si>
  <si>
    <t>El plazo de ejecución del contrato y doce (12) meses más.</t>
  </si>
  <si>
    <t>Calidad y correcto funcionamiento de los bienes suministrados</t>
  </si>
  <si>
    <t>El plazo de ejecución del contrato y un (1) año más, contado a partir del recibo a satisfacción de los bienes suministrados</t>
  </si>
  <si>
    <t>Pago de salarios, prestaciones sociales e indemnizaciones laborales</t>
  </si>
  <si>
    <t>El plazo de ejecución del contrato y tres (3) meses más.</t>
  </si>
  <si>
    <t>Responsabilidad Civil Extracontractual</t>
  </si>
  <si>
    <t>400 SMMLV</t>
  </si>
  <si>
    <t xml:space="preserve">El plazo de ejecución del contrato </t>
  </si>
  <si>
    <t>ITEM</t>
  </si>
  <si>
    <t>COMPONENTE</t>
  </si>
  <si>
    <t>DESCRIPCION</t>
  </si>
  <si>
    <t>UNIDAD</t>
  </si>
  <si>
    <t>CANTIDAD X MES</t>
  </si>
  <si>
    <t>TIEMPO MES</t>
  </si>
  <si>
    <t>VALOR MES</t>
  </si>
  <si>
    <t>GLOBAL</t>
  </si>
  <si>
    <t>SUBTOTAL SERVICIOS</t>
  </si>
  <si>
    <t>IVA  DE SERVICIOS</t>
  </si>
  <si>
    <t>TOTAL SERVICIOS</t>
  </si>
  <si>
    <t>BOLSA DE REPUESTOS</t>
  </si>
  <si>
    <t>Por demanda</t>
  </si>
  <si>
    <t>IVA DE BOLSA DE REPUESTOS</t>
  </si>
  <si>
    <t>SUBTOTAL BOLSA DE REPUESTOS</t>
  </si>
  <si>
    <t>GRAN TOTAL SERVICIOS +BOLSA DE SERVICIOS E IMPUESTOS</t>
  </si>
  <si>
    <r>
      <t>OBSERVACIONES:</t>
    </r>
    <r>
      <rPr>
        <b/>
        <i/>
        <sz val="11"/>
        <color theme="0" tint="-0.14999847407452621"/>
        <rFont val="Aptos Narrow"/>
        <family val="2"/>
        <scheme val="minor"/>
      </rPr>
      <t xml:space="preserve"> (El proveedor podrá incluir en este campo las observaciones a la ficha técnica de las condiciones establecidas por el DNP, a  fin de que la entidad pueda analizar y realizar los ajustes necesarios, si hay a lugar, del objeto a contratar)</t>
    </r>
  </si>
  <si>
    <t>Coordinador OTSI GGU</t>
  </si>
  <si>
    <t>Total Servicios</t>
  </si>
  <si>
    <t>Subtotal Bolsa de Repuestos</t>
  </si>
  <si>
    <t>SGR</t>
  </si>
  <si>
    <t>PGN</t>
  </si>
  <si>
    <t>VALOR X 9 MESES</t>
  </si>
  <si>
    <t>TOTAL</t>
  </si>
  <si>
    <t>Gestión de mesa de servicios</t>
  </si>
  <si>
    <t>Gestión de Infraestructura Tecnológica</t>
  </si>
  <si>
    <t>Centro de Operaciones de Seguridad (SOC) y Centro de Operaciones de Red (NOC)</t>
  </si>
  <si>
    <t>SIEM (Security Information and Event Management) para correlación de eventos</t>
  </si>
  <si>
    <t>Herramienta de automatización y orquestación</t>
  </si>
  <si>
    <t>Solución de emulación de adversarios.</t>
  </si>
  <si>
    <t>Mantenimientos preventivos, Mantenimientos correctivos</t>
  </si>
  <si>
    <t>Provisión de Recurso humano, recursos para la prestación de servicios y gestión para la atencion de la mesa de Servicios Nivel 1</t>
  </si>
  <si>
    <t>Provisión de Recurso humano, recursos para la prestación de servicios  y gestión de la infraestructura tecnológica Nivel 2</t>
  </si>
  <si>
    <r>
      <t xml:space="preserve">Servicios de SOC y Servicios de NOC
</t>
    </r>
    <r>
      <rPr>
        <b/>
        <sz val="9"/>
        <rFont val="Arial"/>
        <family val="2"/>
      </rPr>
      <t>Se deben sumar los valores de servicios de SOC Y NOC</t>
    </r>
  </si>
  <si>
    <t>Correlación de eventos, debe tener la capacidad de 8000 EPS y 550 Licencias, que deben ser suministradas por el contratista</t>
  </si>
  <si>
    <t>Solución de orquestación, automatización y remediación, licenciada que se integre con el SIEM
Informar el nombre de la herramienta a utilizar</t>
  </si>
  <si>
    <t>Una plataforma de emulación de amenazas y validación continua de seguridad, la cual deberá incluir como mínimo cinco (5) agentes de emulación licenciados y operativos
Informar el nombre de la herramienta a utilizar</t>
  </si>
  <si>
    <t>Mantenimiento preventivo de equipos sin garantía del inventario definidos en el anexo técnico
Mantenimiento correctivos de los equipos sin garantía del inventario definidos en el anexo técnico,
Debe cotizar de la siguiente forma:
- El valor de los mantenimientros preventivos a realizar, es uno por año.
- El valor de los mantenimientos correctivos, sin incluir repuestos, estos mantenimientos son por demanda durante la vigencía del contrato.
- No es un valor mensualizado</t>
  </si>
  <si>
    <t>El DNP en aras de garantizar su funcionamiento como Entidad Estatal, atiende sus necesidades y requerimientos en materia de TIC a través de la Oficina de Tecnología y Sistemas de Información. Dicha dependencia es la encargada de garantizar la disponibilidad y cobertura de servicios de TIC, los cuales se encuentran soportados sobre una infraestructura tecnológica estable, escalable y flexible, y dados los avances que se presentan constantemente en la materia, se ha propendido para que este siempre alineada en cuanto a la evolución que se vaya dando en cada uno de sus componentes.
En ese orden de ideas, la Oficina de Tecnología y Sistemas de Información es la responsable de la infraestructura tecnológica, la cual se ha ido implementando y manteniendo a lo largo de los años, permitiendo que a través de los servicios de TIC que ella brinda, se pueda seguir optimizando la ejecución de procesos y procedimientos que se llevan a cabo por las dependencias y por ende aportando al cumplimiento de los objetivos estratégicos de la Entidad.
Basados en lo anterior y dado el crecimiento constante de los últimos años a nivel tecnológico y de usuarios del DNP, la Entidad desde el año 2007  y hasta la fecha, efectúa tanto la recepción, atención, solución y cierre de solicitudes asociadas con servicios de TIC, como la gestión, administración, mantenimiento y soporte técnico de la infraestructura tecnológica que provee dichos servicios de TIC, a través del modelo de tercerización, mediante la contratación de un Centro de Servicios para la atención de requerimientos TIC a nivel 1 y 2.
Para mantener  la disponibilidad de los servicios tecnológicos  y asegurar la protección de la información, se debe realizar un monitoreo 7X24 de la infraestructura tecnológica con los servicios de: Servicio Centro de Operaciones de Seguridad (SOC), sus herramientas y actividades asociadas a los análisis de vulnerabilidades, y Servicio Centro de Operaciones de Red (NOC)</t>
  </si>
  <si>
    <r>
      <rPr>
        <sz val="10"/>
        <color rgb="FF000000"/>
        <rFont val="Aptos Narrow"/>
        <family val="2"/>
        <scheme val="minor"/>
      </rPr>
      <t>De acuerdo con la clasificación del Código Estándar de Productos y Servicios de Naciones Unidas, (UNSPSC), el servicio requerido por el Departamento Nacional de Planeación, identificados con los códigos: 81111800, 81111900, 81112000, 81112200</t>
    </r>
    <r>
      <rPr>
        <sz val="10"/>
        <rFont val="Calibri (Cuerpo)"/>
      </rPr>
      <t>, 43233200</t>
    </r>
  </si>
  <si>
    <t>Prestar los servicios al Departamento Nacional de Planeación (DNP) y al Sistema General de Regalías (SGR) de Centro de Servicios de Soporte Tecnológico y Centro de Operación de Seguridad y de red (SOC/NOC), los cuales comprenden soporte técnico, mantenimiento preventivo y correctivo, monitoreo continuo de la seguridad informática, así como la administración y operación de la infraestructura tecnológica.</t>
  </si>
  <si>
    <t>* Servicio Centro de Operaciones de Seguridad (SOC), sus herramientas y actividades asociadas a los análisis de vulnerabilidades 
* Servicio Centro de Operaciones de Red (NOC)
* Soporte y administración de servidores, Hardware  y Software
*  Soporte, administración de la infraestructura tecnológica de los 2  Centros de Datos del DNP (soporte nivel 2)
* Servicio de mesa de ayuda y Soporte mesa de servicios nivel 1
* Gestión de sistema operativo y de actualizaciones
* Soporte y administración de plataforma de backup
* Soporte y administración redes y seguridad
* Soporte y administración correo electrónico 
* Soporte y administración de Directorio Activo 
* Soporte y administración de servicios de apoyo (DHCP, DNS, Proxy)
* Bolsa de Recursos TIC</t>
  </si>
  <si>
    <t>IVA 19%</t>
  </si>
  <si>
    <t>Bolsa para recursos TIC</t>
  </si>
  <si>
    <t>Por demanda
bolsa de horas especialistas
Bolsa de repuesto</t>
  </si>
  <si>
    <r>
      <t xml:space="preserve">FORMA DE PAGO Y PLAZO DE EJECUCIÓN: 
</t>
    </r>
    <r>
      <rPr>
        <sz val="11"/>
        <rFont val="Aptos Narrow"/>
        <family val="2"/>
        <scheme val="minor"/>
      </rPr>
      <t xml:space="preserve">
El DNP, pagará el valor del contrato  a satisfacción de los soportes en mensualidades, el cual se efectuará dentro de los treinta (30) días hábiles siguientes a la radicación de la factura en el DNP, con el lleno de los requisitos legales y cumplimiento a satisfacción por parte del supervisor del contrato.
</t>
    </r>
    <r>
      <rPr>
        <b/>
        <sz val="11"/>
        <rFont val="Aptos Narrow"/>
        <family val="2"/>
        <scheme val="minor"/>
      </rPr>
      <t xml:space="preserve">
</t>
    </r>
  </si>
  <si>
    <t>IDENTIFICACIÓN DEL PROVEEDOR: GROW DATA S.A.S - NIT. 900.238.438-1 - GRAN EMPRESA</t>
  </si>
  <si>
    <r>
      <rPr>
        <b/>
        <sz val="11"/>
        <color rgb="FF000000"/>
        <rFont val="Aptos Narrow"/>
        <family val="2"/>
        <scheme val="minor"/>
      </rPr>
      <t>NOTA 1:</t>
    </r>
    <r>
      <rPr>
        <sz val="11"/>
        <color rgb="FF000000"/>
        <rFont val="Aptos Narrow"/>
        <family val="2"/>
        <scheme val="minor"/>
      </rPr>
      <t xml:space="preserve"> El valor de la bolsa de recursos TIC es un valor fijo establecido por la entidad resultado de un análisis que comprende lo definido para el año 2025 y la necesidad adicional de recursos de horas de especialista 
</t>
    </r>
    <r>
      <rPr>
        <b/>
        <sz val="11"/>
        <color rgb="FF000000"/>
        <rFont val="Aptos Narrow"/>
        <family val="2"/>
        <scheme val="minor"/>
      </rPr>
      <t>NOTA 2</t>
    </r>
    <r>
      <rPr>
        <sz val="11"/>
        <color rgb="FF000000"/>
        <rFont val="Aptos Narrow"/>
        <family val="2"/>
        <scheme val="minor"/>
      </rPr>
      <t>: Tener en cuenta que para esta cotizacion el proveedor ha leido y entendido el anexo técnico, anexo de ANS y la matriz de roles y perfiles (documentos adjuntos al presente). La matriz de roles y perfiles contiene los valores salariales mínimos y respectiva carga prestacional de cada uno de los perfiles solicitados</t>
    </r>
  </si>
  <si>
    <r>
      <t xml:space="preserve">IDENTIFICACIÓN DEL PROVEEDOR: </t>
    </r>
    <r>
      <rPr>
        <b/>
        <i/>
        <sz val="11"/>
        <color theme="0" tint="-0.14999847407452621"/>
        <rFont val="Aptos Narrow"/>
        <family val="2"/>
        <scheme val="minor"/>
      </rPr>
      <t>(El proveedor deberá indicar el tamaño empresarial al cual pertenece, es decir, si es micro, pequeña, mediana o gran empresa. Opcional: De ser posible remitir una copia del certificado de existencia y representacion legal).</t>
    </r>
  </si>
  <si>
    <r>
      <rPr>
        <b/>
        <sz val="20"/>
        <color theme="1"/>
        <rFont val="Aptos Narrow"/>
        <family val="2"/>
        <scheme val="minor"/>
      </rPr>
      <t xml:space="preserve">NOMBRE: </t>
    </r>
    <r>
      <rPr>
        <sz val="20"/>
        <color theme="1"/>
        <rFont val="Aptos Narrow"/>
        <family val="2"/>
        <scheme val="minor"/>
      </rPr>
      <t>WEXLER S.A.S.</t>
    </r>
  </si>
  <si>
    <r>
      <rPr>
        <b/>
        <sz val="20"/>
        <color theme="1"/>
        <rFont val="Aptos Narrow"/>
        <family val="2"/>
        <scheme val="minor"/>
      </rPr>
      <t>NIT:</t>
    </r>
    <r>
      <rPr>
        <sz val="20"/>
        <color theme="1"/>
        <rFont val="Aptos Narrow"/>
        <family val="2"/>
        <scheme val="minor"/>
      </rPr>
      <t xml:space="preserve">   900.390.198-6</t>
    </r>
  </si>
  <si>
    <t>IDENTIFICACIÓN DEL PROVEEDOR:
Nombre: COINSA
Nit: 800143512-5
Tamaño empresarial: Mediana Empresa</t>
  </si>
  <si>
    <t>IDENTIFICACIÓN DEL PROVEEDOR: HEIMCORE SAS - NIT 900.425.697-2</t>
  </si>
  <si>
    <t>IDENTIFICACIÓN DEL PROVEEDOR: DATASEC - Mediana Empresa
901223827-1</t>
  </si>
  <si>
    <t>IDENTIFICACIÓN DEL PROVEEDOR: OPEN GROUP S.A.S. NIT 900249043-1</t>
  </si>
  <si>
    <r>
      <t xml:space="preserve">IDENTIFICACIÓN DEL PROVEEDOR: MEDIANA EMPRESA, E&amp;C INGENIEROS SAS NIT 900024202-1
</t>
    </r>
    <r>
      <rPr>
        <b/>
        <i/>
        <sz val="11"/>
        <color theme="0" tint="-0.14999847407452621"/>
        <rFont val="Aptos Narrow"/>
        <family val="2"/>
        <scheme val="minor"/>
      </rPr>
      <t>(El proveedor deberá indicar el tamaño empresarial al cual pertenece, es decir, si es micro, pequeña, mediana o gran empresa. Opcional: De ser posible remitir una copia del certificado de existencia y representacion legal).</t>
    </r>
  </si>
  <si>
    <r>
      <t>OBSERVACIONES: N/A</t>
    </r>
    <r>
      <rPr>
        <b/>
        <i/>
        <sz val="11"/>
        <color theme="0" tint="-0.14999847407452621"/>
        <rFont val="Aptos Narrow"/>
        <family val="2"/>
        <scheme val="minor"/>
      </rPr>
      <t xml:space="preserve"> (El proveedor podrá incluir en este campo las observaciones a la ficha técnica de las condiciones establecidas por el DNP, a  fin de que la entidad pueda analizar y realizar los ajustes necesarios, si hay a lugar, del objeto a contratar)</t>
    </r>
  </si>
  <si>
    <t>IDENTIFICACIÓN DEL PROVEEDOR:
NIT 900.994.724-3NOMBRE: TSG THE IT EXPERTS</t>
  </si>
  <si>
    <t>COINSA</t>
  </si>
  <si>
    <t>TSG</t>
  </si>
  <si>
    <t>DATASEC</t>
  </si>
  <si>
    <t>GROW DATA</t>
  </si>
  <si>
    <t>EYC</t>
  </si>
  <si>
    <t>HEIMCORE</t>
  </si>
  <si>
    <t>WEXLER</t>
  </si>
  <si>
    <t>OPEN GROUP</t>
  </si>
  <si>
    <t>Proceso de Cotización:</t>
  </si>
  <si>
    <t>SECOP II: DNP-SIP-001-2026 : 8 COTIZACIONES</t>
  </si>
  <si>
    <t>COTIZANTE</t>
  </si>
  <si>
    <t>COTIZANTE 1</t>
  </si>
  <si>
    <t>COTIZANTE 2</t>
  </si>
  <si>
    <t>COTIZANTE 3</t>
  </si>
  <si>
    <t>COTIZANTE 4</t>
  </si>
  <si>
    <t>COTIZANTE 5</t>
  </si>
  <si>
    <t>COTIZANTE 6</t>
  </si>
  <si>
    <t>COTIZANTE 7</t>
  </si>
  <si>
    <t>COTIZANTE 8</t>
  </si>
  <si>
    <t>USO</t>
  </si>
  <si>
    <t>VALOR</t>
  </si>
  <si>
    <t>CDP</t>
  </si>
  <si>
    <t>C-0399-1000-8-0-0399066-02 ADQUISICIÓN DE BIENES Y SERVICIOS - SERVICIOS TECNOLOGICOS - FORTALECIMIENTO DE LAS TIC PARA EL CUMPLIMIENTO DE LOS OBJETIVOS DEL DNP A NIVEL NACIONAL</t>
  </si>
  <si>
    <t>XXXX</t>
  </si>
  <si>
    <t>VALOR UNITARIO INCLUIDO IVA</t>
  </si>
  <si>
    <t>VALOR TOTAL INCLUIDO IVA</t>
  </si>
  <si>
    <t>TOTAL CON IVA</t>
  </si>
  <si>
    <r>
      <t xml:space="preserve">Servicios de SOC y Servicios de NOC
</t>
    </r>
    <r>
      <rPr>
        <b/>
        <sz val="11"/>
        <rFont val="Aptos Narrow"/>
        <family val="2"/>
        <scheme val="minor"/>
      </rPr>
      <t>Se deben sumar los valores de servicios de SOC Y NOC</t>
    </r>
  </si>
  <si>
    <t>%</t>
  </si>
  <si>
    <t>A-02-01-01-006-002-03-1-01 - PAQUETES DE SOFTWARE - 1103012 -  FUN OPERATIVIDAD Y ADMINISTRACIÓN - DNP ÓRGANO</t>
  </si>
  <si>
    <t>A-02-01-01-006-002-03-1-01 - PAQUETES DE SOFTWARE - 1203010 - SSEC</t>
  </si>
  <si>
    <t>TIEMPO MES (8 MESES Y 20 DÍAS)</t>
  </si>
  <si>
    <t>PROMEDIO DEL COMPONENTE MENSUAL</t>
  </si>
  <si>
    <t>VALOR X 8,67 MESES</t>
  </si>
  <si>
    <t>Prorrateo 20 días</t>
  </si>
  <si>
    <t>PRESUPUESTO ASIGNADO</t>
  </si>
  <si>
    <t>PRESUPUESTO NECESARIO</t>
  </si>
  <si>
    <t>DÉFICIT</t>
  </si>
  <si>
    <t>SALDOS DISPONIBLES</t>
  </si>
  <si>
    <t>Recursos asignados inicialmente a ITSM</t>
  </si>
  <si>
    <t>Observación</t>
  </si>
  <si>
    <t>Sobrante Collocation</t>
  </si>
  <si>
    <t>Asi las cosas nos faltarían de SGR  $211,215,692.</t>
  </si>
  <si>
    <t>VALOR TOTAL EN SMLMV 2026</t>
  </si>
  <si>
    <t>A-02-02-02-008-003-01-6  SERVICIOS DE GESTIÓN DE RED E INFRAESTRUCTURA DE TI - 1203010 SSEC</t>
  </si>
  <si>
    <t>A-02-02-02-008-003-01-6  SERVICIOS DE GESTIÓN DE RED E INFRAESTRUCTURA DE TI - 1103012 DNP ÓRGANO</t>
  </si>
  <si>
    <t>BOLSA DE RECURSOS DE 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</si>
</sst>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6" formatCode="&quot;$&quot;\ #,##0;[Red]\-&quot;$&quot;\ #,##0"/>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quot;\ * #,##0.00_);_(&quot;$&quot;\ * \(#,##0.00\);_(&quot;$&quot;\ * &quot;-&quot;??_);_(@_)"/>
    <numFmt numFmtId="165" formatCode="_(&quot;$&quot;\ * #,##0_);_(&quot;$&quot;\ * \(#,##0\);_(&quot;$&quot;\ * &quot;-&quot;??_);_(@_)"/>
    <numFmt numFmtId="166" formatCode="_-* #,##0_-;\-* #,##0_-;_-* &quot;-&quot;??_-;_-@_-"/>
    <numFmt numFmtId="167" formatCode="_-&quot;$&quot;\ * #,##0_-;\-&quot;$&quot;\ * #,##0_-;_-&quot;$&quot;\ * &quot;-&quot;??_-;_-@_-"/>
    <numFmt numFmtId="168" formatCode="_-&quot;$&quot;* #,##0_-;\-&quot;$&quot;* #,##0_-;_-&quot;$&quot;* &quot;-&quot;_-;_-@_-"/>
    <numFmt numFmtId="169" formatCode="_-&quot;$&quot;* #,##0_-;\-&quot;$&quot;* #,##0_-;_-&quot;$&quot;* &quot;-&quot;??_-;_-@_-"/>
    <numFmt numFmtId="170" formatCode="[$$-240A]#,##0"/>
    <numFmt numFmtId="171" formatCode="[$$-240A]\ #,##0.00"/>
    <numFmt numFmtId="172" formatCode="0.0"/>
    <numFmt numFmtId="173" formatCode="&quot;$&quot;\ #,##0.00"/>
    <numFmt numFmtId="174" formatCode="[$$-240A]\ #,##0"/>
    <numFmt numFmtId="175" formatCode="0.000%"/>
    <numFmt numFmtId="176" formatCode="#,##0.000"/>
  </numFmts>
  <fonts count="25">
    <font>
      <sz val="11"/>
      <color theme="1"/>
      <name val="Aptos Narrow"/>
      <family val="2"/>
      <scheme val="minor"/>
    </font>
    <font>
      <sz val="11"/>
      <color theme="1"/>
      <name val="Aptos Narrow"/>
      <family val="2"/>
      <scheme val="minor"/>
    </font>
    <font>
      <b/>
      <sz val="11"/>
      <color theme="1"/>
      <name val="Aptos Narrow"/>
      <family val="2"/>
      <scheme val="minor"/>
    </font>
    <font>
      <sz val="10"/>
      <name val="Arial"/>
      <family val="2"/>
    </font>
    <font>
      <sz val="11"/>
      <name val="Aptos Narrow"/>
      <family val="2"/>
      <scheme val="minor"/>
    </font>
    <font>
      <b/>
      <sz val="11"/>
      <name val="Aptos Narrow"/>
      <family val="2"/>
      <scheme val="minor"/>
    </font>
    <font>
      <b/>
      <sz val="11"/>
      <color theme="0"/>
      <name val="Aptos Narrow"/>
      <family val="2"/>
      <scheme val="minor"/>
    </font>
    <font>
      <sz val="11"/>
      <color rgb="FFFF0000"/>
      <name val="Aptos Narrow"/>
      <family val="2"/>
      <scheme val="minor"/>
    </font>
    <font>
      <sz val="11"/>
      <color theme="4"/>
      <name val="Aptos Narrow"/>
      <family val="2"/>
      <scheme val="minor"/>
    </font>
    <font>
      <sz val="18"/>
      <color theme="4" tint="-0.249977111117893"/>
      <name val="Aptos Narrow"/>
      <family val="2"/>
      <scheme val="minor"/>
    </font>
    <font>
      <b/>
      <sz val="11"/>
      <color theme="4" tint="-0.249977111117893"/>
      <name val="Aptos Narrow"/>
      <family val="2"/>
      <scheme val="minor"/>
    </font>
    <font>
      <sz val="11"/>
      <color theme="4" tint="-0.249977111117893"/>
      <name val="Aptos Narrow"/>
      <family val="2"/>
      <scheme val="minor"/>
    </font>
    <font>
      <b/>
      <sz val="11"/>
      <color rgb="FFFF0000"/>
      <name val="Aptos Narrow"/>
      <family val="2"/>
      <scheme val="minor"/>
    </font>
    <font>
      <b/>
      <i/>
      <sz val="11"/>
      <color theme="0" tint="-0.14999847407452621"/>
      <name val="Aptos Narrow"/>
      <family val="2"/>
      <scheme val="minor"/>
    </font>
    <font>
      <sz val="9"/>
      <name val="Arial"/>
      <family val="2"/>
    </font>
    <font>
      <b/>
      <sz val="9"/>
      <name val="Arial"/>
      <family val="2"/>
    </font>
    <font>
      <sz val="10"/>
      <name val="Aptos Narrow"/>
      <family val="2"/>
      <scheme val="minor"/>
    </font>
    <font>
      <sz val="10"/>
      <color rgb="FF000000"/>
      <name val="Aptos Narrow"/>
      <family val="2"/>
      <scheme val="minor"/>
    </font>
    <font>
      <sz val="10"/>
      <name val="Calibri (Cuerpo)"/>
    </font>
    <font>
      <sz val="9"/>
      <color theme="1"/>
      <name val="Arial"/>
      <family val="2"/>
    </font>
    <font>
      <sz val="11"/>
      <color rgb="FF000000"/>
      <name val="Aptos Narrow"/>
      <family val="2"/>
      <scheme val="minor"/>
    </font>
    <font>
      <b/>
      <sz val="11"/>
      <color rgb="FF000000"/>
      <name val="Aptos Narrow"/>
      <family val="2"/>
      <scheme val="minor"/>
    </font>
    <font>
      <sz val="20"/>
      <color theme="1"/>
      <name val="Aptos Narrow"/>
      <family val="2"/>
      <scheme val="minor"/>
    </font>
    <font>
      <b/>
      <sz val="20"/>
      <color theme="1"/>
      <name val="Aptos Narrow"/>
      <family val="2"/>
      <scheme val="minor"/>
    </font>
    <font>
      <sz val="8"/>
      <name val="Aptos Narrow"/>
      <family val="2"/>
      <scheme val="minor"/>
    </font>
  </fonts>
  <fills count="12">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6" tint="0.59999389629810485"/>
        <bgColor indexed="64"/>
      </patternFill>
    </fill>
    <fill>
      <patternFill patternType="solid">
        <fgColor rgb="FF92D050"/>
        <bgColor indexed="64"/>
      </patternFill>
    </fill>
    <fill>
      <patternFill patternType="solid">
        <fgColor rgb="FFD1D1D1"/>
        <bgColor indexed="64"/>
      </patternFill>
    </fill>
    <fill>
      <patternFill patternType="solid">
        <fgColor theme="7" tint="0.79998168889431442"/>
        <bgColor indexed="64"/>
      </patternFill>
    </fill>
    <fill>
      <patternFill patternType="solid">
        <fgColor theme="4" tint="0.7999816888943144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diagonal/>
    </border>
    <border>
      <left style="thin">
        <color auto="1"/>
      </left>
      <right style="thin">
        <color auto="1"/>
      </right>
      <top/>
      <bottom/>
      <diagonal/>
    </border>
    <border>
      <left/>
      <right style="thin">
        <color indexed="64"/>
      </right>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auto="1"/>
      </left>
      <right/>
      <top style="medium">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s>
  <cellStyleXfs count="16">
    <xf numFmtId="0" fontId="0" fillId="0" borderId="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3" fillId="0" borderId="0"/>
    <xf numFmtId="0" fontId="3" fillId="0" borderId="0"/>
    <xf numFmtId="43" fontId="1" fillId="0" borderId="0" applyFont="0" applyFill="0" applyBorder="0" applyAlignment="0" applyProtection="0"/>
    <xf numFmtId="42"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8" fontId="1" fillId="0" borderId="0" applyFont="0" applyFill="0" applyBorder="0" applyAlignment="0" applyProtection="0"/>
    <xf numFmtId="164" fontId="1" fillId="0" borderId="0" applyFont="0" applyFill="0" applyBorder="0" applyAlignment="0" applyProtection="0"/>
    <xf numFmtId="42" fontId="1" fillId="0" borderId="0" applyFont="0" applyFill="0" applyBorder="0" applyAlignment="0" applyProtection="0"/>
    <xf numFmtId="164" fontId="1" fillId="0" borderId="0" applyFont="0" applyFill="0" applyBorder="0" applyAlignment="0" applyProtection="0"/>
  </cellStyleXfs>
  <cellXfs count="245">
    <xf numFmtId="0" fontId="0" fillId="0" borderId="0" xfId="0"/>
    <xf numFmtId="0" fontId="0" fillId="0" borderId="1" xfId="0" applyBorder="1"/>
    <xf numFmtId="0" fontId="8" fillId="0" borderId="2" xfId="0" applyFont="1" applyBorder="1"/>
    <xf numFmtId="0" fontId="7" fillId="0" borderId="3" xfId="0" applyFont="1" applyBorder="1"/>
    <xf numFmtId="0" fontId="0" fillId="0" borderId="0" xfId="0" applyAlignment="1">
      <alignment vertical="center"/>
    </xf>
    <xf numFmtId="0" fontId="5" fillId="0" borderId="4" xfId="0" applyFont="1" applyBorder="1" applyAlignment="1">
      <alignment horizontal="justify" vertical="center" wrapText="1"/>
    </xf>
    <xf numFmtId="0" fontId="4" fillId="0" borderId="5" xfId="0" applyFont="1" applyBorder="1" applyAlignment="1">
      <alignment horizontal="justify" vertical="center"/>
    </xf>
    <xf numFmtId="0" fontId="4" fillId="0" borderId="6" xfId="0" applyFont="1" applyBorder="1" applyAlignment="1">
      <alignment horizontal="justify" vertical="center"/>
    </xf>
    <xf numFmtId="0" fontId="4" fillId="0" borderId="0" xfId="0" applyFont="1"/>
    <xf numFmtId="0" fontId="2" fillId="3" borderId="1" xfId="0" applyFont="1" applyFill="1" applyBorder="1" applyAlignment="1">
      <alignment horizontal="center"/>
    </xf>
    <xf numFmtId="0" fontId="0" fillId="0" borderId="0" xfId="0" applyAlignment="1">
      <alignment horizontal="center"/>
    </xf>
    <xf numFmtId="9" fontId="0" fillId="0" borderId="1" xfId="0" applyNumberFormat="1" applyBorder="1"/>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5" borderId="1" xfId="0" applyFont="1" applyFill="1" applyBorder="1" applyAlignment="1">
      <alignment horizontal="center" vertical="center"/>
    </xf>
    <xf numFmtId="0" fontId="2" fillId="5" borderId="1" xfId="0" applyFont="1" applyFill="1" applyBorder="1" applyAlignment="1">
      <alignment horizontal="left" vertical="center" wrapText="1"/>
    </xf>
    <xf numFmtId="0" fontId="5" fillId="5" borderId="1" xfId="0" applyFont="1" applyFill="1" applyBorder="1" applyAlignment="1">
      <alignment horizontal="center" vertical="center"/>
    </xf>
    <xf numFmtId="0" fontId="6" fillId="5" borderId="1" xfId="0" applyFont="1" applyFill="1" applyBorder="1" applyAlignment="1">
      <alignment vertical="center"/>
    </xf>
    <xf numFmtId="0" fontId="6" fillId="5" borderId="1" xfId="0" applyFont="1" applyFill="1" applyBorder="1" applyAlignment="1">
      <alignment horizontal="center" vertical="center"/>
    </xf>
    <xf numFmtId="0" fontId="0" fillId="2" borderId="1" xfId="0" applyFill="1" applyBorder="1" applyAlignment="1">
      <alignment horizontal="center"/>
    </xf>
    <xf numFmtId="169" fontId="0" fillId="0" borderId="17" xfId="5" applyNumberFormat="1" applyFont="1" applyFill="1" applyBorder="1" applyAlignment="1" applyProtection="1">
      <alignment vertical="center"/>
    </xf>
    <xf numFmtId="42" fontId="2" fillId="6" borderId="1" xfId="3" applyFont="1" applyFill="1" applyBorder="1" applyAlignment="1" applyProtection="1">
      <alignment horizontal="center" vertical="center"/>
    </xf>
    <xf numFmtId="0" fontId="2" fillId="7" borderId="1" xfId="0" applyFont="1" applyFill="1" applyBorder="1" applyAlignment="1">
      <alignment horizontal="center" vertical="center"/>
    </xf>
    <xf numFmtId="1" fontId="2" fillId="7" borderId="1" xfId="5" applyNumberFormat="1" applyFont="1" applyFill="1" applyBorder="1" applyAlignment="1">
      <alignment horizontal="center" vertical="center"/>
    </xf>
    <xf numFmtId="42" fontId="2" fillId="7" borderId="1" xfId="3" applyFont="1" applyFill="1" applyBorder="1" applyAlignment="1">
      <alignment horizontal="center" vertical="center"/>
    </xf>
    <xf numFmtId="42" fontId="2" fillId="7" borderId="1" xfId="3" applyFont="1" applyFill="1" applyBorder="1" applyAlignment="1" applyProtection="1">
      <alignment horizontal="center" vertical="center"/>
    </xf>
    <xf numFmtId="42" fontId="2" fillId="7" borderId="0" xfId="3" applyFont="1" applyFill="1" applyProtection="1"/>
    <xf numFmtId="42" fontId="2" fillId="7" borderId="0" xfId="0" applyNumberFormat="1" applyFont="1" applyFill="1"/>
    <xf numFmtId="0" fontId="0" fillId="8" borderId="24" xfId="0" applyFill="1" applyBorder="1"/>
    <xf numFmtId="0" fontId="0" fillId="8" borderId="9" xfId="0" applyFill="1" applyBorder="1"/>
    <xf numFmtId="170" fontId="2" fillId="8" borderId="1" xfId="5" applyNumberFormat="1" applyFont="1" applyFill="1" applyBorder="1" applyAlignment="1" applyProtection="1">
      <alignment horizontal="right" vertical="center"/>
    </xf>
    <xf numFmtId="0" fontId="2" fillId="0" borderId="0" xfId="0" applyFont="1"/>
    <xf numFmtId="0" fontId="0" fillId="7" borderId="0" xfId="0" applyFill="1" applyAlignment="1">
      <alignment horizontal="center"/>
    </xf>
    <xf numFmtId="0" fontId="14" fillId="0" borderId="17" xfId="0" applyFont="1" applyBorder="1" applyAlignment="1">
      <alignment vertical="center" wrapText="1"/>
    </xf>
    <xf numFmtId="0" fontId="14" fillId="0" borderId="1" xfId="0" applyFont="1" applyBorder="1" applyAlignment="1">
      <alignment horizontal="left" vertical="center" wrapText="1"/>
    </xf>
    <xf numFmtId="0" fontId="14" fillId="0" borderId="1" xfId="0" applyFont="1" applyBorder="1" applyAlignment="1">
      <alignment vertical="center" wrapText="1"/>
    </xf>
    <xf numFmtId="0" fontId="14" fillId="2" borderId="1" xfId="0" applyFont="1" applyFill="1" applyBorder="1" applyAlignment="1">
      <alignment vertical="center" wrapText="1"/>
    </xf>
    <xf numFmtId="0" fontId="19" fillId="0" borderId="17" xfId="0" applyFont="1" applyBorder="1" applyAlignment="1">
      <alignment horizontal="center" vertical="center"/>
    </xf>
    <xf numFmtId="169" fontId="0" fillId="0" borderId="1" xfId="5" applyNumberFormat="1" applyFont="1" applyFill="1" applyBorder="1" applyAlignment="1" applyProtection="1">
      <alignment vertical="center"/>
      <protection locked="0"/>
    </xf>
    <xf numFmtId="169" fontId="0" fillId="0" borderId="17" xfId="5" applyNumberFormat="1" applyFont="1" applyFill="1" applyBorder="1" applyAlignment="1" applyProtection="1">
      <alignment vertical="center"/>
      <protection locked="0"/>
    </xf>
    <xf numFmtId="1" fontId="2" fillId="6" borderId="23" xfId="5" applyNumberFormat="1" applyFont="1" applyFill="1" applyBorder="1" applyAlignment="1">
      <alignment vertical="center"/>
    </xf>
    <xf numFmtId="1" fontId="2" fillId="6" borderId="0" xfId="5" applyNumberFormat="1" applyFont="1" applyFill="1" applyBorder="1" applyAlignment="1">
      <alignment vertical="center"/>
    </xf>
    <xf numFmtId="0" fontId="2" fillId="7" borderId="1" xfId="0" applyFont="1" applyFill="1" applyBorder="1" applyAlignment="1">
      <alignment horizontal="center" vertical="center" wrapText="1"/>
    </xf>
    <xf numFmtId="0" fontId="22" fillId="0" borderId="0" xfId="0" applyFont="1"/>
    <xf numFmtId="0" fontId="2" fillId="0" borderId="1" xfId="0" applyFont="1" applyBorder="1" applyAlignment="1">
      <alignment horizontal="center"/>
    </xf>
    <xf numFmtId="0" fontId="0" fillId="0" borderId="17" xfId="0" applyBorder="1"/>
    <xf numFmtId="0" fontId="0" fillId="0" borderId="17" xfId="0" applyBorder="1" applyAlignment="1">
      <alignment horizontal="center" vertical="center"/>
    </xf>
    <xf numFmtId="0" fontId="4" fillId="0" borderId="17" xfId="0" applyFont="1" applyBorder="1" applyAlignment="1">
      <alignment vertical="center" wrapText="1"/>
    </xf>
    <xf numFmtId="0" fontId="4" fillId="2" borderId="1" xfId="0" applyFont="1" applyFill="1" applyBorder="1" applyAlignment="1">
      <alignment vertical="center" wrapText="1"/>
    </xf>
    <xf numFmtId="0" fontId="4" fillId="0" borderId="1" xfId="0" applyFont="1" applyBorder="1" applyAlignment="1">
      <alignment horizontal="left" vertical="center" wrapText="1"/>
    </xf>
    <xf numFmtId="0" fontId="4" fillId="0" borderId="1" xfId="0" applyFont="1" applyBorder="1" applyAlignment="1">
      <alignment vertical="center" wrapText="1"/>
    </xf>
    <xf numFmtId="0" fontId="0" fillId="0" borderId="1" xfId="0" applyBorder="1" applyAlignment="1">
      <alignment horizontal="center" vertical="center"/>
    </xf>
    <xf numFmtId="0" fontId="4" fillId="0" borderId="17" xfId="0" applyFont="1" applyBorder="1" applyAlignment="1">
      <alignment horizontal="left" vertical="center" wrapText="1"/>
    </xf>
    <xf numFmtId="0" fontId="2" fillId="0" borderId="1" xfId="0" applyFont="1" applyBorder="1" applyAlignment="1">
      <alignment horizontal="center" vertical="center"/>
    </xf>
    <xf numFmtId="9" fontId="0" fillId="0" borderId="1" xfId="4" applyFont="1" applyFill="1" applyBorder="1" applyAlignment="1">
      <alignment vertical="center"/>
    </xf>
    <xf numFmtId="0" fontId="21" fillId="0" borderId="1" xfId="0" applyFont="1" applyBorder="1" applyAlignment="1">
      <alignment horizontal="center" vertical="center"/>
    </xf>
    <xf numFmtId="0" fontId="21" fillId="0" borderId="1" xfId="0" applyFont="1" applyBorder="1" applyAlignment="1">
      <alignment horizontal="center" vertical="center" wrapText="1"/>
    </xf>
    <xf numFmtId="0" fontId="0" fillId="0" borderId="1" xfId="0" applyBorder="1" applyAlignment="1">
      <alignment vertical="center" wrapText="1"/>
    </xf>
    <xf numFmtId="171" fontId="0" fillId="0" borderId="1" xfId="0" applyNumberFormat="1" applyBorder="1" applyAlignment="1">
      <alignment horizontal="right" vertical="center" wrapText="1"/>
    </xf>
    <xf numFmtId="171" fontId="20" fillId="0" borderId="1" xfId="0" applyNumberFormat="1" applyFont="1" applyBorder="1" applyAlignment="1">
      <alignment horizontal="right" vertical="center" wrapText="1"/>
    </xf>
    <xf numFmtId="0" fontId="21" fillId="0" borderId="19" xfId="0" applyFont="1" applyBorder="1" applyAlignment="1">
      <alignment vertical="center"/>
    </xf>
    <xf numFmtId="10" fontId="21" fillId="0" borderId="1" xfId="4" applyNumberFormat="1" applyFont="1" applyFill="1" applyBorder="1" applyAlignment="1">
      <alignment vertical="center" wrapText="1"/>
    </xf>
    <xf numFmtId="44" fontId="21" fillId="0" borderId="1" xfId="0" applyNumberFormat="1" applyFont="1" applyBorder="1" applyAlignment="1">
      <alignment horizontal="center" vertical="center" wrapText="1"/>
    </xf>
    <xf numFmtId="0" fontId="2" fillId="0" borderId="7" xfId="0" applyFont="1" applyBorder="1" applyAlignment="1">
      <alignment vertical="center" wrapText="1"/>
    </xf>
    <xf numFmtId="169" fontId="0" fillId="0" borderId="1" xfId="5" applyNumberFormat="1" applyFont="1" applyFill="1" applyBorder="1" applyAlignment="1" applyProtection="1">
      <alignment vertical="center"/>
    </xf>
    <xf numFmtId="6" fontId="0" fillId="0" borderId="0" xfId="0" applyNumberFormat="1"/>
    <xf numFmtId="169" fontId="0" fillId="0" borderId="0" xfId="0" applyNumberFormat="1"/>
    <xf numFmtId="0" fontId="2" fillId="0" borderId="0" xfId="0" applyFont="1" applyAlignment="1">
      <alignment vertical="center"/>
    </xf>
    <xf numFmtId="0" fontId="2" fillId="0" borderId="0" xfId="0" applyFont="1" applyAlignment="1">
      <alignment horizontal="center" vertical="center"/>
    </xf>
    <xf numFmtId="171" fontId="0" fillId="0" borderId="1" xfId="0" applyNumberFormat="1" applyBorder="1" applyAlignment="1">
      <alignment horizontal="center" vertical="center" wrapText="1"/>
    </xf>
    <xf numFmtId="166" fontId="4" fillId="0" borderId="0" xfId="1" applyNumberFormat="1" applyFont="1" applyFill="1" applyBorder="1" applyAlignment="1">
      <alignment horizontal="right" vertical="center" wrapText="1"/>
    </xf>
    <xf numFmtId="167" fontId="0" fillId="0" borderId="1" xfId="0" applyNumberFormat="1" applyBorder="1" applyAlignment="1">
      <alignment vertical="center"/>
    </xf>
    <xf numFmtId="169" fontId="0" fillId="0" borderId="1" xfId="0" applyNumberFormat="1" applyBorder="1" applyAlignment="1">
      <alignment vertical="center"/>
    </xf>
    <xf numFmtId="42" fontId="0" fillId="0" borderId="1" xfId="3" applyFont="1" applyFill="1" applyBorder="1" applyAlignment="1" applyProtection="1">
      <alignment horizontal="center" vertical="center"/>
    </xf>
    <xf numFmtId="0" fontId="2" fillId="0" borderId="1" xfId="0" applyFont="1" applyBorder="1" applyAlignment="1">
      <alignment wrapText="1"/>
    </xf>
    <xf numFmtId="0" fontId="2" fillId="0" borderId="1" xfId="0" applyFont="1" applyBorder="1" applyAlignment="1">
      <alignment horizontal="center" wrapText="1"/>
    </xf>
    <xf numFmtId="1" fontId="2" fillId="0" borderId="1" xfId="5" applyNumberFormat="1" applyFont="1" applyFill="1" applyBorder="1" applyAlignment="1">
      <alignment horizontal="center" vertical="center"/>
    </xf>
    <xf numFmtId="42" fontId="0" fillId="0" borderId="1" xfId="3" applyFont="1" applyFill="1" applyBorder="1" applyProtection="1"/>
    <xf numFmtId="0" fontId="0" fillId="2" borderId="0" xfId="0" applyFill="1"/>
    <xf numFmtId="42" fontId="0" fillId="0" borderId="1" xfId="0" applyNumberFormat="1" applyBorder="1"/>
    <xf numFmtId="170" fontId="2" fillId="10" borderId="1" xfId="5" applyNumberFormat="1" applyFont="1" applyFill="1" applyBorder="1" applyAlignment="1" applyProtection="1">
      <alignment horizontal="right" vertical="center"/>
    </xf>
    <xf numFmtId="0" fontId="5" fillId="0" borderId="1" xfId="0" applyFont="1" applyBorder="1" applyAlignment="1">
      <alignment horizontal="center" vertical="center" wrapText="1"/>
    </xf>
    <xf numFmtId="3" fontId="4" fillId="0" borderId="1" xfId="1" applyNumberFormat="1" applyFont="1" applyFill="1" applyBorder="1" applyAlignment="1">
      <alignment horizontal="right" vertical="center" indent="1"/>
    </xf>
    <xf numFmtId="3" fontId="4" fillId="0" borderId="1" xfId="1" applyNumberFormat="1" applyFont="1" applyFill="1" applyBorder="1" applyAlignment="1">
      <alignment horizontal="right"/>
    </xf>
    <xf numFmtId="3" fontId="4" fillId="0" borderId="18" xfId="1" applyNumberFormat="1" applyFont="1" applyFill="1" applyBorder="1" applyAlignment="1">
      <alignment horizontal="right"/>
    </xf>
    <xf numFmtId="3" fontId="0" fillId="0" borderId="0" xfId="0" applyNumberFormat="1" applyAlignment="1">
      <alignment horizontal="right"/>
    </xf>
    <xf numFmtId="3" fontId="0" fillId="0" borderId="1" xfId="2" applyNumberFormat="1" applyFont="1" applyFill="1" applyBorder="1" applyAlignment="1">
      <alignment horizontal="right"/>
    </xf>
    <xf numFmtId="3" fontId="0" fillId="0" borderId="8" xfId="2" applyNumberFormat="1" applyFont="1" applyFill="1" applyBorder="1" applyAlignment="1">
      <alignment horizontal="right"/>
    </xf>
    <xf numFmtId="3" fontId="0" fillId="0" borderId="1" xfId="1" applyNumberFormat="1" applyFont="1" applyFill="1" applyBorder="1" applyAlignment="1">
      <alignment horizontal="right"/>
    </xf>
    <xf numFmtId="3" fontId="4" fillId="0" borderId="0" xfId="1" applyNumberFormat="1" applyFont="1" applyFill="1" applyAlignment="1">
      <alignment horizontal="right"/>
    </xf>
    <xf numFmtId="3" fontId="0" fillId="0" borderId="0" xfId="1" applyNumberFormat="1" applyFont="1" applyFill="1" applyAlignment="1">
      <alignment horizontal="right"/>
    </xf>
    <xf numFmtId="3" fontId="4" fillId="0" borderId="0" xfId="1" applyNumberFormat="1" applyFont="1" applyFill="1" applyAlignment="1">
      <alignment horizontal="right" vertical="center" indent="1"/>
    </xf>
    <xf numFmtId="165" fontId="5" fillId="0" borderId="1" xfId="5" applyNumberFormat="1" applyFont="1" applyFill="1" applyBorder="1" applyAlignment="1">
      <alignment horizontal="center" vertical="center" wrapText="1"/>
    </xf>
    <xf numFmtId="3" fontId="5" fillId="0" borderId="1" xfId="1" applyNumberFormat="1" applyFont="1" applyFill="1" applyBorder="1" applyAlignment="1">
      <alignment horizontal="right" vertical="center" wrapText="1"/>
    </xf>
    <xf numFmtId="1" fontId="0" fillId="0" borderId="0" xfId="0" applyNumberFormat="1"/>
    <xf numFmtId="166" fontId="4" fillId="0" borderId="1" xfId="0" applyNumberFormat="1" applyFont="1" applyBorder="1"/>
    <xf numFmtId="166" fontId="4" fillId="0" borderId="1" xfId="0" applyNumberFormat="1" applyFont="1" applyBorder="1" applyAlignment="1">
      <alignment horizontal="center" vertical="center" indent="1"/>
    </xf>
    <xf numFmtId="170" fontId="0" fillId="0" borderId="0" xfId="0" applyNumberFormat="1"/>
    <xf numFmtId="166" fontId="0" fillId="0" borderId="0" xfId="0" applyNumberFormat="1"/>
    <xf numFmtId="166" fontId="4" fillId="0" borderId="17" xfId="0" applyNumberFormat="1" applyFont="1" applyBorder="1"/>
    <xf numFmtId="0" fontId="0" fillId="0" borderId="5" xfId="0" applyBorder="1"/>
    <xf numFmtId="166" fontId="4" fillId="0" borderId="5" xfId="0" applyNumberFormat="1" applyFont="1" applyBorder="1"/>
    <xf numFmtId="166" fontId="4" fillId="0" borderId="0" xfId="0" applyNumberFormat="1" applyFont="1" applyAlignment="1">
      <alignment horizontal="center" vertical="center" indent="1"/>
    </xf>
    <xf numFmtId="166" fontId="4" fillId="0" borderId="0" xfId="0" applyNumberFormat="1" applyFont="1"/>
    <xf numFmtId="43" fontId="0" fillId="0" borderId="0" xfId="0" applyNumberFormat="1"/>
    <xf numFmtId="0" fontId="0" fillId="0" borderId="18" xfId="0" applyBorder="1"/>
    <xf numFmtId="167" fontId="0" fillId="0" borderId="18" xfId="0" applyNumberFormat="1" applyBorder="1"/>
    <xf numFmtId="167" fontId="0" fillId="0" borderId="1" xfId="0" applyNumberFormat="1" applyBorder="1"/>
    <xf numFmtId="167" fontId="0" fillId="0" borderId="1" xfId="2" applyNumberFormat="1" applyFont="1" applyFill="1" applyBorder="1"/>
    <xf numFmtId="10" fontId="2" fillId="0" borderId="1" xfId="4" applyNumberFormat="1" applyFont="1" applyBorder="1"/>
    <xf numFmtId="0" fontId="0" fillId="2" borderId="1" xfId="0" applyFill="1" applyBorder="1" applyAlignment="1">
      <alignment horizontal="center" vertical="center"/>
    </xf>
    <xf numFmtId="3" fontId="0" fillId="0" borderId="1" xfId="0" applyNumberFormat="1" applyBorder="1" applyAlignment="1">
      <alignment horizontal="right"/>
    </xf>
    <xf numFmtId="0" fontId="0" fillId="0" borderId="19" xfId="0" applyBorder="1"/>
    <xf numFmtId="0" fontId="0" fillId="0" borderId="23" xfId="0" applyBorder="1"/>
    <xf numFmtId="169" fontId="0" fillId="2" borderId="1" xfId="5" applyNumberFormat="1" applyFont="1" applyFill="1" applyBorder="1" applyAlignment="1" applyProtection="1">
      <alignment vertical="center"/>
    </xf>
    <xf numFmtId="169" fontId="0" fillId="2" borderId="17" xfId="5" applyNumberFormat="1" applyFont="1" applyFill="1" applyBorder="1" applyAlignment="1" applyProtection="1">
      <alignment vertical="center"/>
    </xf>
    <xf numFmtId="164" fontId="0" fillId="0" borderId="1" xfId="5" applyFont="1" applyFill="1" applyBorder="1" applyAlignment="1" applyProtection="1">
      <alignment vertical="center"/>
    </xf>
    <xf numFmtId="164" fontId="0" fillId="0" borderId="1" xfId="5" applyFont="1" applyFill="1" applyBorder="1" applyAlignment="1" applyProtection="1">
      <alignment horizontal="right" vertical="center"/>
    </xf>
    <xf numFmtId="164" fontId="0" fillId="0" borderId="21" xfId="5" applyFont="1" applyFill="1" applyBorder="1" applyAlignment="1" applyProtection="1">
      <alignment horizontal="right" vertical="center"/>
    </xf>
    <xf numFmtId="169" fontId="0" fillId="2" borderId="21" xfId="5" applyNumberFormat="1" applyFont="1" applyFill="1" applyBorder="1" applyAlignment="1" applyProtection="1">
      <alignment vertical="center"/>
    </xf>
    <xf numFmtId="42" fontId="2" fillId="11" borderId="1" xfId="3" applyFont="1" applyFill="1" applyBorder="1" applyAlignment="1" applyProtection="1">
      <alignment horizontal="center" vertical="center"/>
    </xf>
    <xf numFmtId="172" fontId="0" fillId="0" borderId="0" xfId="0" applyNumberFormat="1"/>
    <xf numFmtId="0" fontId="0" fillId="0" borderId="1" xfId="0" applyBorder="1" applyAlignment="1">
      <alignment wrapText="1"/>
    </xf>
    <xf numFmtId="0" fontId="0" fillId="0" borderId="1" xfId="0" applyBorder="1" applyAlignment="1">
      <alignment vertical="center"/>
    </xf>
    <xf numFmtId="10" fontId="0" fillId="0" borderId="1" xfId="4" applyNumberFormat="1" applyFont="1" applyFill="1" applyBorder="1" applyAlignment="1">
      <alignment vertical="center"/>
    </xf>
    <xf numFmtId="3" fontId="0" fillId="0" borderId="0" xfId="0" applyNumberFormat="1"/>
    <xf numFmtId="6" fontId="2" fillId="0" borderId="1" xfId="0" applyNumberFormat="1" applyFont="1" applyBorder="1" applyAlignment="1">
      <alignment horizontal="center"/>
    </xf>
    <xf numFmtId="3" fontId="0" fillId="0" borderId="1" xfId="0" applyNumberFormat="1" applyBorder="1"/>
    <xf numFmtId="6" fontId="0" fillId="0" borderId="1" xfId="0" applyNumberFormat="1" applyBorder="1"/>
    <xf numFmtId="174" fontId="0" fillId="0" borderId="1" xfId="0" applyNumberFormat="1" applyBorder="1"/>
    <xf numFmtId="0" fontId="2" fillId="0" borderId="1" xfId="0" applyFont="1" applyBorder="1" applyAlignment="1">
      <alignment horizontal="center" vertical="center" wrapText="1"/>
    </xf>
    <xf numFmtId="6" fontId="2" fillId="0" borderId="1" xfId="0" applyNumberFormat="1" applyFont="1" applyBorder="1"/>
    <xf numFmtId="175" fontId="4" fillId="0" borderId="0" xfId="4" applyNumberFormat="1" applyFont="1" applyFill="1" applyBorder="1" applyAlignment="1">
      <alignment horizontal="right" vertical="center" wrapText="1"/>
    </xf>
    <xf numFmtId="174" fontId="0" fillId="0" borderId="1" xfId="0" applyNumberFormat="1" applyBorder="1" applyAlignment="1">
      <alignment horizontal="right" vertical="center" wrapText="1"/>
    </xf>
    <xf numFmtId="174" fontId="21" fillId="0" borderId="1" xfId="0" applyNumberFormat="1" applyFont="1" applyBorder="1" applyAlignment="1">
      <alignment horizontal="center" vertical="center" wrapText="1"/>
    </xf>
    <xf numFmtId="0" fontId="2" fillId="0" borderId="17" xfId="0" applyFont="1" applyBorder="1"/>
    <xf numFmtId="6" fontId="2" fillId="0" borderId="17" xfId="0" applyNumberFormat="1" applyFont="1" applyBorder="1"/>
    <xf numFmtId="173" fontId="0" fillId="0" borderId="0" xfId="0" applyNumberFormat="1" applyAlignment="1">
      <alignment horizontal="right" vertical="center" wrapText="1"/>
    </xf>
    <xf numFmtId="173" fontId="0" fillId="0" borderId="13" xfId="0" applyNumberFormat="1" applyBorder="1" applyAlignment="1">
      <alignment horizontal="right" vertical="center" wrapText="1"/>
    </xf>
    <xf numFmtId="0" fontId="0" fillId="0" borderId="13" xfId="0" applyBorder="1"/>
    <xf numFmtId="3" fontId="0" fillId="0" borderId="17" xfId="0" applyNumberFormat="1" applyBorder="1"/>
    <xf numFmtId="4" fontId="0" fillId="0" borderId="1" xfId="0" applyNumberFormat="1" applyBorder="1"/>
    <xf numFmtId="43" fontId="0" fillId="0" borderId="19" xfId="1" applyFont="1" applyBorder="1"/>
    <xf numFmtId="43" fontId="0" fillId="0" borderId="23" xfId="0" applyNumberFormat="1" applyBorder="1"/>
    <xf numFmtId="176" fontId="0" fillId="0" borderId="17" xfId="0" applyNumberFormat="1" applyBorder="1"/>
    <xf numFmtId="4" fontId="5" fillId="0" borderId="1" xfId="1" applyNumberFormat="1" applyFont="1" applyFill="1" applyBorder="1" applyAlignment="1">
      <alignment horizontal="right" vertical="center" wrapText="1"/>
    </xf>
    <xf numFmtId="2" fontId="2" fillId="0" borderId="1" xfId="5" applyNumberFormat="1" applyFont="1" applyFill="1" applyBorder="1" applyAlignment="1">
      <alignment horizontal="center" vertical="center"/>
    </xf>
    <xf numFmtId="8" fontId="0" fillId="0" borderId="0" xfId="0" applyNumberFormat="1"/>
    <xf numFmtId="0" fontId="0" fillId="0" borderId="1" xfId="0" applyBorder="1" applyAlignment="1">
      <alignment vertical="top" wrapText="1"/>
    </xf>
    <xf numFmtId="4" fontId="4" fillId="0" borderId="0" xfId="1" applyNumberFormat="1" applyFont="1" applyFill="1" applyAlignment="1">
      <alignment horizontal="right"/>
    </xf>
    <xf numFmtId="0" fontId="5" fillId="0" borderId="25" xfId="0" applyFont="1" applyBorder="1" applyAlignment="1">
      <alignment vertical="center" wrapText="1"/>
    </xf>
    <xf numFmtId="0" fontId="5" fillId="0" borderId="13" xfId="0" applyFont="1" applyBorder="1" applyAlignment="1">
      <alignment vertical="center" wrapText="1"/>
    </xf>
    <xf numFmtId="0" fontId="5" fillId="0" borderId="26" xfId="0" applyFont="1" applyBorder="1" applyAlignment="1">
      <alignment vertical="center" wrapText="1"/>
    </xf>
    <xf numFmtId="0" fontId="5" fillId="0" borderId="2" xfId="0" applyFont="1" applyBorder="1" applyAlignment="1" applyProtection="1">
      <alignment horizontal="left" vertical="center" wrapText="1"/>
      <protection locked="0"/>
    </xf>
    <xf numFmtId="0" fontId="5" fillId="0" borderId="3" xfId="0" applyFont="1" applyBorder="1" applyAlignment="1" applyProtection="1">
      <alignment horizontal="left" vertical="center" wrapText="1"/>
      <protection locked="0"/>
    </xf>
    <xf numFmtId="0" fontId="5" fillId="0" borderId="27" xfId="0" applyFont="1" applyBorder="1" applyAlignment="1" applyProtection="1">
      <alignment horizontal="left" vertical="center" wrapText="1"/>
      <protection locked="0"/>
    </xf>
    <xf numFmtId="0" fontId="5" fillId="0" borderId="28" xfId="0" applyFont="1" applyBorder="1" applyAlignment="1" applyProtection="1">
      <alignment horizontal="left" vertical="center" wrapText="1"/>
      <protection locked="0"/>
    </xf>
    <xf numFmtId="0" fontId="5" fillId="0" borderId="9" xfId="0" applyFont="1" applyBorder="1" applyAlignment="1" applyProtection="1">
      <alignment horizontal="left" vertical="center" wrapText="1"/>
      <protection locked="0"/>
    </xf>
    <xf numFmtId="0" fontId="5" fillId="0" borderId="29" xfId="0" applyFont="1" applyBorder="1" applyAlignment="1" applyProtection="1">
      <alignment horizontal="left" vertical="center" wrapText="1"/>
      <protection locked="0"/>
    </xf>
    <xf numFmtId="0" fontId="5" fillId="0" borderId="4" xfId="0" applyFont="1" applyBorder="1" applyAlignment="1">
      <alignment horizontal="center" wrapText="1"/>
    </xf>
    <xf numFmtId="0" fontId="5" fillId="0" borderId="5" xfId="0" applyFont="1" applyBorder="1" applyAlignment="1">
      <alignment horizontal="center" wrapText="1"/>
    </xf>
    <xf numFmtId="0" fontId="5" fillId="0" borderId="6" xfId="0" applyFont="1" applyBorder="1" applyAlignment="1">
      <alignment horizontal="center" wrapText="1"/>
    </xf>
    <xf numFmtId="0" fontId="20" fillId="0" borderId="10" xfId="0" applyFont="1" applyBorder="1" applyAlignment="1">
      <alignment vertical="center" wrapText="1"/>
    </xf>
    <xf numFmtId="0" fontId="4" fillId="0" borderId="11" xfId="0" applyFont="1" applyBorder="1" applyAlignment="1">
      <alignment vertical="center" wrapText="1"/>
    </xf>
    <xf numFmtId="0" fontId="4" fillId="0" borderId="12" xfId="0" applyFont="1" applyBorder="1" applyAlignment="1">
      <alignment vertical="center" wrapText="1"/>
    </xf>
    <xf numFmtId="0" fontId="2" fillId="8" borderId="1" xfId="0" applyFont="1" applyFill="1" applyBorder="1" applyAlignment="1">
      <alignment horizontal="right"/>
    </xf>
    <xf numFmtId="0" fontId="0" fillId="0" borderId="19" xfId="0" applyBorder="1" applyAlignment="1">
      <alignment horizontal="left" wrapText="1"/>
    </xf>
    <xf numFmtId="0" fontId="0" fillId="0" borderId="8" xfId="0" applyBorder="1" applyAlignment="1">
      <alignment horizontal="left" wrapText="1"/>
    </xf>
    <xf numFmtId="0" fontId="0" fillId="0" borderId="1" xfId="0" applyBorder="1" applyAlignment="1">
      <alignment horizontal="left" wrapText="1"/>
    </xf>
    <xf numFmtId="0" fontId="10" fillId="3" borderId="16" xfId="0" applyFont="1" applyFill="1" applyBorder="1" applyAlignment="1">
      <alignment horizontal="center" vertical="center" wrapText="1"/>
    </xf>
    <xf numFmtId="0" fontId="10" fillId="3" borderId="0" xfId="0" applyFont="1" applyFill="1" applyAlignment="1">
      <alignment horizontal="center" vertical="center" wrapText="1"/>
    </xf>
    <xf numFmtId="0" fontId="0" fillId="0" borderId="17" xfId="0" applyBorder="1" applyAlignment="1">
      <alignment horizontal="center" vertical="center"/>
    </xf>
    <xf numFmtId="0" fontId="0" fillId="0" borderId="14" xfId="0" applyBorder="1" applyAlignment="1">
      <alignment horizontal="center" vertical="center"/>
    </xf>
    <xf numFmtId="0" fontId="0" fillId="0" borderId="18" xfId="0" applyBorder="1" applyAlignment="1">
      <alignment horizontal="center" vertical="center"/>
    </xf>
    <xf numFmtId="1" fontId="0" fillId="0" borderId="1" xfId="5" applyNumberFormat="1" applyFont="1" applyFill="1" applyBorder="1" applyAlignment="1">
      <alignment horizontal="center" vertical="center"/>
    </xf>
    <xf numFmtId="0" fontId="2" fillId="0" borderId="1" xfId="0" applyFont="1" applyBorder="1" applyAlignment="1">
      <alignment horizontal="right" vertical="center"/>
    </xf>
    <xf numFmtId="0" fontId="2" fillId="0" borderId="19" xfId="0" applyFont="1" applyBorder="1" applyAlignment="1">
      <alignment horizontal="right" vertical="center"/>
    </xf>
    <xf numFmtId="0" fontId="2" fillId="0" borderId="5" xfId="0" applyFont="1" applyBorder="1" applyAlignment="1">
      <alignment horizontal="right" vertical="center"/>
    </xf>
    <xf numFmtId="0" fontId="2" fillId="0" borderId="8" xfId="0" applyFont="1" applyBorder="1" applyAlignment="1">
      <alignment horizontal="right" vertical="center"/>
    </xf>
    <xf numFmtId="0" fontId="2" fillId="7" borderId="19" xfId="0" applyFont="1" applyFill="1" applyBorder="1" applyAlignment="1">
      <alignment horizontal="right" vertical="center"/>
    </xf>
    <xf numFmtId="0" fontId="2" fillId="7" borderId="5" xfId="0" applyFont="1" applyFill="1" applyBorder="1" applyAlignment="1">
      <alignment horizontal="right" vertical="center"/>
    </xf>
    <xf numFmtId="0" fontId="2" fillId="7" borderId="8" xfId="0" applyFont="1" applyFill="1" applyBorder="1" applyAlignment="1">
      <alignment horizontal="right" vertical="center"/>
    </xf>
    <xf numFmtId="0" fontId="0" fillId="7" borderId="21" xfId="0" applyFill="1" applyBorder="1" applyAlignment="1">
      <alignment horizontal="center"/>
    </xf>
    <xf numFmtId="0" fontId="0" fillId="7" borderId="13" xfId="0" applyFill="1" applyBorder="1" applyAlignment="1">
      <alignment horizontal="center"/>
    </xf>
    <xf numFmtId="0" fontId="0" fillId="7" borderId="23" xfId="0" applyFill="1" applyBorder="1" applyAlignment="1">
      <alignment horizontal="center"/>
    </xf>
    <xf numFmtId="0" fontId="0" fillId="7" borderId="0" xfId="0" applyFill="1" applyAlignment="1">
      <alignment horizontal="center"/>
    </xf>
    <xf numFmtId="0" fontId="2" fillId="7" borderId="1" xfId="0" applyFont="1" applyFill="1" applyBorder="1" applyAlignment="1">
      <alignment horizontal="right"/>
    </xf>
    <xf numFmtId="0" fontId="0" fillId="0" borderId="19" xfId="0" applyBorder="1" applyAlignment="1">
      <alignment horizontal="left"/>
    </xf>
    <xf numFmtId="0" fontId="0" fillId="0" borderId="8" xfId="0" applyBorder="1" applyAlignment="1">
      <alignment horizontal="left"/>
    </xf>
    <xf numFmtId="0" fontId="12" fillId="0" borderId="16" xfId="0" applyFont="1" applyBorder="1" applyAlignment="1">
      <alignment horizontal="left" vertical="top" wrapText="1"/>
    </xf>
    <xf numFmtId="0" fontId="12" fillId="0" borderId="0" xfId="0" applyFont="1" applyAlignment="1">
      <alignment horizontal="left" vertical="top" wrapText="1"/>
    </xf>
    <xf numFmtId="0" fontId="2" fillId="3" borderId="1" xfId="0" applyFont="1" applyFill="1" applyBorder="1" applyAlignment="1">
      <alignment horizontal="center"/>
    </xf>
    <xf numFmtId="0" fontId="10" fillId="3" borderId="16" xfId="0" applyFont="1" applyFill="1" applyBorder="1" applyAlignment="1">
      <alignment horizontal="left" vertical="center" wrapText="1"/>
    </xf>
    <xf numFmtId="0" fontId="10" fillId="3" borderId="0" xfId="0" applyFont="1" applyFill="1" applyAlignment="1">
      <alignment horizontal="left" vertical="center" wrapText="1"/>
    </xf>
    <xf numFmtId="0" fontId="9" fillId="3" borderId="0" xfId="0" applyFont="1" applyFill="1" applyAlignment="1">
      <alignment horizontal="center" vertical="center"/>
    </xf>
    <xf numFmtId="0" fontId="6" fillId="4" borderId="16" xfId="0" applyFont="1" applyFill="1" applyBorder="1" applyAlignment="1">
      <alignment horizontal="center" vertical="center"/>
    </xf>
    <xf numFmtId="0" fontId="6" fillId="4" borderId="0" xfId="0" applyFont="1" applyFill="1" applyAlignment="1">
      <alignment horizontal="center" vertical="center"/>
    </xf>
    <xf numFmtId="0" fontId="5" fillId="0" borderId="4" xfId="0" applyFont="1" applyBorder="1" applyAlignment="1">
      <alignment horizontal="justify" vertical="center" wrapText="1"/>
    </xf>
    <xf numFmtId="0" fontId="4" fillId="0" borderId="5" xfId="0" applyFont="1" applyBorder="1" applyAlignment="1">
      <alignment horizontal="justify" vertical="center"/>
    </xf>
    <xf numFmtId="0" fontId="4" fillId="0" borderId="6" xfId="0" applyFont="1" applyBorder="1" applyAlignment="1">
      <alignment horizontal="justify" vertical="center"/>
    </xf>
    <xf numFmtId="0" fontId="4" fillId="0" borderId="16" xfId="0" applyFont="1" applyBorder="1" applyAlignment="1">
      <alignment horizontal="left" vertical="top" wrapText="1"/>
    </xf>
    <xf numFmtId="0" fontId="4" fillId="0" borderId="0" xfId="0" applyFont="1" applyAlignment="1">
      <alignment horizontal="left" vertical="top" wrapText="1"/>
    </xf>
    <xf numFmtId="0" fontId="16" fillId="0" borderId="16" xfId="0" applyFont="1" applyBorder="1" applyAlignment="1">
      <alignment horizontal="left" vertical="top" wrapText="1"/>
    </xf>
    <xf numFmtId="0" fontId="16" fillId="0" borderId="0" xfId="0" applyFont="1" applyAlignment="1">
      <alignment horizontal="left" vertical="top" wrapText="1"/>
    </xf>
    <xf numFmtId="0" fontId="5" fillId="2" borderId="28" xfId="0" applyFont="1" applyFill="1" applyBorder="1" applyAlignment="1" applyProtection="1">
      <alignment horizontal="left" vertical="center" wrapText="1"/>
      <protection locked="0"/>
    </xf>
    <xf numFmtId="0" fontId="5" fillId="2" borderId="9" xfId="0" applyFont="1" applyFill="1" applyBorder="1" applyAlignment="1" applyProtection="1">
      <alignment horizontal="left" vertical="center" wrapText="1"/>
      <protection locked="0"/>
    </xf>
    <xf numFmtId="0" fontId="5" fillId="2" borderId="29" xfId="0" applyFont="1" applyFill="1" applyBorder="1" applyAlignment="1" applyProtection="1">
      <alignment horizontal="left" vertical="center" wrapText="1"/>
      <protection locked="0"/>
    </xf>
    <xf numFmtId="0" fontId="2" fillId="10" borderId="1" xfId="0" applyFont="1" applyFill="1" applyBorder="1" applyAlignment="1">
      <alignment horizontal="center" vertical="center"/>
    </xf>
    <xf numFmtId="0" fontId="2" fillId="10" borderId="1" xfId="0" applyFont="1" applyFill="1" applyBorder="1" applyAlignment="1">
      <alignment horizontal="center"/>
    </xf>
    <xf numFmtId="43" fontId="0" fillId="0" borderId="17" xfId="1" applyFont="1" applyFill="1" applyBorder="1" applyAlignment="1">
      <alignment horizontal="center" vertical="center"/>
    </xf>
    <xf numFmtId="43" fontId="0" fillId="0" borderId="14" xfId="1" applyFont="1" applyFill="1" applyBorder="1" applyAlignment="1">
      <alignment horizontal="center" vertical="center"/>
    </xf>
    <xf numFmtId="43" fontId="0" fillId="0" borderId="18" xfId="1" applyFont="1" applyFill="1" applyBorder="1" applyAlignment="1">
      <alignment horizontal="center" vertical="center"/>
    </xf>
    <xf numFmtId="0" fontId="2" fillId="0" borderId="1" xfId="0" applyFont="1" applyBorder="1" applyAlignment="1">
      <alignment horizontal="center" vertical="center"/>
    </xf>
    <xf numFmtId="0" fontId="0" fillId="0" borderId="21" xfId="0" applyBorder="1" applyAlignment="1">
      <alignment horizontal="center"/>
    </xf>
    <xf numFmtId="0" fontId="0" fillId="0" borderId="22" xfId="0" applyBorder="1" applyAlignment="1">
      <alignment horizontal="center"/>
    </xf>
    <xf numFmtId="0" fontId="0" fillId="0" borderId="23" xfId="0" applyBorder="1" applyAlignment="1">
      <alignment horizontal="center"/>
    </xf>
    <xf numFmtId="0" fontId="0" fillId="0" borderId="7" xfId="0" applyBorder="1" applyAlignment="1">
      <alignment horizontal="center"/>
    </xf>
    <xf numFmtId="0" fontId="0" fillId="0" borderId="24" xfId="0" applyBorder="1" applyAlignment="1">
      <alignment horizontal="center"/>
    </xf>
    <xf numFmtId="0" fontId="0" fillId="0" borderId="15" xfId="0" applyBorder="1" applyAlignment="1">
      <alignment horizontal="center"/>
    </xf>
    <xf numFmtId="0" fontId="2" fillId="11" borderId="1" xfId="0" applyFont="1" applyFill="1" applyBorder="1" applyAlignment="1">
      <alignment horizontal="center" vertical="center"/>
    </xf>
    <xf numFmtId="0" fontId="0" fillId="10" borderId="1" xfId="0" applyFill="1" applyBorder="1" applyAlignment="1">
      <alignment horizontal="center" vertical="center" wrapText="1"/>
    </xf>
    <xf numFmtId="42" fontId="2" fillId="0" borderId="19" xfId="3" applyFont="1" applyFill="1" applyBorder="1" applyAlignment="1">
      <alignment horizontal="center" vertical="center"/>
    </xf>
    <xf numFmtId="42" fontId="2" fillId="0" borderId="8" xfId="3" applyFont="1" applyFill="1" applyBorder="1" applyAlignment="1">
      <alignment horizontal="center" vertical="center"/>
    </xf>
    <xf numFmtId="165" fontId="2" fillId="0" borderId="19" xfId="5" applyNumberFormat="1" applyFont="1" applyFill="1" applyBorder="1" applyAlignment="1" applyProtection="1">
      <alignment horizontal="center" vertical="center"/>
      <protection locked="0"/>
    </xf>
    <xf numFmtId="165" fontId="2" fillId="0" borderId="8" xfId="5" applyNumberFormat="1" applyFont="1" applyFill="1" applyBorder="1" applyAlignment="1" applyProtection="1">
      <alignment horizontal="center" vertical="center"/>
      <protection locked="0"/>
    </xf>
    <xf numFmtId="0" fontId="2" fillId="0" borderId="21" xfId="0" applyFont="1" applyBorder="1" applyAlignment="1">
      <alignment horizontal="center" vertical="center"/>
    </xf>
    <xf numFmtId="0" fontId="2" fillId="0" borderId="13" xfId="0" applyFont="1" applyBorder="1" applyAlignment="1">
      <alignment horizontal="center" vertical="center"/>
    </xf>
    <xf numFmtId="0" fontId="2" fillId="0" borderId="22" xfId="0" applyFont="1" applyBorder="1" applyAlignment="1">
      <alignment horizontal="center" vertical="center"/>
    </xf>
    <xf numFmtId="0" fontId="2" fillId="0" borderId="1" xfId="0" applyFont="1" applyBorder="1" applyAlignment="1">
      <alignment horizontal="center"/>
    </xf>
    <xf numFmtId="0" fontId="2" fillId="10" borderId="19" xfId="0" applyFont="1" applyFill="1" applyBorder="1" applyAlignment="1">
      <alignment horizontal="center"/>
    </xf>
    <xf numFmtId="0" fontId="2" fillId="10" borderId="5" xfId="0" applyFont="1" applyFill="1" applyBorder="1" applyAlignment="1">
      <alignment horizontal="center"/>
    </xf>
    <xf numFmtId="0" fontId="2" fillId="10" borderId="8" xfId="0" applyFont="1" applyFill="1" applyBorder="1" applyAlignment="1">
      <alignment horizontal="center"/>
    </xf>
    <xf numFmtId="0" fontId="5" fillId="9" borderId="19" xfId="0" applyFont="1" applyFill="1" applyBorder="1" applyAlignment="1">
      <alignment horizontal="center" vertical="center" wrapText="1"/>
    </xf>
    <xf numFmtId="0" fontId="5" fillId="0" borderId="23" xfId="0" applyFont="1" applyBorder="1" applyAlignment="1">
      <alignment horizontal="center" vertical="center" wrapText="1"/>
    </xf>
    <xf numFmtId="171" fontId="0" fillId="0" borderId="17" xfId="0" applyNumberFormat="1" applyBorder="1" applyAlignment="1">
      <alignment horizontal="center" vertical="center" wrapText="1"/>
    </xf>
    <xf numFmtId="171" fontId="0" fillId="0" borderId="18" xfId="0" applyNumberFormat="1" applyBorder="1" applyAlignment="1">
      <alignment horizontal="center" vertical="center" wrapText="1"/>
    </xf>
    <xf numFmtId="0" fontId="5" fillId="9" borderId="17" xfId="0" applyFont="1" applyFill="1" applyBorder="1" applyAlignment="1">
      <alignment horizontal="center" vertical="center" wrapText="1"/>
    </xf>
    <xf numFmtId="0" fontId="5" fillId="9" borderId="18" xfId="0" applyFont="1" applyFill="1" applyBorder="1" applyAlignment="1">
      <alignment horizontal="center" vertical="center" wrapText="1"/>
    </xf>
    <xf numFmtId="2" fontId="0" fillId="0" borderId="17" xfId="5" applyNumberFormat="1" applyFont="1" applyBorder="1" applyAlignment="1">
      <alignment horizontal="center" vertical="center"/>
    </xf>
    <xf numFmtId="2" fontId="0" fillId="0" borderId="14" xfId="5" applyNumberFormat="1" applyFont="1" applyBorder="1" applyAlignment="1">
      <alignment horizontal="center" vertical="center"/>
    </xf>
    <xf numFmtId="2" fontId="0" fillId="0" borderId="18" xfId="5" applyNumberFormat="1" applyFont="1" applyBorder="1" applyAlignment="1">
      <alignment horizontal="center" vertical="center"/>
    </xf>
    <xf numFmtId="1" fontId="0" fillId="0" borderId="17" xfId="5" applyNumberFormat="1" applyFont="1" applyFill="1" applyBorder="1" applyAlignment="1">
      <alignment horizontal="center" vertical="center"/>
    </xf>
    <xf numFmtId="1" fontId="0" fillId="0" borderId="14" xfId="5" applyNumberFormat="1" applyFont="1" applyFill="1" applyBorder="1" applyAlignment="1">
      <alignment horizontal="center" vertical="center"/>
    </xf>
    <xf numFmtId="1" fontId="0" fillId="0" borderId="18" xfId="5" applyNumberFormat="1" applyFont="1" applyFill="1" applyBorder="1" applyAlignment="1">
      <alignment horizontal="center" vertical="center"/>
    </xf>
  </cellXfs>
  <cellStyles count="16">
    <cellStyle name="Millares" xfId="1" builtinId="3"/>
    <cellStyle name="Millares 2" xfId="8" xr:uid="{0EA22820-0A94-4240-ADA4-CC2182CC2BF1}"/>
    <cellStyle name="Moneda" xfId="2" builtinId="4"/>
    <cellStyle name="Moneda [0]" xfId="3" builtinId="7"/>
    <cellStyle name="Moneda [0] 2" xfId="9" xr:uid="{285A0725-7824-40F8-B821-E90F468493D6}"/>
    <cellStyle name="Moneda [0] 3" xfId="12" xr:uid="{DDBE72A7-CAFB-4960-AD1A-4188113A816F}"/>
    <cellStyle name="Moneda [0] 4" xfId="14" xr:uid="{3FF9C5B3-8786-4BF1-A76B-C120ED84337A}"/>
    <cellStyle name="Moneda 2" xfId="5" xr:uid="{195B897B-CA38-4C0B-A828-EC3036A58DFF}"/>
    <cellStyle name="Moneda 3" xfId="10" xr:uid="{04042537-BBB4-4191-A315-E96B7760A19B}"/>
    <cellStyle name="Moneda 4" xfId="11" xr:uid="{9BB56B9C-01B6-4470-9F0A-29742CF26117}"/>
    <cellStyle name="Moneda 5" xfId="13" xr:uid="{3A043849-B36A-46E9-B0FF-01AD71AFDA73}"/>
    <cellStyle name="Moneda 6" xfId="15" xr:uid="{AA275D8E-2B0F-46E8-AF42-EB4D613E749A}"/>
    <cellStyle name="Normal" xfId="0" builtinId="0"/>
    <cellStyle name="Normal 2" xfId="6" xr:uid="{55FF1608-27AF-4F94-98CE-7AF617778CA0}"/>
    <cellStyle name="Normal 6" xfId="7" xr:uid="{B5ECA708-3B7F-4D4C-A263-EC772F248461}"/>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171451</xdr:colOff>
      <xdr:row>0</xdr:row>
      <xdr:rowOff>66675</xdr:rowOff>
    </xdr:from>
    <xdr:to>
      <xdr:col>2</xdr:col>
      <xdr:colOff>158751</xdr:colOff>
      <xdr:row>0</xdr:row>
      <xdr:rowOff>620371</xdr:rowOff>
    </xdr:to>
    <xdr:pic>
      <xdr:nvPicPr>
        <xdr:cNvPr id="3" name="Imagen 2" descr="Imagen que contiene Logotipo&#10;&#10;Descripción generada automáticamente">
          <a:extLst>
            <a:ext uri="{FF2B5EF4-FFF2-40B4-BE49-F238E27FC236}">
              <a16:creationId xmlns:a16="http://schemas.microsoft.com/office/drawing/2014/main" id="{21E18DB5-11F2-481B-9E3B-1FE20C1D87D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2751" y="66675"/>
          <a:ext cx="1555750" cy="547346"/>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698501</xdr:colOff>
      <xdr:row>0</xdr:row>
      <xdr:rowOff>49743</xdr:rowOff>
    </xdr:from>
    <xdr:to>
      <xdr:col>2</xdr:col>
      <xdr:colOff>1495425</xdr:colOff>
      <xdr:row>0</xdr:row>
      <xdr:rowOff>612483</xdr:rowOff>
    </xdr:to>
    <xdr:pic>
      <xdr:nvPicPr>
        <xdr:cNvPr id="2" name="Imagen 1" descr="Imagen que contiene Logotipo&#10;&#10;Descripción generada automáticamente">
          <a:extLst>
            <a:ext uri="{FF2B5EF4-FFF2-40B4-BE49-F238E27FC236}">
              <a16:creationId xmlns:a16="http://schemas.microsoft.com/office/drawing/2014/main" id="{ECC2EF4B-803A-4F9B-BEE0-F3C890058C8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8390" y="49743"/>
          <a:ext cx="2360082" cy="56274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666751</xdr:colOff>
      <xdr:row>0</xdr:row>
      <xdr:rowOff>41275</xdr:rowOff>
    </xdr:from>
    <xdr:to>
      <xdr:col>2</xdr:col>
      <xdr:colOff>762001</xdr:colOff>
      <xdr:row>0</xdr:row>
      <xdr:rowOff>627231</xdr:rowOff>
    </xdr:to>
    <xdr:pic>
      <xdr:nvPicPr>
        <xdr:cNvPr id="3" name="Imagen 2" descr="Imagen que contiene Logotipo&#10;&#10;Descripción generada automáticamente">
          <a:extLst>
            <a:ext uri="{FF2B5EF4-FFF2-40B4-BE49-F238E27FC236}">
              <a16:creationId xmlns:a16="http://schemas.microsoft.com/office/drawing/2014/main" id="{D8E72EFB-86A4-4808-A4A5-28535CA1D66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8051" y="41275"/>
          <a:ext cx="1663700" cy="585956"/>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171451</xdr:colOff>
      <xdr:row>0</xdr:row>
      <xdr:rowOff>66675</xdr:rowOff>
    </xdr:from>
    <xdr:to>
      <xdr:col>2</xdr:col>
      <xdr:colOff>190501</xdr:colOff>
      <xdr:row>0</xdr:row>
      <xdr:rowOff>625191</xdr:rowOff>
    </xdr:to>
    <xdr:pic>
      <xdr:nvPicPr>
        <xdr:cNvPr id="3" name="Imagen 2" descr="Imagen que contiene Logotipo&#10;&#10;Descripción generada automáticamente">
          <a:extLst>
            <a:ext uri="{FF2B5EF4-FFF2-40B4-BE49-F238E27FC236}">
              <a16:creationId xmlns:a16="http://schemas.microsoft.com/office/drawing/2014/main" id="{B5C15B4F-AB14-4EFD-B672-0C63CDA0F36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2751" y="66675"/>
          <a:ext cx="1587500" cy="558516"/>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469901</xdr:colOff>
      <xdr:row>0</xdr:row>
      <xdr:rowOff>0</xdr:rowOff>
    </xdr:from>
    <xdr:to>
      <xdr:col>2</xdr:col>
      <xdr:colOff>825501</xdr:colOff>
      <xdr:row>0</xdr:row>
      <xdr:rowOff>676922</xdr:rowOff>
    </xdr:to>
    <xdr:pic>
      <xdr:nvPicPr>
        <xdr:cNvPr id="3" name="Imagen 2" descr="Imagen que contiene Logotipo&#10;&#10;Descripción generada automáticamente">
          <a:extLst>
            <a:ext uri="{FF2B5EF4-FFF2-40B4-BE49-F238E27FC236}">
              <a16:creationId xmlns:a16="http://schemas.microsoft.com/office/drawing/2014/main" id="{DF9F0A60-CB82-48EE-BC63-0A428501A55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1201" y="0"/>
          <a:ext cx="1924050" cy="676922"/>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469901</xdr:colOff>
      <xdr:row>0</xdr:row>
      <xdr:rowOff>0</xdr:rowOff>
    </xdr:from>
    <xdr:to>
      <xdr:col>2</xdr:col>
      <xdr:colOff>787401</xdr:colOff>
      <xdr:row>0</xdr:row>
      <xdr:rowOff>663517</xdr:rowOff>
    </xdr:to>
    <xdr:pic>
      <xdr:nvPicPr>
        <xdr:cNvPr id="3" name="Imagen 2" descr="Imagen que contiene Logotipo&#10;&#10;Descripción generada automáticamente">
          <a:extLst>
            <a:ext uri="{FF2B5EF4-FFF2-40B4-BE49-F238E27FC236}">
              <a16:creationId xmlns:a16="http://schemas.microsoft.com/office/drawing/2014/main" id="{F60E9B45-0D10-4FAA-BEF4-7C2DA4EF334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1201" y="0"/>
          <a:ext cx="1885950" cy="663517"/>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171451</xdr:colOff>
      <xdr:row>0</xdr:row>
      <xdr:rowOff>66675</xdr:rowOff>
    </xdr:from>
    <xdr:to>
      <xdr:col>2</xdr:col>
      <xdr:colOff>114300</xdr:colOff>
      <xdr:row>0</xdr:row>
      <xdr:rowOff>598382</xdr:rowOff>
    </xdr:to>
    <xdr:pic>
      <xdr:nvPicPr>
        <xdr:cNvPr id="3" name="Imagen 2" descr="Imagen que contiene Logotipo&#10;&#10;Descripción generada automáticamente">
          <a:extLst>
            <a:ext uri="{FF2B5EF4-FFF2-40B4-BE49-F238E27FC236}">
              <a16:creationId xmlns:a16="http://schemas.microsoft.com/office/drawing/2014/main" id="{7C80FD8F-E0D3-49D3-B671-599B7F0C897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2751" y="66675"/>
          <a:ext cx="1511299" cy="531707"/>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171450</xdr:colOff>
      <xdr:row>0</xdr:row>
      <xdr:rowOff>66675</xdr:rowOff>
    </xdr:from>
    <xdr:to>
      <xdr:col>2</xdr:col>
      <xdr:colOff>298450</xdr:colOff>
      <xdr:row>0</xdr:row>
      <xdr:rowOff>664274</xdr:rowOff>
    </xdr:to>
    <xdr:pic>
      <xdr:nvPicPr>
        <xdr:cNvPr id="3" name="Imagen 2" descr="Imagen que contiene Logotipo&#10;&#10;Descripción generada automáticamente">
          <a:extLst>
            <a:ext uri="{FF2B5EF4-FFF2-40B4-BE49-F238E27FC236}">
              <a16:creationId xmlns:a16="http://schemas.microsoft.com/office/drawing/2014/main" id="{50813954-14DC-4E59-B11F-73ADE82C07B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2750" y="66675"/>
          <a:ext cx="1695450" cy="597599"/>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C1BB3-8B4F-4037-A78F-447EA13A82F4}">
  <dimension ref="B1:N46"/>
  <sheetViews>
    <sheetView topLeftCell="A42" zoomScale="80" zoomScaleNormal="80" workbookViewId="0">
      <selection activeCell="B44" sqref="B44:F44"/>
    </sheetView>
  </sheetViews>
  <sheetFormatPr baseColWidth="10" defaultColWidth="11.5" defaultRowHeight="13.8"/>
  <cols>
    <col min="1" max="1" width="3.5" customWidth="1"/>
    <col min="2" max="2" width="22.5" customWidth="1"/>
    <col min="3" max="3" width="52.5" customWidth="1"/>
    <col min="4" max="4" width="33" customWidth="1"/>
    <col min="5" max="5" width="30" customWidth="1"/>
    <col min="6" max="6" width="29.3984375" customWidth="1"/>
    <col min="7" max="7" width="23.19921875" customWidth="1"/>
    <col min="8" max="9" width="21.59765625" customWidth="1"/>
    <col min="10" max="10" width="24.3984375" customWidth="1"/>
    <col min="13" max="13" width="15.3984375" bestFit="1" customWidth="1"/>
  </cols>
  <sheetData>
    <row r="1" spans="2:10" ht="54" customHeight="1" thickBot="1">
      <c r="B1" s="2"/>
      <c r="C1" s="3"/>
      <c r="D1" s="195" t="s">
        <v>0</v>
      </c>
      <c r="E1" s="195"/>
      <c r="F1" s="195"/>
      <c r="G1" s="195"/>
      <c r="H1" s="195"/>
      <c r="I1" s="195"/>
      <c r="J1" s="195"/>
    </row>
    <row r="2" spans="2:10" s="4" customFormat="1" ht="38.25" customHeight="1">
      <c r="B2" s="196"/>
      <c r="C2" s="197"/>
      <c r="D2" s="197"/>
      <c r="E2" s="197"/>
      <c r="F2" s="197"/>
      <c r="G2" s="197"/>
      <c r="H2" s="197"/>
      <c r="I2" s="197"/>
      <c r="J2" s="197"/>
    </row>
    <row r="3" spans="2:10" ht="0.75" customHeight="1">
      <c r="B3" s="198"/>
      <c r="C3" s="199"/>
      <c r="D3" s="199"/>
      <c r="E3" s="199"/>
      <c r="F3" s="200"/>
      <c r="G3" s="8"/>
    </row>
    <row r="4" spans="2:10" ht="0.75" customHeight="1">
      <c r="B4" s="5"/>
      <c r="C4" s="6"/>
      <c r="D4" s="6"/>
      <c r="E4" s="6"/>
      <c r="F4" s="7"/>
      <c r="G4" s="8"/>
    </row>
    <row r="5" spans="2:10" ht="0.75" customHeight="1">
      <c r="B5" s="5"/>
      <c r="C5" s="6"/>
      <c r="D5" s="6"/>
      <c r="E5" s="6"/>
      <c r="F5" s="7"/>
      <c r="G5" s="8"/>
    </row>
    <row r="6" spans="2:10" ht="0.75" customHeight="1">
      <c r="B6" s="5"/>
      <c r="C6" s="6"/>
      <c r="D6" s="6"/>
      <c r="E6" s="6"/>
      <c r="F6" s="7"/>
      <c r="G6" s="8"/>
    </row>
    <row r="7" spans="2:10" ht="0.75" customHeight="1">
      <c r="B7" s="5"/>
      <c r="C7" s="6"/>
      <c r="D7" s="6"/>
      <c r="E7" s="6"/>
      <c r="F7" s="7"/>
      <c r="G7" s="8"/>
    </row>
    <row r="8" spans="2:10" ht="16.5" customHeight="1">
      <c r="B8" s="170" t="s">
        <v>19</v>
      </c>
      <c r="C8" s="171"/>
      <c r="D8" s="171"/>
      <c r="E8" s="171"/>
      <c r="F8" s="171"/>
      <c r="G8" s="171"/>
      <c r="H8" s="171"/>
      <c r="I8" s="171"/>
      <c r="J8" s="171"/>
    </row>
    <row r="9" spans="2:10" ht="181.05" customHeight="1">
      <c r="B9" s="201" t="s">
        <v>74</v>
      </c>
      <c r="C9" s="202"/>
      <c r="D9" s="202"/>
      <c r="E9" s="202"/>
      <c r="F9" s="202"/>
      <c r="G9" s="202"/>
      <c r="H9" s="202"/>
      <c r="I9" s="202"/>
      <c r="J9" s="202"/>
    </row>
    <row r="10" spans="2:10" ht="16.5" customHeight="1">
      <c r="B10" s="170" t="s">
        <v>20</v>
      </c>
      <c r="C10" s="171"/>
      <c r="D10" s="171"/>
      <c r="E10" s="171"/>
      <c r="F10" s="171"/>
      <c r="G10" s="171"/>
      <c r="H10" s="171"/>
      <c r="I10" s="171"/>
      <c r="J10" s="171"/>
    </row>
    <row r="11" spans="2:10" ht="38.25" customHeight="1">
      <c r="B11" s="203" t="s">
        <v>75</v>
      </c>
      <c r="C11" s="204"/>
      <c r="D11" s="204"/>
      <c r="E11" s="204"/>
      <c r="F11" s="204"/>
      <c r="G11" s="204"/>
      <c r="H11" s="204"/>
      <c r="I11" s="204"/>
      <c r="J11" s="204"/>
    </row>
    <row r="12" spans="2:10" ht="16.5" customHeight="1">
      <c r="B12" s="170" t="s">
        <v>1</v>
      </c>
      <c r="C12" s="171"/>
      <c r="D12" s="171"/>
      <c r="E12" s="171"/>
      <c r="F12" s="171"/>
      <c r="G12" s="171"/>
      <c r="H12" s="171"/>
      <c r="I12" s="171"/>
      <c r="J12" s="171"/>
    </row>
    <row r="13" spans="2:10" ht="63.75" customHeight="1">
      <c r="B13" s="201" t="s">
        <v>76</v>
      </c>
      <c r="C13" s="202"/>
      <c r="D13" s="202"/>
      <c r="E13" s="202"/>
      <c r="F13" s="202"/>
      <c r="G13" s="202"/>
      <c r="H13" s="202"/>
      <c r="I13" s="202"/>
      <c r="J13" s="202"/>
    </row>
    <row r="14" spans="2:10" ht="24" customHeight="1">
      <c r="B14" s="170" t="s">
        <v>21</v>
      </c>
      <c r="C14" s="171"/>
      <c r="D14" s="171"/>
      <c r="E14" s="171"/>
      <c r="F14" s="171"/>
      <c r="G14" s="171"/>
      <c r="H14" s="171"/>
      <c r="I14" s="171"/>
      <c r="J14" s="171"/>
    </row>
    <row r="15" spans="2:10" ht="196.05" customHeight="1">
      <c r="B15" s="201" t="s">
        <v>77</v>
      </c>
      <c r="C15" s="202"/>
      <c r="D15" s="202"/>
      <c r="E15" s="202"/>
      <c r="F15" s="202"/>
      <c r="G15" s="202"/>
      <c r="H15" s="202"/>
      <c r="I15" s="202"/>
      <c r="J15" s="202"/>
    </row>
    <row r="16" spans="2:10" ht="16.5" customHeight="1">
      <c r="B16" s="193" t="s">
        <v>2</v>
      </c>
      <c r="C16" s="194"/>
      <c r="D16" s="194"/>
      <c r="E16" s="194"/>
      <c r="F16" s="194"/>
      <c r="G16" s="194"/>
      <c r="H16" s="194"/>
      <c r="I16" s="194"/>
      <c r="J16" s="194"/>
    </row>
    <row r="17" spans="2:14" ht="39.75" customHeight="1">
      <c r="B17" s="190" t="s">
        <v>22</v>
      </c>
      <c r="C17" s="191"/>
      <c r="D17" s="191"/>
      <c r="E17" s="191"/>
      <c r="F17" s="191"/>
      <c r="G17" s="191"/>
      <c r="H17" s="191"/>
      <c r="I17" s="191"/>
      <c r="J17" s="191"/>
    </row>
    <row r="18" spans="2:14" ht="16.5" customHeight="1">
      <c r="B18" s="170" t="s">
        <v>23</v>
      </c>
      <c r="C18" s="171"/>
      <c r="D18" s="171"/>
      <c r="E18" s="171"/>
      <c r="F18" s="171"/>
      <c r="G18" s="171"/>
      <c r="H18" s="171"/>
      <c r="I18" s="171"/>
      <c r="J18" s="171"/>
    </row>
    <row r="19" spans="2:14" s="10" customFormat="1" ht="17.25" customHeight="1">
      <c r="B19" s="192" t="s">
        <v>3</v>
      </c>
      <c r="C19" s="192"/>
      <c r="D19" s="9" t="s">
        <v>24</v>
      </c>
      <c r="E19" s="9" t="s">
        <v>4</v>
      </c>
      <c r="F19" s="192" t="s">
        <v>5</v>
      </c>
      <c r="G19" s="192"/>
      <c r="H19" s="192"/>
      <c r="I19" s="192"/>
      <c r="J19" s="192"/>
    </row>
    <row r="20" spans="2:14" ht="17.25" customHeight="1">
      <c r="B20" s="188" t="s">
        <v>6</v>
      </c>
      <c r="C20" s="189"/>
      <c r="D20" s="11">
        <v>0.2</v>
      </c>
      <c r="E20" s="1" t="s">
        <v>25</v>
      </c>
      <c r="F20" s="169" t="s">
        <v>26</v>
      </c>
      <c r="G20" s="169"/>
      <c r="H20" s="169"/>
      <c r="I20" s="169"/>
      <c r="J20" s="169"/>
    </row>
    <row r="21" spans="2:14" ht="17.25" customHeight="1">
      <c r="B21" s="188" t="s">
        <v>27</v>
      </c>
      <c r="C21" s="189"/>
      <c r="D21" s="11">
        <v>0.2</v>
      </c>
      <c r="E21" s="1" t="s">
        <v>25</v>
      </c>
      <c r="F21" s="169" t="s">
        <v>28</v>
      </c>
      <c r="G21" s="169"/>
      <c r="H21" s="169"/>
      <c r="I21" s="169"/>
      <c r="J21" s="169"/>
    </row>
    <row r="22" spans="2:14" ht="17.25" customHeight="1">
      <c r="B22" s="188" t="s">
        <v>29</v>
      </c>
      <c r="C22" s="189"/>
      <c r="D22" s="11">
        <v>0.2</v>
      </c>
      <c r="E22" s="1" t="s">
        <v>25</v>
      </c>
      <c r="F22" s="169" t="s">
        <v>30</v>
      </c>
      <c r="G22" s="169"/>
      <c r="H22" s="169"/>
      <c r="I22" s="169"/>
      <c r="J22" s="169"/>
    </row>
    <row r="23" spans="2:14">
      <c r="B23" s="188" t="s">
        <v>31</v>
      </c>
      <c r="C23" s="189"/>
      <c r="D23" s="11">
        <v>0.1</v>
      </c>
      <c r="E23" s="1" t="s">
        <v>25</v>
      </c>
      <c r="F23" s="169" t="s">
        <v>32</v>
      </c>
      <c r="G23" s="169"/>
      <c r="H23" s="169"/>
      <c r="I23" s="169"/>
      <c r="J23" s="169"/>
    </row>
    <row r="24" spans="2:14">
      <c r="B24" s="167" t="s">
        <v>33</v>
      </c>
      <c r="C24" s="168"/>
      <c r="D24" s="11" t="s">
        <v>34</v>
      </c>
      <c r="E24" s="1" t="s">
        <v>25</v>
      </c>
      <c r="F24" s="169" t="s">
        <v>35</v>
      </c>
      <c r="G24" s="169"/>
      <c r="H24" s="169"/>
      <c r="I24" s="169"/>
      <c r="J24" s="169"/>
    </row>
    <row r="25" spans="2:14" ht="16.5" customHeight="1" thickBot="1">
      <c r="B25" s="170" t="s">
        <v>7</v>
      </c>
      <c r="C25" s="171"/>
      <c r="D25" s="171"/>
      <c r="E25" s="171"/>
      <c r="F25" s="171"/>
      <c r="G25" s="171"/>
      <c r="H25" s="171"/>
      <c r="I25" s="171"/>
      <c r="J25" s="171"/>
    </row>
    <row r="26" spans="2:14" ht="36" customHeight="1">
      <c r="B26" s="12" t="s">
        <v>36</v>
      </c>
      <c r="C26" s="12" t="s">
        <v>37</v>
      </c>
      <c r="D26" s="13" t="s">
        <v>38</v>
      </c>
      <c r="E26" s="12" t="s">
        <v>39</v>
      </c>
      <c r="F26" s="14" t="s">
        <v>40</v>
      </c>
      <c r="G26" s="13" t="s">
        <v>41</v>
      </c>
      <c r="H26" s="13" t="s">
        <v>42</v>
      </c>
      <c r="I26" s="13" t="s">
        <v>78</v>
      </c>
      <c r="J26" s="13" t="s">
        <v>10</v>
      </c>
    </row>
    <row r="27" spans="2:14" ht="21.75" customHeight="1">
      <c r="B27" s="15"/>
      <c r="C27" s="15"/>
      <c r="D27" s="16"/>
      <c r="E27" s="15"/>
      <c r="F27" s="17"/>
      <c r="G27" s="18"/>
      <c r="H27" s="19"/>
      <c r="I27" s="19"/>
      <c r="J27" s="19"/>
    </row>
    <row r="28" spans="2:14" ht="40.049999999999997" customHeight="1">
      <c r="B28" s="38">
        <v>1</v>
      </c>
      <c r="C28" s="34" t="s">
        <v>60</v>
      </c>
      <c r="D28" s="37" t="s">
        <v>67</v>
      </c>
      <c r="E28" s="172" t="s">
        <v>43</v>
      </c>
      <c r="F28" s="20">
        <v>1</v>
      </c>
      <c r="G28" s="175">
        <v>9</v>
      </c>
      <c r="H28" s="39">
        <v>175844798.11295536</v>
      </c>
      <c r="I28" s="21">
        <f>+H28*0.19</f>
        <v>33410511.641461518</v>
      </c>
      <c r="J28" s="21">
        <f>(H28+I28)*G28</f>
        <v>1883297787.789752</v>
      </c>
      <c r="K28" s="67"/>
      <c r="L28" s="66"/>
      <c r="M28" s="67"/>
      <c r="N28" s="67"/>
    </row>
    <row r="29" spans="2:14" ht="57.75" customHeight="1">
      <c r="B29" s="38">
        <v>2</v>
      </c>
      <c r="C29" s="35" t="s">
        <v>61</v>
      </c>
      <c r="D29" s="37" t="s">
        <v>68</v>
      </c>
      <c r="E29" s="173"/>
      <c r="F29" s="20">
        <v>1</v>
      </c>
      <c r="G29" s="175"/>
      <c r="H29" s="39">
        <v>267476494.79467681</v>
      </c>
      <c r="I29" s="21">
        <f t="shared" ref="I29:I34" si="0">+H29*0.19</f>
        <v>50820534.010988593</v>
      </c>
      <c r="J29" s="21">
        <f>(H29+I29)*G28</f>
        <v>2864673259.2509885</v>
      </c>
    </row>
    <row r="30" spans="2:14" ht="57.75" customHeight="1">
      <c r="B30" s="38">
        <v>3</v>
      </c>
      <c r="C30" s="36" t="s">
        <v>62</v>
      </c>
      <c r="D30" s="37" t="s">
        <v>69</v>
      </c>
      <c r="E30" s="173"/>
      <c r="F30" s="20">
        <v>1</v>
      </c>
      <c r="G30" s="175"/>
      <c r="H30" s="39">
        <v>129166017.93462135</v>
      </c>
      <c r="I30" s="21">
        <f t="shared" si="0"/>
        <v>24541543.407578055</v>
      </c>
      <c r="J30" s="21">
        <f>(H30+I30)*G28</f>
        <v>1383368052.0797946</v>
      </c>
    </row>
    <row r="31" spans="2:14" ht="57.75" customHeight="1">
      <c r="B31" s="38">
        <v>4</v>
      </c>
      <c r="C31" s="36" t="s">
        <v>63</v>
      </c>
      <c r="D31" s="37" t="s">
        <v>70</v>
      </c>
      <c r="E31" s="173"/>
      <c r="F31" s="20">
        <v>1</v>
      </c>
      <c r="G31" s="175"/>
      <c r="H31" s="39">
        <v>62145375.307799943</v>
      </c>
      <c r="I31" s="21">
        <f t="shared" si="0"/>
        <v>11807621.308481989</v>
      </c>
      <c r="J31" s="21">
        <f>(H31+I31)*G28</f>
        <v>665576969.5465374</v>
      </c>
    </row>
    <row r="32" spans="2:14" ht="73.05" customHeight="1">
      <c r="B32" s="38">
        <v>5</v>
      </c>
      <c r="C32" s="36" t="s">
        <v>64</v>
      </c>
      <c r="D32" s="37" t="s">
        <v>71</v>
      </c>
      <c r="E32" s="173"/>
      <c r="F32" s="20">
        <v>1</v>
      </c>
      <c r="G32" s="175"/>
      <c r="H32" s="39">
        <v>38608369.304898478</v>
      </c>
      <c r="I32" s="21">
        <f t="shared" si="0"/>
        <v>7335590.1679307111</v>
      </c>
      <c r="J32" s="21">
        <f>(H32+I32)*G28</f>
        <v>413495635.25546277</v>
      </c>
    </row>
    <row r="33" spans="2:10" ht="88.95" customHeight="1">
      <c r="B33" s="38">
        <v>6</v>
      </c>
      <c r="C33" s="36" t="s">
        <v>65</v>
      </c>
      <c r="D33" s="37" t="s">
        <v>72</v>
      </c>
      <c r="E33" s="173"/>
      <c r="F33" s="20">
        <v>1</v>
      </c>
      <c r="G33" s="175"/>
      <c r="H33" s="39">
        <v>43496525.611894608</v>
      </c>
      <c r="I33" s="21">
        <f t="shared" si="0"/>
        <v>8264339.8662599754</v>
      </c>
      <c r="J33" s="21">
        <f>(H33+I33)*G28</f>
        <v>465847789.30339128</v>
      </c>
    </row>
    <row r="34" spans="2:10" ht="208.95" customHeight="1">
      <c r="B34" s="38">
        <v>7</v>
      </c>
      <c r="C34" s="35" t="s">
        <v>66</v>
      </c>
      <c r="D34" s="35" t="s">
        <v>73</v>
      </c>
      <c r="E34" s="174"/>
      <c r="F34" s="20">
        <v>1</v>
      </c>
      <c r="G34" s="175"/>
      <c r="H34" s="39">
        <v>138640414.38467282</v>
      </c>
      <c r="I34" s="65">
        <f t="shared" si="0"/>
        <v>26341678.733087838</v>
      </c>
      <c r="J34" s="21">
        <f>H34+I34</f>
        <v>164982093.11776066</v>
      </c>
    </row>
    <row r="35" spans="2:10" ht="18" customHeight="1">
      <c r="B35" s="176" t="s">
        <v>44</v>
      </c>
      <c r="C35" s="176"/>
      <c r="D35" s="176"/>
      <c r="E35" s="176"/>
      <c r="F35" s="176"/>
      <c r="G35" s="41"/>
      <c r="H35" s="42"/>
      <c r="I35" s="42"/>
      <c r="J35" s="22">
        <f>SUM(H28:H33)*G28+H34</f>
        <v>6589278643.9862928</v>
      </c>
    </row>
    <row r="36" spans="2:10" ht="18" customHeight="1">
      <c r="B36" s="177" t="s">
        <v>45</v>
      </c>
      <c r="C36" s="178"/>
      <c r="D36" s="178"/>
      <c r="E36" s="178"/>
      <c r="F36" s="179"/>
      <c r="G36" s="41"/>
      <c r="H36" s="42"/>
      <c r="I36" s="42"/>
      <c r="J36" s="22">
        <f>+J35*0.19</f>
        <v>1251962942.3573956</v>
      </c>
    </row>
    <row r="37" spans="2:10" ht="18" customHeight="1">
      <c r="B37" s="177" t="s">
        <v>46</v>
      </c>
      <c r="C37" s="178"/>
      <c r="D37" s="178"/>
      <c r="E37" s="178"/>
      <c r="F37" s="179"/>
      <c r="G37" s="41"/>
      <c r="H37" s="42"/>
      <c r="I37" s="42"/>
      <c r="J37" s="22">
        <f>+J35+J36</f>
        <v>7841241586.343689</v>
      </c>
    </row>
    <row r="38" spans="2:10" ht="72" customHeight="1">
      <c r="B38" s="23">
        <v>8</v>
      </c>
      <c r="C38" s="23" t="s">
        <v>79</v>
      </c>
      <c r="D38" s="43" t="s">
        <v>80</v>
      </c>
      <c r="E38" s="23" t="s">
        <v>43</v>
      </c>
      <c r="F38" s="23">
        <v>1</v>
      </c>
      <c r="G38" s="24">
        <v>9</v>
      </c>
      <c r="H38" s="25">
        <v>6000000</v>
      </c>
      <c r="I38" s="25"/>
      <c r="J38" s="26">
        <f>+H38*G38</f>
        <v>54000000</v>
      </c>
    </row>
    <row r="39" spans="2:10">
      <c r="B39" s="180" t="s">
        <v>49</v>
      </c>
      <c r="C39" s="181"/>
      <c r="D39" s="181"/>
      <c r="E39" s="181"/>
      <c r="F39" s="182"/>
      <c r="G39" s="183"/>
      <c r="H39" s="184"/>
      <c r="I39" s="33"/>
      <c r="J39" s="27">
        <f>+J38*0.19</f>
        <v>10260000</v>
      </c>
    </row>
    <row r="40" spans="2:10">
      <c r="B40" s="187" t="s">
        <v>50</v>
      </c>
      <c r="C40" s="187"/>
      <c r="D40" s="187"/>
      <c r="E40" s="187"/>
      <c r="F40" s="187"/>
      <c r="G40" s="185"/>
      <c r="H40" s="186"/>
      <c r="I40" s="33"/>
      <c r="J40" s="28">
        <f>+J38+J39</f>
        <v>64260000</v>
      </c>
    </row>
    <row r="41" spans="2:10" s="32" customFormat="1" ht="16.5" customHeight="1">
      <c r="B41" s="166" t="s">
        <v>51</v>
      </c>
      <c r="C41" s="166"/>
      <c r="D41" s="166"/>
      <c r="E41" s="166"/>
      <c r="F41" s="166"/>
      <c r="G41" s="29"/>
      <c r="H41" s="30"/>
      <c r="I41" s="30"/>
      <c r="J41" s="31">
        <f>+J37+J40</f>
        <v>7905501586.343689</v>
      </c>
    </row>
    <row r="42" spans="2:10" ht="86.25" customHeight="1" thickBot="1">
      <c r="B42" s="151" t="s">
        <v>81</v>
      </c>
      <c r="C42" s="152"/>
      <c r="D42" s="152"/>
      <c r="E42" s="152"/>
      <c r="F42" s="153"/>
    </row>
    <row r="43" spans="2:10" ht="75" customHeight="1" thickBot="1">
      <c r="B43" s="154" t="s">
        <v>87</v>
      </c>
      <c r="C43" s="155"/>
      <c r="D43" s="155"/>
      <c r="E43" s="155"/>
      <c r="F43" s="156"/>
    </row>
    <row r="44" spans="2:10" ht="54.75" customHeight="1">
      <c r="B44" s="157" t="s">
        <v>52</v>
      </c>
      <c r="C44" s="158"/>
      <c r="D44" s="158"/>
      <c r="E44" s="158"/>
      <c r="F44" s="159"/>
    </row>
    <row r="45" spans="2:10">
      <c r="B45" s="160" t="s">
        <v>53</v>
      </c>
      <c r="C45" s="161"/>
      <c r="D45" s="161"/>
      <c r="E45" s="161"/>
      <c r="F45" s="162"/>
    </row>
    <row r="46" spans="2:10" ht="105.75" customHeight="1" thickBot="1">
      <c r="B46" s="163" t="s">
        <v>83</v>
      </c>
      <c r="C46" s="164"/>
      <c r="D46" s="164"/>
      <c r="E46" s="164"/>
      <c r="F46" s="165"/>
    </row>
  </sheetData>
  <mergeCells count="41">
    <mergeCell ref="B16:J16"/>
    <mergeCell ref="D1:J1"/>
    <mergeCell ref="B2:J2"/>
    <mergeCell ref="B3:F3"/>
    <mergeCell ref="B8:J8"/>
    <mergeCell ref="B9:J9"/>
    <mergeCell ref="B10:J10"/>
    <mergeCell ref="B11:J11"/>
    <mergeCell ref="B12:J12"/>
    <mergeCell ref="B13:J13"/>
    <mergeCell ref="B14:J14"/>
    <mergeCell ref="B15:J15"/>
    <mergeCell ref="B17:J17"/>
    <mergeCell ref="B18:J18"/>
    <mergeCell ref="B19:C19"/>
    <mergeCell ref="F19:J19"/>
    <mergeCell ref="B20:C20"/>
    <mergeCell ref="F20:J20"/>
    <mergeCell ref="B21:C21"/>
    <mergeCell ref="F21:J21"/>
    <mergeCell ref="B22:C22"/>
    <mergeCell ref="F22:J22"/>
    <mergeCell ref="B23:C23"/>
    <mergeCell ref="F23:J23"/>
    <mergeCell ref="B41:F41"/>
    <mergeCell ref="B24:C24"/>
    <mergeCell ref="F24:J24"/>
    <mergeCell ref="B25:J25"/>
    <mergeCell ref="E28:E34"/>
    <mergeCell ref="G28:G34"/>
    <mergeCell ref="B35:F35"/>
    <mergeCell ref="B36:F36"/>
    <mergeCell ref="B37:F37"/>
    <mergeCell ref="B39:F39"/>
    <mergeCell ref="G39:H40"/>
    <mergeCell ref="B40:F40"/>
    <mergeCell ref="B42:F42"/>
    <mergeCell ref="B43:F43"/>
    <mergeCell ref="B44:F44"/>
    <mergeCell ref="B45:F45"/>
    <mergeCell ref="B46:F4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F2AC5-EBC4-4CFC-9B8C-567892647EA1}">
  <dimension ref="B1:J46"/>
  <sheetViews>
    <sheetView topLeftCell="A36" zoomScale="60" zoomScaleNormal="60" workbookViewId="0">
      <selection activeCell="B44" sqref="B44:F44"/>
    </sheetView>
  </sheetViews>
  <sheetFormatPr baseColWidth="10" defaultColWidth="11.5" defaultRowHeight="13.8"/>
  <cols>
    <col min="1" max="1" width="3.5" customWidth="1"/>
    <col min="2" max="2" width="22.5" customWidth="1"/>
    <col min="3" max="3" width="52.5" customWidth="1"/>
    <col min="4" max="4" width="33" customWidth="1"/>
    <col min="5" max="5" width="30" customWidth="1"/>
    <col min="6" max="6" width="29.3984375" customWidth="1"/>
    <col min="7" max="7" width="23.19921875" customWidth="1"/>
    <col min="8" max="9" width="21.59765625" customWidth="1"/>
    <col min="10" max="10" width="24.3984375" customWidth="1"/>
  </cols>
  <sheetData>
    <row r="1" spans="2:10" ht="54" customHeight="1" thickBot="1">
      <c r="B1" s="2"/>
      <c r="C1" s="3"/>
      <c r="D1" s="195" t="s">
        <v>0</v>
      </c>
      <c r="E1" s="195"/>
      <c r="F1" s="195"/>
      <c r="G1" s="195"/>
      <c r="H1" s="195"/>
      <c r="I1" s="195"/>
      <c r="J1" s="195"/>
    </row>
    <row r="2" spans="2:10" s="4" customFormat="1" ht="38.25" customHeight="1">
      <c r="B2" s="196"/>
      <c r="C2" s="197"/>
      <c r="D2" s="197"/>
      <c r="E2" s="197"/>
      <c r="F2" s="197"/>
      <c r="G2" s="197"/>
      <c r="H2" s="197"/>
      <c r="I2" s="197"/>
      <c r="J2" s="197"/>
    </row>
    <row r="3" spans="2:10" ht="0.75" customHeight="1">
      <c r="B3" s="198"/>
      <c r="C3" s="199"/>
      <c r="D3" s="199"/>
      <c r="E3" s="199"/>
      <c r="F3" s="200"/>
      <c r="G3" s="8"/>
    </row>
    <row r="4" spans="2:10" ht="0.75" customHeight="1">
      <c r="B4" s="5"/>
      <c r="C4" s="6"/>
      <c r="D4" s="6"/>
      <c r="E4" s="6"/>
      <c r="F4" s="7"/>
      <c r="G4" s="8"/>
    </row>
    <row r="5" spans="2:10" ht="0.75" customHeight="1">
      <c r="B5" s="5"/>
      <c r="C5" s="6"/>
      <c r="D5" s="6"/>
      <c r="E5" s="6"/>
      <c r="F5" s="7"/>
      <c r="G5" s="8"/>
    </row>
    <row r="6" spans="2:10" ht="0.75" customHeight="1">
      <c r="B6" s="5"/>
      <c r="C6" s="6"/>
      <c r="D6" s="6"/>
      <c r="E6" s="6"/>
      <c r="F6" s="7"/>
      <c r="G6" s="8"/>
    </row>
    <row r="7" spans="2:10" ht="0.75" customHeight="1">
      <c r="B7" s="5"/>
      <c r="C7" s="6"/>
      <c r="D7" s="6"/>
      <c r="E7" s="6"/>
      <c r="F7" s="7"/>
      <c r="G7" s="8"/>
    </row>
    <row r="8" spans="2:10" ht="16.5" customHeight="1">
      <c r="B8" s="170" t="s">
        <v>19</v>
      </c>
      <c r="C8" s="171"/>
      <c r="D8" s="171"/>
      <c r="E8" s="171"/>
      <c r="F8" s="171"/>
      <c r="G8" s="171"/>
      <c r="H8" s="171"/>
      <c r="I8" s="171"/>
      <c r="J8" s="171"/>
    </row>
    <row r="9" spans="2:10" ht="181.05" customHeight="1">
      <c r="B9" s="201" t="s">
        <v>74</v>
      </c>
      <c r="C9" s="202"/>
      <c r="D9" s="202"/>
      <c r="E9" s="202"/>
      <c r="F9" s="202"/>
      <c r="G9" s="202"/>
      <c r="H9" s="202"/>
      <c r="I9" s="202"/>
      <c r="J9" s="202"/>
    </row>
    <row r="10" spans="2:10" ht="16.5" customHeight="1">
      <c r="B10" s="170" t="s">
        <v>20</v>
      </c>
      <c r="C10" s="171"/>
      <c r="D10" s="171"/>
      <c r="E10" s="171"/>
      <c r="F10" s="171"/>
      <c r="G10" s="171"/>
      <c r="H10" s="171"/>
      <c r="I10" s="171"/>
      <c r="J10" s="171"/>
    </row>
    <row r="11" spans="2:10" ht="38.25" customHeight="1">
      <c r="B11" s="203" t="s">
        <v>75</v>
      </c>
      <c r="C11" s="204"/>
      <c r="D11" s="204"/>
      <c r="E11" s="204"/>
      <c r="F11" s="204"/>
      <c r="G11" s="204"/>
      <c r="H11" s="204"/>
      <c r="I11" s="204"/>
      <c r="J11" s="204"/>
    </row>
    <row r="12" spans="2:10" ht="16.5" customHeight="1">
      <c r="B12" s="170" t="s">
        <v>1</v>
      </c>
      <c r="C12" s="171"/>
      <c r="D12" s="171"/>
      <c r="E12" s="171"/>
      <c r="F12" s="171"/>
      <c r="G12" s="171"/>
      <c r="H12" s="171"/>
      <c r="I12" s="171"/>
      <c r="J12" s="171"/>
    </row>
    <row r="13" spans="2:10" ht="63.75" customHeight="1">
      <c r="B13" s="201" t="s">
        <v>76</v>
      </c>
      <c r="C13" s="202"/>
      <c r="D13" s="202"/>
      <c r="E13" s="202"/>
      <c r="F13" s="202"/>
      <c r="G13" s="202"/>
      <c r="H13" s="202"/>
      <c r="I13" s="202"/>
      <c r="J13" s="202"/>
    </row>
    <row r="14" spans="2:10" ht="24" customHeight="1">
      <c r="B14" s="170" t="s">
        <v>21</v>
      </c>
      <c r="C14" s="171"/>
      <c r="D14" s="171"/>
      <c r="E14" s="171"/>
      <c r="F14" s="171"/>
      <c r="G14" s="171"/>
      <c r="H14" s="171"/>
      <c r="I14" s="171"/>
      <c r="J14" s="171"/>
    </row>
    <row r="15" spans="2:10" ht="196.05" customHeight="1">
      <c r="B15" s="201" t="s">
        <v>77</v>
      </c>
      <c r="C15" s="202"/>
      <c r="D15" s="202"/>
      <c r="E15" s="202"/>
      <c r="F15" s="202"/>
      <c r="G15" s="202"/>
      <c r="H15" s="202"/>
      <c r="I15" s="202"/>
      <c r="J15" s="202"/>
    </row>
    <row r="16" spans="2:10" ht="16.5" customHeight="1">
      <c r="B16" s="193" t="s">
        <v>2</v>
      </c>
      <c r="C16" s="194"/>
      <c r="D16" s="194"/>
      <c r="E16" s="194"/>
      <c r="F16" s="194"/>
      <c r="G16" s="194"/>
      <c r="H16" s="194"/>
      <c r="I16" s="194"/>
      <c r="J16" s="194"/>
    </row>
    <row r="17" spans="2:10" ht="39.75" customHeight="1">
      <c r="B17" s="190" t="s">
        <v>22</v>
      </c>
      <c r="C17" s="191"/>
      <c r="D17" s="191"/>
      <c r="E17" s="191"/>
      <c r="F17" s="191"/>
      <c r="G17" s="191"/>
      <c r="H17" s="191"/>
      <c r="I17" s="191"/>
      <c r="J17" s="191"/>
    </row>
    <row r="18" spans="2:10" ht="16.5" customHeight="1">
      <c r="B18" s="170" t="s">
        <v>23</v>
      </c>
      <c r="C18" s="171"/>
      <c r="D18" s="171"/>
      <c r="E18" s="171"/>
      <c r="F18" s="171"/>
      <c r="G18" s="171"/>
      <c r="H18" s="171"/>
      <c r="I18" s="171"/>
      <c r="J18" s="171"/>
    </row>
    <row r="19" spans="2:10" s="10" customFormat="1" ht="17.25" customHeight="1">
      <c r="B19" s="192" t="s">
        <v>3</v>
      </c>
      <c r="C19" s="192"/>
      <c r="D19" s="9" t="s">
        <v>24</v>
      </c>
      <c r="E19" s="9" t="s">
        <v>4</v>
      </c>
      <c r="F19" s="192" t="s">
        <v>5</v>
      </c>
      <c r="G19" s="192"/>
      <c r="H19" s="192"/>
      <c r="I19" s="192"/>
      <c r="J19" s="192"/>
    </row>
    <row r="20" spans="2:10" ht="17.25" customHeight="1">
      <c r="B20" s="188" t="s">
        <v>6</v>
      </c>
      <c r="C20" s="189"/>
      <c r="D20" s="11">
        <v>0.2</v>
      </c>
      <c r="E20" s="1" t="s">
        <v>25</v>
      </c>
      <c r="F20" s="169" t="s">
        <v>26</v>
      </c>
      <c r="G20" s="169"/>
      <c r="H20" s="169"/>
      <c r="I20" s="169"/>
      <c r="J20" s="169"/>
    </row>
    <row r="21" spans="2:10" ht="17.25" customHeight="1">
      <c r="B21" s="188" t="s">
        <v>27</v>
      </c>
      <c r="C21" s="189"/>
      <c r="D21" s="11">
        <v>0.2</v>
      </c>
      <c r="E21" s="1" t="s">
        <v>25</v>
      </c>
      <c r="F21" s="169" t="s">
        <v>28</v>
      </c>
      <c r="G21" s="169"/>
      <c r="H21" s="169"/>
      <c r="I21" s="169"/>
      <c r="J21" s="169"/>
    </row>
    <row r="22" spans="2:10" ht="17.25" customHeight="1">
      <c r="B22" s="188" t="s">
        <v>29</v>
      </c>
      <c r="C22" s="189"/>
      <c r="D22" s="11">
        <v>0.2</v>
      </c>
      <c r="E22" s="1" t="s">
        <v>25</v>
      </c>
      <c r="F22" s="169" t="s">
        <v>30</v>
      </c>
      <c r="G22" s="169"/>
      <c r="H22" s="169"/>
      <c r="I22" s="169"/>
      <c r="J22" s="169"/>
    </row>
    <row r="23" spans="2:10">
      <c r="B23" s="188" t="s">
        <v>31</v>
      </c>
      <c r="C23" s="189"/>
      <c r="D23" s="11">
        <v>0.1</v>
      </c>
      <c r="E23" s="1" t="s">
        <v>25</v>
      </c>
      <c r="F23" s="169" t="s">
        <v>32</v>
      </c>
      <c r="G23" s="169"/>
      <c r="H23" s="169"/>
      <c r="I23" s="169"/>
      <c r="J23" s="169"/>
    </row>
    <row r="24" spans="2:10">
      <c r="B24" s="167" t="s">
        <v>33</v>
      </c>
      <c r="C24" s="168"/>
      <c r="D24" s="11" t="s">
        <v>34</v>
      </c>
      <c r="E24" s="1" t="s">
        <v>25</v>
      </c>
      <c r="F24" s="169" t="s">
        <v>35</v>
      </c>
      <c r="G24" s="169"/>
      <c r="H24" s="169"/>
      <c r="I24" s="169"/>
      <c r="J24" s="169"/>
    </row>
    <row r="25" spans="2:10" ht="16.5" customHeight="1" thickBot="1">
      <c r="B25" s="170" t="s">
        <v>7</v>
      </c>
      <c r="C25" s="171"/>
      <c r="D25" s="171"/>
      <c r="E25" s="171"/>
      <c r="F25" s="171"/>
      <c r="G25" s="171"/>
      <c r="H25" s="171"/>
      <c r="I25" s="171"/>
      <c r="J25" s="171"/>
    </row>
    <row r="26" spans="2:10" ht="36" customHeight="1">
      <c r="B26" s="12" t="s">
        <v>36</v>
      </c>
      <c r="C26" s="12" t="s">
        <v>37</v>
      </c>
      <c r="D26" s="13" t="s">
        <v>38</v>
      </c>
      <c r="E26" s="12" t="s">
        <v>39</v>
      </c>
      <c r="F26" s="14" t="s">
        <v>40</v>
      </c>
      <c r="G26" s="13" t="s">
        <v>41</v>
      </c>
      <c r="H26" s="13" t="s">
        <v>42</v>
      </c>
      <c r="I26" s="13" t="s">
        <v>78</v>
      </c>
      <c r="J26" s="13" t="s">
        <v>10</v>
      </c>
    </row>
    <row r="27" spans="2:10" ht="21.75" customHeight="1">
      <c r="B27" s="15"/>
      <c r="C27" s="15"/>
      <c r="D27" s="16"/>
      <c r="E27" s="15"/>
      <c r="F27" s="17"/>
      <c r="G27" s="18"/>
      <c r="H27" s="19"/>
      <c r="I27" s="19"/>
      <c r="J27" s="19"/>
    </row>
    <row r="28" spans="2:10" ht="40.049999999999997" customHeight="1">
      <c r="B28" s="38">
        <v>1</v>
      </c>
      <c r="C28" s="34" t="s">
        <v>60</v>
      </c>
      <c r="D28" s="37" t="s">
        <v>67</v>
      </c>
      <c r="E28" s="172" t="s">
        <v>43</v>
      </c>
      <c r="F28" s="20">
        <v>1</v>
      </c>
      <c r="G28" s="175">
        <v>9</v>
      </c>
      <c r="H28" s="39">
        <v>177931812</v>
      </c>
      <c r="I28" s="40">
        <f>+H28*0.19</f>
        <v>33807044.280000001</v>
      </c>
      <c r="J28" s="21">
        <v>1905649710</v>
      </c>
    </row>
    <row r="29" spans="2:10" ht="57.75" customHeight="1">
      <c r="B29" s="38">
        <v>2</v>
      </c>
      <c r="C29" s="35" t="s">
        <v>61</v>
      </c>
      <c r="D29" s="37" t="s">
        <v>68</v>
      </c>
      <c r="E29" s="173"/>
      <c r="F29" s="20">
        <v>1</v>
      </c>
      <c r="G29" s="175"/>
      <c r="H29" s="39">
        <v>270651040</v>
      </c>
      <c r="I29" s="40">
        <f t="shared" ref="I29:I34" si="0">+H29*0.19</f>
        <v>51423697.600000001</v>
      </c>
      <c r="J29" s="21">
        <v>2898672637</v>
      </c>
    </row>
    <row r="30" spans="2:10" ht="57.75" customHeight="1">
      <c r="B30" s="38">
        <v>3</v>
      </c>
      <c r="C30" s="36" t="s">
        <v>62</v>
      </c>
      <c r="D30" s="37" t="s">
        <v>69</v>
      </c>
      <c r="E30" s="173"/>
      <c r="F30" s="20">
        <v>1</v>
      </c>
      <c r="G30" s="175"/>
      <c r="H30" s="39">
        <v>130699025</v>
      </c>
      <c r="I30" s="40">
        <f t="shared" si="0"/>
        <v>24832814.75</v>
      </c>
      <c r="J30" s="21">
        <v>1399786557</v>
      </c>
    </row>
    <row r="31" spans="2:10" ht="57.75" customHeight="1">
      <c r="B31" s="38">
        <v>4</v>
      </c>
      <c r="C31" s="36" t="s">
        <v>63</v>
      </c>
      <c r="D31" s="37" t="s">
        <v>70</v>
      </c>
      <c r="E31" s="173"/>
      <c r="F31" s="20">
        <v>1</v>
      </c>
      <c r="G31" s="175"/>
      <c r="H31" s="39">
        <v>62882948</v>
      </c>
      <c r="I31" s="40">
        <f t="shared" si="0"/>
        <v>11947760.120000001</v>
      </c>
      <c r="J31" s="21">
        <v>673476371</v>
      </c>
    </row>
    <row r="32" spans="2:10" ht="73.05" customHeight="1">
      <c r="B32" s="38">
        <v>5</v>
      </c>
      <c r="C32" s="36" t="s">
        <v>64</v>
      </c>
      <c r="D32" s="37" t="s">
        <v>71</v>
      </c>
      <c r="E32" s="173"/>
      <c r="F32" s="20">
        <v>1</v>
      </c>
      <c r="G32" s="175"/>
      <c r="H32" s="39">
        <v>39066593</v>
      </c>
      <c r="I32" s="40">
        <f t="shared" si="0"/>
        <v>7422652.6699999999</v>
      </c>
      <c r="J32" s="21">
        <v>418403209</v>
      </c>
    </row>
    <row r="33" spans="2:10" ht="88.95" customHeight="1">
      <c r="B33" s="38">
        <v>6</v>
      </c>
      <c r="C33" s="36" t="s">
        <v>65</v>
      </c>
      <c r="D33" s="37" t="s">
        <v>72</v>
      </c>
      <c r="E33" s="173"/>
      <c r="F33" s="20">
        <v>1</v>
      </c>
      <c r="G33" s="175"/>
      <c r="H33" s="39">
        <v>44012764</v>
      </c>
      <c r="I33" s="40">
        <f t="shared" si="0"/>
        <v>8362425.1600000001</v>
      </c>
      <c r="J33" s="21">
        <v>471376704</v>
      </c>
    </row>
    <row r="34" spans="2:10" ht="208.95" customHeight="1">
      <c r="B34" s="38">
        <v>7</v>
      </c>
      <c r="C34" s="35" t="s">
        <v>66</v>
      </c>
      <c r="D34" s="35" t="s">
        <v>73</v>
      </c>
      <c r="E34" s="174"/>
      <c r="F34" s="20">
        <v>1</v>
      </c>
      <c r="G34" s="175"/>
      <c r="H34" s="39">
        <v>140285868</v>
      </c>
      <c r="I34" s="39">
        <f t="shared" si="0"/>
        <v>26654314.920000002</v>
      </c>
      <c r="J34" s="21">
        <f>H34+I34</f>
        <v>166940182.92000002</v>
      </c>
    </row>
    <row r="35" spans="2:10" ht="18" customHeight="1">
      <c r="B35" s="176" t="s">
        <v>44</v>
      </c>
      <c r="C35" s="176"/>
      <c r="D35" s="176"/>
      <c r="E35" s="176"/>
      <c r="F35" s="176"/>
      <c r="G35" s="41"/>
      <c r="H35" s="42"/>
      <c r="I35" s="42"/>
      <c r="J35" s="22">
        <f>SUM(H28:H33)*G28+H34</f>
        <v>6667483506</v>
      </c>
    </row>
    <row r="36" spans="2:10" ht="18" customHeight="1">
      <c r="B36" s="177" t="s">
        <v>45</v>
      </c>
      <c r="C36" s="178"/>
      <c r="D36" s="178"/>
      <c r="E36" s="178"/>
      <c r="F36" s="179"/>
      <c r="G36" s="41"/>
      <c r="H36" s="42"/>
      <c r="I36" s="42"/>
      <c r="J36" s="22">
        <f>+J35*0.19</f>
        <v>1266821866.1400001</v>
      </c>
    </row>
    <row r="37" spans="2:10" ht="18" customHeight="1">
      <c r="B37" s="177" t="s">
        <v>46</v>
      </c>
      <c r="C37" s="178"/>
      <c r="D37" s="178"/>
      <c r="E37" s="178"/>
      <c r="F37" s="179"/>
      <c r="G37" s="41"/>
      <c r="H37" s="42"/>
      <c r="I37" s="42"/>
      <c r="J37" s="22">
        <f>+J35+J36</f>
        <v>7934305372.1400003</v>
      </c>
    </row>
    <row r="38" spans="2:10" ht="72" customHeight="1">
      <c r="B38" s="23">
        <v>8</v>
      </c>
      <c r="C38" s="23" t="s">
        <v>79</v>
      </c>
      <c r="D38" s="43" t="s">
        <v>80</v>
      </c>
      <c r="E38" s="23" t="s">
        <v>43</v>
      </c>
      <c r="F38" s="23">
        <v>1</v>
      </c>
      <c r="G38" s="24">
        <v>9</v>
      </c>
      <c r="H38" s="25">
        <v>6000000</v>
      </c>
      <c r="I38" s="25"/>
      <c r="J38" s="26">
        <f>+H38*G38</f>
        <v>54000000</v>
      </c>
    </row>
    <row r="39" spans="2:10">
      <c r="B39" s="180" t="s">
        <v>49</v>
      </c>
      <c r="C39" s="181"/>
      <c r="D39" s="181"/>
      <c r="E39" s="181"/>
      <c r="F39" s="182"/>
      <c r="G39" s="183"/>
      <c r="H39" s="184"/>
      <c r="I39" s="33"/>
      <c r="J39" s="27">
        <f>+J38*0.19</f>
        <v>10260000</v>
      </c>
    </row>
    <row r="40" spans="2:10">
      <c r="B40" s="187" t="s">
        <v>50</v>
      </c>
      <c r="C40" s="187"/>
      <c r="D40" s="187"/>
      <c r="E40" s="187"/>
      <c r="F40" s="187"/>
      <c r="G40" s="185"/>
      <c r="H40" s="186"/>
      <c r="I40" s="33"/>
      <c r="J40" s="28">
        <f>+J38+J39</f>
        <v>64260000</v>
      </c>
    </row>
    <row r="41" spans="2:10" s="32" customFormat="1" ht="16.5" customHeight="1">
      <c r="B41" s="166" t="s">
        <v>51</v>
      </c>
      <c r="C41" s="166"/>
      <c r="D41" s="166"/>
      <c r="E41" s="166"/>
      <c r="F41" s="166"/>
      <c r="G41" s="29"/>
      <c r="H41" s="30"/>
      <c r="I41" s="30"/>
      <c r="J41" s="31">
        <f>+J37+J40</f>
        <v>7998565372.1400003</v>
      </c>
    </row>
    <row r="42" spans="2:10" ht="86.25" customHeight="1" thickBot="1">
      <c r="B42" s="151" t="s">
        <v>81</v>
      </c>
      <c r="C42" s="152"/>
      <c r="D42" s="152"/>
      <c r="E42" s="152"/>
      <c r="F42" s="153"/>
    </row>
    <row r="43" spans="2:10" ht="75" customHeight="1" thickBot="1">
      <c r="B43" s="154" t="s">
        <v>93</v>
      </c>
      <c r="C43" s="155"/>
      <c r="D43" s="155"/>
      <c r="E43" s="155"/>
      <c r="F43" s="156"/>
    </row>
    <row r="44" spans="2:10" ht="54.75" customHeight="1">
      <c r="B44" s="157" t="s">
        <v>52</v>
      </c>
      <c r="C44" s="158"/>
      <c r="D44" s="158"/>
      <c r="E44" s="158"/>
      <c r="F44" s="159"/>
    </row>
    <row r="45" spans="2:10">
      <c r="B45" s="160" t="s">
        <v>53</v>
      </c>
      <c r="C45" s="161"/>
      <c r="D45" s="161"/>
      <c r="E45" s="161"/>
      <c r="F45" s="162"/>
    </row>
    <row r="46" spans="2:10" ht="105.75" customHeight="1" thickBot="1">
      <c r="B46" s="163" t="s">
        <v>83</v>
      </c>
      <c r="C46" s="164"/>
      <c r="D46" s="164"/>
      <c r="E46" s="164"/>
      <c r="F46" s="165"/>
    </row>
  </sheetData>
  <mergeCells count="41">
    <mergeCell ref="B16:J16"/>
    <mergeCell ref="D1:J1"/>
    <mergeCell ref="B2:J2"/>
    <mergeCell ref="B3:F3"/>
    <mergeCell ref="B8:J8"/>
    <mergeCell ref="B9:J9"/>
    <mergeCell ref="B10:J10"/>
    <mergeCell ref="B11:J11"/>
    <mergeCell ref="B12:J12"/>
    <mergeCell ref="B13:J13"/>
    <mergeCell ref="B14:J14"/>
    <mergeCell ref="B15:J15"/>
    <mergeCell ref="B17:J17"/>
    <mergeCell ref="B18:J18"/>
    <mergeCell ref="B19:C19"/>
    <mergeCell ref="F19:J19"/>
    <mergeCell ref="B20:C20"/>
    <mergeCell ref="F20:J20"/>
    <mergeCell ref="B21:C21"/>
    <mergeCell ref="F21:J21"/>
    <mergeCell ref="B22:C22"/>
    <mergeCell ref="F22:J22"/>
    <mergeCell ref="B23:C23"/>
    <mergeCell ref="F23:J23"/>
    <mergeCell ref="B41:F41"/>
    <mergeCell ref="B24:C24"/>
    <mergeCell ref="F24:J24"/>
    <mergeCell ref="B25:J25"/>
    <mergeCell ref="E28:E34"/>
    <mergeCell ref="G28:G34"/>
    <mergeCell ref="B35:F35"/>
    <mergeCell ref="B36:F36"/>
    <mergeCell ref="B37:F37"/>
    <mergeCell ref="B39:F39"/>
    <mergeCell ref="G39:H40"/>
    <mergeCell ref="B40:F40"/>
    <mergeCell ref="B42:F42"/>
    <mergeCell ref="B43:F43"/>
    <mergeCell ref="B44:F44"/>
    <mergeCell ref="B45:F45"/>
    <mergeCell ref="B46:F4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7F360-E905-47F7-88D4-B01A887AD5A9}">
  <dimension ref="B1:J46"/>
  <sheetViews>
    <sheetView topLeftCell="A35" zoomScale="70" zoomScaleNormal="70" workbookViewId="0">
      <selection activeCell="B44" sqref="B44:F44"/>
    </sheetView>
  </sheetViews>
  <sheetFormatPr baseColWidth="10" defaultColWidth="11.5" defaultRowHeight="13.8"/>
  <cols>
    <col min="1" max="1" width="3.5" customWidth="1"/>
    <col min="2" max="2" width="22.5" customWidth="1"/>
    <col min="3" max="3" width="52.5" customWidth="1"/>
    <col min="4" max="4" width="33" customWidth="1"/>
    <col min="5" max="5" width="30" customWidth="1"/>
    <col min="6" max="6" width="29.3984375" customWidth="1"/>
    <col min="7" max="7" width="23.09765625" customWidth="1"/>
    <col min="8" max="9" width="21.59765625" customWidth="1"/>
    <col min="10" max="10" width="24.3984375" customWidth="1"/>
  </cols>
  <sheetData>
    <row r="1" spans="2:10" ht="54" customHeight="1" thickBot="1">
      <c r="B1" s="2"/>
      <c r="C1" s="3"/>
      <c r="D1" s="195" t="s">
        <v>0</v>
      </c>
      <c r="E1" s="195"/>
      <c r="F1" s="195"/>
      <c r="G1" s="195"/>
      <c r="H1" s="195"/>
      <c r="I1" s="195"/>
      <c r="J1" s="195"/>
    </row>
    <row r="2" spans="2:10" s="4" customFormat="1" ht="38.25" customHeight="1">
      <c r="B2" s="196"/>
      <c r="C2" s="197"/>
      <c r="D2" s="197"/>
      <c r="E2" s="197"/>
      <c r="F2" s="197"/>
      <c r="G2" s="197"/>
      <c r="H2" s="197"/>
      <c r="I2" s="197"/>
      <c r="J2" s="197"/>
    </row>
    <row r="3" spans="2:10" ht="0.75" customHeight="1">
      <c r="B3" s="198"/>
      <c r="C3" s="199"/>
      <c r="D3" s="199"/>
      <c r="E3" s="199"/>
      <c r="F3" s="200"/>
      <c r="G3" s="8"/>
    </row>
    <row r="4" spans="2:10" ht="0.75" customHeight="1">
      <c r="B4" s="5"/>
      <c r="C4" s="6"/>
      <c r="D4" s="6"/>
      <c r="E4" s="6"/>
      <c r="F4" s="7"/>
      <c r="G4" s="8"/>
    </row>
    <row r="5" spans="2:10" ht="0.75" customHeight="1">
      <c r="B5" s="5"/>
      <c r="C5" s="6"/>
      <c r="D5" s="6"/>
      <c r="E5" s="6"/>
      <c r="F5" s="7"/>
      <c r="G5" s="8"/>
    </row>
    <row r="6" spans="2:10" ht="0.75" customHeight="1">
      <c r="B6" s="5"/>
      <c r="C6" s="6"/>
      <c r="D6" s="6"/>
      <c r="E6" s="6"/>
      <c r="F6" s="7"/>
      <c r="G6" s="8"/>
    </row>
    <row r="7" spans="2:10" ht="0.75" customHeight="1">
      <c r="B7" s="5"/>
      <c r="C7" s="6"/>
      <c r="D7" s="6"/>
      <c r="E7" s="6"/>
      <c r="F7" s="7"/>
      <c r="G7" s="8"/>
    </row>
    <row r="8" spans="2:10" ht="16.5" customHeight="1">
      <c r="B8" s="170" t="s">
        <v>19</v>
      </c>
      <c r="C8" s="171"/>
      <c r="D8" s="171"/>
      <c r="E8" s="171"/>
      <c r="F8" s="171"/>
      <c r="G8" s="171"/>
      <c r="H8" s="171"/>
      <c r="I8" s="171"/>
      <c r="J8" s="171"/>
    </row>
    <row r="9" spans="2:10" ht="181.05" customHeight="1">
      <c r="B9" s="201" t="s">
        <v>74</v>
      </c>
      <c r="C9" s="202"/>
      <c r="D9" s="202"/>
      <c r="E9" s="202"/>
      <c r="F9" s="202"/>
      <c r="G9" s="202"/>
      <c r="H9" s="202"/>
      <c r="I9" s="202"/>
      <c r="J9" s="202"/>
    </row>
    <row r="10" spans="2:10" ht="16.5" customHeight="1">
      <c r="B10" s="170" t="s">
        <v>20</v>
      </c>
      <c r="C10" s="171"/>
      <c r="D10" s="171"/>
      <c r="E10" s="171"/>
      <c r="F10" s="171"/>
      <c r="G10" s="171"/>
      <c r="H10" s="171"/>
      <c r="I10" s="171"/>
      <c r="J10" s="171"/>
    </row>
    <row r="11" spans="2:10" ht="38.25" customHeight="1">
      <c r="B11" s="203" t="s">
        <v>75</v>
      </c>
      <c r="C11" s="204"/>
      <c r="D11" s="204"/>
      <c r="E11" s="204"/>
      <c r="F11" s="204"/>
      <c r="G11" s="204"/>
      <c r="H11" s="204"/>
      <c r="I11" s="204"/>
      <c r="J11" s="204"/>
    </row>
    <row r="12" spans="2:10" ht="16.5" customHeight="1">
      <c r="B12" s="170" t="s">
        <v>1</v>
      </c>
      <c r="C12" s="171"/>
      <c r="D12" s="171"/>
      <c r="E12" s="171"/>
      <c r="F12" s="171"/>
      <c r="G12" s="171"/>
      <c r="H12" s="171"/>
      <c r="I12" s="171"/>
      <c r="J12" s="171"/>
    </row>
    <row r="13" spans="2:10" ht="63.75" customHeight="1">
      <c r="B13" s="201" t="s">
        <v>76</v>
      </c>
      <c r="C13" s="202"/>
      <c r="D13" s="202"/>
      <c r="E13" s="202"/>
      <c r="F13" s="202"/>
      <c r="G13" s="202"/>
      <c r="H13" s="202"/>
      <c r="I13" s="202"/>
      <c r="J13" s="202"/>
    </row>
    <row r="14" spans="2:10" ht="24" customHeight="1">
      <c r="B14" s="170" t="s">
        <v>21</v>
      </c>
      <c r="C14" s="171"/>
      <c r="D14" s="171"/>
      <c r="E14" s="171"/>
      <c r="F14" s="171"/>
      <c r="G14" s="171"/>
      <c r="H14" s="171"/>
      <c r="I14" s="171"/>
      <c r="J14" s="171"/>
    </row>
    <row r="15" spans="2:10" ht="196.05" customHeight="1">
      <c r="B15" s="201" t="s">
        <v>77</v>
      </c>
      <c r="C15" s="202"/>
      <c r="D15" s="202"/>
      <c r="E15" s="202"/>
      <c r="F15" s="202"/>
      <c r="G15" s="202"/>
      <c r="H15" s="202"/>
      <c r="I15" s="202"/>
      <c r="J15" s="202"/>
    </row>
    <row r="16" spans="2:10" ht="16.5" customHeight="1">
      <c r="B16" s="193" t="s">
        <v>2</v>
      </c>
      <c r="C16" s="194"/>
      <c r="D16" s="194"/>
      <c r="E16" s="194"/>
      <c r="F16" s="194"/>
      <c r="G16" s="194"/>
      <c r="H16" s="194"/>
      <c r="I16" s="194"/>
      <c r="J16" s="194"/>
    </row>
    <row r="17" spans="2:10" ht="39.75" customHeight="1">
      <c r="B17" s="190" t="s">
        <v>22</v>
      </c>
      <c r="C17" s="191"/>
      <c r="D17" s="191"/>
      <c r="E17" s="191"/>
      <c r="F17" s="191"/>
      <c r="G17" s="191"/>
      <c r="H17" s="191"/>
      <c r="I17" s="191"/>
      <c r="J17" s="191"/>
    </row>
    <row r="18" spans="2:10" ht="16.5" customHeight="1">
      <c r="B18" s="170" t="s">
        <v>23</v>
      </c>
      <c r="C18" s="171"/>
      <c r="D18" s="171"/>
      <c r="E18" s="171"/>
      <c r="F18" s="171"/>
      <c r="G18" s="171"/>
      <c r="H18" s="171"/>
      <c r="I18" s="171"/>
      <c r="J18" s="171"/>
    </row>
    <row r="19" spans="2:10" s="10" customFormat="1" ht="17.25" customHeight="1">
      <c r="B19" s="192" t="s">
        <v>3</v>
      </c>
      <c r="C19" s="192"/>
      <c r="D19" s="9" t="s">
        <v>24</v>
      </c>
      <c r="E19" s="9" t="s">
        <v>4</v>
      </c>
      <c r="F19" s="192" t="s">
        <v>5</v>
      </c>
      <c r="G19" s="192"/>
      <c r="H19" s="192"/>
      <c r="I19" s="192"/>
      <c r="J19" s="192"/>
    </row>
    <row r="20" spans="2:10" ht="17.25" customHeight="1">
      <c r="B20" s="188" t="s">
        <v>6</v>
      </c>
      <c r="C20" s="189"/>
      <c r="D20" s="11">
        <v>0.2</v>
      </c>
      <c r="E20" s="1" t="s">
        <v>25</v>
      </c>
      <c r="F20" s="169" t="s">
        <v>26</v>
      </c>
      <c r="G20" s="169"/>
      <c r="H20" s="169"/>
      <c r="I20" s="169"/>
      <c r="J20" s="169"/>
    </row>
    <row r="21" spans="2:10" ht="17.25" customHeight="1">
      <c r="B21" s="188" t="s">
        <v>27</v>
      </c>
      <c r="C21" s="189"/>
      <c r="D21" s="11">
        <v>0.2</v>
      </c>
      <c r="E21" s="1" t="s">
        <v>25</v>
      </c>
      <c r="F21" s="169" t="s">
        <v>28</v>
      </c>
      <c r="G21" s="169"/>
      <c r="H21" s="169"/>
      <c r="I21" s="169"/>
      <c r="J21" s="169"/>
    </row>
    <row r="22" spans="2:10" ht="17.25" customHeight="1">
      <c r="B22" s="188" t="s">
        <v>29</v>
      </c>
      <c r="C22" s="189"/>
      <c r="D22" s="11">
        <v>0.2</v>
      </c>
      <c r="E22" s="1" t="s">
        <v>25</v>
      </c>
      <c r="F22" s="169" t="s">
        <v>30</v>
      </c>
      <c r="G22" s="169"/>
      <c r="H22" s="169"/>
      <c r="I22" s="169"/>
      <c r="J22" s="169"/>
    </row>
    <row r="23" spans="2:10">
      <c r="B23" s="188" t="s">
        <v>31</v>
      </c>
      <c r="C23" s="189"/>
      <c r="D23" s="11">
        <v>0.1</v>
      </c>
      <c r="E23" s="1" t="s">
        <v>25</v>
      </c>
      <c r="F23" s="169" t="s">
        <v>32</v>
      </c>
      <c r="G23" s="169"/>
      <c r="H23" s="169"/>
      <c r="I23" s="169"/>
      <c r="J23" s="169"/>
    </row>
    <row r="24" spans="2:10">
      <c r="B24" s="167" t="s">
        <v>33</v>
      </c>
      <c r="C24" s="168"/>
      <c r="D24" s="11" t="s">
        <v>34</v>
      </c>
      <c r="E24" s="1" t="s">
        <v>25</v>
      </c>
      <c r="F24" s="169" t="s">
        <v>35</v>
      </c>
      <c r="G24" s="169"/>
      <c r="H24" s="169"/>
      <c r="I24" s="169"/>
      <c r="J24" s="169"/>
    </row>
    <row r="25" spans="2:10" ht="16.5" customHeight="1" thickBot="1">
      <c r="B25" s="170" t="s">
        <v>7</v>
      </c>
      <c r="C25" s="171"/>
      <c r="D25" s="171"/>
      <c r="E25" s="171"/>
      <c r="F25" s="171"/>
      <c r="G25" s="171"/>
      <c r="H25" s="171"/>
      <c r="I25" s="171"/>
      <c r="J25" s="171"/>
    </row>
    <row r="26" spans="2:10" ht="36" customHeight="1">
      <c r="B26" s="12" t="s">
        <v>36</v>
      </c>
      <c r="C26" s="12" t="s">
        <v>37</v>
      </c>
      <c r="D26" s="13" t="s">
        <v>38</v>
      </c>
      <c r="E26" s="12" t="s">
        <v>39</v>
      </c>
      <c r="F26" s="14" t="s">
        <v>40</v>
      </c>
      <c r="G26" s="13" t="s">
        <v>41</v>
      </c>
      <c r="H26" s="13" t="s">
        <v>42</v>
      </c>
      <c r="I26" s="13" t="s">
        <v>78</v>
      </c>
      <c r="J26" s="13" t="s">
        <v>10</v>
      </c>
    </row>
    <row r="27" spans="2:10" ht="21.75" customHeight="1">
      <c r="B27" s="15"/>
      <c r="C27" s="15"/>
      <c r="D27" s="16"/>
      <c r="E27" s="15"/>
      <c r="F27" s="17"/>
      <c r="G27" s="18"/>
      <c r="H27" s="19"/>
      <c r="I27" s="19"/>
      <c r="J27" s="19"/>
    </row>
    <row r="28" spans="2:10" ht="40.049999999999997" customHeight="1">
      <c r="B28" s="38">
        <v>1</v>
      </c>
      <c r="C28" s="34" t="s">
        <v>60</v>
      </c>
      <c r="D28" s="37" t="s">
        <v>67</v>
      </c>
      <c r="E28" s="172" t="s">
        <v>43</v>
      </c>
      <c r="F28" s="20">
        <v>1</v>
      </c>
      <c r="G28" s="175">
        <v>9</v>
      </c>
      <c r="H28" s="39">
        <v>178892208.22624573</v>
      </c>
      <c r="I28" s="40">
        <f t="shared" ref="I28:I34" si="0">+H28*0.19</f>
        <v>33989519.562986687</v>
      </c>
      <c r="J28" s="21">
        <f>(H28+I28)*G28</f>
        <v>1915935550.103092</v>
      </c>
    </row>
    <row r="29" spans="2:10" ht="57.75" customHeight="1">
      <c r="B29" s="38">
        <v>2</v>
      </c>
      <c r="C29" s="35" t="s">
        <v>61</v>
      </c>
      <c r="D29" s="37" t="s">
        <v>68</v>
      </c>
      <c r="E29" s="173"/>
      <c r="F29" s="20">
        <v>1</v>
      </c>
      <c r="G29" s="175"/>
      <c r="H29" s="39">
        <v>272111892.50932038</v>
      </c>
      <c r="I29" s="40">
        <f t="shared" si="0"/>
        <v>51701259.576770872</v>
      </c>
      <c r="J29" s="21">
        <f>(H29+I29)*G28</f>
        <v>2914318368.7748213</v>
      </c>
    </row>
    <row r="30" spans="2:10" ht="57.75" customHeight="1">
      <c r="B30" s="38">
        <v>3</v>
      </c>
      <c r="C30" s="36" t="s">
        <v>62</v>
      </c>
      <c r="D30" s="37" t="s">
        <v>69</v>
      </c>
      <c r="E30" s="173"/>
      <c r="F30" s="20">
        <v>1</v>
      </c>
      <c r="G30" s="175"/>
      <c r="H30" s="39">
        <v>131404479.5415127</v>
      </c>
      <c r="I30" s="40">
        <f t="shared" si="0"/>
        <v>24966851.112887412</v>
      </c>
      <c r="J30" s="21">
        <f>(H30+I30)*G28</f>
        <v>1407341975.889601</v>
      </c>
    </row>
    <row r="31" spans="2:10" ht="57.75" customHeight="1">
      <c r="B31" s="38">
        <v>4</v>
      </c>
      <c r="C31" s="36" t="s">
        <v>63</v>
      </c>
      <c r="D31" s="37" t="s">
        <v>70</v>
      </c>
      <c r="E31" s="173"/>
      <c r="F31" s="20">
        <v>1</v>
      </c>
      <c r="G31" s="175"/>
      <c r="H31" s="39">
        <v>63222361.645977341</v>
      </c>
      <c r="I31" s="40">
        <f t="shared" si="0"/>
        <v>12012248.712735696</v>
      </c>
      <c r="J31" s="21">
        <f>(H31+I31)*G28</f>
        <v>677111493.22841728</v>
      </c>
    </row>
    <row r="32" spans="2:10" ht="73.05" customHeight="1">
      <c r="B32" s="38">
        <v>5</v>
      </c>
      <c r="C32" s="36" t="s">
        <v>64</v>
      </c>
      <c r="D32" s="37" t="s">
        <v>71</v>
      </c>
      <c r="E32" s="173"/>
      <c r="F32" s="20">
        <v>1</v>
      </c>
      <c r="G32" s="175"/>
      <c r="H32" s="39">
        <v>39277456.683882646</v>
      </c>
      <c r="I32" s="40">
        <f t="shared" si="0"/>
        <v>7462716.7699377025</v>
      </c>
      <c r="J32" s="21">
        <f>(H32+I32)*G28</f>
        <v>420661561.08438313</v>
      </c>
    </row>
    <row r="33" spans="2:10" ht="88.95" customHeight="1">
      <c r="B33" s="38">
        <v>6</v>
      </c>
      <c r="C33" s="36" t="s">
        <v>65</v>
      </c>
      <c r="D33" s="37" t="s">
        <v>72</v>
      </c>
      <c r="E33" s="173"/>
      <c r="F33" s="20">
        <v>1</v>
      </c>
      <c r="G33" s="175"/>
      <c r="H33" s="39">
        <v>44250325.289025433</v>
      </c>
      <c r="I33" s="40">
        <f t="shared" si="0"/>
        <v>8407561.8049148321</v>
      </c>
      <c r="J33" s="21">
        <f>(H33+I33)*G28</f>
        <v>473920983.84546238</v>
      </c>
    </row>
    <row r="34" spans="2:10" ht="208.95" customHeight="1">
      <c r="B34" s="38">
        <v>7</v>
      </c>
      <c r="C34" s="35" t="s">
        <v>66</v>
      </c>
      <c r="D34" s="35" t="s">
        <v>73</v>
      </c>
      <c r="E34" s="174"/>
      <c r="F34" s="20">
        <v>1</v>
      </c>
      <c r="G34" s="175"/>
      <c r="H34" s="39">
        <v>141043068.34680611</v>
      </c>
      <c r="I34" s="39">
        <f t="shared" si="0"/>
        <v>26798182.98589316</v>
      </c>
      <c r="J34" s="21">
        <f>H34+I34</f>
        <v>167841251.33269927</v>
      </c>
    </row>
    <row r="35" spans="2:10" ht="18" customHeight="1">
      <c r="B35" s="176" t="s">
        <v>44</v>
      </c>
      <c r="C35" s="176"/>
      <c r="D35" s="176"/>
      <c r="E35" s="176"/>
      <c r="F35" s="176"/>
      <c r="G35" s="41"/>
      <c r="H35" s="42"/>
      <c r="I35" s="42"/>
      <c r="J35" s="22">
        <f>SUM(H28:H33)*G28+H34</f>
        <v>6703471583.4104853</v>
      </c>
    </row>
    <row r="36" spans="2:10" ht="18" customHeight="1">
      <c r="B36" s="177" t="s">
        <v>45</v>
      </c>
      <c r="C36" s="178"/>
      <c r="D36" s="178"/>
      <c r="E36" s="178"/>
      <c r="F36" s="179"/>
      <c r="G36" s="41"/>
      <c r="H36" s="42"/>
      <c r="I36" s="42"/>
      <c r="J36" s="22">
        <f>+J35*0.19</f>
        <v>1273659600.8479922</v>
      </c>
    </row>
    <row r="37" spans="2:10" ht="18" customHeight="1">
      <c r="B37" s="177" t="s">
        <v>46</v>
      </c>
      <c r="C37" s="178"/>
      <c r="D37" s="178"/>
      <c r="E37" s="178"/>
      <c r="F37" s="179"/>
      <c r="G37" s="41"/>
      <c r="H37" s="42"/>
      <c r="I37" s="42"/>
      <c r="J37" s="22">
        <f>+J35+J36</f>
        <v>7977131184.2584772</v>
      </c>
    </row>
    <row r="38" spans="2:10" ht="72" customHeight="1">
      <c r="B38" s="23">
        <v>8</v>
      </c>
      <c r="C38" s="23" t="s">
        <v>79</v>
      </c>
      <c r="D38" s="43" t="s">
        <v>80</v>
      </c>
      <c r="E38" s="23" t="s">
        <v>43</v>
      </c>
      <c r="F38" s="23">
        <v>1</v>
      </c>
      <c r="G38" s="24">
        <v>9</v>
      </c>
      <c r="H38" s="25">
        <v>6000000</v>
      </c>
      <c r="I38" s="25"/>
      <c r="J38" s="26">
        <f>+H38*G38</f>
        <v>54000000</v>
      </c>
    </row>
    <row r="39" spans="2:10">
      <c r="B39" s="180" t="s">
        <v>49</v>
      </c>
      <c r="C39" s="181"/>
      <c r="D39" s="181"/>
      <c r="E39" s="181"/>
      <c r="F39" s="182"/>
      <c r="G39" s="183"/>
      <c r="H39" s="184"/>
      <c r="I39" s="33"/>
      <c r="J39" s="27">
        <f>+J38*0.19</f>
        <v>10260000</v>
      </c>
    </row>
    <row r="40" spans="2:10">
      <c r="B40" s="187" t="s">
        <v>50</v>
      </c>
      <c r="C40" s="187"/>
      <c r="D40" s="187"/>
      <c r="E40" s="187"/>
      <c r="F40" s="187"/>
      <c r="G40" s="185"/>
      <c r="H40" s="186"/>
      <c r="I40" s="33"/>
      <c r="J40" s="28">
        <f>+J38+J39</f>
        <v>64260000</v>
      </c>
    </row>
    <row r="41" spans="2:10" s="32" customFormat="1" ht="16.5" customHeight="1">
      <c r="B41" s="166" t="s">
        <v>51</v>
      </c>
      <c r="C41" s="166"/>
      <c r="D41" s="166"/>
      <c r="E41" s="166"/>
      <c r="F41" s="166"/>
      <c r="G41" s="29"/>
      <c r="H41" s="30"/>
      <c r="I41" s="30"/>
      <c r="J41" s="31">
        <f>+J37+J40</f>
        <v>8041391184.2584772</v>
      </c>
    </row>
    <row r="42" spans="2:10" ht="86.25" customHeight="1" thickBot="1">
      <c r="B42" s="151" t="s">
        <v>81</v>
      </c>
      <c r="C42" s="152"/>
      <c r="D42" s="152"/>
      <c r="E42" s="152"/>
      <c r="F42" s="153"/>
    </row>
    <row r="43" spans="2:10" ht="75" customHeight="1" thickBot="1">
      <c r="B43" s="154" t="s">
        <v>89</v>
      </c>
      <c r="C43" s="155"/>
      <c r="D43" s="155"/>
      <c r="E43" s="155"/>
      <c r="F43" s="156"/>
    </row>
    <row r="44" spans="2:10" ht="54.75" customHeight="1">
      <c r="B44" s="157" t="s">
        <v>52</v>
      </c>
      <c r="C44" s="158"/>
      <c r="D44" s="158"/>
      <c r="E44" s="158"/>
      <c r="F44" s="159"/>
    </row>
    <row r="45" spans="2:10">
      <c r="B45" s="160" t="s">
        <v>53</v>
      </c>
      <c r="C45" s="161"/>
      <c r="D45" s="161"/>
      <c r="E45" s="161"/>
      <c r="F45" s="162"/>
    </row>
    <row r="46" spans="2:10" ht="105.75" customHeight="1" thickBot="1">
      <c r="B46" s="163" t="s">
        <v>83</v>
      </c>
      <c r="C46" s="164"/>
      <c r="D46" s="164"/>
      <c r="E46" s="164"/>
      <c r="F46" s="165"/>
    </row>
  </sheetData>
  <mergeCells count="41">
    <mergeCell ref="B16:J16"/>
    <mergeCell ref="D1:J1"/>
    <mergeCell ref="B2:J2"/>
    <mergeCell ref="B3:F3"/>
    <mergeCell ref="B8:J8"/>
    <mergeCell ref="B9:J9"/>
    <mergeCell ref="B10:J10"/>
    <mergeCell ref="B11:J11"/>
    <mergeCell ref="B12:J12"/>
    <mergeCell ref="B13:J13"/>
    <mergeCell ref="B14:J14"/>
    <mergeCell ref="B15:J15"/>
    <mergeCell ref="B17:J17"/>
    <mergeCell ref="B18:J18"/>
    <mergeCell ref="B19:C19"/>
    <mergeCell ref="F19:J19"/>
    <mergeCell ref="B20:C20"/>
    <mergeCell ref="F20:J20"/>
    <mergeCell ref="B21:C21"/>
    <mergeCell ref="F21:J21"/>
    <mergeCell ref="B22:C22"/>
    <mergeCell ref="F22:J22"/>
    <mergeCell ref="B23:C23"/>
    <mergeCell ref="F23:J23"/>
    <mergeCell ref="B41:F41"/>
    <mergeCell ref="B24:C24"/>
    <mergeCell ref="F24:J24"/>
    <mergeCell ref="B25:J25"/>
    <mergeCell ref="E28:E34"/>
    <mergeCell ref="G28:G34"/>
    <mergeCell ref="B35:F35"/>
    <mergeCell ref="B36:F36"/>
    <mergeCell ref="B37:F37"/>
    <mergeCell ref="B39:F39"/>
    <mergeCell ref="G39:H40"/>
    <mergeCell ref="B40:F40"/>
    <mergeCell ref="B42:F42"/>
    <mergeCell ref="B43:F43"/>
    <mergeCell ref="B44:F44"/>
    <mergeCell ref="B45:F45"/>
    <mergeCell ref="B46:F46"/>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FC0CD4-02F4-42E8-BA94-190E09A65E4C}">
  <dimension ref="B1:J46"/>
  <sheetViews>
    <sheetView topLeftCell="A39" workbookViewId="0">
      <selection activeCell="B43" sqref="B43:F43"/>
    </sheetView>
  </sheetViews>
  <sheetFormatPr baseColWidth="10" defaultColWidth="11.5" defaultRowHeight="13.8"/>
  <cols>
    <col min="1" max="1" width="3.5" customWidth="1"/>
    <col min="2" max="2" width="22.5" customWidth="1"/>
    <col min="3" max="3" width="52.5" customWidth="1"/>
    <col min="4" max="4" width="33" customWidth="1"/>
    <col min="5" max="5" width="30" customWidth="1"/>
    <col min="6" max="6" width="29.3984375" customWidth="1"/>
    <col min="7" max="7" width="23.19921875" customWidth="1"/>
    <col min="8" max="9" width="21.59765625" customWidth="1"/>
    <col min="10" max="10" width="24.3984375" customWidth="1"/>
  </cols>
  <sheetData>
    <row r="1" spans="2:10" ht="54" customHeight="1" thickBot="1">
      <c r="B1" s="2"/>
      <c r="C1" s="3"/>
      <c r="D1" s="195" t="s">
        <v>0</v>
      </c>
      <c r="E1" s="195"/>
      <c r="F1" s="195"/>
      <c r="G1" s="195"/>
      <c r="H1" s="195"/>
      <c r="I1" s="195"/>
      <c r="J1" s="195"/>
    </row>
    <row r="2" spans="2:10" s="4" customFormat="1" ht="38.25" customHeight="1">
      <c r="B2" s="196"/>
      <c r="C2" s="197"/>
      <c r="D2" s="197"/>
      <c r="E2" s="197"/>
      <c r="F2" s="197"/>
      <c r="G2" s="197"/>
      <c r="H2" s="197"/>
      <c r="I2" s="197"/>
      <c r="J2" s="197"/>
    </row>
    <row r="3" spans="2:10" ht="0.75" customHeight="1">
      <c r="B3" s="198"/>
      <c r="C3" s="199"/>
      <c r="D3" s="199"/>
      <c r="E3" s="199"/>
      <c r="F3" s="200"/>
      <c r="G3" s="8"/>
    </row>
    <row r="4" spans="2:10" ht="0.75" customHeight="1">
      <c r="B4" s="5"/>
      <c r="C4" s="6"/>
      <c r="D4" s="6"/>
      <c r="E4" s="6"/>
      <c r="F4" s="7"/>
      <c r="G4" s="8"/>
    </row>
    <row r="5" spans="2:10" ht="0.75" customHeight="1">
      <c r="B5" s="5"/>
      <c r="C5" s="6"/>
      <c r="D5" s="6"/>
      <c r="E5" s="6"/>
      <c r="F5" s="7"/>
      <c r="G5" s="8"/>
    </row>
    <row r="6" spans="2:10" ht="0.75" customHeight="1">
      <c r="B6" s="5"/>
      <c r="C6" s="6"/>
      <c r="D6" s="6"/>
      <c r="E6" s="6"/>
      <c r="F6" s="7"/>
      <c r="G6" s="8"/>
    </row>
    <row r="7" spans="2:10" ht="0.75" customHeight="1">
      <c r="B7" s="5"/>
      <c r="C7" s="6"/>
      <c r="D7" s="6"/>
      <c r="E7" s="6"/>
      <c r="F7" s="7"/>
      <c r="G7" s="8"/>
    </row>
    <row r="8" spans="2:10" ht="16.5" customHeight="1">
      <c r="B8" s="170" t="s">
        <v>19</v>
      </c>
      <c r="C8" s="171"/>
      <c r="D8" s="171"/>
      <c r="E8" s="171"/>
      <c r="F8" s="171"/>
      <c r="G8" s="171"/>
      <c r="H8" s="171"/>
      <c r="I8" s="171"/>
      <c r="J8" s="171"/>
    </row>
    <row r="9" spans="2:10" ht="181.05" customHeight="1">
      <c r="B9" s="201" t="s">
        <v>74</v>
      </c>
      <c r="C9" s="202"/>
      <c r="D9" s="202"/>
      <c r="E9" s="202"/>
      <c r="F9" s="202"/>
      <c r="G9" s="202"/>
      <c r="H9" s="202"/>
      <c r="I9" s="202"/>
      <c r="J9" s="202"/>
    </row>
    <row r="10" spans="2:10" ht="16.5" customHeight="1">
      <c r="B10" s="170" t="s">
        <v>20</v>
      </c>
      <c r="C10" s="171"/>
      <c r="D10" s="171"/>
      <c r="E10" s="171"/>
      <c r="F10" s="171"/>
      <c r="G10" s="171"/>
      <c r="H10" s="171"/>
      <c r="I10" s="171"/>
      <c r="J10" s="171"/>
    </row>
    <row r="11" spans="2:10" ht="38.25" customHeight="1">
      <c r="B11" s="203" t="s">
        <v>75</v>
      </c>
      <c r="C11" s="204"/>
      <c r="D11" s="204"/>
      <c r="E11" s="204"/>
      <c r="F11" s="204"/>
      <c r="G11" s="204"/>
      <c r="H11" s="204"/>
      <c r="I11" s="204"/>
      <c r="J11" s="204"/>
    </row>
    <row r="12" spans="2:10" ht="16.5" customHeight="1">
      <c r="B12" s="170" t="s">
        <v>1</v>
      </c>
      <c r="C12" s="171"/>
      <c r="D12" s="171"/>
      <c r="E12" s="171"/>
      <c r="F12" s="171"/>
      <c r="G12" s="171"/>
      <c r="H12" s="171"/>
      <c r="I12" s="171"/>
      <c r="J12" s="171"/>
    </row>
    <row r="13" spans="2:10" ht="63.75" customHeight="1">
      <c r="B13" s="201" t="s">
        <v>76</v>
      </c>
      <c r="C13" s="202"/>
      <c r="D13" s="202"/>
      <c r="E13" s="202"/>
      <c r="F13" s="202"/>
      <c r="G13" s="202"/>
      <c r="H13" s="202"/>
      <c r="I13" s="202"/>
      <c r="J13" s="202"/>
    </row>
    <row r="14" spans="2:10" ht="24" customHeight="1">
      <c r="B14" s="170" t="s">
        <v>21</v>
      </c>
      <c r="C14" s="171"/>
      <c r="D14" s="171"/>
      <c r="E14" s="171"/>
      <c r="F14" s="171"/>
      <c r="G14" s="171"/>
      <c r="H14" s="171"/>
      <c r="I14" s="171"/>
      <c r="J14" s="171"/>
    </row>
    <row r="15" spans="2:10" ht="196.05" customHeight="1">
      <c r="B15" s="201" t="s">
        <v>77</v>
      </c>
      <c r="C15" s="202"/>
      <c r="D15" s="202"/>
      <c r="E15" s="202"/>
      <c r="F15" s="202"/>
      <c r="G15" s="202"/>
      <c r="H15" s="202"/>
      <c r="I15" s="202"/>
      <c r="J15" s="202"/>
    </row>
    <row r="16" spans="2:10" ht="16.5" customHeight="1">
      <c r="B16" s="193" t="s">
        <v>2</v>
      </c>
      <c r="C16" s="194"/>
      <c r="D16" s="194"/>
      <c r="E16" s="194"/>
      <c r="F16" s="194"/>
      <c r="G16" s="194"/>
      <c r="H16" s="194"/>
      <c r="I16" s="194"/>
      <c r="J16" s="194"/>
    </row>
    <row r="17" spans="2:10" ht="39.75" customHeight="1">
      <c r="B17" s="190" t="s">
        <v>22</v>
      </c>
      <c r="C17" s="191"/>
      <c r="D17" s="191"/>
      <c r="E17" s="191"/>
      <c r="F17" s="191"/>
      <c r="G17" s="191"/>
      <c r="H17" s="191"/>
      <c r="I17" s="191"/>
      <c r="J17" s="191"/>
    </row>
    <row r="18" spans="2:10" ht="16.5" customHeight="1">
      <c r="B18" s="170" t="s">
        <v>23</v>
      </c>
      <c r="C18" s="171"/>
      <c r="D18" s="171"/>
      <c r="E18" s="171"/>
      <c r="F18" s="171"/>
      <c r="G18" s="171"/>
      <c r="H18" s="171"/>
      <c r="I18" s="171"/>
      <c r="J18" s="171"/>
    </row>
    <row r="19" spans="2:10" s="10" customFormat="1" ht="17.25" customHeight="1">
      <c r="B19" s="192" t="s">
        <v>3</v>
      </c>
      <c r="C19" s="192"/>
      <c r="D19" s="9" t="s">
        <v>24</v>
      </c>
      <c r="E19" s="9" t="s">
        <v>4</v>
      </c>
      <c r="F19" s="192" t="s">
        <v>5</v>
      </c>
      <c r="G19" s="192"/>
      <c r="H19" s="192"/>
      <c r="I19" s="192"/>
      <c r="J19" s="192"/>
    </row>
    <row r="20" spans="2:10" ht="17.25" customHeight="1">
      <c r="B20" s="188" t="s">
        <v>6</v>
      </c>
      <c r="C20" s="189"/>
      <c r="D20" s="11">
        <v>0.2</v>
      </c>
      <c r="E20" s="1" t="s">
        <v>25</v>
      </c>
      <c r="F20" s="169" t="s">
        <v>26</v>
      </c>
      <c r="G20" s="169"/>
      <c r="H20" s="169"/>
      <c r="I20" s="169"/>
      <c r="J20" s="169"/>
    </row>
    <row r="21" spans="2:10" ht="17.25" customHeight="1">
      <c r="B21" s="188" t="s">
        <v>27</v>
      </c>
      <c r="C21" s="189"/>
      <c r="D21" s="11">
        <v>0.2</v>
      </c>
      <c r="E21" s="1" t="s">
        <v>25</v>
      </c>
      <c r="F21" s="169" t="s">
        <v>28</v>
      </c>
      <c r="G21" s="169"/>
      <c r="H21" s="169"/>
      <c r="I21" s="169"/>
      <c r="J21" s="169"/>
    </row>
    <row r="22" spans="2:10" ht="17.25" customHeight="1">
      <c r="B22" s="188" t="s">
        <v>29</v>
      </c>
      <c r="C22" s="189"/>
      <c r="D22" s="11">
        <v>0.2</v>
      </c>
      <c r="E22" s="1" t="s">
        <v>25</v>
      </c>
      <c r="F22" s="169" t="s">
        <v>30</v>
      </c>
      <c r="G22" s="169"/>
      <c r="H22" s="169"/>
      <c r="I22" s="169"/>
      <c r="J22" s="169"/>
    </row>
    <row r="23" spans="2:10">
      <c r="B23" s="188" t="s">
        <v>31</v>
      </c>
      <c r="C23" s="189"/>
      <c r="D23" s="11">
        <v>0.1</v>
      </c>
      <c r="E23" s="1" t="s">
        <v>25</v>
      </c>
      <c r="F23" s="169" t="s">
        <v>32</v>
      </c>
      <c r="G23" s="169"/>
      <c r="H23" s="169"/>
      <c r="I23" s="169"/>
      <c r="J23" s="169"/>
    </row>
    <row r="24" spans="2:10">
      <c r="B24" s="167" t="s">
        <v>33</v>
      </c>
      <c r="C24" s="168"/>
      <c r="D24" s="11" t="s">
        <v>34</v>
      </c>
      <c r="E24" s="1" t="s">
        <v>25</v>
      </c>
      <c r="F24" s="169" t="s">
        <v>35</v>
      </c>
      <c r="G24" s="169"/>
      <c r="H24" s="169"/>
      <c r="I24" s="169"/>
      <c r="J24" s="169"/>
    </row>
    <row r="25" spans="2:10" ht="16.5" customHeight="1" thickBot="1">
      <c r="B25" s="170" t="s">
        <v>7</v>
      </c>
      <c r="C25" s="171"/>
      <c r="D25" s="171"/>
      <c r="E25" s="171"/>
      <c r="F25" s="171"/>
      <c r="G25" s="171"/>
      <c r="H25" s="171"/>
      <c r="I25" s="171"/>
      <c r="J25" s="171"/>
    </row>
    <row r="26" spans="2:10" ht="36" customHeight="1">
      <c r="B26" s="12" t="s">
        <v>36</v>
      </c>
      <c r="C26" s="12" t="s">
        <v>37</v>
      </c>
      <c r="D26" s="13" t="s">
        <v>38</v>
      </c>
      <c r="E26" s="12" t="s">
        <v>39</v>
      </c>
      <c r="F26" s="14" t="s">
        <v>40</v>
      </c>
      <c r="G26" s="13" t="s">
        <v>41</v>
      </c>
      <c r="H26" s="13" t="s">
        <v>42</v>
      </c>
      <c r="I26" s="13" t="s">
        <v>78</v>
      </c>
      <c r="J26" s="13" t="s">
        <v>10</v>
      </c>
    </row>
    <row r="27" spans="2:10" ht="21.75" customHeight="1">
      <c r="B27" s="15"/>
      <c r="C27" s="15"/>
      <c r="D27" s="16"/>
      <c r="E27" s="15"/>
      <c r="F27" s="17"/>
      <c r="G27" s="18"/>
      <c r="H27" s="19"/>
      <c r="I27" s="19"/>
      <c r="J27" s="19"/>
    </row>
    <row r="28" spans="2:10" ht="40.049999999999997" customHeight="1">
      <c r="B28" s="38">
        <v>1</v>
      </c>
      <c r="C28" s="34" t="s">
        <v>60</v>
      </c>
      <c r="D28" s="37" t="s">
        <v>67</v>
      </c>
      <c r="E28" s="172" t="s">
        <v>43</v>
      </c>
      <c r="F28" s="20">
        <v>1</v>
      </c>
      <c r="G28" s="175">
        <v>9</v>
      </c>
      <c r="H28" s="39">
        <v>179316998.72688618</v>
      </c>
      <c r="I28" s="40">
        <f t="shared" ref="I28:I34" si="0">+H28*0.19</f>
        <v>34070229.758108377</v>
      </c>
      <c r="J28" s="21">
        <f>(H28+I28)*G28</f>
        <v>1920485056.3649511</v>
      </c>
    </row>
    <row r="29" spans="2:10" ht="57.75" customHeight="1">
      <c r="B29" s="38">
        <v>2</v>
      </c>
      <c r="C29" s="35" t="s">
        <v>61</v>
      </c>
      <c r="D29" s="37" t="s">
        <v>68</v>
      </c>
      <c r="E29" s="173"/>
      <c r="F29" s="20">
        <v>1</v>
      </c>
      <c r="G29" s="175"/>
      <c r="H29" s="39">
        <v>272758038.85742223</v>
      </c>
      <c r="I29" s="40">
        <f t="shared" si="0"/>
        <v>51824027.382910222</v>
      </c>
      <c r="J29" s="21">
        <f>(H29+I29)*G28</f>
        <v>2921238596.1629925</v>
      </c>
    </row>
    <row r="30" spans="2:10" ht="57.75" customHeight="1">
      <c r="B30" s="38">
        <v>3</v>
      </c>
      <c r="C30" s="36" t="s">
        <v>62</v>
      </c>
      <c r="D30" s="37" t="s">
        <v>69</v>
      </c>
      <c r="E30" s="173"/>
      <c r="F30" s="20">
        <v>1</v>
      </c>
      <c r="G30" s="175"/>
      <c r="H30" s="39">
        <v>131716507.52307937</v>
      </c>
      <c r="I30" s="40">
        <f t="shared" si="0"/>
        <v>25026136.429385081</v>
      </c>
      <c r="J30" s="21">
        <f>(H30+I30)*G28</f>
        <v>1410683795.5721803</v>
      </c>
    </row>
    <row r="31" spans="2:10" ht="57.75" customHeight="1">
      <c r="B31" s="38">
        <v>4</v>
      </c>
      <c r="C31" s="36" t="s">
        <v>63</v>
      </c>
      <c r="D31" s="37" t="s">
        <v>70</v>
      </c>
      <c r="E31" s="173"/>
      <c r="F31" s="20">
        <v>1</v>
      </c>
      <c r="G31" s="175"/>
      <c r="H31" s="39">
        <v>63372487.014329337</v>
      </c>
      <c r="I31" s="40">
        <f t="shared" si="0"/>
        <v>12040772.532722574</v>
      </c>
      <c r="J31" s="21">
        <f>(H31+I31)*G28</f>
        <v>678719335.92346716</v>
      </c>
    </row>
    <row r="32" spans="2:10" ht="73.05" customHeight="1">
      <c r="B32" s="38">
        <v>5</v>
      </c>
      <c r="C32" s="36" t="s">
        <v>64</v>
      </c>
      <c r="D32" s="37" t="s">
        <v>71</v>
      </c>
      <c r="E32" s="173"/>
      <c r="F32" s="20">
        <v>1</v>
      </c>
      <c r="G32" s="175"/>
      <c r="H32" s="39">
        <v>39370723.409438014</v>
      </c>
      <c r="I32" s="40">
        <f t="shared" si="0"/>
        <v>7480437.447793223</v>
      </c>
      <c r="J32" s="21">
        <f>(H32+I32)*G28</f>
        <v>421660447.71508116</v>
      </c>
    </row>
    <row r="33" spans="2:10" ht="88.95" customHeight="1">
      <c r="B33" s="38">
        <v>6</v>
      </c>
      <c r="C33" s="36" t="s">
        <v>65</v>
      </c>
      <c r="D33" s="37" t="s">
        <v>72</v>
      </c>
      <c r="E33" s="173"/>
      <c r="F33" s="20">
        <v>1</v>
      </c>
      <c r="G33" s="175"/>
      <c r="H33" s="39">
        <v>44355400.395534575</v>
      </c>
      <c r="I33" s="40">
        <f t="shared" si="0"/>
        <v>8427526.0751515701</v>
      </c>
      <c r="J33" s="21">
        <f>(H33+I33)*G28</f>
        <v>475046338.2361753</v>
      </c>
    </row>
    <row r="34" spans="2:10" ht="208.95" customHeight="1">
      <c r="B34" s="38">
        <v>7</v>
      </c>
      <c r="C34" s="35" t="s">
        <v>66</v>
      </c>
      <c r="D34" s="35" t="s">
        <v>73</v>
      </c>
      <c r="E34" s="174"/>
      <c r="F34" s="20">
        <v>1</v>
      </c>
      <c r="G34" s="175"/>
      <c r="H34" s="39">
        <v>141377983.74758831</v>
      </c>
      <c r="I34" s="39">
        <f t="shared" si="0"/>
        <v>26861816.91204178</v>
      </c>
      <c r="J34" s="21">
        <f>H34+I34</f>
        <v>168239800.65963009</v>
      </c>
    </row>
    <row r="35" spans="2:10" ht="18" customHeight="1">
      <c r="B35" s="176" t="s">
        <v>44</v>
      </c>
      <c r="C35" s="176"/>
      <c r="D35" s="176"/>
      <c r="E35" s="176"/>
      <c r="F35" s="176"/>
      <c r="G35" s="41"/>
      <c r="H35" s="42"/>
      <c r="I35" s="42"/>
      <c r="J35" s="22">
        <f>SUM(H28:H33)*G28+H34</f>
        <v>6719389387.0877943</v>
      </c>
    </row>
    <row r="36" spans="2:10" ht="18" customHeight="1">
      <c r="B36" s="177" t="s">
        <v>45</v>
      </c>
      <c r="C36" s="178"/>
      <c r="D36" s="178"/>
      <c r="E36" s="178"/>
      <c r="F36" s="179"/>
      <c r="G36" s="41"/>
      <c r="H36" s="42"/>
      <c r="I36" s="42"/>
      <c r="J36" s="22">
        <f>+J35*0.19</f>
        <v>1276683983.5466809</v>
      </c>
    </row>
    <row r="37" spans="2:10" ht="18" customHeight="1">
      <c r="B37" s="177" t="s">
        <v>46</v>
      </c>
      <c r="C37" s="178"/>
      <c r="D37" s="178"/>
      <c r="E37" s="178"/>
      <c r="F37" s="179"/>
      <c r="G37" s="41"/>
      <c r="H37" s="42"/>
      <c r="I37" s="42"/>
      <c r="J37" s="22">
        <f>+J35+J36</f>
        <v>7996073370.6344757</v>
      </c>
    </row>
    <row r="38" spans="2:10" ht="72" customHeight="1">
      <c r="B38" s="23">
        <v>8</v>
      </c>
      <c r="C38" s="23" t="s">
        <v>79</v>
      </c>
      <c r="D38" s="43" t="s">
        <v>80</v>
      </c>
      <c r="E38" s="23" t="s">
        <v>43</v>
      </c>
      <c r="F38" s="23">
        <v>1</v>
      </c>
      <c r="G38" s="24">
        <v>9</v>
      </c>
      <c r="H38" s="25">
        <v>6000000</v>
      </c>
      <c r="I38" s="25"/>
      <c r="J38" s="26">
        <f>+H38*G38</f>
        <v>54000000</v>
      </c>
    </row>
    <row r="39" spans="2:10">
      <c r="B39" s="180" t="s">
        <v>49</v>
      </c>
      <c r="C39" s="181"/>
      <c r="D39" s="181"/>
      <c r="E39" s="181"/>
      <c r="F39" s="182"/>
      <c r="G39" s="183"/>
      <c r="H39" s="184"/>
      <c r="I39" s="33"/>
      <c r="J39" s="27">
        <f>+J38*0.19</f>
        <v>10260000</v>
      </c>
    </row>
    <row r="40" spans="2:10">
      <c r="B40" s="187" t="s">
        <v>50</v>
      </c>
      <c r="C40" s="187"/>
      <c r="D40" s="187"/>
      <c r="E40" s="187"/>
      <c r="F40" s="187"/>
      <c r="G40" s="185"/>
      <c r="H40" s="186"/>
      <c r="I40" s="33"/>
      <c r="J40" s="28">
        <f>+J38+J39</f>
        <v>64260000</v>
      </c>
    </row>
    <row r="41" spans="2:10" s="32" customFormat="1" ht="16.5" customHeight="1">
      <c r="B41" s="166" t="s">
        <v>51</v>
      </c>
      <c r="C41" s="166"/>
      <c r="D41" s="166"/>
      <c r="E41" s="166"/>
      <c r="F41" s="166"/>
      <c r="G41" s="29"/>
      <c r="H41" s="30"/>
      <c r="I41" s="30"/>
      <c r="J41" s="31">
        <f>+J37+J40</f>
        <v>8060333370.6344757</v>
      </c>
    </row>
    <row r="42" spans="2:10" ht="86.25" customHeight="1" thickBot="1">
      <c r="B42" s="151" t="s">
        <v>81</v>
      </c>
      <c r="C42" s="152"/>
      <c r="D42" s="152"/>
      <c r="E42" s="152"/>
      <c r="F42" s="153"/>
    </row>
    <row r="43" spans="2:10" ht="46.5" customHeight="1" thickBot="1">
      <c r="B43" s="154" t="s">
        <v>82</v>
      </c>
      <c r="C43" s="155"/>
      <c r="D43" s="155"/>
      <c r="E43" s="155"/>
      <c r="F43" s="156"/>
    </row>
    <row r="44" spans="2:10" ht="54.75" customHeight="1">
      <c r="B44" s="157" t="s">
        <v>52</v>
      </c>
      <c r="C44" s="158"/>
      <c r="D44" s="158"/>
      <c r="E44" s="158"/>
      <c r="F44" s="159"/>
    </row>
    <row r="45" spans="2:10">
      <c r="B45" s="160" t="s">
        <v>53</v>
      </c>
      <c r="C45" s="161"/>
      <c r="D45" s="161"/>
      <c r="E45" s="161"/>
      <c r="F45" s="162"/>
    </row>
    <row r="46" spans="2:10" ht="105.75" customHeight="1" thickBot="1">
      <c r="B46" s="163" t="s">
        <v>83</v>
      </c>
      <c r="C46" s="164"/>
      <c r="D46" s="164"/>
      <c r="E46" s="164"/>
      <c r="F46" s="165"/>
    </row>
  </sheetData>
  <mergeCells count="41">
    <mergeCell ref="B16:J16"/>
    <mergeCell ref="D1:J1"/>
    <mergeCell ref="B2:J2"/>
    <mergeCell ref="B3:F3"/>
    <mergeCell ref="B8:J8"/>
    <mergeCell ref="B9:J9"/>
    <mergeCell ref="B10:J10"/>
    <mergeCell ref="B11:J11"/>
    <mergeCell ref="B12:J12"/>
    <mergeCell ref="B13:J13"/>
    <mergeCell ref="B14:J14"/>
    <mergeCell ref="B15:J15"/>
    <mergeCell ref="B17:J17"/>
    <mergeCell ref="B18:J18"/>
    <mergeCell ref="B19:C19"/>
    <mergeCell ref="F19:J19"/>
    <mergeCell ref="B20:C20"/>
    <mergeCell ref="F20:J20"/>
    <mergeCell ref="B21:C21"/>
    <mergeCell ref="F21:J21"/>
    <mergeCell ref="B22:C22"/>
    <mergeCell ref="F22:J22"/>
    <mergeCell ref="B23:C23"/>
    <mergeCell ref="F23:J23"/>
    <mergeCell ref="B41:F41"/>
    <mergeCell ref="B24:C24"/>
    <mergeCell ref="F24:J24"/>
    <mergeCell ref="B25:J25"/>
    <mergeCell ref="E28:E34"/>
    <mergeCell ref="G28:G34"/>
    <mergeCell ref="B35:F35"/>
    <mergeCell ref="B36:F36"/>
    <mergeCell ref="B37:F37"/>
    <mergeCell ref="B39:F39"/>
    <mergeCell ref="G39:H40"/>
    <mergeCell ref="B40:F40"/>
    <mergeCell ref="B42:F42"/>
    <mergeCell ref="B43:F43"/>
    <mergeCell ref="B44:F44"/>
    <mergeCell ref="B45:F45"/>
    <mergeCell ref="B46:F46"/>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CEBF55-0A05-459D-875F-37A6FE9DBCA0}">
  <dimension ref="B1:J46"/>
  <sheetViews>
    <sheetView topLeftCell="A35" zoomScale="70" zoomScaleNormal="70" workbookViewId="0">
      <selection activeCell="B44" sqref="B44:F44"/>
    </sheetView>
  </sheetViews>
  <sheetFormatPr baseColWidth="10" defaultColWidth="11.5" defaultRowHeight="13.8"/>
  <cols>
    <col min="1" max="1" width="3.5" customWidth="1"/>
    <col min="2" max="2" width="22.5" customWidth="1"/>
    <col min="3" max="3" width="52.5" customWidth="1"/>
    <col min="4" max="4" width="33" customWidth="1"/>
    <col min="5" max="5" width="30" customWidth="1"/>
    <col min="6" max="6" width="29.3984375" customWidth="1"/>
    <col min="7" max="7" width="23.19921875" customWidth="1"/>
    <col min="8" max="9" width="21.59765625" customWidth="1"/>
    <col min="10" max="10" width="24.3984375" customWidth="1"/>
  </cols>
  <sheetData>
    <row r="1" spans="2:10" ht="54" customHeight="1" thickBot="1">
      <c r="B1" s="2"/>
      <c r="C1" s="3"/>
      <c r="D1" s="195" t="s">
        <v>0</v>
      </c>
      <c r="E1" s="195"/>
      <c r="F1" s="195"/>
      <c r="G1" s="195"/>
      <c r="H1" s="195"/>
      <c r="I1" s="195"/>
      <c r="J1" s="195"/>
    </row>
    <row r="2" spans="2:10" s="4" customFormat="1" ht="38.25" customHeight="1">
      <c r="B2" s="196"/>
      <c r="C2" s="197"/>
      <c r="D2" s="197"/>
      <c r="E2" s="197"/>
      <c r="F2" s="197"/>
      <c r="G2" s="197"/>
      <c r="H2" s="197"/>
      <c r="I2" s="197"/>
      <c r="J2" s="197"/>
    </row>
    <row r="3" spans="2:10" ht="0.75" customHeight="1">
      <c r="B3" s="198"/>
      <c r="C3" s="199"/>
      <c r="D3" s="199"/>
      <c r="E3" s="199"/>
      <c r="F3" s="200"/>
      <c r="G3" s="8"/>
    </row>
    <row r="4" spans="2:10" ht="0.75" customHeight="1">
      <c r="B4" s="5"/>
      <c r="C4" s="6"/>
      <c r="D4" s="6"/>
      <c r="E4" s="6"/>
      <c r="F4" s="7"/>
      <c r="G4" s="8"/>
    </row>
    <row r="5" spans="2:10" ht="0.75" customHeight="1">
      <c r="B5" s="5"/>
      <c r="C5" s="6"/>
      <c r="D5" s="6"/>
      <c r="E5" s="6"/>
      <c r="F5" s="7"/>
      <c r="G5" s="8"/>
    </row>
    <row r="6" spans="2:10" ht="0.75" customHeight="1">
      <c r="B6" s="5"/>
      <c r="C6" s="6"/>
      <c r="D6" s="6"/>
      <c r="E6" s="6"/>
      <c r="F6" s="7"/>
      <c r="G6" s="8"/>
    </row>
    <row r="7" spans="2:10" ht="0.75" customHeight="1">
      <c r="B7" s="5"/>
      <c r="C7" s="6"/>
      <c r="D7" s="6"/>
      <c r="E7" s="6"/>
      <c r="F7" s="7"/>
      <c r="G7" s="8"/>
    </row>
    <row r="8" spans="2:10" ht="16.5" customHeight="1">
      <c r="B8" s="170" t="s">
        <v>19</v>
      </c>
      <c r="C8" s="171"/>
      <c r="D8" s="171"/>
      <c r="E8" s="171"/>
      <c r="F8" s="171"/>
      <c r="G8" s="171"/>
      <c r="H8" s="171"/>
      <c r="I8" s="171"/>
      <c r="J8" s="171"/>
    </row>
    <row r="9" spans="2:10" ht="181.05" customHeight="1">
      <c r="B9" s="201" t="s">
        <v>74</v>
      </c>
      <c r="C9" s="202"/>
      <c r="D9" s="202"/>
      <c r="E9" s="202"/>
      <c r="F9" s="202"/>
      <c r="G9" s="202"/>
      <c r="H9" s="202"/>
      <c r="I9" s="202"/>
      <c r="J9" s="202"/>
    </row>
    <row r="10" spans="2:10" ht="16.5" customHeight="1">
      <c r="B10" s="170" t="s">
        <v>20</v>
      </c>
      <c r="C10" s="171"/>
      <c r="D10" s="171"/>
      <c r="E10" s="171"/>
      <c r="F10" s="171"/>
      <c r="G10" s="171"/>
      <c r="H10" s="171"/>
      <c r="I10" s="171"/>
      <c r="J10" s="171"/>
    </row>
    <row r="11" spans="2:10" ht="38.25" customHeight="1">
      <c r="B11" s="203" t="s">
        <v>75</v>
      </c>
      <c r="C11" s="204"/>
      <c r="D11" s="204"/>
      <c r="E11" s="204"/>
      <c r="F11" s="204"/>
      <c r="G11" s="204"/>
      <c r="H11" s="204"/>
      <c r="I11" s="204"/>
      <c r="J11" s="204"/>
    </row>
    <row r="12" spans="2:10" ht="16.5" customHeight="1">
      <c r="B12" s="170" t="s">
        <v>1</v>
      </c>
      <c r="C12" s="171"/>
      <c r="D12" s="171"/>
      <c r="E12" s="171"/>
      <c r="F12" s="171"/>
      <c r="G12" s="171"/>
      <c r="H12" s="171"/>
      <c r="I12" s="171"/>
      <c r="J12" s="171"/>
    </row>
    <row r="13" spans="2:10" ht="63.75" customHeight="1">
      <c r="B13" s="201" t="s">
        <v>76</v>
      </c>
      <c r="C13" s="202"/>
      <c r="D13" s="202"/>
      <c r="E13" s="202"/>
      <c r="F13" s="202"/>
      <c r="G13" s="202"/>
      <c r="H13" s="202"/>
      <c r="I13" s="202"/>
      <c r="J13" s="202"/>
    </row>
    <row r="14" spans="2:10" ht="24" customHeight="1">
      <c r="B14" s="170" t="s">
        <v>21</v>
      </c>
      <c r="C14" s="171"/>
      <c r="D14" s="171"/>
      <c r="E14" s="171"/>
      <c r="F14" s="171"/>
      <c r="G14" s="171"/>
      <c r="H14" s="171"/>
      <c r="I14" s="171"/>
      <c r="J14" s="171"/>
    </row>
    <row r="15" spans="2:10" ht="196.05" customHeight="1">
      <c r="B15" s="201" t="s">
        <v>77</v>
      </c>
      <c r="C15" s="202"/>
      <c r="D15" s="202"/>
      <c r="E15" s="202"/>
      <c r="F15" s="202"/>
      <c r="G15" s="202"/>
      <c r="H15" s="202"/>
      <c r="I15" s="202"/>
      <c r="J15" s="202"/>
    </row>
    <row r="16" spans="2:10" ht="16.5" customHeight="1">
      <c r="B16" s="193" t="s">
        <v>2</v>
      </c>
      <c r="C16" s="194"/>
      <c r="D16" s="194"/>
      <c r="E16" s="194"/>
      <c r="F16" s="194"/>
      <c r="G16" s="194"/>
      <c r="H16" s="194"/>
      <c r="I16" s="194"/>
      <c r="J16" s="194"/>
    </row>
    <row r="17" spans="2:10" ht="39.75" customHeight="1">
      <c r="B17" s="190" t="s">
        <v>22</v>
      </c>
      <c r="C17" s="191"/>
      <c r="D17" s="191"/>
      <c r="E17" s="191"/>
      <c r="F17" s="191"/>
      <c r="G17" s="191"/>
      <c r="H17" s="191"/>
      <c r="I17" s="191"/>
      <c r="J17" s="191"/>
    </row>
    <row r="18" spans="2:10" ht="16.5" customHeight="1">
      <c r="B18" s="170" t="s">
        <v>23</v>
      </c>
      <c r="C18" s="171"/>
      <c r="D18" s="171"/>
      <c r="E18" s="171"/>
      <c r="F18" s="171"/>
      <c r="G18" s="171"/>
      <c r="H18" s="171"/>
      <c r="I18" s="171"/>
      <c r="J18" s="171"/>
    </row>
    <row r="19" spans="2:10" s="10" customFormat="1" ht="17.25" customHeight="1">
      <c r="B19" s="192" t="s">
        <v>3</v>
      </c>
      <c r="C19" s="192"/>
      <c r="D19" s="9" t="s">
        <v>24</v>
      </c>
      <c r="E19" s="9" t="s">
        <v>4</v>
      </c>
      <c r="F19" s="192" t="s">
        <v>5</v>
      </c>
      <c r="G19" s="192"/>
      <c r="H19" s="192"/>
      <c r="I19" s="192"/>
      <c r="J19" s="192"/>
    </row>
    <row r="20" spans="2:10" ht="17.25" customHeight="1">
      <c r="B20" s="188" t="s">
        <v>6</v>
      </c>
      <c r="C20" s="189"/>
      <c r="D20" s="11">
        <v>0.2</v>
      </c>
      <c r="E20" s="1" t="s">
        <v>25</v>
      </c>
      <c r="F20" s="169" t="s">
        <v>26</v>
      </c>
      <c r="G20" s="169"/>
      <c r="H20" s="169"/>
      <c r="I20" s="169"/>
      <c r="J20" s="169"/>
    </row>
    <row r="21" spans="2:10" ht="17.25" customHeight="1">
      <c r="B21" s="188" t="s">
        <v>27</v>
      </c>
      <c r="C21" s="189"/>
      <c r="D21" s="11">
        <v>0.2</v>
      </c>
      <c r="E21" s="1" t="s">
        <v>25</v>
      </c>
      <c r="F21" s="169" t="s">
        <v>28</v>
      </c>
      <c r="G21" s="169"/>
      <c r="H21" s="169"/>
      <c r="I21" s="169"/>
      <c r="J21" s="169"/>
    </row>
    <row r="22" spans="2:10" ht="17.25" customHeight="1">
      <c r="B22" s="188" t="s">
        <v>29</v>
      </c>
      <c r="C22" s="189"/>
      <c r="D22" s="11">
        <v>0.2</v>
      </c>
      <c r="E22" s="1" t="s">
        <v>25</v>
      </c>
      <c r="F22" s="169" t="s">
        <v>30</v>
      </c>
      <c r="G22" s="169"/>
      <c r="H22" s="169"/>
      <c r="I22" s="169"/>
      <c r="J22" s="169"/>
    </row>
    <row r="23" spans="2:10">
      <c r="B23" s="188" t="s">
        <v>31</v>
      </c>
      <c r="C23" s="189"/>
      <c r="D23" s="11">
        <v>0.1</v>
      </c>
      <c r="E23" s="1" t="s">
        <v>25</v>
      </c>
      <c r="F23" s="169" t="s">
        <v>32</v>
      </c>
      <c r="G23" s="169"/>
      <c r="H23" s="169"/>
      <c r="I23" s="169"/>
      <c r="J23" s="169"/>
    </row>
    <row r="24" spans="2:10">
      <c r="B24" s="167" t="s">
        <v>33</v>
      </c>
      <c r="C24" s="168"/>
      <c r="D24" s="11" t="s">
        <v>34</v>
      </c>
      <c r="E24" s="1" t="s">
        <v>25</v>
      </c>
      <c r="F24" s="169" t="s">
        <v>35</v>
      </c>
      <c r="G24" s="169"/>
      <c r="H24" s="169"/>
      <c r="I24" s="169"/>
      <c r="J24" s="169"/>
    </row>
    <row r="25" spans="2:10" ht="16.5" customHeight="1" thickBot="1">
      <c r="B25" s="170" t="s">
        <v>7</v>
      </c>
      <c r="C25" s="171"/>
      <c r="D25" s="171"/>
      <c r="E25" s="171"/>
      <c r="F25" s="171"/>
      <c r="G25" s="171"/>
      <c r="H25" s="171"/>
      <c r="I25" s="171"/>
      <c r="J25" s="171"/>
    </row>
    <row r="26" spans="2:10" ht="36" customHeight="1">
      <c r="B26" s="12" t="s">
        <v>36</v>
      </c>
      <c r="C26" s="12" t="s">
        <v>37</v>
      </c>
      <c r="D26" s="13" t="s">
        <v>38</v>
      </c>
      <c r="E26" s="12" t="s">
        <v>39</v>
      </c>
      <c r="F26" s="14" t="s">
        <v>40</v>
      </c>
      <c r="G26" s="13" t="s">
        <v>41</v>
      </c>
      <c r="H26" s="13" t="s">
        <v>42</v>
      </c>
      <c r="I26" s="13" t="s">
        <v>78</v>
      </c>
      <c r="J26" s="13" t="s">
        <v>10</v>
      </c>
    </row>
    <row r="27" spans="2:10" ht="21.75" customHeight="1">
      <c r="B27" s="15"/>
      <c r="C27" s="15"/>
      <c r="D27" s="16"/>
      <c r="E27" s="15"/>
      <c r="F27" s="17"/>
      <c r="G27" s="18"/>
      <c r="H27" s="19"/>
      <c r="I27" s="19"/>
      <c r="J27" s="19"/>
    </row>
    <row r="28" spans="2:10" ht="49.95" customHeight="1">
      <c r="B28" s="38">
        <v>1</v>
      </c>
      <c r="C28" s="34" t="s">
        <v>60</v>
      </c>
      <c r="D28" s="37" t="s">
        <v>67</v>
      </c>
      <c r="E28" s="172" t="s">
        <v>43</v>
      </c>
      <c r="F28" s="20">
        <v>1</v>
      </c>
      <c r="G28" s="175">
        <v>9</v>
      </c>
      <c r="H28" s="39">
        <v>179353446.40000001</v>
      </c>
      <c r="I28" s="40">
        <f t="shared" ref="I28:I34" si="0">+H28*0.19</f>
        <v>34077154.816</v>
      </c>
      <c r="J28" s="21">
        <f>(H28+I28)*G28</f>
        <v>1920875410.9440002</v>
      </c>
    </row>
    <row r="29" spans="2:10" ht="57.75" customHeight="1">
      <c r="B29" s="38">
        <v>2</v>
      </c>
      <c r="C29" s="35" t="s">
        <v>61</v>
      </c>
      <c r="D29" s="37" t="s">
        <v>68</v>
      </c>
      <c r="E29" s="173"/>
      <c r="F29" s="20">
        <v>1</v>
      </c>
      <c r="G29" s="175"/>
      <c r="H29" s="39">
        <v>272813479.19999999</v>
      </c>
      <c r="I29" s="40">
        <f t="shared" si="0"/>
        <v>51834561.048</v>
      </c>
      <c r="J29" s="21">
        <f>(H29+I29)*G28</f>
        <v>2921832362.2319999</v>
      </c>
    </row>
    <row r="30" spans="2:10" ht="57.75" customHeight="1">
      <c r="B30" s="38">
        <v>3</v>
      </c>
      <c r="C30" s="36" t="s">
        <v>62</v>
      </c>
      <c r="D30" s="37" t="s">
        <v>69</v>
      </c>
      <c r="E30" s="173"/>
      <c r="F30" s="20">
        <v>1</v>
      </c>
      <c r="G30" s="175"/>
      <c r="H30" s="39">
        <v>131743280</v>
      </c>
      <c r="I30" s="40">
        <f t="shared" si="0"/>
        <v>25031223.199999999</v>
      </c>
      <c r="J30" s="21">
        <f>(H30+I30)*G28</f>
        <v>1410970528.8</v>
      </c>
    </row>
    <row r="31" spans="2:10" ht="57.75" customHeight="1">
      <c r="B31" s="38">
        <v>4</v>
      </c>
      <c r="C31" s="36" t="s">
        <v>63</v>
      </c>
      <c r="D31" s="37" t="s">
        <v>70</v>
      </c>
      <c r="E31" s="173"/>
      <c r="F31" s="20">
        <v>1</v>
      </c>
      <c r="G31" s="175"/>
      <c r="H31" s="39">
        <v>63385368</v>
      </c>
      <c r="I31" s="40">
        <f t="shared" si="0"/>
        <v>12043219.92</v>
      </c>
      <c r="J31" s="21">
        <f>(H31+I31)*G28</f>
        <v>678857291.27999997</v>
      </c>
    </row>
    <row r="32" spans="2:10" ht="73.05" customHeight="1">
      <c r="B32" s="38">
        <v>5</v>
      </c>
      <c r="C32" s="36" t="s">
        <v>64</v>
      </c>
      <c r="D32" s="37" t="s">
        <v>71</v>
      </c>
      <c r="E32" s="173"/>
      <c r="F32" s="20">
        <v>1</v>
      </c>
      <c r="G32" s="175"/>
      <c r="H32" s="39">
        <v>39378725.836800002</v>
      </c>
      <c r="I32" s="40">
        <f t="shared" si="0"/>
        <v>7481957.9089919999</v>
      </c>
      <c r="J32" s="21">
        <f>(H32+I32)*G28</f>
        <v>421746153.71212804</v>
      </c>
    </row>
    <row r="33" spans="2:10" ht="94.95" customHeight="1">
      <c r="B33" s="38">
        <v>6</v>
      </c>
      <c r="C33" s="36" t="s">
        <v>65</v>
      </c>
      <c r="D33" s="37" t="s">
        <v>72</v>
      </c>
      <c r="E33" s="173"/>
      <c r="F33" s="20">
        <v>1</v>
      </c>
      <c r="G33" s="175"/>
      <c r="H33" s="39">
        <v>44364416</v>
      </c>
      <c r="I33" s="40">
        <f t="shared" si="0"/>
        <v>8429239.040000001</v>
      </c>
      <c r="J33" s="21">
        <f>(H33+I33)*G28</f>
        <v>475142895.36000001</v>
      </c>
    </row>
    <row r="34" spans="2:10" ht="209.25" customHeight="1">
      <c r="B34" s="38">
        <v>7</v>
      </c>
      <c r="C34" s="35" t="s">
        <v>66</v>
      </c>
      <c r="D34" s="35" t="s">
        <v>73</v>
      </c>
      <c r="E34" s="174"/>
      <c r="F34" s="20">
        <v>1</v>
      </c>
      <c r="G34" s="175"/>
      <c r="H34" s="39">
        <v>141406720</v>
      </c>
      <c r="I34" s="39">
        <f t="shared" si="0"/>
        <v>26867276.800000001</v>
      </c>
      <c r="J34" s="21">
        <f>H34+I34</f>
        <v>168273996.80000001</v>
      </c>
    </row>
    <row r="35" spans="2:10" ht="18" customHeight="1">
      <c r="B35" s="176" t="s">
        <v>44</v>
      </c>
      <c r="C35" s="176"/>
      <c r="D35" s="176"/>
      <c r="E35" s="176"/>
      <c r="F35" s="176"/>
      <c r="G35" s="41"/>
      <c r="H35" s="42"/>
      <c r="I35" s="42"/>
      <c r="J35" s="22">
        <f>SUM(H28:H33)*G28+H34</f>
        <v>6720755158.9312</v>
      </c>
    </row>
    <row r="36" spans="2:10" ht="18" customHeight="1">
      <c r="B36" s="177" t="s">
        <v>45</v>
      </c>
      <c r="C36" s="178"/>
      <c r="D36" s="178"/>
      <c r="E36" s="178"/>
      <c r="F36" s="179"/>
      <c r="G36" s="41"/>
      <c r="H36" s="42"/>
      <c r="I36" s="42"/>
      <c r="J36" s="22">
        <f>+J35*0.19</f>
        <v>1276943480.196928</v>
      </c>
    </row>
    <row r="37" spans="2:10" ht="18" customHeight="1">
      <c r="B37" s="177" t="s">
        <v>46</v>
      </c>
      <c r="C37" s="178"/>
      <c r="D37" s="178"/>
      <c r="E37" s="178"/>
      <c r="F37" s="179"/>
      <c r="G37" s="41"/>
      <c r="H37" s="42"/>
      <c r="I37" s="42"/>
      <c r="J37" s="22">
        <f>+J35+J36</f>
        <v>7997698639.1281281</v>
      </c>
    </row>
    <row r="38" spans="2:10" ht="72" customHeight="1">
      <c r="B38" s="23">
        <v>8</v>
      </c>
      <c r="C38" s="23" t="s">
        <v>79</v>
      </c>
      <c r="D38" s="43" t="s">
        <v>80</v>
      </c>
      <c r="E38" s="23" t="s">
        <v>43</v>
      </c>
      <c r="F38" s="23">
        <v>1</v>
      </c>
      <c r="G38" s="24">
        <v>9</v>
      </c>
      <c r="H38" s="25">
        <v>6000000</v>
      </c>
      <c r="I38" s="25"/>
      <c r="J38" s="26">
        <f>+H38*G38</f>
        <v>54000000</v>
      </c>
    </row>
    <row r="39" spans="2:10">
      <c r="B39" s="180" t="s">
        <v>49</v>
      </c>
      <c r="C39" s="181"/>
      <c r="D39" s="181"/>
      <c r="E39" s="181"/>
      <c r="F39" s="182"/>
      <c r="G39" s="183"/>
      <c r="H39" s="184"/>
      <c r="I39" s="33"/>
      <c r="J39" s="27">
        <f>+J38*0.19</f>
        <v>10260000</v>
      </c>
    </row>
    <row r="40" spans="2:10">
      <c r="B40" s="187" t="s">
        <v>50</v>
      </c>
      <c r="C40" s="187"/>
      <c r="D40" s="187"/>
      <c r="E40" s="187"/>
      <c r="F40" s="187"/>
      <c r="G40" s="185"/>
      <c r="H40" s="186"/>
      <c r="I40" s="33"/>
      <c r="J40" s="28">
        <f>+J38+J39</f>
        <v>64260000</v>
      </c>
    </row>
    <row r="41" spans="2:10" s="32" customFormat="1" ht="16.5" customHeight="1">
      <c r="B41" s="166" t="s">
        <v>51</v>
      </c>
      <c r="C41" s="166"/>
      <c r="D41" s="166"/>
      <c r="E41" s="166"/>
      <c r="F41" s="166"/>
      <c r="G41" s="29"/>
      <c r="H41" s="30"/>
      <c r="I41" s="30"/>
      <c r="J41" s="31">
        <f>+J37+J40</f>
        <v>8061958639.1281281</v>
      </c>
    </row>
    <row r="42" spans="2:10" ht="86.25" customHeight="1" thickBot="1">
      <c r="B42" s="151" t="s">
        <v>81</v>
      </c>
      <c r="C42" s="152"/>
      <c r="D42" s="152"/>
      <c r="E42" s="152"/>
      <c r="F42" s="153"/>
    </row>
    <row r="43" spans="2:10" ht="46.5" customHeight="1" thickBot="1">
      <c r="B43" s="154" t="s">
        <v>91</v>
      </c>
      <c r="C43" s="155"/>
      <c r="D43" s="155"/>
      <c r="E43" s="155"/>
      <c r="F43" s="156"/>
    </row>
    <row r="44" spans="2:10" ht="54.75" customHeight="1">
      <c r="B44" s="157" t="s">
        <v>92</v>
      </c>
      <c r="C44" s="158"/>
      <c r="D44" s="158"/>
      <c r="E44" s="158"/>
      <c r="F44" s="159"/>
    </row>
    <row r="45" spans="2:10">
      <c r="B45" s="160" t="s">
        <v>53</v>
      </c>
      <c r="C45" s="161"/>
      <c r="D45" s="161"/>
      <c r="E45" s="161"/>
      <c r="F45" s="162"/>
    </row>
    <row r="46" spans="2:10" ht="105.75" customHeight="1" thickBot="1">
      <c r="B46" s="163" t="s">
        <v>83</v>
      </c>
      <c r="C46" s="164"/>
      <c r="D46" s="164"/>
      <c r="E46" s="164"/>
      <c r="F46" s="165"/>
    </row>
  </sheetData>
  <mergeCells count="41">
    <mergeCell ref="B16:J16"/>
    <mergeCell ref="D1:J1"/>
    <mergeCell ref="B2:J2"/>
    <mergeCell ref="B3:F3"/>
    <mergeCell ref="B8:J8"/>
    <mergeCell ref="B9:J9"/>
    <mergeCell ref="B10:J10"/>
    <mergeCell ref="B11:J11"/>
    <mergeCell ref="B12:J12"/>
    <mergeCell ref="B13:J13"/>
    <mergeCell ref="B14:J14"/>
    <mergeCell ref="B15:J15"/>
    <mergeCell ref="B17:J17"/>
    <mergeCell ref="B18:J18"/>
    <mergeCell ref="B19:C19"/>
    <mergeCell ref="F19:J19"/>
    <mergeCell ref="B20:C20"/>
    <mergeCell ref="F20:J20"/>
    <mergeCell ref="B21:C21"/>
    <mergeCell ref="F21:J21"/>
    <mergeCell ref="B22:C22"/>
    <mergeCell ref="F22:J22"/>
    <mergeCell ref="B23:C23"/>
    <mergeCell ref="F23:J23"/>
    <mergeCell ref="B41:F41"/>
    <mergeCell ref="B24:C24"/>
    <mergeCell ref="F24:J24"/>
    <mergeCell ref="B25:J25"/>
    <mergeCell ref="E28:E34"/>
    <mergeCell ref="G28:G34"/>
    <mergeCell ref="B35:F35"/>
    <mergeCell ref="B36:F36"/>
    <mergeCell ref="B37:F37"/>
    <mergeCell ref="B39:F39"/>
    <mergeCell ref="G39:H40"/>
    <mergeCell ref="B40:F40"/>
    <mergeCell ref="B42:F42"/>
    <mergeCell ref="B43:F43"/>
    <mergeCell ref="B44:F44"/>
    <mergeCell ref="B45:F45"/>
    <mergeCell ref="B46:F46"/>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6755EF-096B-4818-A3AF-2E8B4CE46EBE}">
  <dimension ref="B1:J46"/>
  <sheetViews>
    <sheetView topLeftCell="B42" zoomScale="80" zoomScaleNormal="80" workbookViewId="0">
      <selection activeCell="B44" sqref="B44:F44"/>
    </sheetView>
  </sheetViews>
  <sheetFormatPr baseColWidth="10" defaultColWidth="11.5" defaultRowHeight="13.8"/>
  <cols>
    <col min="1" max="1" width="3.5" customWidth="1"/>
    <col min="2" max="2" width="22.5" customWidth="1"/>
    <col min="3" max="3" width="52.5" customWidth="1"/>
    <col min="4" max="4" width="33" customWidth="1"/>
    <col min="5" max="5" width="30" customWidth="1"/>
    <col min="6" max="6" width="29.3984375" customWidth="1"/>
    <col min="7" max="7" width="23.19921875" customWidth="1"/>
    <col min="8" max="9" width="21.59765625" customWidth="1"/>
    <col min="10" max="10" width="24.3984375" customWidth="1"/>
  </cols>
  <sheetData>
    <row r="1" spans="2:10" ht="54" customHeight="1" thickBot="1">
      <c r="B1" s="2"/>
      <c r="C1" s="3"/>
      <c r="D1" s="195" t="s">
        <v>0</v>
      </c>
      <c r="E1" s="195"/>
      <c r="F1" s="195"/>
      <c r="G1" s="195"/>
      <c r="H1" s="195"/>
      <c r="I1" s="195"/>
      <c r="J1" s="195"/>
    </row>
    <row r="2" spans="2:10" s="4" customFormat="1" ht="38.25" customHeight="1">
      <c r="B2" s="196"/>
      <c r="C2" s="197"/>
      <c r="D2" s="197"/>
      <c r="E2" s="197"/>
      <c r="F2" s="197"/>
      <c r="G2" s="197"/>
      <c r="H2" s="197"/>
      <c r="I2" s="197"/>
      <c r="J2" s="197"/>
    </row>
    <row r="3" spans="2:10" ht="0.75" customHeight="1">
      <c r="B3" s="198"/>
      <c r="C3" s="199"/>
      <c r="D3" s="199"/>
      <c r="E3" s="199"/>
      <c r="F3" s="200"/>
      <c r="G3" s="8"/>
    </row>
    <row r="4" spans="2:10" ht="0.75" customHeight="1">
      <c r="B4" s="5"/>
      <c r="C4" s="6"/>
      <c r="D4" s="6"/>
      <c r="E4" s="6"/>
      <c r="F4" s="7"/>
      <c r="G4" s="8"/>
    </row>
    <row r="5" spans="2:10" ht="0.75" customHeight="1">
      <c r="B5" s="5"/>
      <c r="C5" s="6"/>
      <c r="D5" s="6"/>
      <c r="E5" s="6"/>
      <c r="F5" s="7"/>
      <c r="G5" s="8"/>
    </row>
    <row r="6" spans="2:10" ht="0.75" customHeight="1">
      <c r="B6" s="5"/>
      <c r="C6" s="6"/>
      <c r="D6" s="6"/>
      <c r="E6" s="6"/>
      <c r="F6" s="7"/>
      <c r="G6" s="8"/>
    </row>
    <row r="7" spans="2:10" ht="0.75" customHeight="1">
      <c r="B7" s="5"/>
      <c r="C7" s="6"/>
      <c r="D7" s="6"/>
      <c r="E7" s="6"/>
      <c r="F7" s="7"/>
      <c r="G7" s="8"/>
    </row>
    <row r="8" spans="2:10" ht="16.5" customHeight="1">
      <c r="B8" s="170" t="s">
        <v>19</v>
      </c>
      <c r="C8" s="171"/>
      <c r="D8" s="171"/>
      <c r="E8" s="171"/>
      <c r="F8" s="171"/>
      <c r="G8" s="171"/>
      <c r="H8" s="171"/>
      <c r="I8" s="171"/>
      <c r="J8" s="171"/>
    </row>
    <row r="9" spans="2:10" ht="181.05" customHeight="1">
      <c r="B9" s="201" t="s">
        <v>74</v>
      </c>
      <c r="C9" s="202"/>
      <c r="D9" s="202"/>
      <c r="E9" s="202"/>
      <c r="F9" s="202"/>
      <c r="G9" s="202"/>
      <c r="H9" s="202"/>
      <c r="I9" s="202"/>
      <c r="J9" s="202"/>
    </row>
    <row r="10" spans="2:10" ht="16.5" customHeight="1">
      <c r="B10" s="170" t="s">
        <v>20</v>
      </c>
      <c r="C10" s="171"/>
      <c r="D10" s="171"/>
      <c r="E10" s="171"/>
      <c r="F10" s="171"/>
      <c r="G10" s="171"/>
      <c r="H10" s="171"/>
      <c r="I10" s="171"/>
      <c r="J10" s="171"/>
    </row>
    <row r="11" spans="2:10" ht="38.25" customHeight="1">
      <c r="B11" s="203" t="s">
        <v>75</v>
      </c>
      <c r="C11" s="204"/>
      <c r="D11" s="204"/>
      <c r="E11" s="204"/>
      <c r="F11" s="204"/>
      <c r="G11" s="204"/>
      <c r="H11" s="204"/>
      <c r="I11" s="204"/>
      <c r="J11" s="204"/>
    </row>
    <row r="12" spans="2:10" ht="16.5" customHeight="1">
      <c r="B12" s="170" t="s">
        <v>1</v>
      </c>
      <c r="C12" s="171"/>
      <c r="D12" s="171"/>
      <c r="E12" s="171"/>
      <c r="F12" s="171"/>
      <c r="G12" s="171"/>
      <c r="H12" s="171"/>
      <c r="I12" s="171"/>
      <c r="J12" s="171"/>
    </row>
    <row r="13" spans="2:10" ht="63.75" customHeight="1">
      <c r="B13" s="201" t="s">
        <v>76</v>
      </c>
      <c r="C13" s="202"/>
      <c r="D13" s="202"/>
      <c r="E13" s="202"/>
      <c r="F13" s="202"/>
      <c r="G13" s="202"/>
      <c r="H13" s="202"/>
      <c r="I13" s="202"/>
      <c r="J13" s="202"/>
    </row>
    <row r="14" spans="2:10" ht="24" customHeight="1">
      <c r="B14" s="170" t="s">
        <v>21</v>
      </c>
      <c r="C14" s="171"/>
      <c r="D14" s="171"/>
      <c r="E14" s="171"/>
      <c r="F14" s="171"/>
      <c r="G14" s="171"/>
      <c r="H14" s="171"/>
      <c r="I14" s="171"/>
      <c r="J14" s="171"/>
    </row>
    <row r="15" spans="2:10" ht="196.05" customHeight="1">
      <c r="B15" s="201" t="s">
        <v>77</v>
      </c>
      <c r="C15" s="202"/>
      <c r="D15" s="202"/>
      <c r="E15" s="202"/>
      <c r="F15" s="202"/>
      <c r="G15" s="202"/>
      <c r="H15" s="202"/>
      <c r="I15" s="202"/>
      <c r="J15" s="202"/>
    </row>
    <row r="16" spans="2:10" ht="16.5" customHeight="1">
      <c r="B16" s="193" t="s">
        <v>2</v>
      </c>
      <c r="C16" s="194"/>
      <c r="D16" s="194"/>
      <c r="E16" s="194"/>
      <c r="F16" s="194"/>
      <c r="G16" s="194"/>
      <c r="H16" s="194"/>
      <c r="I16" s="194"/>
      <c r="J16" s="194"/>
    </row>
    <row r="17" spans="2:10" ht="39.75" customHeight="1">
      <c r="B17" s="190" t="s">
        <v>22</v>
      </c>
      <c r="C17" s="191"/>
      <c r="D17" s="191"/>
      <c r="E17" s="191"/>
      <c r="F17" s="191"/>
      <c r="G17" s="191"/>
      <c r="H17" s="191"/>
      <c r="I17" s="191"/>
      <c r="J17" s="191"/>
    </row>
    <row r="18" spans="2:10" ht="16.5" customHeight="1">
      <c r="B18" s="170" t="s">
        <v>23</v>
      </c>
      <c r="C18" s="171"/>
      <c r="D18" s="171"/>
      <c r="E18" s="171"/>
      <c r="F18" s="171"/>
      <c r="G18" s="171"/>
      <c r="H18" s="171"/>
      <c r="I18" s="171"/>
      <c r="J18" s="171"/>
    </row>
    <row r="19" spans="2:10" s="10" customFormat="1" ht="17.25" customHeight="1">
      <c r="B19" s="192" t="s">
        <v>3</v>
      </c>
      <c r="C19" s="192"/>
      <c r="D19" s="9" t="s">
        <v>24</v>
      </c>
      <c r="E19" s="9" t="s">
        <v>4</v>
      </c>
      <c r="F19" s="192" t="s">
        <v>5</v>
      </c>
      <c r="G19" s="192"/>
      <c r="H19" s="192"/>
      <c r="I19" s="192"/>
      <c r="J19" s="192"/>
    </row>
    <row r="20" spans="2:10" ht="17.25" customHeight="1">
      <c r="B20" s="188" t="s">
        <v>6</v>
      </c>
      <c r="C20" s="189"/>
      <c r="D20" s="11">
        <v>0.2</v>
      </c>
      <c r="E20" s="1" t="s">
        <v>25</v>
      </c>
      <c r="F20" s="169" t="s">
        <v>26</v>
      </c>
      <c r="G20" s="169"/>
      <c r="H20" s="169"/>
      <c r="I20" s="169"/>
      <c r="J20" s="169"/>
    </row>
    <row r="21" spans="2:10" ht="17.25" customHeight="1">
      <c r="B21" s="188" t="s">
        <v>27</v>
      </c>
      <c r="C21" s="189"/>
      <c r="D21" s="11">
        <v>0.2</v>
      </c>
      <c r="E21" s="1" t="s">
        <v>25</v>
      </c>
      <c r="F21" s="169" t="s">
        <v>28</v>
      </c>
      <c r="G21" s="169"/>
      <c r="H21" s="169"/>
      <c r="I21" s="169"/>
      <c r="J21" s="169"/>
    </row>
    <row r="22" spans="2:10" ht="17.25" customHeight="1">
      <c r="B22" s="188" t="s">
        <v>29</v>
      </c>
      <c r="C22" s="189"/>
      <c r="D22" s="11">
        <v>0.2</v>
      </c>
      <c r="E22" s="1" t="s">
        <v>25</v>
      </c>
      <c r="F22" s="169" t="s">
        <v>30</v>
      </c>
      <c r="G22" s="169"/>
      <c r="H22" s="169"/>
      <c r="I22" s="169"/>
      <c r="J22" s="169"/>
    </row>
    <row r="23" spans="2:10">
      <c r="B23" s="188" t="s">
        <v>31</v>
      </c>
      <c r="C23" s="189"/>
      <c r="D23" s="11">
        <v>0.1</v>
      </c>
      <c r="E23" s="1" t="s">
        <v>25</v>
      </c>
      <c r="F23" s="169" t="s">
        <v>32</v>
      </c>
      <c r="G23" s="169"/>
      <c r="H23" s="169"/>
      <c r="I23" s="169"/>
      <c r="J23" s="169"/>
    </row>
    <row r="24" spans="2:10">
      <c r="B24" s="167" t="s">
        <v>33</v>
      </c>
      <c r="C24" s="168"/>
      <c r="D24" s="11" t="s">
        <v>34</v>
      </c>
      <c r="E24" s="1" t="s">
        <v>25</v>
      </c>
      <c r="F24" s="169" t="s">
        <v>35</v>
      </c>
      <c r="G24" s="169"/>
      <c r="H24" s="169"/>
      <c r="I24" s="169"/>
      <c r="J24" s="169"/>
    </row>
    <row r="25" spans="2:10" ht="16.5" customHeight="1" thickBot="1">
      <c r="B25" s="170" t="s">
        <v>7</v>
      </c>
      <c r="C25" s="171"/>
      <c r="D25" s="171"/>
      <c r="E25" s="171"/>
      <c r="F25" s="171"/>
      <c r="G25" s="171"/>
      <c r="H25" s="171"/>
      <c r="I25" s="171"/>
      <c r="J25" s="171"/>
    </row>
    <row r="26" spans="2:10" ht="36" customHeight="1">
      <c r="B26" s="12" t="s">
        <v>36</v>
      </c>
      <c r="C26" s="12" t="s">
        <v>37</v>
      </c>
      <c r="D26" s="13" t="s">
        <v>38</v>
      </c>
      <c r="E26" s="12" t="s">
        <v>39</v>
      </c>
      <c r="F26" s="14" t="s">
        <v>40</v>
      </c>
      <c r="G26" s="13" t="s">
        <v>41</v>
      </c>
      <c r="H26" s="13" t="s">
        <v>42</v>
      </c>
      <c r="I26" s="13" t="s">
        <v>78</v>
      </c>
      <c r="J26" s="13" t="s">
        <v>10</v>
      </c>
    </row>
    <row r="27" spans="2:10" ht="21.75" customHeight="1">
      <c r="B27" s="15"/>
      <c r="C27" s="15"/>
      <c r="D27" s="16"/>
      <c r="E27" s="15"/>
      <c r="F27" s="17"/>
      <c r="G27" s="18"/>
      <c r="H27" s="19"/>
      <c r="I27" s="19"/>
      <c r="J27" s="19"/>
    </row>
    <row r="28" spans="2:10" ht="49.95" customHeight="1">
      <c r="B28" s="38">
        <v>1</v>
      </c>
      <c r="C28" s="34" t="s">
        <v>60</v>
      </c>
      <c r="D28" s="37" t="s">
        <v>67</v>
      </c>
      <c r="E28" s="172" t="s">
        <v>43</v>
      </c>
      <c r="F28" s="20">
        <v>1</v>
      </c>
      <c r="G28" s="175">
        <v>9</v>
      </c>
      <c r="H28" s="39">
        <v>191395824.26683715</v>
      </c>
      <c r="I28" s="40">
        <f t="shared" ref="I28:I34" si="0">+H28*0.19</f>
        <v>36365206.610699058</v>
      </c>
      <c r="J28" s="21">
        <f>(H28+I28)*G28</f>
        <v>2049849277.897826</v>
      </c>
    </row>
    <row r="29" spans="2:10" ht="57.75" customHeight="1">
      <c r="B29" s="38">
        <v>2</v>
      </c>
      <c r="C29" s="35" t="s">
        <v>61</v>
      </c>
      <c r="D29" s="37" t="s">
        <v>68</v>
      </c>
      <c r="E29" s="173"/>
      <c r="F29" s="20">
        <v>1</v>
      </c>
      <c r="G29" s="175"/>
      <c r="H29" s="39">
        <v>291131069.79910052</v>
      </c>
      <c r="I29" s="40">
        <f t="shared" si="0"/>
        <v>55314903.261829101</v>
      </c>
      <c r="J29" s="21">
        <f>(H29+I29)*G28</f>
        <v>3118013757.5483665</v>
      </c>
    </row>
    <row r="30" spans="2:10" ht="57.75" customHeight="1">
      <c r="B30" s="38">
        <v>3</v>
      </c>
      <c r="C30" s="36" t="s">
        <v>62</v>
      </c>
      <c r="D30" s="37" t="s">
        <v>69</v>
      </c>
      <c r="E30" s="173"/>
      <c r="F30" s="20">
        <v>1</v>
      </c>
      <c r="G30" s="175"/>
      <c r="H30" s="39">
        <v>140588955.34675783</v>
      </c>
      <c r="I30" s="40">
        <f t="shared" si="0"/>
        <v>26711901.51588399</v>
      </c>
      <c r="J30" s="21">
        <f>(H30+I30)*G28</f>
        <v>1505707711.7637763</v>
      </c>
    </row>
    <row r="31" spans="2:10" ht="57.75" customHeight="1">
      <c r="B31" s="38">
        <v>4</v>
      </c>
      <c r="C31" s="36" t="s">
        <v>63</v>
      </c>
      <c r="D31" s="37" t="s">
        <v>70</v>
      </c>
      <c r="E31" s="173"/>
      <c r="F31" s="20">
        <v>1</v>
      </c>
      <c r="G31" s="175"/>
      <c r="H31" s="39">
        <v>67641269.227468848</v>
      </c>
      <c r="I31" s="40">
        <f t="shared" si="0"/>
        <v>12851841.153219081</v>
      </c>
      <c r="J31" s="21">
        <f>(H31+I31)*G28</f>
        <v>724437993.42619133</v>
      </c>
    </row>
    <row r="32" spans="2:10" ht="73.05" customHeight="1">
      <c r="B32" s="38">
        <v>5</v>
      </c>
      <c r="C32" s="36" t="s">
        <v>64</v>
      </c>
      <c r="D32" s="37" t="s">
        <v>71</v>
      </c>
      <c r="E32" s="173"/>
      <c r="F32" s="20">
        <v>1</v>
      </c>
      <c r="G32" s="175"/>
      <c r="H32" s="39">
        <v>42022742.475229807</v>
      </c>
      <c r="I32" s="40">
        <f t="shared" si="0"/>
        <v>7984321.0702936631</v>
      </c>
      <c r="J32" s="21">
        <f>(H32+I32)*G28</f>
        <v>450063571.90971124</v>
      </c>
    </row>
    <row r="33" spans="2:10" ht="94.95" customHeight="1">
      <c r="B33" s="38">
        <v>6</v>
      </c>
      <c r="C33" s="36" t="s">
        <v>65</v>
      </c>
      <c r="D33" s="37" t="s">
        <v>72</v>
      </c>
      <c r="E33" s="173"/>
      <c r="F33" s="20">
        <v>1</v>
      </c>
      <c r="G33" s="175"/>
      <c r="H33" s="39">
        <v>47343188.206707686</v>
      </c>
      <c r="I33" s="40">
        <f t="shared" si="0"/>
        <v>8995205.7592744604</v>
      </c>
      <c r="J33" s="21">
        <f>(H33+I33)*G28</f>
        <v>507045545.69383931</v>
      </c>
    </row>
    <row r="34" spans="2:10" ht="209.25" customHeight="1">
      <c r="B34" s="38">
        <v>7</v>
      </c>
      <c r="C34" s="35" t="s">
        <v>66</v>
      </c>
      <c r="D34" s="35" t="s">
        <v>73</v>
      </c>
      <c r="E34" s="174"/>
      <c r="F34" s="20">
        <v>1</v>
      </c>
      <c r="G34" s="175"/>
      <c r="H34" s="39">
        <v>150901230.36113483</v>
      </c>
      <c r="I34" s="39">
        <f t="shared" si="0"/>
        <v>28671233.768615618</v>
      </c>
      <c r="J34" s="21">
        <f>H34+I34</f>
        <v>179572464.12975043</v>
      </c>
    </row>
    <row r="35" spans="2:10" ht="18" customHeight="1">
      <c r="B35" s="176" t="s">
        <v>44</v>
      </c>
      <c r="C35" s="176"/>
      <c r="D35" s="176"/>
      <c r="E35" s="176"/>
      <c r="F35" s="176"/>
      <c r="G35" s="41"/>
      <c r="H35" s="42"/>
      <c r="I35" s="42"/>
      <c r="J35" s="22">
        <f>SUM(H28:H33)*G28+H34</f>
        <v>7172008674.2600508</v>
      </c>
    </row>
    <row r="36" spans="2:10" ht="18" customHeight="1">
      <c r="B36" s="177" t="s">
        <v>45</v>
      </c>
      <c r="C36" s="178"/>
      <c r="D36" s="178"/>
      <c r="E36" s="178"/>
      <c r="F36" s="179"/>
      <c r="G36" s="41"/>
      <c r="H36" s="42"/>
      <c r="I36" s="42"/>
      <c r="J36" s="22">
        <f>+J35*0.19</f>
        <v>1362681648.1094096</v>
      </c>
    </row>
    <row r="37" spans="2:10" ht="18" customHeight="1">
      <c r="B37" s="177" t="s">
        <v>46</v>
      </c>
      <c r="C37" s="178"/>
      <c r="D37" s="178"/>
      <c r="E37" s="178"/>
      <c r="F37" s="179"/>
      <c r="G37" s="41"/>
      <c r="H37" s="42"/>
      <c r="I37" s="42"/>
      <c r="J37" s="22">
        <f>+J35+J36</f>
        <v>8534690322.3694601</v>
      </c>
    </row>
    <row r="38" spans="2:10" ht="72" customHeight="1">
      <c r="B38" s="23">
        <v>8</v>
      </c>
      <c r="C38" s="23" t="s">
        <v>79</v>
      </c>
      <c r="D38" s="43" t="s">
        <v>80</v>
      </c>
      <c r="E38" s="23" t="s">
        <v>43</v>
      </c>
      <c r="F38" s="23">
        <v>1</v>
      </c>
      <c r="G38" s="24">
        <v>9</v>
      </c>
      <c r="H38" s="25">
        <v>6000000</v>
      </c>
      <c r="I38" s="25"/>
      <c r="J38" s="26">
        <f>+H38*G38</f>
        <v>54000000</v>
      </c>
    </row>
    <row r="39" spans="2:10">
      <c r="B39" s="180" t="s">
        <v>49</v>
      </c>
      <c r="C39" s="181"/>
      <c r="D39" s="181"/>
      <c r="E39" s="181"/>
      <c r="F39" s="182"/>
      <c r="G39" s="183"/>
      <c r="H39" s="184"/>
      <c r="I39" s="33"/>
      <c r="J39" s="27">
        <f>+J38*0.19</f>
        <v>10260000</v>
      </c>
    </row>
    <row r="40" spans="2:10">
      <c r="B40" s="187" t="s">
        <v>50</v>
      </c>
      <c r="C40" s="187"/>
      <c r="D40" s="187"/>
      <c r="E40" s="187"/>
      <c r="F40" s="187"/>
      <c r="G40" s="185"/>
      <c r="H40" s="186"/>
      <c r="I40" s="33"/>
      <c r="J40" s="28">
        <f>+J38+J39</f>
        <v>64260000</v>
      </c>
    </row>
    <row r="41" spans="2:10" s="32" customFormat="1" ht="16.5" customHeight="1">
      <c r="B41" s="166" t="s">
        <v>51</v>
      </c>
      <c r="C41" s="166"/>
      <c r="D41" s="166"/>
      <c r="E41" s="166"/>
      <c r="F41" s="166"/>
      <c r="G41" s="29"/>
      <c r="H41" s="30"/>
      <c r="I41" s="30"/>
      <c r="J41" s="31">
        <f>+J37+J40</f>
        <v>8598950322.3694611</v>
      </c>
    </row>
    <row r="42" spans="2:10" ht="86.25" customHeight="1" thickBot="1">
      <c r="B42" s="151" t="s">
        <v>81</v>
      </c>
      <c r="C42" s="152"/>
      <c r="D42" s="152"/>
      <c r="E42" s="152"/>
      <c r="F42" s="153"/>
    </row>
    <row r="43" spans="2:10" ht="46.5" customHeight="1" thickBot="1">
      <c r="B43" s="154" t="s">
        <v>88</v>
      </c>
      <c r="C43" s="155"/>
      <c r="D43" s="155"/>
      <c r="E43" s="155"/>
      <c r="F43" s="156"/>
    </row>
    <row r="44" spans="2:10" ht="54.75" customHeight="1">
      <c r="B44" s="157" t="s">
        <v>52</v>
      </c>
      <c r="C44" s="158"/>
      <c r="D44" s="158"/>
      <c r="E44" s="158"/>
      <c r="F44" s="159"/>
    </row>
    <row r="45" spans="2:10">
      <c r="B45" s="160" t="s">
        <v>53</v>
      </c>
      <c r="C45" s="161"/>
      <c r="D45" s="161"/>
      <c r="E45" s="161"/>
      <c r="F45" s="162"/>
    </row>
    <row r="46" spans="2:10" ht="105.75" customHeight="1" thickBot="1">
      <c r="B46" s="163" t="s">
        <v>83</v>
      </c>
      <c r="C46" s="164"/>
      <c r="D46" s="164"/>
      <c r="E46" s="164"/>
      <c r="F46" s="165"/>
    </row>
  </sheetData>
  <mergeCells count="41">
    <mergeCell ref="B16:J16"/>
    <mergeCell ref="D1:J1"/>
    <mergeCell ref="B2:J2"/>
    <mergeCell ref="B3:F3"/>
    <mergeCell ref="B8:J8"/>
    <mergeCell ref="B9:J9"/>
    <mergeCell ref="B10:J10"/>
    <mergeCell ref="B11:J11"/>
    <mergeCell ref="B12:J12"/>
    <mergeCell ref="B13:J13"/>
    <mergeCell ref="B14:J14"/>
    <mergeCell ref="B15:J15"/>
    <mergeCell ref="B17:J17"/>
    <mergeCell ref="B18:J18"/>
    <mergeCell ref="B19:C19"/>
    <mergeCell ref="F19:J19"/>
    <mergeCell ref="B20:C20"/>
    <mergeCell ref="F20:J20"/>
    <mergeCell ref="B21:C21"/>
    <mergeCell ref="F21:J21"/>
    <mergeCell ref="B22:C22"/>
    <mergeCell ref="F22:J22"/>
    <mergeCell ref="B23:C23"/>
    <mergeCell ref="F23:J23"/>
    <mergeCell ref="B41:F41"/>
    <mergeCell ref="B24:C24"/>
    <mergeCell ref="F24:J24"/>
    <mergeCell ref="B25:J25"/>
    <mergeCell ref="E28:E34"/>
    <mergeCell ref="G28:G34"/>
    <mergeCell ref="B35:F35"/>
    <mergeCell ref="B36:F36"/>
    <mergeCell ref="B37:F37"/>
    <mergeCell ref="B39:F39"/>
    <mergeCell ref="G39:H40"/>
    <mergeCell ref="B40:F40"/>
    <mergeCell ref="B42:F42"/>
    <mergeCell ref="B43:F43"/>
    <mergeCell ref="B44:F44"/>
    <mergeCell ref="B45:F45"/>
    <mergeCell ref="B46:F46"/>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39275B-095D-463E-8DA4-78AF6CEF11B2}">
  <dimension ref="B1:J48"/>
  <sheetViews>
    <sheetView topLeftCell="A39" zoomScale="70" zoomScaleNormal="70" workbookViewId="0">
      <selection activeCell="B48" sqref="B48"/>
    </sheetView>
  </sheetViews>
  <sheetFormatPr baseColWidth="10" defaultColWidth="11.5" defaultRowHeight="13.8"/>
  <cols>
    <col min="1" max="1" width="3.5" customWidth="1"/>
    <col min="2" max="2" width="22.5" customWidth="1"/>
    <col min="3" max="3" width="52.5" customWidth="1"/>
    <col min="4" max="4" width="33" customWidth="1"/>
    <col min="5" max="5" width="30" customWidth="1"/>
    <col min="6" max="6" width="29.5" customWidth="1"/>
    <col min="7" max="7" width="23.19921875" customWidth="1"/>
    <col min="8" max="9" width="21.5" customWidth="1"/>
    <col min="10" max="10" width="24.5" customWidth="1"/>
  </cols>
  <sheetData>
    <row r="1" spans="2:10" ht="54" customHeight="1" thickBot="1">
      <c r="B1" s="2"/>
      <c r="C1" s="3"/>
      <c r="D1" s="195" t="s">
        <v>0</v>
      </c>
      <c r="E1" s="195"/>
      <c r="F1" s="195"/>
      <c r="G1" s="195"/>
      <c r="H1" s="195"/>
      <c r="I1" s="195"/>
      <c r="J1" s="195"/>
    </row>
    <row r="2" spans="2:10" s="4" customFormat="1" ht="38.25" customHeight="1">
      <c r="B2" s="196"/>
      <c r="C2" s="197"/>
      <c r="D2" s="197"/>
      <c r="E2" s="197"/>
      <c r="F2" s="197"/>
      <c r="G2" s="197"/>
      <c r="H2" s="197"/>
      <c r="I2" s="197"/>
      <c r="J2" s="197"/>
    </row>
    <row r="3" spans="2:10" ht="0.75" customHeight="1">
      <c r="B3" s="198"/>
      <c r="C3" s="199"/>
      <c r="D3" s="199"/>
      <c r="E3" s="199"/>
      <c r="F3" s="200"/>
      <c r="G3" s="8"/>
    </row>
    <row r="4" spans="2:10" ht="0.75" customHeight="1">
      <c r="B4" s="5"/>
      <c r="C4" s="6"/>
      <c r="D4" s="6"/>
      <c r="E4" s="6"/>
      <c r="F4" s="7"/>
      <c r="G4" s="8"/>
    </row>
    <row r="5" spans="2:10" ht="0.75" customHeight="1">
      <c r="B5" s="5"/>
      <c r="C5" s="6"/>
      <c r="D5" s="6"/>
      <c r="E5" s="6"/>
      <c r="F5" s="7"/>
      <c r="G5" s="8"/>
    </row>
    <row r="6" spans="2:10" ht="0.75" customHeight="1">
      <c r="B6" s="5"/>
      <c r="C6" s="6"/>
      <c r="D6" s="6"/>
      <c r="E6" s="6"/>
      <c r="F6" s="7"/>
      <c r="G6" s="8"/>
    </row>
    <row r="7" spans="2:10" ht="0.75" customHeight="1">
      <c r="B7" s="5"/>
      <c r="C7" s="6"/>
      <c r="D7" s="6"/>
      <c r="E7" s="6"/>
      <c r="F7" s="7"/>
      <c r="G7" s="8"/>
    </row>
    <row r="8" spans="2:10" ht="16.5" customHeight="1">
      <c r="B8" s="170" t="s">
        <v>19</v>
      </c>
      <c r="C8" s="171"/>
      <c r="D8" s="171"/>
      <c r="E8" s="171"/>
      <c r="F8" s="171"/>
      <c r="G8" s="171"/>
      <c r="H8" s="171"/>
      <c r="I8" s="171"/>
      <c r="J8" s="171"/>
    </row>
    <row r="9" spans="2:10" ht="181.05" customHeight="1">
      <c r="B9" s="201" t="s">
        <v>74</v>
      </c>
      <c r="C9" s="202"/>
      <c r="D9" s="202"/>
      <c r="E9" s="202"/>
      <c r="F9" s="202"/>
      <c r="G9" s="202"/>
      <c r="H9" s="202"/>
      <c r="I9" s="202"/>
      <c r="J9" s="202"/>
    </row>
    <row r="10" spans="2:10" ht="16.5" customHeight="1">
      <c r="B10" s="170" t="s">
        <v>20</v>
      </c>
      <c r="C10" s="171"/>
      <c r="D10" s="171"/>
      <c r="E10" s="171"/>
      <c r="F10" s="171"/>
      <c r="G10" s="171"/>
      <c r="H10" s="171"/>
      <c r="I10" s="171"/>
      <c r="J10" s="171"/>
    </row>
    <row r="11" spans="2:10" ht="38.25" customHeight="1">
      <c r="B11" s="203" t="s">
        <v>75</v>
      </c>
      <c r="C11" s="204"/>
      <c r="D11" s="204"/>
      <c r="E11" s="204"/>
      <c r="F11" s="204"/>
      <c r="G11" s="204"/>
      <c r="H11" s="204"/>
      <c r="I11" s="204"/>
      <c r="J11" s="204"/>
    </row>
    <row r="12" spans="2:10" ht="16.5" customHeight="1">
      <c r="B12" s="170" t="s">
        <v>1</v>
      </c>
      <c r="C12" s="171"/>
      <c r="D12" s="171"/>
      <c r="E12" s="171"/>
      <c r="F12" s="171"/>
      <c r="G12" s="171"/>
      <c r="H12" s="171"/>
      <c r="I12" s="171"/>
      <c r="J12" s="171"/>
    </row>
    <row r="13" spans="2:10" ht="63.75" customHeight="1">
      <c r="B13" s="201" t="s">
        <v>76</v>
      </c>
      <c r="C13" s="202"/>
      <c r="D13" s="202"/>
      <c r="E13" s="202"/>
      <c r="F13" s="202"/>
      <c r="G13" s="202"/>
      <c r="H13" s="202"/>
      <c r="I13" s="202"/>
      <c r="J13" s="202"/>
    </row>
    <row r="14" spans="2:10" ht="24" customHeight="1">
      <c r="B14" s="170" t="s">
        <v>21</v>
      </c>
      <c r="C14" s="171"/>
      <c r="D14" s="171"/>
      <c r="E14" s="171"/>
      <c r="F14" s="171"/>
      <c r="G14" s="171"/>
      <c r="H14" s="171"/>
      <c r="I14" s="171"/>
      <c r="J14" s="171"/>
    </row>
    <row r="15" spans="2:10" ht="196.05" customHeight="1">
      <c r="B15" s="201" t="s">
        <v>77</v>
      </c>
      <c r="C15" s="202"/>
      <c r="D15" s="202"/>
      <c r="E15" s="202"/>
      <c r="F15" s="202"/>
      <c r="G15" s="202"/>
      <c r="H15" s="202"/>
      <c r="I15" s="202"/>
      <c r="J15" s="202"/>
    </row>
    <row r="16" spans="2:10" ht="16.5" customHeight="1">
      <c r="B16" s="193" t="s">
        <v>2</v>
      </c>
      <c r="C16" s="194"/>
      <c r="D16" s="194"/>
      <c r="E16" s="194"/>
      <c r="F16" s="194"/>
      <c r="G16" s="194"/>
      <c r="H16" s="194"/>
      <c r="I16" s="194"/>
      <c r="J16" s="194"/>
    </row>
    <row r="17" spans="2:10" ht="39.75" customHeight="1">
      <c r="B17" s="190" t="s">
        <v>22</v>
      </c>
      <c r="C17" s="191"/>
      <c r="D17" s="191"/>
      <c r="E17" s="191"/>
      <c r="F17" s="191"/>
      <c r="G17" s="191"/>
      <c r="H17" s="191"/>
      <c r="I17" s="191"/>
      <c r="J17" s="191"/>
    </row>
    <row r="18" spans="2:10" ht="16.5" customHeight="1">
      <c r="B18" s="170" t="s">
        <v>23</v>
      </c>
      <c r="C18" s="171"/>
      <c r="D18" s="171"/>
      <c r="E18" s="171"/>
      <c r="F18" s="171"/>
      <c r="G18" s="171"/>
      <c r="H18" s="171"/>
      <c r="I18" s="171"/>
      <c r="J18" s="171"/>
    </row>
    <row r="19" spans="2:10" s="10" customFormat="1" ht="17.25" customHeight="1">
      <c r="B19" s="192" t="s">
        <v>3</v>
      </c>
      <c r="C19" s="192"/>
      <c r="D19" s="9" t="s">
        <v>24</v>
      </c>
      <c r="E19" s="9" t="s">
        <v>4</v>
      </c>
      <c r="F19" s="192" t="s">
        <v>5</v>
      </c>
      <c r="G19" s="192"/>
      <c r="H19" s="192"/>
      <c r="I19" s="192"/>
      <c r="J19" s="192"/>
    </row>
    <row r="20" spans="2:10" ht="17.25" customHeight="1">
      <c r="B20" s="188" t="s">
        <v>6</v>
      </c>
      <c r="C20" s="189"/>
      <c r="D20" s="11">
        <v>0.2</v>
      </c>
      <c r="E20" s="1" t="s">
        <v>25</v>
      </c>
      <c r="F20" s="169" t="s">
        <v>26</v>
      </c>
      <c r="G20" s="169"/>
      <c r="H20" s="169"/>
      <c r="I20" s="169"/>
      <c r="J20" s="169"/>
    </row>
    <row r="21" spans="2:10" ht="17.25" customHeight="1">
      <c r="B21" s="188" t="s">
        <v>27</v>
      </c>
      <c r="C21" s="189"/>
      <c r="D21" s="11">
        <v>0.2</v>
      </c>
      <c r="E21" s="1" t="s">
        <v>25</v>
      </c>
      <c r="F21" s="169" t="s">
        <v>28</v>
      </c>
      <c r="G21" s="169"/>
      <c r="H21" s="169"/>
      <c r="I21" s="169"/>
      <c r="J21" s="169"/>
    </row>
    <row r="22" spans="2:10" ht="17.25" customHeight="1">
      <c r="B22" s="188" t="s">
        <v>29</v>
      </c>
      <c r="C22" s="189"/>
      <c r="D22" s="11">
        <v>0.2</v>
      </c>
      <c r="E22" s="1" t="s">
        <v>25</v>
      </c>
      <c r="F22" s="169" t="s">
        <v>30</v>
      </c>
      <c r="G22" s="169"/>
      <c r="H22" s="169"/>
      <c r="I22" s="169"/>
      <c r="J22" s="169"/>
    </row>
    <row r="23" spans="2:10">
      <c r="B23" s="188" t="s">
        <v>31</v>
      </c>
      <c r="C23" s="189"/>
      <c r="D23" s="11">
        <v>0.1</v>
      </c>
      <c r="E23" s="1" t="s">
        <v>25</v>
      </c>
      <c r="F23" s="169" t="s">
        <v>32</v>
      </c>
      <c r="G23" s="169"/>
      <c r="H23" s="169"/>
      <c r="I23" s="169"/>
      <c r="J23" s="169"/>
    </row>
    <row r="24" spans="2:10">
      <c r="B24" s="167" t="s">
        <v>33</v>
      </c>
      <c r="C24" s="168"/>
      <c r="D24" s="11" t="s">
        <v>34</v>
      </c>
      <c r="E24" s="1" t="s">
        <v>25</v>
      </c>
      <c r="F24" s="169" t="s">
        <v>35</v>
      </c>
      <c r="G24" s="169"/>
      <c r="H24" s="169"/>
      <c r="I24" s="169"/>
      <c r="J24" s="169"/>
    </row>
    <row r="25" spans="2:10" ht="16.5" customHeight="1" thickBot="1">
      <c r="B25" s="170" t="s">
        <v>7</v>
      </c>
      <c r="C25" s="171"/>
      <c r="D25" s="171"/>
      <c r="E25" s="171"/>
      <c r="F25" s="171"/>
      <c r="G25" s="171"/>
      <c r="H25" s="171"/>
      <c r="I25" s="171"/>
      <c r="J25" s="171"/>
    </row>
    <row r="26" spans="2:10" ht="36" customHeight="1">
      <c r="B26" s="12" t="s">
        <v>36</v>
      </c>
      <c r="C26" s="12" t="s">
        <v>37</v>
      </c>
      <c r="D26" s="13" t="s">
        <v>38</v>
      </c>
      <c r="E26" s="12" t="s">
        <v>39</v>
      </c>
      <c r="F26" s="14" t="s">
        <v>40</v>
      </c>
      <c r="G26" s="13" t="s">
        <v>41</v>
      </c>
      <c r="H26" s="13" t="s">
        <v>42</v>
      </c>
      <c r="I26" s="13" t="s">
        <v>78</v>
      </c>
      <c r="J26" s="13" t="s">
        <v>10</v>
      </c>
    </row>
    <row r="27" spans="2:10" ht="21.75" customHeight="1">
      <c r="B27" s="15"/>
      <c r="C27" s="15"/>
      <c r="D27" s="16"/>
      <c r="E27" s="15"/>
      <c r="F27" s="17"/>
      <c r="G27" s="18"/>
      <c r="H27" s="19"/>
      <c r="I27" s="19"/>
      <c r="J27" s="19"/>
    </row>
    <row r="28" spans="2:10" ht="50.1" customHeight="1">
      <c r="B28" s="38">
        <v>1</v>
      </c>
      <c r="C28" s="34" t="s">
        <v>60</v>
      </c>
      <c r="D28" s="37" t="s">
        <v>67</v>
      </c>
      <c r="E28" s="172" t="s">
        <v>43</v>
      </c>
      <c r="F28" s="20">
        <v>1</v>
      </c>
      <c r="G28" s="175">
        <v>9</v>
      </c>
      <c r="H28" s="39">
        <v>191783676.46307409</v>
      </c>
      <c r="I28" s="40">
        <f t="shared" ref="I28:I34" si="0">+H28*0.19</f>
        <v>36438898.527984075</v>
      </c>
      <c r="J28" s="21">
        <f>(H28+I28)*G28</f>
        <v>2054003174.9195235</v>
      </c>
    </row>
    <row r="29" spans="2:10" ht="57.75" customHeight="1">
      <c r="B29" s="38">
        <v>2</v>
      </c>
      <c r="C29" s="35" t="s">
        <v>61</v>
      </c>
      <c r="D29" s="37" t="s">
        <v>68</v>
      </c>
      <c r="E29" s="173"/>
      <c r="F29" s="20">
        <v>1</v>
      </c>
      <c r="G29" s="175"/>
      <c r="H29" s="39">
        <v>291721029.50823694</v>
      </c>
      <c r="I29" s="40">
        <f t="shared" si="0"/>
        <v>55426995.606565021</v>
      </c>
      <c r="J29" s="21">
        <f>(H29+I29)*G28</f>
        <v>3124332226.0332174</v>
      </c>
    </row>
    <row r="30" spans="2:10" ht="57.75" customHeight="1">
      <c r="B30" s="38">
        <v>3</v>
      </c>
      <c r="C30" s="36" t="s">
        <v>62</v>
      </c>
      <c r="D30" s="37" t="s">
        <v>69</v>
      </c>
      <c r="E30" s="173"/>
      <c r="F30" s="20">
        <v>1</v>
      </c>
      <c r="G30" s="175"/>
      <c r="H30" s="39">
        <v>140873850.46036214</v>
      </c>
      <c r="I30" s="40">
        <f t="shared" si="0"/>
        <v>26766031.587468807</v>
      </c>
      <c r="J30" s="21">
        <f>(H30+I30)*G28</f>
        <v>1508758938.4304786</v>
      </c>
    </row>
    <row r="31" spans="2:10" ht="57.75" customHeight="1">
      <c r="B31" s="38">
        <v>4</v>
      </c>
      <c r="C31" s="36" t="s">
        <v>63</v>
      </c>
      <c r="D31" s="37" t="s">
        <v>70</v>
      </c>
      <c r="E31" s="173"/>
      <c r="F31" s="20">
        <v>1</v>
      </c>
      <c r="G31" s="175"/>
      <c r="H31" s="39">
        <v>67778340.215964139</v>
      </c>
      <c r="I31" s="40">
        <f t="shared" si="0"/>
        <v>12877884.641033186</v>
      </c>
      <c r="J31" s="21">
        <f>(H31+I31)*G28</f>
        <v>725906023.71297598</v>
      </c>
    </row>
    <row r="32" spans="2:10" ht="73.05" customHeight="1">
      <c r="B32" s="38">
        <v>5</v>
      </c>
      <c r="C32" s="36" t="s">
        <v>64</v>
      </c>
      <c r="D32" s="37" t="s">
        <v>71</v>
      </c>
      <c r="E32" s="173"/>
      <c r="F32" s="20">
        <v>1</v>
      </c>
      <c r="G32" s="175"/>
      <c r="H32" s="39">
        <v>42107899.050736874</v>
      </c>
      <c r="I32" s="40">
        <f t="shared" si="0"/>
        <v>8000500.8196400059</v>
      </c>
      <c r="J32" s="21">
        <f>(H32+I32)*G28</f>
        <v>450975598.8333919</v>
      </c>
    </row>
    <row r="33" spans="2:10" ht="95.1" customHeight="1">
      <c r="B33" s="38">
        <v>6</v>
      </c>
      <c r="C33" s="36" t="s">
        <v>65</v>
      </c>
      <c r="D33" s="37" t="s">
        <v>72</v>
      </c>
      <c r="E33" s="173"/>
      <c r="F33" s="20">
        <v>1</v>
      </c>
      <c r="G33" s="175"/>
      <c r="H33" s="39">
        <v>47439126.347433418</v>
      </c>
      <c r="I33" s="40">
        <f t="shared" si="0"/>
        <v>9013434.0060123503</v>
      </c>
      <c r="J33" s="21">
        <f>(H33+I33)*G28</f>
        <v>508073043.18101192</v>
      </c>
    </row>
    <row r="34" spans="2:10" ht="209.25" customHeight="1">
      <c r="B34" s="38">
        <v>7</v>
      </c>
      <c r="C34" s="35" t="s">
        <v>66</v>
      </c>
      <c r="D34" s="35" t="s">
        <v>73</v>
      </c>
      <c r="E34" s="174"/>
      <c r="F34" s="20">
        <v>1</v>
      </c>
      <c r="G34" s="175"/>
      <c r="H34" s="39">
        <v>151207022.68358812</v>
      </c>
      <c r="I34" s="39">
        <f t="shared" si="0"/>
        <v>28729334.309881743</v>
      </c>
      <c r="J34" s="21">
        <f>H34+I34</f>
        <v>179936356.99346986</v>
      </c>
    </row>
    <row r="35" spans="2:10" ht="18" customHeight="1">
      <c r="B35" s="176" t="s">
        <v>44</v>
      </c>
      <c r="C35" s="176"/>
      <c r="D35" s="176"/>
      <c r="E35" s="176"/>
      <c r="F35" s="176"/>
      <c r="G35" s="41"/>
      <c r="H35" s="42"/>
      <c r="I35" s="42"/>
      <c r="J35" s="22">
        <f>SUM(H28:H33)*G28+H34</f>
        <v>7186542321.0958576</v>
      </c>
    </row>
    <row r="36" spans="2:10" ht="18" customHeight="1">
      <c r="B36" s="177" t="s">
        <v>45</v>
      </c>
      <c r="C36" s="178"/>
      <c r="D36" s="178"/>
      <c r="E36" s="178"/>
      <c r="F36" s="179"/>
      <c r="G36" s="41"/>
      <c r="H36" s="42"/>
      <c r="I36" s="42"/>
      <c r="J36" s="22">
        <f>+J35*0.19</f>
        <v>1365443041.008213</v>
      </c>
    </row>
    <row r="37" spans="2:10" ht="18" customHeight="1">
      <c r="B37" s="177" t="s">
        <v>46</v>
      </c>
      <c r="C37" s="178"/>
      <c r="D37" s="178"/>
      <c r="E37" s="178"/>
      <c r="F37" s="179"/>
      <c r="G37" s="41"/>
      <c r="H37" s="42"/>
      <c r="I37" s="42"/>
      <c r="J37" s="22">
        <f>+J35+J36</f>
        <v>8551985362.1040707</v>
      </c>
    </row>
    <row r="38" spans="2:10" ht="72" customHeight="1">
      <c r="B38" s="23">
        <v>8</v>
      </c>
      <c r="C38" s="23" t="s">
        <v>79</v>
      </c>
      <c r="D38" s="43" t="s">
        <v>80</v>
      </c>
      <c r="E38" s="23" t="s">
        <v>43</v>
      </c>
      <c r="F38" s="23">
        <v>1</v>
      </c>
      <c r="G38" s="24">
        <v>9</v>
      </c>
      <c r="H38" s="25">
        <v>6000000</v>
      </c>
      <c r="I38" s="25"/>
      <c r="J38" s="26">
        <f>+H38*G38</f>
        <v>54000000</v>
      </c>
    </row>
    <row r="39" spans="2:10">
      <c r="B39" s="180" t="s">
        <v>49</v>
      </c>
      <c r="C39" s="181"/>
      <c r="D39" s="181"/>
      <c r="E39" s="181"/>
      <c r="F39" s="182"/>
      <c r="G39" s="183"/>
      <c r="H39" s="184"/>
      <c r="I39" s="33"/>
      <c r="J39" s="27">
        <f>+J38*0.19</f>
        <v>10260000</v>
      </c>
    </row>
    <row r="40" spans="2:10">
      <c r="B40" s="187" t="s">
        <v>50</v>
      </c>
      <c r="C40" s="187"/>
      <c r="D40" s="187"/>
      <c r="E40" s="187"/>
      <c r="F40" s="187"/>
      <c r="G40" s="185"/>
      <c r="H40" s="186"/>
      <c r="I40" s="33"/>
      <c r="J40" s="28">
        <f>+J38+J39</f>
        <v>64260000</v>
      </c>
    </row>
    <row r="41" spans="2:10" s="32" customFormat="1" ht="16.5" customHeight="1">
      <c r="B41" s="166" t="s">
        <v>51</v>
      </c>
      <c r="C41" s="166"/>
      <c r="D41" s="166"/>
      <c r="E41" s="166"/>
      <c r="F41" s="166"/>
      <c r="G41" s="29"/>
      <c r="H41" s="30"/>
      <c r="I41" s="30"/>
      <c r="J41" s="31">
        <f>+J37+J40</f>
        <v>8616245362.1040707</v>
      </c>
    </row>
    <row r="42" spans="2:10" ht="86.25" customHeight="1" thickBot="1">
      <c r="B42" s="151" t="s">
        <v>81</v>
      </c>
      <c r="C42" s="152"/>
      <c r="D42" s="152"/>
      <c r="E42" s="152"/>
      <c r="F42" s="153"/>
    </row>
    <row r="43" spans="2:10" ht="46.5" customHeight="1" thickBot="1">
      <c r="B43" s="154" t="s">
        <v>84</v>
      </c>
      <c r="C43" s="155"/>
      <c r="D43" s="155"/>
      <c r="E43" s="155"/>
      <c r="F43" s="156"/>
    </row>
    <row r="44" spans="2:10" ht="54.75" customHeight="1">
      <c r="B44" s="205" t="s">
        <v>52</v>
      </c>
      <c r="C44" s="206"/>
      <c r="D44" s="206"/>
      <c r="E44" s="206"/>
      <c r="F44" s="207"/>
    </row>
    <row r="45" spans="2:10">
      <c r="B45" s="160" t="s">
        <v>53</v>
      </c>
      <c r="C45" s="161"/>
      <c r="D45" s="161"/>
      <c r="E45" s="161"/>
      <c r="F45" s="162"/>
    </row>
    <row r="46" spans="2:10" ht="105.75" customHeight="1" thickBot="1">
      <c r="B46" s="163" t="s">
        <v>83</v>
      </c>
      <c r="C46" s="164"/>
      <c r="D46" s="164"/>
      <c r="E46" s="164"/>
      <c r="F46" s="165"/>
    </row>
    <row r="47" spans="2:10" ht="24.6">
      <c r="B47" s="44" t="s">
        <v>85</v>
      </c>
      <c r="C47" s="44"/>
    </row>
    <row r="48" spans="2:10" ht="24.6">
      <c r="B48" s="44" t="s">
        <v>86</v>
      </c>
      <c r="C48" s="44"/>
    </row>
  </sheetData>
  <mergeCells count="41">
    <mergeCell ref="B16:J16"/>
    <mergeCell ref="D1:J1"/>
    <mergeCell ref="B2:J2"/>
    <mergeCell ref="B3:F3"/>
    <mergeCell ref="B8:J8"/>
    <mergeCell ref="B9:J9"/>
    <mergeCell ref="B10:J10"/>
    <mergeCell ref="B11:J11"/>
    <mergeCell ref="B12:J12"/>
    <mergeCell ref="B13:J13"/>
    <mergeCell ref="B14:J14"/>
    <mergeCell ref="B15:J15"/>
    <mergeCell ref="B17:J17"/>
    <mergeCell ref="B18:J18"/>
    <mergeCell ref="B19:C19"/>
    <mergeCell ref="F19:J19"/>
    <mergeCell ref="B20:C20"/>
    <mergeCell ref="F20:J20"/>
    <mergeCell ref="B21:C21"/>
    <mergeCell ref="F21:J21"/>
    <mergeCell ref="B22:C22"/>
    <mergeCell ref="F22:J22"/>
    <mergeCell ref="B23:C23"/>
    <mergeCell ref="F23:J23"/>
    <mergeCell ref="B41:F41"/>
    <mergeCell ref="B24:C24"/>
    <mergeCell ref="F24:J24"/>
    <mergeCell ref="B25:J25"/>
    <mergeCell ref="E28:E34"/>
    <mergeCell ref="G28:G34"/>
    <mergeCell ref="B35:F35"/>
    <mergeCell ref="B36:F36"/>
    <mergeCell ref="B37:F37"/>
    <mergeCell ref="B39:F39"/>
    <mergeCell ref="G39:H40"/>
    <mergeCell ref="B40:F40"/>
    <mergeCell ref="B42:F42"/>
    <mergeCell ref="B43:F43"/>
    <mergeCell ref="B44:F44"/>
    <mergeCell ref="B45:F45"/>
    <mergeCell ref="B46:F46"/>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96649B-22E8-4291-B80C-DA04A5627373}">
  <dimension ref="B1:J46"/>
  <sheetViews>
    <sheetView zoomScale="60" zoomScaleNormal="60" workbookViewId="0">
      <selection activeCell="B12" sqref="B12:J12"/>
    </sheetView>
  </sheetViews>
  <sheetFormatPr baseColWidth="10" defaultColWidth="11.5" defaultRowHeight="13.8"/>
  <cols>
    <col min="1" max="1" width="3.5" customWidth="1"/>
    <col min="2" max="2" width="22.5" customWidth="1"/>
    <col min="3" max="3" width="52.5" customWidth="1"/>
    <col min="4" max="4" width="33" customWidth="1"/>
    <col min="5" max="5" width="30" customWidth="1"/>
    <col min="6" max="6" width="29.3984375" customWidth="1"/>
    <col min="7" max="7" width="23.19921875" customWidth="1"/>
    <col min="8" max="9" width="21.59765625" customWidth="1"/>
    <col min="10" max="10" width="24.3984375" customWidth="1"/>
  </cols>
  <sheetData>
    <row r="1" spans="2:10" ht="54" customHeight="1" thickBot="1">
      <c r="B1" s="2"/>
      <c r="C1" s="3"/>
      <c r="D1" s="195" t="s">
        <v>0</v>
      </c>
      <c r="E1" s="195"/>
      <c r="F1" s="195"/>
      <c r="G1" s="195"/>
      <c r="H1" s="195"/>
      <c r="I1" s="195"/>
      <c r="J1" s="195"/>
    </row>
    <row r="2" spans="2:10" s="4" customFormat="1" ht="38.25" customHeight="1">
      <c r="B2" s="196"/>
      <c r="C2" s="197"/>
      <c r="D2" s="197"/>
      <c r="E2" s="197"/>
      <c r="F2" s="197"/>
      <c r="G2" s="197"/>
      <c r="H2" s="197"/>
      <c r="I2" s="197"/>
      <c r="J2" s="197"/>
    </row>
    <row r="3" spans="2:10" ht="0.75" customHeight="1">
      <c r="B3" s="198"/>
      <c r="C3" s="199"/>
      <c r="D3" s="199"/>
      <c r="E3" s="199"/>
      <c r="F3" s="200"/>
      <c r="G3" s="8"/>
    </row>
    <row r="4" spans="2:10" ht="0.75" customHeight="1">
      <c r="B4" s="5"/>
      <c r="C4" s="6"/>
      <c r="D4" s="6"/>
      <c r="E4" s="6"/>
      <c r="F4" s="7"/>
      <c r="G4" s="8"/>
    </row>
    <row r="5" spans="2:10" ht="0.75" customHeight="1">
      <c r="B5" s="5"/>
      <c r="C5" s="6"/>
      <c r="D5" s="6"/>
      <c r="E5" s="6"/>
      <c r="F5" s="7"/>
      <c r="G5" s="8"/>
    </row>
    <row r="6" spans="2:10" ht="0.75" customHeight="1">
      <c r="B6" s="5"/>
      <c r="C6" s="6"/>
      <c r="D6" s="6"/>
      <c r="E6" s="6"/>
      <c r="F6" s="7"/>
      <c r="G6" s="8"/>
    </row>
    <row r="7" spans="2:10" ht="0.75" customHeight="1">
      <c r="B7" s="5"/>
      <c r="C7" s="6"/>
      <c r="D7" s="6"/>
      <c r="E7" s="6"/>
      <c r="F7" s="7"/>
      <c r="G7" s="8"/>
    </row>
    <row r="8" spans="2:10" ht="16.5" customHeight="1">
      <c r="B8" s="170" t="s">
        <v>19</v>
      </c>
      <c r="C8" s="171"/>
      <c r="D8" s="171"/>
      <c r="E8" s="171"/>
      <c r="F8" s="171"/>
      <c r="G8" s="171"/>
      <c r="H8" s="171"/>
      <c r="I8" s="171"/>
      <c r="J8" s="171"/>
    </row>
    <row r="9" spans="2:10" ht="181.05" customHeight="1">
      <c r="B9" s="201" t="s">
        <v>74</v>
      </c>
      <c r="C9" s="202"/>
      <c r="D9" s="202"/>
      <c r="E9" s="202"/>
      <c r="F9" s="202"/>
      <c r="G9" s="202"/>
      <c r="H9" s="202"/>
      <c r="I9" s="202"/>
      <c r="J9" s="202"/>
    </row>
    <row r="10" spans="2:10" ht="16.5" customHeight="1">
      <c r="B10" s="170" t="s">
        <v>20</v>
      </c>
      <c r="C10" s="171"/>
      <c r="D10" s="171"/>
      <c r="E10" s="171"/>
      <c r="F10" s="171"/>
      <c r="G10" s="171"/>
      <c r="H10" s="171"/>
      <c r="I10" s="171"/>
      <c r="J10" s="171"/>
    </row>
    <row r="11" spans="2:10" ht="38.25" customHeight="1">
      <c r="B11" s="203" t="s">
        <v>75</v>
      </c>
      <c r="C11" s="204"/>
      <c r="D11" s="204"/>
      <c r="E11" s="204"/>
      <c r="F11" s="204"/>
      <c r="G11" s="204"/>
      <c r="H11" s="204"/>
      <c r="I11" s="204"/>
      <c r="J11" s="204"/>
    </row>
    <row r="12" spans="2:10" ht="16.5" customHeight="1">
      <c r="B12" s="170" t="s">
        <v>1</v>
      </c>
      <c r="C12" s="171"/>
      <c r="D12" s="171"/>
      <c r="E12" s="171"/>
      <c r="F12" s="171"/>
      <c r="G12" s="171"/>
      <c r="H12" s="171"/>
      <c r="I12" s="171"/>
      <c r="J12" s="171"/>
    </row>
    <row r="13" spans="2:10" ht="63.75" customHeight="1">
      <c r="B13" s="201" t="s">
        <v>76</v>
      </c>
      <c r="C13" s="202"/>
      <c r="D13" s="202"/>
      <c r="E13" s="202"/>
      <c r="F13" s="202"/>
      <c r="G13" s="202"/>
      <c r="H13" s="202"/>
      <c r="I13" s="202"/>
      <c r="J13" s="202"/>
    </row>
    <row r="14" spans="2:10" ht="24" customHeight="1">
      <c r="B14" s="170" t="s">
        <v>21</v>
      </c>
      <c r="C14" s="171"/>
      <c r="D14" s="171"/>
      <c r="E14" s="171"/>
      <c r="F14" s="171"/>
      <c r="G14" s="171"/>
      <c r="H14" s="171"/>
      <c r="I14" s="171"/>
      <c r="J14" s="171"/>
    </row>
    <row r="15" spans="2:10" ht="196.05" customHeight="1">
      <c r="B15" s="201" t="s">
        <v>77</v>
      </c>
      <c r="C15" s="202"/>
      <c r="D15" s="202"/>
      <c r="E15" s="202"/>
      <c r="F15" s="202"/>
      <c r="G15" s="202"/>
      <c r="H15" s="202"/>
      <c r="I15" s="202"/>
      <c r="J15" s="202"/>
    </row>
    <row r="16" spans="2:10" ht="16.5" customHeight="1">
      <c r="B16" s="193" t="s">
        <v>2</v>
      </c>
      <c r="C16" s="194"/>
      <c r="D16" s="194"/>
      <c r="E16" s="194"/>
      <c r="F16" s="194"/>
      <c r="G16" s="194"/>
      <c r="H16" s="194"/>
      <c r="I16" s="194"/>
      <c r="J16" s="194"/>
    </row>
    <row r="17" spans="2:10" ht="39.75" customHeight="1">
      <c r="B17" s="190" t="s">
        <v>22</v>
      </c>
      <c r="C17" s="191"/>
      <c r="D17" s="191"/>
      <c r="E17" s="191"/>
      <c r="F17" s="191"/>
      <c r="G17" s="191"/>
      <c r="H17" s="191"/>
      <c r="I17" s="191"/>
      <c r="J17" s="191"/>
    </row>
    <row r="18" spans="2:10" ht="16.5" customHeight="1">
      <c r="B18" s="170" t="s">
        <v>23</v>
      </c>
      <c r="C18" s="171"/>
      <c r="D18" s="171"/>
      <c r="E18" s="171"/>
      <c r="F18" s="171"/>
      <c r="G18" s="171"/>
      <c r="H18" s="171"/>
      <c r="I18" s="171"/>
      <c r="J18" s="171"/>
    </row>
    <row r="19" spans="2:10" s="10" customFormat="1" ht="17.25" customHeight="1">
      <c r="B19" s="192" t="s">
        <v>3</v>
      </c>
      <c r="C19" s="192"/>
      <c r="D19" s="9" t="s">
        <v>24</v>
      </c>
      <c r="E19" s="9" t="s">
        <v>4</v>
      </c>
      <c r="F19" s="192" t="s">
        <v>5</v>
      </c>
      <c r="G19" s="192"/>
      <c r="H19" s="192"/>
      <c r="I19" s="192"/>
      <c r="J19" s="192"/>
    </row>
    <row r="20" spans="2:10" ht="17.25" customHeight="1">
      <c r="B20" s="188" t="s">
        <v>6</v>
      </c>
      <c r="C20" s="189"/>
      <c r="D20" s="11">
        <v>0.2</v>
      </c>
      <c r="E20" s="1" t="s">
        <v>25</v>
      </c>
      <c r="F20" s="169" t="s">
        <v>26</v>
      </c>
      <c r="G20" s="169"/>
      <c r="H20" s="169"/>
      <c r="I20" s="169"/>
      <c r="J20" s="169"/>
    </row>
    <row r="21" spans="2:10" ht="17.25" customHeight="1">
      <c r="B21" s="188" t="s">
        <v>27</v>
      </c>
      <c r="C21" s="189"/>
      <c r="D21" s="11">
        <v>0.2</v>
      </c>
      <c r="E21" s="1" t="s">
        <v>25</v>
      </c>
      <c r="F21" s="169" t="s">
        <v>28</v>
      </c>
      <c r="G21" s="169"/>
      <c r="H21" s="169"/>
      <c r="I21" s="169"/>
      <c r="J21" s="169"/>
    </row>
    <row r="22" spans="2:10" ht="17.25" customHeight="1">
      <c r="B22" s="188" t="s">
        <v>29</v>
      </c>
      <c r="C22" s="189"/>
      <c r="D22" s="11">
        <v>0.2</v>
      </c>
      <c r="E22" s="1" t="s">
        <v>25</v>
      </c>
      <c r="F22" s="169" t="s">
        <v>30</v>
      </c>
      <c r="G22" s="169"/>
      <c r="H22" s="169"/>
      <c r="I22" s="169"/>
      <c r="J22" s="169"/>
    </row>
    <row r="23" spans="2:10">
      <c r="B23" s="188" t="s">
        <v>31</v>
      </c>
      <c r="C23" s="189"/>
      <c r="D23" s="11">
        <v>0.1</v>
      </c>
      <c r="E23" s="1" t="s">
        <v>25</v>
      </c>
      <c r="F23" s="169" t="s">
        <v>32</v>
      </c>
      <c r="G23" s="169"/>
      <c r="H23" s="169"/>
      <c r="I23" s="169"/>
      <c r="J23" s="169"/>
    </row>
    <row r="24" spans="2:10">
      <c r="B24" s="167" t="s">
        <v>33</v>
      </c>
      <c r="C24" s="168"/>
      <c r="D24" s="11" t="s">
        <v>34</v>
      </c>
      <c r="E24" s="1" t="s">
        <v>25</v>
      </c>
      <c r="F24" s="169" t="s">
        <v>35</v>
      </c>
      <c r="G24" s="169"/>
      <c r="H24" s="169"/>
      <c r="I24" s="169"/>
      <c r="J24" s="169"/>
    </row>
    <row r="25" spans="2:10" ht="16.5" customHeight="1" thickBot="1">
      <c r="B25" s="170" t="s">
        <v>7</v>
      </c>
      <c r="C25" s="171"/>
      <c r="D25" s="171"/>
      <c r="E25" s="171"/>
      <c r="F25" s="171"/>
      <c r="G25" s="171"/>
      <c r="H25" s="171"/>
      <c r="I25" s="171"/>
      <c r="J25" s="171"/>
    </row>
    <row r="26" spans="2:10" ht="36" customHeight="1">
      <c r="B26" s="12" t="s">
        <v>36</v>
      </c>
      <c r="C26" s="12" t="s">
        <v>37</v>
      </c>
      <c r="D26" s="13" t="s">
        <v>38</v>
      </c>
      <c r="E26" s="12" t="s">
        <v>39</v>
      </c>
      <c r="F26" s="14" t="s">
        <v>40</v>
      </c>
      <c r="G26" s="13" t="s">
        <v>41</v>
      </c>
      <c r="H26" s="13" t="s">
        <v>42</v>
      </c>
      <c r="I26" s="13" t="s">
        <v>78</v>
      </c>
      <c r="J26" s="13" t="s">
        <v>10</v>
      </c>
    </row>
    <row r="27" spans="2:10" ht="21.75" customHeight="1">
      <c r="B27" s="15"/>
      <c r="C27" s="15"/>
      <c r="D27" s="16"/>
      <c r="E27" s="15"/>
      <c r="F27" s="17"/>
      <c r="G27" s="18"/>
      <c r="H27" s="19"/>
      <c r="I27" s="19"/>
      <c r="J27" s="19"/>
    </row>
    <row r="28" spans="2:10" ht="49.95" customHeight="1">
      <c r="B28" s="38">
        <v>1</v>
      </c>
      <c r="C28" s="34" t="s">
        <v>60</v>
      </c>
      <c r="D28" s="37" t="s">
        <v>67</v>
      </c>
      <c r="E28" s="172" t="s">
        <v>43</v>
      </c>
      <c r="F28" s="20">
        <v>1</v>
      </c>
      <c r="G28" s="175">
        <v>9</v>
      </c>
      <c r="H28" s="39">
        <v>197305952.97140029</v>
      </c>
      <c r="I28" s="40">
        <f t="shared" ref="I28:I34" si="0">+H28*0.19</f>
        <v>37488131.064566053</v>
      </c>
      <c r="J28" s="21">
        <f>(H28+I28)*G28</f>
        <v>2113146756.3236971</v>
      </c>
    </row>
    <row r="29" spans="2:10" ht="57.75" customHeight="1">
      <c r="B29" s="38">
        <v>2</v>
      </c>
      <c r="C29" s="35" t="s">
        <v>61</v>
      </c>
      <c r="D29" s="37" t="s">
        <v>68</v>
      </c>
      <c r="E29" s="173"/>
      <c r="F29" s="20">
        <v>1</v>
      </c>
      <c r="G29" s="175"/>
      <c r="H29" s="39">
        <v>300120932.03356081</v>
      </c>
      <c r="I29" s="40">
        <f t="shared" si="0"/>
        <v>57022977.086376555</v>
      </c>
      <c r="J29" s="21">
        <f>(H29+I29)*G28</f>
        <v>3214295182.0794363</v>
      </c>
    </row>
    <row r="30" spans="2:10" ht="57.75" customHeight="1">
      <c r="B30" s="38">
        <v>3</v>
      </c>
      <c r="C30" s="36" t="s">
        <v>62</v>
      </c>
      <c r="D30" s="37" t="s">
        <v>69</v>
      </c>
      <c r="E30" s="173"/>
      <c r="F30" s="20">
        <v>1</v>
      </c>
      <c r="G30" s="175"/>
      <c r="H30" s="39">
        <v>144930214.2207289</v>
      </c>
      <c r="I30" s="40">
        <f t="shared" si="0"/>
        <v>27536740.701938491</v>
      </c>
      <c r="J30" s="21">
        <f>(H30+I30)*G28</f>
        <v>1552202594.3040066</v>
      </c>
    </row>
    <row r="31" spans="2:10" ht="57.75" customHeight="1">
      <c r="B31" s="38">
        <v>4</v>
      </c>
      <c r="C31" s="36" t="s">
        <v>63</v>
      </c>
      <c r="D31" s="37" t="s">
        <v>70</v>
      </c>
      <c r="E31" s="173"/>
      <c r="F31" s="20">
        <v>1</v>
      </c>
      <c r="G31" s="175"/>
      <c r="H31" s="39">
        <v>69729970.00454016</v>
      </c>
      <c r="I31" s="40">
        <f t="shared" si="0"/>
        <v>13248694.300862631</v>
      </c>
      <c r="J31" s="21">
        <f>(H31+I31)*G28</f>
        <v>746807978.74862504</v>
      </c>
    </row>
    <row r="32" spans="2:10" ht="73.05" customHeight="1">
      <c r="B32" s="38">
        <v>5</v>
      </c>
      <c r="C32" s="36" t="s">
        <v>64</v>
      </c>
      <c r="D32" s="37" t="s">
        <v>71</v>
      </c>
      <c r="E32" s="173"/>
      <c r="F32" s="20">
        <v>1</v>
      </c>
      <c r="G32" s="175"/>
      <c r="H32" s="39">
        <v>43320366.48295667</v>
      </c>
      <c r="I32" s="40">
        <f t="shared" si="0"/>
        <v>8230869.6317617679</v>
      </c>
      <c r="J32" s="21">
        <f>(H32+I32)*G28</f>
        <v>463961125.03246593</v>
      </c>
    </row>
    <row r="33" spans="2:10" ht="94.95" customHeight="1">
      <c r="B33" s="38">
        <v>6</v>
      </c>
      <c r="C33" s="36" t="s">
        <v>65</v>
      </c>
      <c r="D33" s="37" t="s">
        <v>72</v>
      </c>
      <c r="E33" s="173"/>
      <c r="F33" s="20">
        <v>1</v>
      </c>
      <c r="G33" s="175"/>
      <c r="H33" s="39">
        <v>48805102.732052311</v>
      </c>
      <c r="I33" s="40">
        <f t="shared" si="0"/>
        <v>9272969.5190899391</v>
      </c>
      <c r="J33" s="21">
        <f>(H33+I33)*G28</f>
        <v>522702650.26028025</v>
      </c>
    </row>
    <row r="34" spans="2:10" ht="209.25" customHeight="1">
      <c r="B34" s="38">
        <v>7</v>
      </c>
      <c r="C34" s="35" t="s">
        <v>66</v>
      </c>
      <c r="D34" s="35" t="s">
        <v>73</v>
      </c>
      <c r="E34" s="174"/>
      <c r="F34" s="20">
        <v>1</v>
      </c>
      <c r="G34" s="175"/>
      <c r="H34" s="39">
        <v>155560922.89375693</v>
      </c>
      <c r="I34" s="39">
        <f t="shared" si="0"/>
        <v>29556575.349813815</v>
      </c>
      <c r="J34" s="21">
        <f>H34+I34</f>
        <v>185117498.24357074</v>
      </c>
    </row>
    <row r="35" spans="2:10" ht="18" customHeight="1">
      <c r="B35" s="176" t="s">
        <v>44</v>
      </c>
      <c r="C35" s="176"/>
      <c r="D35" s="176"/>
      <c r="E35" s="176"/>
      <c r="F35" s="176"/>
      <c r="G35" s="41"/>
      <c r="H35" s="42"/>
      <c r="I35" s="42"/>
      <c r="J35" s="22">
        <f>SUM(H28:H33)*G28+H34</f>
        <v>7393473768.9009094</v>
      </c>
    </row>
    <row r="36" spans="2:10" ht="18" customHeight="1">
      <c r="B36" s="177" t="s">
        <v>45</v>
      </c>
      <c r="C36" s="178"/>
      <c r="D36" s="178"/>
      <c r="E36" s="178"/>
      <c r="F36" s="179"/>
      <c r="G36" s="41"/>
      <c r="H36" s="42"/>
      <c r="I36" s="42"/>
      <c r="J36" s="22">
        <f>+J35*0.19</f>
        <v>1404760016.0911727</v>
      </c>
    </row>
    <row r="37" spans="2:10" ht="18" customHeight="1">
      <c r="B37" s="177" t="s">
        <v>46</v>
      </c>
      <c r="C37" s="178"/>
      <c r="D37" s="178"/>
      <c r="E37" s="178"/>
      <c r="F37" s="179"/>
      <c r="G37" s="41"/>
      <c r="H37" s="42"/>
      <c r="I37" s="42"/>
      <c r="J37" s="22">
        <f>+J35+J36</f>
        <v>8798233784.9920826</v>
      </c>
    </row>
    <row r="38" spans="2:10" ht="72" customHeight="1">
      <c r="B38" s="23">
        <v>8</v>
      </c>
      <c r="C38" s="23" t="s">
        <v>79</v>
      </c>
      <c r="D38" s="43" t="s">
        <v>80</v>
      </c>
      <c r="E38" s="23" t="s">
        <v>43</v>
      </c>
      <c r="F38" s="23">
        <v>1</v>
      </c>
      <c r="G38" s="24">
        <v>9</v>
      </c>
      <c r="H38" s="25">
        <v>6000000</v>
      </c>
      <c r="I38" s="25"/>
      <c r="J38" s="26">
        <f>+H38*G38</f>
        <v>54000000</v>
      </c>
    </row>
    <row r="39" spans="2:10">
      <c r="B39" s="180" t="s">
        <v>49</v>
      </c>
      <c r="C39" s="181"/>
      <c r="D39" s="181"/>
      <c r="E39" s="181"/>
      <c r="F39" s="182"/>
      <c r="G39" s="183"/>
      <c r="H39" s="184"/>
      <c r="I39" s="33"/>
      <c r="J39" s="27">
        <f>+J38*0.19</f>
        <v>10260000</v>
      </c>
    </row>
    <row r="40" spans="2:10">
      <c r="B40" s="187" t="s">
        <v>50</v>
      </c>
      <c r="C40" s="187"/>
      <c r="D40" s="187"/>
      <c r="E40" s="187"/>
      <c r="F40" s="187"/>
      <c r="G40" s="185"/>
      <c r="H40" s="186"/>
      <c r="I40" s="33"/>
      <c r="J40" s="28">
        <f>+J38+J39</f>
        <v>64260000</v>
      </c>
    </row>
    <row r="41" spans="2:10" s="32" customFormat="1" ht="16.5" customHeight="1">
      <c r="B41" s="166" t="s">
        <v>51</v>
      </c>
      <c r="C41" s="166"/>
      <c r="D41" s="166"/>
      <c r="E41" s="166"/>
      <c r="F41" s="166"/>
      <c r="G41" s="29"/>
      <c r="H41" s="30"/>
      <c r="I41" s="30"/>
      <c r="J41" s="31">
        <f>+J37+J40</f>
        <v>8862493784.9920826</v>
      </c>
    </row>
    <row r="42" spans="2:10" ht="86.25" customHeight="1" thickBot="1">
      <c r="B42" s="151" t="s">
        <v>81</v>
      </c>
      <c r="C42" s="152"/>
      <c r="D42" s="152"/>
      <c r="E42" s="152"/>
      <c r="F42" s="153"/>
    </row>
    <row r="43" spans="2:10" ht="46.5" customHeight="1" thickBot="1">
      <c r="B43" s="154" t="s">
        <v>90</v>
      </c>
      <c r="C43" s="155"/>
      <c r="D43" s="155"/>
      <c r="E43" s="155"/>
      <c r="F43" s="156"/>
    </row>
    <row r="44" spans="2:10" ht="54.75" customHeight="1">
      <c r="B44" s="157" t="s">
        <v>52</v>
      </c>
      <c r="C44" s="158"/>
      <c r="D44" s="158"/>
      <c r="E44" s="158"/>
      <c r="F44" s="159"/>
    </row>
    <row r="45" spans="2:10">
      <c r="B45" s="160" t="s">
        <v>53</v>
      </c>
      <c r="C45" s="161"/>
      <c r="D45" s="161"/>
      <c r="E45" s="161"/>
      <c r="F45" s="162"/>
    </row>
    <row r="46" spans="2:10" ht="105.75" customHeight="1" thickBot="1">
      <c r="B46" s="163" t="s">
        <v>83</v>
      </c>
      <c r="C46" s="164"/>
      <c r="D46" s="164"/>
      <c r="E46" s="164"/>
      <c r="F46" s="165"/>
    </row>
  </sheetData>
  <mergeCells count="41">
    <mergeCell ref="B16:J16"/>
    <mergeCell ref="D1:J1"/>
    <mergeCell ref="B2:J2"/>
    <mergeCell ref="B3:F3"/>
    <mergeCell ref="B8:J8"/>
    <mergeCell ref="B9:J9"/>
    <mergeCell ref="B10:J10"/>
    <mergeCell ref="B11:J11"/>
    <mergeCell ref="B12:J12"/>
    <mergeCell ref="B13:J13"/>
    <mergeCell ref="B14:J14"/>
    <mergeCell ref="B15:J15"/>
    <mergeCell ref="B17:J17"/>
    <mergeCell ref="B18:J18"/>
    <mergeCell ref="B19:C19"/>
    <mergeCell ref="F19:J19"/>
    <mergeCell ref="B20:C20"/>
    <mergeCell ref="F20:J20"/>
    <mergeCell ref="B21:C21"/>
    <mergeCell ref="F21:J21"/>
    <mergeCell ref="B22:C22"/>
    <mergeCell ref="F22:J22"/>
    <mergeCell ref="B23:C23"/>
    <mergeCell ref="F23:J23"/>
    <mergeCell ref="B41:F41"/>
    <mergeCell ref="B24:C24"/>
    <mergeCell ref="F24:J24"/>
    <mergeCell ref="B25:J25"/>
    <mergeCell ref="E28:E34"/>
    <mergeCell ref="G28:G34"/>
    <mergeCell ref="B35:F35"/>
    <mergeCell ref="B36:F36"/>
    <mergeCell ref="B37:F37"/>
    <mergeCell ref="B39:F39"/>
    <mergeCell ref="G39:H40"/>
    <mergeCell ref="B40:F40"/>
    <mergeCell ref="B42:F42"/>
    <mergeCell ref="B43:F43"/>
    <mergeCell ref="B44:F44"/>
    <mergeCell ref="B45:F45"/>
    <mergeCell ref="B46:F46"/>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B9454-F669-4F50-8730-710D4DC6E31E}">
  <sheetPr>
    <tabColor theme="7" tint="0.79998168889431442"/>
  </sheetPr>
  <dimension ref="B1:AF78"/>
  <sheetViews>
    <sheetView tabSelected="1" topLeftCell="A35" zoomScale="55" zoomScaleNormal="55" workbookViewId="0">
      <selection activeCell="I60" sqref="I60"/>
    </sheetView>
  </sheetViews>
  <sheetFormatPr baseColWidth="10" defaultRowHeight="13.8"/>
  <cols>
    <col min="1" max="1" width="3.296875" customWidth="1"/>
    <col min="2" max="2" width="30.8984375" customWidth="1"/>
    <col min="3" max="3" width="35.09765625" customWidth="1"/>
    <col min="4" max="4" width="19.3984375" customWidth="1"/>
    <col min="5" max="5" width="18.3984375" customWidth="1"/>
    <col min="6" max="6" width="15.3984375" customWidth="1"/>
    <col min="7" max="7" width="18.8984375" customWidth="1"/>
    <col min="8" max="8" width="18.59765625" customWidth="1"/>
    <col min="9" max="9" width="22" customWidth="1"/>
    <col min="10" max="10" width="20.59765625" customWidth="1"/>
    <col min="11" max="11" width="22.09765625" customWidth="1"/>
    <col min="12" max="12" width="17.59765625" customWidth="1"/>
    <col min="13" max="13" width="46.5" customWidth="1"/>
    <col min="14" max="14" width="22.19921875" customWidth="1"/>
    <col min="15" max="15" width="22.5" customWidth="1"/>
    <col min="16" max="16" width="15" bestFit="1" customWidth="1"/>
    <col min="17" max="17" width="21" bestFit="1" customWidth="1"/>
    <col min="18" max="19" width="17.5" customWidth="1"/>
    <col min="20" max="20" width="21.796875" bestFit="1" customWidth="1"/>
    <col min="21" max="22" width="15.5" customWidth="1"/>
    <col min="23" max="23" width="22.09765625" bestFit="1" customWidth="1"/>
    <col min="24" max="25" width="15.5" customWidth="1"/>
    <col min="26" max="26" width="22.09765625" bestFit="1" customWidth="1"/>
    <col min="27" max="28" width="15.5" customWidth="1"/>
    <col min="29" max="29" width="21.796875" bestFit="1" customWidth="1"/>
    <col min="30" max="31" width="15.5" customWidth="1"/>
    <col min="32" max="32" width="22.09765625" bestFit="1" customWidth="1"/>
  </cols>
  <sheetData>
    <row r="1" spans="2:32">
      <c r="B1" s="32" t="s">
        <v>102</v>
      </c>
    </row>
    <row r="2" spans="2:32" s="4" customFormat="1">
      <c r="B2" s="68" t="s">
        <v>103</v>
      </c>
      <c r="I2" s="208" t="s">
        <v>94</v>
      </c>
      <c r="J2" s="208"/>
      <c r="K2" s="208"/>
      <c r="L2" s="208" t="s">
        <v>95</v>
      </c>
      <c r="M2" s="208"/>
      <c r="N2" s="208"/>
      <c r="O2" s="208" t="s">
        <v>96</v>
      </c>
      <c r="P2" s="208"/>
      <c r="Q2" s="208"/>
      <c r="R2" s="208" t="s">
        <v>97</v>
      </c>
      <c r="S2" s="208"/>
      <c r="T2" s="208"/>
      <c r="U2" s="208" t="s">
        <v>98</v>
      </c>
      <c r="V2" s="208"/>
      <c r="W2" s="208"/>
      <c r="X2" s="208" t="s">
        <v>99</v>
      </c>
      <c r="Y2" s="208"/>
      <c r="Z2" s="208"/>
      <c r="AA2" s="208" t="s">
        <v>100</v>
      </c>
      <c r="AB2" s="208"/>
      <c r="AC2" s="208"/>
      <c r="AD2" s="208" t="s">
        <v>101</v>
      </c>
      <c r="AE2" s="208"/>
      <c r="AF2" s="208"/>
    </row>
    <row r="3" spans="2:32">
      <c r="B3" s="32"/>
      <c r="I3" s="209" t="s">
        <v>105</v>
      </c>
      <c r="J3" s="209"/>
      <c r="K3" s="209"/>
      <c r="L3" s="209" t="s">
        <v>106</v>
      </c>
      <c r="M3" s="209"/>
      <c r="N3" s="209"/>
      <c r="O3" s="209" t="s">
        <v>107</v>
      </c>
      <c r="P3" s="209"/>
      <c r="Q3" s="209"/>
      <c r="R3" s="209" t="s">
        <v>108</v>
      </c>
      <c r="S3" s="209"/>
      <c r="T3" s="209"/>
      <c r="U3" s="209" t="s">
        <v>109</v>
      </c>
      <c r="V3" s="209"/>
      <c r="W3" s="209"/>
      <c r="X3" s="209" t="s">
        <v>110</v>
      </c>
      <c r="Y3" s="209"/>
      <c r="Z3" s="209"/>
      <c r="AA3" s="209" t="s">
        <v>111</v>
      </c>
      <c r="AB3" s="209"/>
      <c r="AC3" s="209"/>
      <c r="AD3" s="209" t="s">
        <v>112</v>
      </c>
      <c r="AE3" s="209"/>
      <c r="AF3" s="209"/>
    </row>
    <row r="4" spans="2:32" ht="52.95" customHeight="1">
      <c r="B4" s="64"/>
      <c r="C4" s="12" t="s">
        <v>36</v>
      </c>
      <c r="D4" s="12" t="s">
        <v>37</v>
      </c>
      <c r="E4" s="13" t="s">
        <v>38</v>
      </c>
      <c r="F4" s="12" t="s">
        <v>39</v>
      </c>
      <c r="G4" s="13" t="s">
        <v>40</v>
      </c>
      <c r="H4" s="13" t="s">
        <v>125</v>
      </c>
      <c r="I4" s="13" t="s">
        <v>42</v>
      </c>
      <c r="J4" s="13" t="s">
        <v>78</v>
      </c>
      <c r="K4" s="13" t="s">
        <v>10</v>
      </c>
      <c r="L4" s="13" t="s">
        <v>42</v>
      </c>
      <c r="M4" s="13" t="s">
        <v>78</v>
      </c>
      <c r="N4" s="13" t="s">
        <v>10</v>
      </c>
      <c r="O4" s="13" t="s">
        <v>42</v>
      </c>
      <c r="P4" s="13" t="s">
        <v>78</v>
      </c>
      <c r="Q4" s="13" t="s">
        <v>10</v>
      </c>
      <c r="R4" s="13" t="s">
        <v>42</v>
      </c>
      <c r="S4" s="13" t="s">
        <v>78</v>
      </c>
      <c r="T4" s="13" t="s">
        <v>10</v>
      </c>
      <c r="U4" s="13" t="s">
        <v>42</v>
      </c>
      <c r="V4" s="13" t="s">
        <v>78</v>
      </c>
      <c r="W4" s="13" t="s">
        <v>10</v>
      </c>
      <c r="X4" s="13" t="s">
        <v>42</v>
      </c>
      <c r="Y4" s="13" t="s">
        <v>78</v>
      </c>
      <c r="Z4" s="13" t="s">
        <v>10</v>
      </c>
      <c r="AA4" s="13" t="s">
        <v>42</v>
      </c>
      <c r="AB4" s="13" t="s">
        <v>78</v>
      </c>
      <c r="AC4" s="13" t="s">
        <v>10</v>
      </c>
      <c r="AD4" s="13" t="s">
        <v>42</v>
      </c>
      <c r="AE4" s="13" t="s">
        <v>78</v>
      </c>
      <c r="AF4" s="13" t="s">
        <v>10</v>
      </c>
    </row>
    <row r="5" spans="2:32" ht="96.6">
      <c r="C5" s="47">
        <v>1</v>
      </c>
      <c r="D5" s="48" t="s">
        <v>60</v>
      </c>
      <c r="E5" s="49" t="s">
        <v>67</v>
      </c>
      <c r="F5" s="172" t="s">
        <v>43</v>
      </c>
      <c r="G5" s="111">
        <v>1</v>
      </c>
      <c r="H5" s="210">
        <v>8.67</v>
      </c>
      <c r="I5" s="115">
        <f>COINSA!H28</f>
        <v>175844798.11295536</v>
      </c>
      <c r="J5" s="116">
        <f t="shared" ref="J5:J11" si="0">I5*19%</f>
        <v>33410511.641461518</v>
      </c>
      <c r="K5" s="21">
        <f>(I5+J5)*$H$5</f>
        <v>1814243535.5707943</v>
      </c>
      <c r="L5" s="117">
        <f>TSG!H28</f>
        <v>177931812</v>
      </c>
      <c r="M5" s="117">
        <f>L5*19%</f>
        <v>33807044.280000001</v>
      </c>
      <c r="N5" s="72">
        <f>(L5+M5)*$H$5</f>
        <v>1835775883.9475999</v>
      </c>
      <c r="O5" s="115">
        <f>DATASEC!$H$28</f>
        <v>178892208.22624573</v>
      </c>
      <c r="P5" s="115">
        <f>O5*19%</f>
        <v>33989519.562986687</v>
      </c>
      <c r="Q5" s="73">
        <f>(O5+P5)*$H$5</f>
        <v>1845684579.9326451</v>
      </c>
      <c r="R5" s="115">
        <f>'GROW DATA'!H28</f>
        <v>179316998.72688618</v>
      </c>
      <c r="S5" s="115">
        <f>R5*19%</f>
        <v>34070229.758108377</v>
      </c>
      <c r="T5" s="73">
        <f>(R5+S5)*$H$5</f>
        <v>1850067270.9649029</v>
      </c>
      <c r="U5" s="115">
        <f>EYC!$H$28</f>
        <v>179353446.40000001</v>
      </c>
      <c r="V5" s="115">
        <f>U5*19%</f>
        <v>34077154.816</v>
      </c>
      <c r="W5" s="73">
        <f>(U5+V5)*$H$5</f>
        <v>1850443312.5427201</v>
      </c>
      <c r="X5" s="115">
        <f>HEIMCORE!H28</f>
        <v>191395824.26683715</v>
      </c>
      <c r="Y5" s="115">
        <f>X5*19%</f>
        <v>36365206.610699058</v>
      </c>
      <c r="Z5" s="73">
        <f>(X5+Y5)*$H$5</f>
        <v>1974688137.7082388</v>
      </c>
      <c r="AA5" s="115">
        <f>WEXLER!H28</f>
        <v>191783676.46307409</v>
      </c>
      <c r="AB5" s="115">
        <f>AA5*19%</f>
        <v>36438898.527984075</v>
      </c>
      <c r="AC5" s="73">
        <f>(AA5+AB5)*$H$5</f>
        <v>1978689725.1724744</v>
      </c>
      <c r="AD5" s="115">
        <f>'OPEN GROUP'!H28</f>
        <v>197305952.97140029</v>
      </c>
      <c r="AE5" s="115">
        <f>AD5*19%</f>
        <v>37488131.064566053</v>
      </c>
      <c r="AF5" s="73">
        <f>(AD5+AE5)*$H$5</f>
        <v>2035664708.5918281</v>
      </c>
    </row>
    <row r="6" spans="2:32" ht="82.8">
      <c r="C6" s="47">
        <v>2</v>
      </c>
      <c r="D6" s="50" t="s">
        <v>61</v>
      </c>
      <c r="E6" s="49" t="s">
        <v>68</v>
      </c>
      <c r="F6" s="173"/>
      <c r="G6" s="111">
        <v>1</v>
      </c>
      <c r="H6" s="211"/>
      <c r="I6" s="115">
        <f>COINSA!H29</f>
        <v>267476494.79467681</v>
      </c>
      <c r="J6" s="116">
        <f t="shared" si="0"/>
        <v>50820534.010988593</v>
      </c>
      <c r="K6" s="21">
        <f t="shared" ref="K6:K10" si="1">(I6+J6)*$H$5</f>
        <v>2759635239.7451186</v>
      </c>
      <c r="L6" s="117">
        <f>TSG!H29</f>
        <v>270651040</v>
      </c>
      <c r="M6" s="117">
        <f t="shared" ref="M6:M11" si="2">L6*19%</f>
        <v>51423697.600000001</v>
      </c>
      <c r="N6" s="72">
        <f t="shared" ref="N6:N10" si="3">(L6+M6)*$H$5</f>
        <v>2792387974.9920001</v>
      </c>
      <c r="O6" s="115">
        <f>DATASEC!H29</f>
        <v>272111892.50932038</v>
      </c>
      <c r="P6" s="115">
        <f t="shared" ref="P6:P11" si="4">O6*19%</f>
        <v>51701259.576770872</v>
      </c>
      <c r="Q6" s="73">
        <f t="shared" ref="Q6:Q10" si="5">(O6+P6)*$H$5</f>
        <v>2807460028.5864115</v>
      </c>
      <c r="R6" s="115">
        <f>'GROW DATA'!H29</f>
        <v>272758038.85742223</v>
      </c>
      <c r="S6" s="115">
        <f t="shared" ref="S6:S11" si="6">R6*19%</f>
        <v>51824027.382910222</v>
      </c>
      <c r="T6" s="73">
        <f t="shared" ref="T6:T10" si="7">(R6+S6)*$H$5</f>
        <v>2814126514.3036828</v>
      </c>
      <c r="U6" s="115">
        <f>EYC!$H$29</f>
        <v>272813479.19999999</v>
      </c>
      <c r="V6" s="115">
        <f t="shared" ref="V6:V11" si="8">U6*19%</f>
        <v>51834561.048</v>
      </c>
      <c r="W6" s="73">
        <f t="shared" ref="W6:W10" si="9">(U6+V6)*$H$5</f>
        <v>2814698508.9501595</v>
      </c>
      <c r="X6" s="115">
        <f>HEIMCORE!H29</f>
        <v>291131069.79910052</v>
      </c>
      <c r="Y6" s="115">
        <f t="shared" ref="Y6:Y11" si="10">X6*19%</f>
        <v>55314903.261829101</v>
      </c>
      <c r="Z6" s="73">
        <f t="shared" ref="Z6:Z10" si="11">(X6+Y6)*$H$5</f>
        <v>3003686586.4382596</v>
      </c>
      <c r="AA6" s="115">
        <f>WEXLER!H29</f>
        <v>291721029.50823694</v>
      </c>
      <c r="AB6" s="115">
        <f t="shared" ref="AB6:AB11" si="12">AA6*19%</f>
        <v>55426995.606565021</v>
      </c>
      <c r="AC6" s="73">
        <f t="shared" ref="AC6:AC10" si="13">(AA6+AB6)*$H$5</f>
        <v>3009773377.7453327</v>
      </c>
      <c r="AD6" s="115">
        <f>'OPEN GROUP'!H29</f>
        <v>300120932.03356081</v>
      </c>
      <c r="AE6" s="115">
        <f t="shared" ref="AE6:AE11" si="14">AD6*19%</f>
        <v>57022977.086376555</v>
      </c>
      <c r="AF6" s="73">
        <f t="shared" ref="AF6:AF10" si="15">(AD6+AE6)*$H$5</f>
        <v>3096437692.0698571</v>
      </c>
    </row>
    <row r="7" spans="2:32" ht="82.8">
      <c r="C7" s="47">
        <v>3</v>
      </c>
      <c r="D7" s="51" t="s">
        <v>62</v>
      </c>
      <c r="E7" s="49" t="s">
        <v>121</v>
      </c>
      <c r="F7" s="173"/>
      <c r="G7" s="111">
        <v>1</v>
      </c>
      <c r="H7" s="211"/>
      <c r="I7" s="115">
        <f>COINSA!H30</f>
        <v>129166017.93462135</v>
      </c>
      <c r="J7" s="116">
        <f t="shared" si="0"/>
        <v>24541543.407578055</v>
      </c>
      <c r="K7" s="21">
        <f t="shared" si="1"/>
        <v>1332644556.836869</v>
      </c>
      <c r="L7" s="117">
        <f>TSG!H30</f>
        <v>130699025</v>
      </c>
      <c r="M7" s="117">
        <f t="shared" si="2"/>
        <v>24832814.75</v>
      </c>
      <c r="N7" s="72">
        <f t="shared" si="3"/>
        <v>1348461050.6324999</v>
      </c>
      <c r="O7" s="115">
        <f>DATASEC!H30</f>
        <v>131404479.5415127</v>
      </c>
      <c r="P7" s="115">
        <f t="shared" si="4"/>
        <v>24966851.112887412</v>
      </c>
      <c r="Q7" s="73">
        <f t="shared" si="5"/>
        <v>1355739436.773649</v>
      </c>
      <c r="R7" s="115">
        <f>'GROW DATA'!H30</f>
        <v>131716507.52307937</v>
      </c>
      <c r="S7" s="115">
        <f t="shared" si="6"/>
        <v>25026136.429385081</v>
      </c>
      <c r="T7" s="73">
        <f t="shared" si="7"/>
        <v>1358958723.0678668</v>
      </c>
      <c r="U7" s="115">
        <f>EYC!$H$30</f>
        <v>131743280</v>
      </c>
      <c r="V7" s="115">
        <f t="shared" si="8"/>
        <v>25031223.199999999</v>
      </c>
      <c r="W7" s="73">
        <f t="shared" si="9"/>
        <v>1359234942.744</v>
      </c>
      <c r="X7" s="115">
        <f>HEIMCORE!H30</f>
        <v>140588955.34675783</v>
      </c>
      <c r="Y7" s="115">
        <f t="shared" si="10"/>
        <v>26711901.51588399</v>
      </c>
      <c r="Z7" s="73">
        <f t="shared" si="11"/>
        <v>1450498428.9991045</v>
      </c>
      <c r="AA7" s="115">
        <f>WEXLER!H30</f>
        <v>140873850.46036214</v>
      </c>
      <c r="AB7" s="115">
        <f t="shared" si="12"/>
        <v>26766031.587468807</v>
      </c>
      <c r="AC7" s="73">
        <f t="shared" si="13"/>
        <v>1453437777.3546941</v>
      </c>
      <c r="AD7" s="115">
        <f>'OPEN GROUP'!H30</f>
        <v>144930214.2207289</v>
      </c>
      <c r="AE7" s="115">
        <f t="shared" si="14"/>
        <v>27536740.701938491</v>
      </c>
      <c r="AF7" s="73">
        <f t="shared" si="15"/>
        <v>1495288499.1795261</v>
      </c>
    </row>
    <row r="8" spans="2:32" ht="96.6">
      <c r="C8" s="47">
        <v>4</v>
      </c>
      <c r="D8" s="51" t="s">
        <v>63</v>
      </c>
      <c r="E8" s="49" t="s">
        <v>70</v>
      </c>
      <c r="F8" s="173"/>
      <c r="G8" s="111">
        <v>1</v>
      </c>
      <c r="H8" s="211"/>
      <c r="I8" s="115">
        <f>COINSA!H31</f>
        <v>62145375.307799943</v>
      </c>
      <c r="J8" s="116">
        <f t="shared" si="0"/>
        <v>11807621.308481989</v>
      </c>
      <c r="K8" s="21">
        <f t="shared" si="1"/>
        <v>641172480.66316426</v>
      </c>
      <c r="L8" s="117">
        <f>TSG!H31</f>
        <v>62882948</v>
      </c>
      <c r="M8" s="117">
        <f t="shared" si="2"/>
        <v>11947760.120000001</v>
      </c>
      <c r="N8" s="72">
        <f t="shared" si="3"/>
        <v>648782239.40040004</v>
      </c>
      <c r="O8" s="115">
        <f>DATASEC!H31</f>
        <v>63222361.645977341</v>
      </c>
      <c r="P8" s="115">
        <f t="shared" si="4"/>
        <v>12012248.712735696</v>
      </c>
      <c r="Q8" s="73">
        <f t="shared" si="5"/>
        <v>652284071.81004202</v>
      </c>
      <c r="R8" s="115">
        <f>'GROW DATA'!H31</f>
        <v>63372487.014329337</v>
      </c>
      <c r="S8" s="115">
        <f t="shared" si="6"/>
        <v>12040772.532722574</v>
      </c>
      <c r="T8" s="73">
        <f t="shared" si="7"/>
        <v>653832960.27294004</v>
      </c>
      <c r="U8" s="115">
        <f>EYC!$H$31</f>
        <v>63385368</v>
      </c>
      <c r="V8" s="115">
        <f t="shared" si="8"/>
        <v>12043219.92</v>
      </c>
      <c r="W8" s="73">
        <f t="shared" si="9"/>
        <v>653965857.26639998</v>
      </c>
      <c r="X8" s="115">
        <f>HEIMCORE!H31</f>
        <v>67641269.227468848</v>
      </c>
      <c r="Y8" s="115">
        <f t="shared" si="10"/>
        <v>12851841.153219081</v>
      </c>
      <c r="Z8" s="73">
        <f t="shared" si="11"/>
        <v>697875267.00056434</v>
      </c>
      <c r="AA8" s="115">
        <f>WEXLER!H31</f>
        <v>67778340.215964139</v>
      </c>
      <c r="AB8" s="115">
        <f t="shared" si="12"/>
        <v>12877884.641033186</v>
      </c>
      <c r="AC8" s="73">
        <f t="shared" si="13"/>
        <v>699289469.51016676</v>
      </c>
      <c r="AD8" s="115">
        <f>'OPEN GROUP'!H31</f>
        <v>69729970.00454016</v>
      </c>
      <c r="AE8" s="115">
        <f t="shared" si="14"/>
        <v>13248694.300862631</v>
      </c>
      <c r="AF8" s="73">
        <f t="shared" si="15"/>
        <v>719425019.52784216</v>
      </c>
    </row>
    <row r="9" spans="2:32" ht="138">
      <c r="C9" s="47">
        <v>5</v>
      </c>
      <c r="D9" s="51" t="s">
        <v>64</v>
      </c>
      <c r="E9" s="49" t="s">
        <v>71</v>
      </c>
      <c r="F9" s="173"/>
      <c r="G9" s="52">
        <v>1</v>
      </c>
      <c r="H9" s="211"/>
      <c r="I9" s="115">
        <f>COINSA!H32</f>
        <v>38608369.304898478</v>
      </c>
      <c r="J9" s="116">
        <f t="shared" si="0"/>
        <v>7335590.1679307111</v>
      </c>
      <c r="K9" s="21">
        <f t="shared" si="1"/>
        <v>398334128.6294291</v>
      </c>
      <c r="L9" s="118">
        <f>TSG!H32</f>
        <v>39066593</v>
      </c>
      <c r="M9" s="117">
        <f t="shared" si="2"/>
        <v>7422652.6699999999</v>
      </c>
      <c r="N9" s="72">
        <f t="shared" si="3"/>
        <v>403061759.95890003</v>
      </c>
      <c r="O9" s="115">
        <f>DATASEC!H32</f>
        <v>39277456.683882646</v>
      </c>
      <c r="P9" s="115">
        <f t="shared" si="4"/>
        <v>7462716.7699377025</v>
      </c>
      <c r="Q9" s="73">
        <f t="shared" si="5"/>
        <v>405237303.84462243</v>
      </c>
      <c r="R9" s="115">
        <f>'GROW DATA'!H32</f>
        <v>39370723.409438014</v>
      </c>
      <c r="S9" s="115">
        <f t="shared" si="6"/>
        <v>7480437.447793223</v>
      </c>
      <c r="T9" s="73">
        <f t="shared" si="7"/>
        <v>406199564.63219482</v>
      </c>
      <c r="U9" s="115">
        <f>EYC!$H$32</f>
        <v>39378725.836800002</v>
      </c>
      <c r="V9" s="115">
        <f t="shared" si="8"/>
        <v>7481957.9089919999</v>
      </c>
      <c r="W9" s="73">
        <f t="shared" si="9"/>
        <v>406282128.07601666</v>
      </c>
      <c r="X9" s="115">
        <f>HEIMCORE!H32</f>
        <v>42022742.475229807</v>
      </c>
      <c r="Y9" s="115">
        <f t="shared" si="10"/>
        <v>7984321.0702936631</v>
      </c>
      <c r="Z9" s="73">
        <f t="shared" si="11"/>
        <v>433561240.9396885</v>
      </c>
      <c r="AA9" s="115">
        <f>WEXLER!H32</f>
        <v>42107899.050736874</v>
      </c>
      <c r="AB9" s="115">
        <f t="shared" si="12"/>
        <v>8000500.8196400059</v>
      </c>
      <c r="AC9" s="73">
        <f t="shared" si="13"/>
        <v>434439826.87616754</v>
      </c>
      <c r="AD9" s="115">
        <f>'OPEN GROUP'!H32</f>
        <v>43320366.48295667</v>
      </c>
      <c r="AE9" s="115">
        <f t="shared" si="14"/>
        <v>8230869.6317617679</v>
      </c>
      <c r="AF9" s="73">
        <f t="shared" si="15"/>
        <v>446949217.11460882</v>
      </c>
    </row>
    <row r="10" spans="2:32" ht="207">
      <c r="C10" s="47">
        <v>6</v>
      </c>
      <c r="D10" s="51" t="s">
        <v>65</v>
      </c>
      <c r="E10" s="49" t="s">
        <v>72</v>
      </c>
      <c r="F10" s="173"/>
      <c r="G10" s="52">
        <v>1</v>
      </c>
      <c r="H10" s="211"/>
      <c r="I10" s="115">
        <f>COINSA!H33</f>
        <v>43496525.611894608</v>
      </c>
      <c r="J10" s="116">
        <f t="shared" si="0"/>
        <v>8264339.8662599754</v>
      </c>
      <c r="K10" s="21">
        <f t="shared" si="1"/>
        <v>448766703.69560027</v>
      </c>
      <c r="L10" s="119">
        <f>TSG!H33</f>
        <v>44012764</v>
      </c>
      <c r="M10" s="117">
        <f t="shared" si="2"/>
        <v>8362425.1600000001</v>
      </c>
      <c r="N10" s="72">
        <f t="shared" si="3"/>
        <v>454092890.01719999</v>
      </c>
      <c r="O10" s="120">
        <f>DATASEC!H33</f>
        <v>44250325.289025433</v>
      </c>
      <c r="P10" s="115">
        <f t="shared" si="4"/>
        <v>8407561.8049148321</v>
      </c>
      <c r="Q10" s="73">
        <f t="shared" si="5"/>
        <v>456543881.10446209</v>
      </c>
      <c r="R10" s="120">
        <f>'GROW DATA'!H33</f>
        <v>44355400.395534575</v>
      </c>
      <c r="S10" s="115">
        <f t="shared" si="6"/>
        <v>8427526.0751515701</v>
      </c>
      <c r="T10" s="73">
        <f t="shared" si="7"/>
        <v>457627972.50084889</v>
      </c>
      <c r="U10" s="120">
        <f>EYC!$H$33</f>
        <v>44364416</v>
      </c>
      <c r="V10" s="115">
        <f t="shared" si="8"/>
        <v>8429239.040000001</v>
      </c>
      <c r="W10" s="73">
        <f t="shared" si="9"/>
        <v>457720989.19679999</v>
      </c>
      <c r="X10" s="120">
        <f>HEIMCORE!H33</f>
        <v>47343188.206707686</v>
      </c>
      <c r="Y10" s="115">
        <f t="shared" si="10"/>
        <v>8995205.7592744604</v>
      </c>
      <c r="Z10" s="73">
        <f t="shared" si="11"/>
        <v>488453875.68506521</v>
      </c>
      <c r="AA10" s="120">
        <f>WEXLER!H33</f>
        <v>47439126.347433418</v>
      </c>
      <c r="AB10" s="115">
        <f t="shared" si="12"/>
        <v>9013434.0060123503</v>
      </c>
      <c r="AC10" s="73">
        <f t="shared" si="13"/>
        <v>489443698.26437479</v>
      </c>
      <c r="AD10" s="120">
        <f>'OPEN GROUP'!H33</f>
        <v>48805102.732052311</v>
      </c>
      <c r="AE10" s="115">
        <f t="shared" si="14"/>
        <v>9272969.5190899391</v>
      </c>
      <c r="AF10" s="73">
        <f t="shared" si="15"/>
        <v>503536886.41740328</v>
      </c>
    </row>
    <row r="11" spans="2:32" ht="94.95" customHeight="1">
      <c r="C11" s="47">
        <v>7</v>
      </c>
      <c r="D11" s="50" t="s">
        <v>66</v>
      </c>
      <c r="E11" s="50" t="s">
        <v>73</v>
      </c>
      <c r="F11" s="174"/>
      <c r="G11" s="52">
        <v>1</v>
      </c>
      <c r="H11" s="212"/>
      <c r="I11" s="115">
        <f>COINSA!H34</f>
        <v>138640414.38467282</v>
      </c>
      <c r="J11" s="116">
        <f t="shared" si="0"/>
        <v>26341678.733087838</v>
      </c>
      <c r="K11" s="21">
        <f>(I11+J11)</f>
        <v>164982093.11776066</v>
      </c>
      <c r="L11" s="119">
        <f>TSG!H34</f>
        <v>140285868</v>
      </c>
      <c r="M11" s="117">
        <f t="shared" si="2"/>
        <v>26654314.920000002</v>
      </c>
      <c r="N11" s="72">
        <f>L11+M11</f>
        <v>166940182.92000002</v>
      </c>
      <c r="O11" s="120">
        <f>DATASEC!H34</f>
        <v>141043068.34680611</v>
      </c>
      <c r="P11" s="115">
        <f t="shared" si="4"/>
        <v>26798182.98589316</v>
      </c>
      <c r="Q11" s="73">
        <f>O11+P11</f>
        <v>167841251.33269927</v>
      </c>
      <c r="R11" s="120">
        <f>'GROW DATA'!H34</f>
        <v>141377983.74758831</v>
      </c>
      <c r="S11" s="115">
        <f t="shared" si="6"/>
        <v>26861816.91204178</v>
      </c>
      <c r="T11" s="73">
        <f>R11+S11</f>
        <v>168239800.65963009</v>
      </c>
      <c r="U11" s="120">
        <f>EYC!$H$34</f>
        <v>141406720</v>
      </c>
      <c r="V11" s="115">
        <f t="shared" si="8"/>
        <v>26867276.800000001</v>
      </c>
      <c r="W11" s="73">
        <f>U11+V11</f>
        <v>168273996.80000001</v>
      </c>
      <c r="X11" s="120">
        <f>HEIMCORE!H34</f>
        <v>150901230.36113483</v>
      </c>
      <c r="Y11" s="115">
        <f t="shared" si="10"/>
        <v>28671233.768615618</v>
      </c>
      <c r="Z11" s="73">
        <f>X11+Y11</f>
        <v>179572464.12975043</v>
      </c>
      <c r="AA11" s="120">
        <f>WEXLER!H34</f>
        <v>151207022.68358812</v>
      </c>
      <c r="AB11" s="115">
        <f t="shared" si="12"/>
        <v>28729334.309881743</v>
      </c>
      <c r="AC11" s="73">
        <f>AA11+AB11</f>
        <v>179936356.99346986</v>
      </c>
      <c r="AD11" s="120">
        <f>'OPEN GROUP'!H34</f>
        <v>155560922.89375693</v>
      </c>
      <c r="AE11" s="115">
        <f t="shared" si="14"/>
        <v>29556575.349813815</v>
      </c>
      <c r="AF11" s="73">
        <f>AD11+AE11</f>
        <v>185117498.24357074</v>
      </c>
    </row>
    <row r="12" spans="2:32" ht="16.5" customHeight="1">
      <c r="C12" s="213" t="s">
        <v>44</v>
      </c>
      <c r="D12" s="213"/>
      <c r="E12" s="213"/>
      <c r="F12" s="213"/>
      <c r="G12" s="213"/>
      <c r="H12" s="213"/>
      <c r="I12" s="213"/>
      <c r="J12" s="213"/>
      <c r="K12" s="74">
        <f>SUM(I5:I10)*H5+I11</f>
        <v>6352755242.2342329</v>
      </c>
      <c r="L12" s="214"/>
      <c r="M12" s="215"/>
      <c r="N12" s="74">
        <f>SUM(L5:L10)*H5+L11</f>
        <v>6428152925.9399996</v>
      </c>
      <c r="O12" s="214"/>
      <c r="P12" s="215"/>
      <c r="Q12" s="74">
        <f>SUM(O5:O10)*H5+O11</f>
        <v>6462849204.5248165</v>
      </c>
      <c r="R12" s="214"/>
      <c r="S12" s="215"/>
      <c r="T12" s="74">
        <f>SUM(R5:R10)*H5+R11</f>
        <v>6478195635.6319876</v>
      </c>
      <c r="U12" s="214"/>
      <c r="V12" s="215"/>
      <c r="W12" s="74">
        <f>SUM(U5:U10)*H5+U11</f>
        <v>6479512382.8370562</v>
      </c>
      <c r="X12" s="214"/>
      <c r="Y12" s="215"/>
      <c r="Z12" s="74">
        <f>SUM(X5:X10)*H5+X11</f>
        <v>6914568067.983757</v>
      </c>
      <c r="AA12" s="214"/>
      <c r="AB12" s="215"/>
      <c r="AC12" s="74">
        <f>SUM(AA5:AA10)*H5+AA11</f>
        <v>6928580026.8207407</v>
      </c>
      <c r="AD12" s="214"/>
      <c r="AE12" s="215"/>
      <c r="AF12" s="74">
        <f>SUM(AD5:AD10)*H5+AD11</f>
        <v>7128083631.2139807</v>
      </c>
    </row>
    <row r="13" spans="2:32">
      <c r="C13" s="213" t="s">
        <v>45</v>
      </c>
      <c r="D13" s="213"/>
      <c r="E13" s="213"/>
      <c r="F13" s="213"/>
      <c r="G13" s="213"/>
      <c r="H13" s="213"/>
      <c r="I13" s="213"/>
      <c r="J13" s="213"/>
      <c r="K13" s="74">
        <f>+K12*0.19</f>
        <v>1207023496.0245042</v>
      </c>
      <c r="L13" s="216"/>
      <c r="M13" s="217"/>
      <c r="N13" s="74">
        <f>+N12*0.19</f>
        <v>1221349055.9285998</v>
      </c>
      <c r="O13" s="216"/>
      <c r="P13" s="217"/>
      <c r="Q13" s="74">
        <f>+Q12*0.19</f>
        <v>1227941348.8597152</v>
      </c>
      <c r="R13" s="216"/>
      <c r="S13" s="217"/>
      <c r="T13" s="74">
        <f>+T12*0.19</f>
        <v>1230857170.7700777</v>
      </c>
      <c r="U13" s="216"/>
      <c r="V13" s="217"/>
      <c r="W13" s="74">
        <f>+W12*0.19</f>
        <v>1231107352.7390406</v>
      </c>
      <c r="X13" s="216"/>
      <c r="Y13" s="217"/>
      <c r="Z13" s="74">
        <f>+Z12*0.19</f>
        <v>1313767932.9169137</v>
      </c>
      <c r="AA13" s="216"/>
      <c r="AB13" s="217"/>
      <c r="AC13" s="74">
        <f>+AC12*0.19</f>
        <v>1316430205.0959408</v>
      </c>
      <c r="AD13" s="216"/>
      <c r="AE13" s="217"/>
      <c r="AF13" s="74">
        <f>+AF12*0.19</f>
        <v>1354335889.9306564</v>
      </c>
    </row>
    <row r="14" spans="2:32">
      <c r="C14" s="220" t="s">
        <v>46</v>
      </c>
      <c r="D14" s="220"/>
      <c r="E14" s="220"/>
      <c r="F14" s="220"/>
      <c r="G14" s="220"/>
      <c r="H14" s="220"/>
      <c r="I14" s="220"/>
      <c r="J14" s="220"/>
      <c r="K14" s="121">
        <f>+K12+K13</f>
        <v>7559778738.2587376</v>
      </c>
      <c r="L14" s="218"/>
      <c r="M14" s="219"/>
      <c r="N14" s="121">
        <f>+N12+N13</f>
        <v>7649501981.8685989</v>
      </c>
      <c r="O14" s="218"/>
      <c r="P14" s="219"/>
      <c r="Q14" s="121">
        <f>+Q12+Q13</f>
        <v>7690790553.384532</v>
      </c>
      <c r="R14" s="218"/>
      <c r="S14" s="219"/>
      <c r="T14" s="121">
        <f>+T12+T13</f>
        <v>7709052806.4020653</v>
      </c>
      <c r="U14" s="218"/>
      <c r="V14" s="219"/>
      <c r="W14" s="121">
        <f>+W12+W13</f>
        <v>7710619735.5760965</v>
      </c>
      <c r="X14" s="218"/>
      <c r="Y14" s="219"/>
      <c r="Z14" s="121">
        <f>+Z12+Z13</f>
        <v>8228336000.900671</v>
      </c>
      <c r="AA14" s="218"/>
      <c r="AB14" s="219"/>
      <c r="AC14" s="121">
        <f>+AC12+AC13</f>
        <v>8245010231.9166813</v>
      </c>
      <c r="AD14" s="218"/>
      <c r="AE14" s="219"/>
      <c r="AF14" s="121">
        <f>+AF12+AF13</f>
        <v>8482419521.1446371</v>
      </c>
    </row>
    <row r="15" spans="2:32" ht="27.6">
      <c r="C15" s="54">
        <v>8</v>
      </c>
      <c r="D15" s="75" t="s">
        <v>47</v>
      </c>
      <c r="E15" s="75" t="s">
        <v>48</v>
      </c>
      <c r="F15" s="76" t="s">
        <v>43</v>
      </c>
      <c r="G15" s="54">
        <v>1</v>
      </c>
      <c r="H15" s="147">
        <v>8.67</v>
      </c>
      <c r="I15" s="222">
        <v>6000000</v>
      </c>
      <c r="J15" s="223"/>
      <c r="K15" s="74">
        <f>+I15*H15</f>
        <v>52020000</v>
      </c>
      <c r="L15" s="224">
        <v>6000000</v>
      </c>
      <c r="M15" s="225"/>
      <c r="N15" s="74">
        <f>L15*H15</f>
        <v>52020000</v>
      </c>
      <c r="O15" s="224">
        <v>6000000</v>
      </c>
      <c r="P15" s="225"/>
      <c r="Q15" s="74">
        <f>O15*H15</f>
        <v>52020000</v>
      </c>
      <c r="R15" s="224">
        <v>6000000</v>
      </c>
      <c r="S15" s="225"/>
      <c r="T15" s="74">
        <f>R15*H15</f>
        <v>52020000</v>
      </c>
      <c r="U15" s="224">
        <v>6000000</v>
      </c>
      <c r="V15" s="225"/>
      <c r="W15" s="74">
        <f>U15*H15</f>
        <v>52020000</v>
      </c>
      <c r="X15" s="224">
        <v>6000000</v>
      </c>
      <c r="Y15" s="225"/>
      <c r="Z15" s="74">
        <f>X15*H15</f>
        <v>52020000</v>
      </c>
      <c r="AA15" s="224">
        <v>6000000</v>
      </c>
      <c r="AB15" s="225"/>
      <c r="AC15" s="74">
        <f>AA15*H15</f>
        <v>52020000</v>
      </c>
      <c r="AD15" s="224">
        <v>6000000</v>
      </c>
      <c r="AE15" s="225"/>
      <c r="AF15" s="74">
        <f>AD15*H15</f>
        <v>52020000</v>
      </c>
    </row>
    <row r="16" spans="2:32">
      <c r="C16" s="226" t="s">
        <v>49</v>
      </c>
      <c r="D16" s="227"/>
      <c r="E16" s="227"/>
      <c r="F16" s="227"/>
      <c r="G16" s="227"/>
      <c r="H16" s="227"/>
      <c r="I16" s="227"/>
      <c r="J16" s="228"/>
      <c r="K16" s="78">
        <f>+K15*0.19</f>
        <v>9883800</v>
      </c>
      <c r="L16" s="79"/>
      <c r="M16" s="79"/>
      <c r="N16" s="78">
        <f>+N15*0.19</f>
        <v>9883800</v>
      </c>
      <c r="O16" s="79"/>
      <c r="P16" s="79"/>
      <c r="Q16" s="78">
        <f>+Q15*0.19</f>
        <v>9883800</v>
      </c>
      <c r="R16" s="79"/>
      <c r="S16" s="79"/>
      <c r="T16" s="78">
        <f>+T15*0.19</f>
        <v>9883800</v>
      </c>
      <c r="U16" s="79"/>
      <c r="V16" s="79"/>
      <c r="W16" s="78">
        <f>+W15*0.19</f>
        <v>9883800</v>
      </c>
      <c r="X16" s="79"/>
      <c r="Y16" s="79"/>
      <c r="Z16" s="78">
        <f>+Z15*0.19</f>
        <v>9883800</v>
      </c>
      <c r="AA16" s="79"/>
      <c r="AB16" s="79"/>
      <c r="AC16" s="78">
        <f>+AC15*0.19</f>
        <v>9883800</v>
      </c>
      <c r="AD16" s="79"/>
      <c r="AE16" s="79"/>
      <c r="AF16" s="78">
        <f>+AF15*0.19</f>
        <v>9883800</v>
      </c>
    </row>
    <row r="17" spans="3:32">
      <c r="C17" s="229" t="s">
        <v>50</v>
      </c>
      <c r="D17" s="229"/>
      <c r="E17" s="229"/>
      <c r="F17" s="229"/>
      <c r="G17" s="229"/>
      <c r="H17" s="229"/>
      <c r="I17" s="229"/>
      <c r="J17" s="229"/>
      <c r="K17" s="80">
        <f>+K15+K16</f>
        <v>61903800</v>
      </c>
      <c r="L17" s="79"/>
      <c r="M17" s="79"/>
      <c r="N17" s="80">
        <f>+N15+N16</f>
        <v>61903800</v>
      </c>
      <c r="O17" s="79"/>
      <c r="P17" s="79"/>
      <c r="Q17" s="80">
        <f>+Q15+Q16</f>
        <v>61903800</v>
      </c>
      <c r="R17" s="79"/>
      <c r="S17" s="79"/>
      <c r="T17" s="80">
        <f>+T15+T16</f>
        <v>61903800</v>
      </c>
      <c r="U17" s="79"/>
      <c r="V17" s="79"/>
      <c r="W17" s="80">
        <f>+W15+W16</f>
        <v>61903800</v>
      </c>
      <c r="X17" s="79"/>
      <c r="Y17" s="79"/>
      <c r="Z17" s="80">
        <f>+Z15+Z16</f>
        <v>61903800</v>
      </c>
      <c r="AA17" s="79"/>
      <c r="AB17" s="79"/>
      <c r="AC17" s="80">
        <f>+AC15+AC16</f>
        <v>61903800</v>
      </c>
      <c r="AD17" s="79"/>
      <c r="AE17" s="79"/>
      <c r="AF17" s="80">
        <f>+AF15+AF16</f>
        <v>61903800</v>
      </c>
    </row>
    <row r="18" spans="3:32">
      <c r="C18" s="230" t="s">
        <v>51</v>
      </c>
      <c r="D18" s="231"/>
      <c r="E18" s="231"/>
      <c r="F18" s="231"/>
      <c r="G18" s="231"/>
      <c r="H18" s="231"/>
      <c r="I18" s="231"/>
      <c r="J18" s="232"/>
      <c r="K18" s="81">
        <f>+K14+K17</f>
        <v>7621682538.2587376</v>
      </c>
      <c r="N18" s="81">
        <f>+N14+N17</f>
        <v>7711405781.8685989</v>
      </c>
      <c r="Q18" s="81">
        <f>+Q14+Q17</f>
        <v>7752694353.384532</v>
      </c>
      <c r="T18" s="81">
        <f>+T14+T17</f>
        <v>7770956606.4020653</v>
      </c>
      <c r="W18" s="81">
        <f>+W14+W17</f>
        <v>7772523535.5760965</v>
      </c>
      <c r="Z18" s="81">
        <f>+Z14+Z17</f>
        <v>8290239800.900671</v>
      </c>
      <c r="AC18" s="81">
        <f>+AC14+AC17</f>
        <v>8306914031.9166813</v>
      </c>
      <c r="AF18" s="81">
        <f>+AF14+AF17</f>
        <v>8544323321.1446371</v>
      </c>
    </row>
    <row r="20" spans="3:32" ht="104.55" customHeight="1">
      <c r="C20" s="82" t="s">
        <v>8</v>
      </c>
      <c r="D20" s="82" t="s">
        <v>104</v>
      </c>
      <c r="E20" s="82" t="s">
        <v>60</v>
      </c>
      <c r="F20" s="82" t="s">
        <v>61</v>
      </c>
      <c r="G20" s="82" t="s">
        <v>62</v>
      </c>
      <c r="H20" s="82" t="s">
        <v>63</v>
      </c>
      <c r="I20" s="82" t="s">
        <v>64</v>
      </c>
      <c r="J20" s="82" t="s">
        <v>65</v>
      </c>
      <c r="K20" s="82" t="s">
        <v>66</v>
      </c>
      <c r="L20" s="82" t="s">
        <v>140</v>
      </c>
    </row>
    <row r="21" spans="3:32">
      <c r="C21" s="1" t="str">
        <f>I2</f>
        <v>COINSA</v>
      </c>
      <c r="D21" s="1" t="s">
        <v>105</v>
      </c>
      <c r="E21" s="83">
        <f>I5</f>
        <v>175844798.11295536</v>
      </c>
      <c r="F21" s="83">
        <f>I6</f>
        <v>267476494.79467681</v>
      </c>
      <c r="G21" s="84">
        <f>I7</f>
        <v>129166017.93462135</v>
      </c>
      <c r="H21" s="84">
        <f>I8</f>
        <v>62145375.307799943</v>
      </c>
      <c r="I21" s="85">
        <f>I9</f>
        <v>38608369.304898478</v>
      </c>
      <c r="J21" s="112">
        <f>I10</f>
        <v>43496525.611894608</v>
      </c>
      <c r="K21" s="112">
        <f>I11</f>
        <v>138640414.38467282</v>
      </c>
      <c r="L21" s="112">
        <f>I15</f>
        <v>6000000</v>
      </c>
    </row>
    <row r="22" spans="3:32">
      <c r="C22" s="1" t="str">
        <f>L2</f>
        <v>TSG</v>
      </c>
      <c r="D22" s="1" t="s">
        <v>106</v>
      </c>
      <c r="E22" s="83">
        <f>L5</f>
        <v>177931812</v>
      </c>
      <c r="F22" s="83">
        <f>L6</f>
        <v>270651040</v>
      </c>
      <c r="G22" s="84">
        <f>L7</f>
        <v>130699025</v>
      </c>
      <c r="H22" s="84">
        <f>L8</f>
        <v>62882948</v>
      </c>
      <c r="I22" s="84">
        <f>L9</f>
        <v>39066593</v>
      </c>
      <c r="J22" s="112">
        <f>L10</f>
        <v>44012764</v>
      </c>
      <c r="K22" s="112">
        <f>L11</f>
        <v>140285868</v>
      </c>
      <c r="L22" s="112">
        <f>L15</f>
        <v>6000000</v>
      </c>
    </row>
    <row r="23" spans="3:32">
      <c r="C23" s="1" t="str">
        <f>O2</f>
        <v>DATASEC</v>
      </c>
      <c r="D23" s="1" t="s">
        <v>107</v>
      </c>
      <c r="E23" s="83">
        <f>O5</f>
        <v>178892208.22624573</v>
      </c>
      <c r="F23" s="83">
        <f>O6</f>
        <v>272111892.50932038</v>
      </c>
      <c r="G23" s="84">
        <f>O7</f>
        <v>131404479.5415127</v>
      </c>
      <c r="H23" s="84">
        <f>O8</f>
        <v>63222361.645977341</v>
      </c>
      <c r="I23" s="84">
        <f>O9</f>
        <v>39277456.683882646</v>
      </c>
      <c r="J23" s="112">
        <f>O10</f>
        <v>44250325.289025433</v>
      </c>
      <c r="K23" s="112">
        <f>O11</f>
        <v>141043068.34680611</v>
      </c>
      <c r="L23" s="112">
        <f>O15</f>
        <v>6000000</v>
      </c>
    </row>
    <row r="24" spans="3:32">
      <c r="C24" s="1" t="str">
        <f>R2</f>
        <v>GROW DATA</v>
      </c>
      <c r="D24" s="1" t="s">
        <v>108</v>
      </c>
      <c r="E24" s="83">
        <f>R5</f>
        <v>179316998.72688618</v>
      </c>
      <c r="F24" s="83">
        <f>R6</f>
        <v>272758038.85742223</v>
      </c>
      <c r="G24" s="84">
        <f>R7</f>
        <v>131716507.52307937</v>
      </c>
      <c r="H24" s="84">
        <f>R8</f>
        <v>63372487.014329337</v>
      </c>
      <c r="I24" s="84">
        <f>R9</f>
        <v>39370723.409438014</v>
      </c>
      <c r="J24" s="112">
        <f>R10</f>
        <v>44355400.395534575</v>
      </c>
      <c r="K24" s="112">
        <f>R11</f>
        <v>141377983.74758831</v>
      </c>
      <c r="L24" s="112">
        <f>R15</f>
        <v>6000000</v>
      </c>
    </row>
    <row r="25" spans="3:32">
      <c r="C25" s="1" t="str">
        <f>U2</f>
        <v>EYC</v>
      </c>
      <c r="D25" s="1" t="s">
        <v>109</v>
      </c>
      <c r="E25" s="83">
        <f>U5</f>
        <v>179353446.40000001</v>
      </c>
      <c r="F25" s="83">
        <f>U6</f>
        <v>272813479.19999999</v>
      </c>
      <c r="G25" s="84">
        <f>U7</f>
        <v>131743280</v>
      </c>
      <c r="H25" s="84">
        <f>U8</f>
        <v>63385368</v>
      </c>
      <c r="I25" s="84">
        <f>U9</f>
        <v>39378725.836800002</v>
      </c>
      <c r="J25" s="112">
        <f>U10</f>
        <v>44364416</v>
      </c>
      <c r="K25" s="112">
        <f>U11</f>
        <v>141406720</v>
      </c>
      <c r="L25" s="112">
        <f>U15</f>
        <v>6000000</v>
      </c>
    </row>
    <row r="26" spans="3:32">
      <c r="C26" s="1" t="str">
        <f>X2</f>
        <v>HEIMCORE</v>
      </c>
      <c r="D26" s="1" t="s">
        <v>110</v>
      </c>
      <c r="E26" s="83">
        <f>X5</f>
        <v>191395824.26683715</v>
      </c>
      <c r="F26" s="83">
        <f>X6</f>
        <v>291131069.79910052</v>
      </c>
      <c r="G26" s="84">
        <f>X7</f>
        <v>140588955.34675783</v>
      </c>
      <c r="H26" s="84">
        <f>X8</f>
        <v>67641269.227468848</v>
      </c>
      <c r="I26" s="84">
        <f>X9</f>
        <v>42022742.475229807</v>
      </c>
      <c r="J26" s="112">
        <f>X10</f>
        <v>47343188.206707686</v>
      </c>
      <c r="K26" s="112">
        <f>X11</f>
        <v>150901230.36113483</v>
      </c>
      <c r="L26" s="112">
        <f>X15</f>
        <v>6000000</v>
      </c>
    </row>
    <row r="27" spans="3:32">
      <c r="C27" s="1" t="str">
        <f>AA2</f>
        <v>WEXLER</v>
      </c>
      <c r="D27" s="1" t="s">
        <v>111</v>
      </c>
      <c r="E27" s="83">
        <f>AA5</f>
        <v>191783676.46307409</v>
      </c>
      <c r="F27" s="83">
        <f>AA6</f>
        <v>291721029.50823694</v>
      </c>
      <c r="G27" s="84">
        <f>AA7</f>
        <v>140873850.46036214</v>
      </c>
      <c r="H27" s="84">
        <f>AA8</f>
        <v>67778340.215964139</v>
      </c>
      <c r="I27" s="84">
        <f>AA9</f>
        <v>42107899.050736874</v>
      </c>
      <c r="J27" s="112">
        <f>AA10</f>
        <v>47439126.347433418</v>
      </c>
      <c r="K27" s="112">
        <f>AA11</f>
        <v>151207022.68358812</v>
      </c>
      <c r="L27" s="112">
        <f>AA15</f>
        <v>6000000</v>
      </c>
    </row>
    <row r="28" spans="3:32">
      <c r="C28" s="1" t="str">
        <f>AD2</f>
        <v>OPEN GROUP</v>
      </c>
      <c r="D28" s="1" t="s">
        <v>112</v>
      </c>
      <c r="E28" s="83">
        <f>AD5</f>
        <v>197305952.97140029</v>
      </c>
      <c r="F28" s="83">
        <f>AD6</f>
        <v>300120932.03356081</v>
      </c>
      <c r="G28" s="84">
        <f>AA7</f>
        <v>140873850.46036214</v>
      </c>
      <c r="H28" s="84">
        <f>AD8</f>
        <v>69729970.00454016</v>
      </c>
      <c r="I28" s="84">
        <f>AD9</f>
        <v>43320366.48295667</v>
      </c>
      <c r="J28" s="112">
        <f>AD10</f>
        <v>48805102.732052311</v>
      </c>
      <c r="K28" s="112">
        <f>AD11</f>
        <v>155560922.89375693</v>
      </c>
      <c r="L28" s="112">
        <f>AD15</f>
        <v>6000000</v>
      </c>
    </row>
    <row r="29" spans="3:32">
      <c r="E29" s="86"/>
      <c r="F29" s="86"/>
      <c r="G29" s="86"/>
      <c r="H29" s="86"/>
      <c r="I29" s="86"/>
      <c r="J29" s="86"/>
      <c r="K29" s="86"/>
      <c r="L29" s="86"/>
    </row>
    <row r="30" spans="3:32" ht="41.4">
      <c r="D30" s="123" t="s">
        <v>126</v>
      </c>
      <c r="E30" s="87">
        <f t="shared" ref="E30:H30" si="16">ROUND(AVERAGE(E21:E28),0)</f>
        <v>183978090</v>
      </c>
      <c r="F30" s="87">
        <f t="shared" si="16"/>
        <v>279847997</v>
      </c>
      <c r="G30" s="87">
        <f t="shared" si="16"/>
        <v>134633246</v>
      </c>
      <c r="H30" s="87">
        <f t="shared" si="16"/>
        <v>65019765</v>
      </c>
      <c r="I30" s="87">
        <f>ROUND(AVERAGE(I21:I28),0)</f>
        <v>40394110</v>
      </c>
      <c r="J30" s="87">
        <f>ROUND(AVERAGE(J21:J28),2)</f>
        <v>45508356.07</v>
      </c>
      <c r="K30" s="87">
        <f>ROUND(AVERAGE(K21:K28),2)</f>
        <v>145052903.80000001</v>
      </c>
      <c r="L30" s="87">
        <f>ROUND(AVERAGE(L21:L28),2)</f>
        <v>6000000</v>
      </c>
    </row>
    <row r="31" spans="3:32" ht="17.55" customHeight="1">
      <c r="D31" s="123" t="s">
        <v>127</v>
      </c>
      <c r="E31" s="87">
        <f>E30*$H$5</f>
        <v>1595090040.3</v>
      </c>
      <c r="F31" s="87">
        <f>F30*$H$5</f>
        <v>2426282133.9899998</v>
      </c>
      <c r="G31" s="87">
        <f t="shared" ref="G31:I31" si="17">G30*$H$5</f>
        <v>1167270242.8199999</v>
      </c>
      <c r="H31" s="87">
        <f t="shared" si="17"/>
        <v>563721362.54999995</v>
      </c>
      <c r="I31" s="87">
        <f t="shared" si="17"/>
        <v>350216933.69999999</v>
      </c>
      <c r="J31" s="87">
        <f>J30*$H$5</f>
        <v>394557447.12690002</v>
      </c>
      <c r="K31" s="87">
        <f>K30</f>
        <v>145052903.80000001</v>
      </c>
      <c r="L31" s="87">
        <f>L30*$H$5</f>
        <v>52020000</v>
      </c>
    </row>
    <row r="32" spans="3:32">
      <c r="D32" s="1" t="s">
        <v>10</v>
      </c>
      <c r="E32" s="89">
        <f>ROUND(SUM(E31:L31),0)</f>
        <v>6694211064</v>
      </c>
      <c r="F32" s="150">
        <f>J30*8.67</f>
        <v>394557447.12690002</v>
      </c>
      <c r="G32" s="91"/>
      <c r="H32" s="91"/>
      <c r="I32" s="91"/>
      <c r="J32" s="91"/>
      <c r="K32" s="86"/>
    </row>
    <row r="33" spans="3:11">
      <c r="D33" s="1" t="s">
        <v>11</v>
      </c>
      <c r="E33" s="89">
        <f>ROUND(E32*0.19,0)</f>
        <v>1271900102</v>
      </c>
      <c r="F33" s="90"/>
      <c r="G33" s="92"/>
      <c r="H33" s="90"/>
      <c r="I33" s="90"/>
      <c r="J33" s="90"/>
      <c r="K33" s="86"/>
    </row>
    <row r="34" spans="3:11" ht="27.6">
      <c r="D34" s="93" t="s">
        <v>12</v>
      </c>
      <c r="E34" s="94">
        <f>E33+E32</f>
        <v>7966111166</v>
      </c>
      <c r="F34" s="86"/>
      <c r="G34" s="92"/>
      <c r="H34" s="90"/>
      <c r="I34" s="90"/>
      <c r="J34" s="90"/>
      <c r="K34" s="86"/>
    </row>
    <row r="35" spans="3:11" ht="27.6">
      <c r="D35" s="93" t="s">
        <v>137</v>
      </c>
      <c r="E35" s="146">
        <f>E34/1750905</f>
        <v>4549.7106730519363</v>
      </c>
      <c r="F35" s="92"/>
      <c r="G35" s="92"/>
      <c r="H35" s="90"/>
      <c r="I35" s="90"/>
      <c r="J35" s="90"/>
      <c r="K35" s="86"/>
    </row>
    <row r="36" spans="3:11">
      <c r="E36" s="95"/>
    </row>
    <row r="37" spans="3:11" ht="48.45" customHeight="1">
      <c r="C37" s="82" t="s">
        <v>8</v>
      </c>
      <c r="D37" s="82" t="s">
        <v>104</v>
      </c>
      <c r="E37" s="82" t="s">
        <v>54</v>
      </c>
      <c r="F37" s="82" t="s">
        <v>55</v>
      </c>
      <c r="G37" s="82" t="s">
        <v>13</v>
      </c>
      <c r="I37" s="82" t="s">
        <v>128</v>
      </c>
      <c r="J37" s="124">
        <f>ROUND(20/30,2)</f>
        <v>0.67</v>
      </c>
    </row>
    <row r="38" spans="3:11">
      <c r="C38" s="1" t="str">
        <f>I2</f>
        <v>COINSA</v>
      </c>
      <c r="D38" s="1" t="s">
        <v>105</v>
      </c>
      <c r="E38" s="96">
        <f>K14</f>
        <v>7559778738.2587376</v>
      </c>
      <c r="F38" s="97">
        <f>K17</f>
        <v>61903800</v>
      </c>
      <c r="G38" s="96">
        <f>E38+F38</f>
        <v>7621682538.2587376</v>
      </c>
      <c r="H38" s="98"/>
      <c r="J38" s="122"/>
    </row>
    <row r="39" spans="3:11">
      <c r="C39" s="1" t="str">
        <f>L2</f>
        <v>TSG</v>
      </c>
      <c r="D39" s="1" t="s">
        <v>106</v>
      </c>
      <c r="E39" s="96">
        <f>N14</f>
        <v>7649501981.8685989</v>
      </c>
      <c r="F39" s="97">
        <f>N17</f>
        <v>61903800</v>
      </c>
      <c r="G39" s="96">
        <f t="shared" ref="G39:G41" si="18">E39+F39</f>
        <v>7711405781.8685989</v>
      </c>
      <c r="H39" s="99"/>
    </row>
    <row r="40" spans="3:11">
      <c r="C40" s="1" t="str">
        <f>O2</f>
        <v>DATASEC</v>
      </c>
      <c r="D40" s="1" t="s">
        <v>107</v>
      </c>
      <c r="E40" s="96">
        <f>Q14</f>
        <v>7690790553.384532</v>
      </c>
      <c r="F40" s="97">
        <f>N17</f>
        <v>61903800</v>
      </c>
      <c r="G40" s="96">
        <f t="shared" si="18"/>
        <v>7752694353.384532</v>
      </c>
      <c r="H40" s="99"/>
    </row>
    <row r="41" spans="3:11">
      <c r="C41" s="1" t="str">
        <f>R2</f>
        <v>GROW DATA</v>
      </c>
      <c r="D41" s="1" t="s">
        <v>108</v>
      </c>
      <c r="E41" s="96">
        <f>T14</f>
        <v>7709052806.4020653</v>
      </c>
      <c r="F41" s="97">
        <f>Q17</f>
        <v>61903800</v>
      </c>
      <c r="G41" s="96">
        <f t="shared" si="18"/>
        <v>7770956606.4020653</v>
      </c>
      <c r="H41" s="99"/>
    </row>
    <row r="42" spans="3:11">
      <c r="C42" s="1" t="str">
        <f>U2</f>
        <v>EYC</v>
      </c>
      <c r="D42" s="1" t="s">
        <v>109</v>
      </c>
      <c r="E42" s="100">
        <f>W14</f>
        <v>7710619735.5760965</v>
      </c>
      <c r="F42" s="97">
        <f>T17</f>
        <v>61903800</v>
      </c>
      <c r="G42" s="96">
        <f>E42+F42</f>
        <v>7772523535.5760965</v>
      </c>
      <c r="H42" s="99"/>
    </row>
    <row r="43" spans="3:11">
      <c r="C43" s="1" t="str">
        <f>X2</f>
        <v>HEIMCORE</v>
      </c>
      <c r="D43" s="1" t="s">
        <v>110</v>
      </c>
      <c r="E43" s="96">
        <f>Z14</f>
        <v>8228336000.900671</v>
      </c>
      <c r="F43" s="97">
        <f>W17</f>
        <v>61903800</v>
      </c>
      <c r="G43" s="96">
        <f t="shared" ref="G43:G44" si="19">E43+F43</f>
        <v>8290239800.900671</v>
      </c>
      <c r="H43" s="99"/>
    </row>
    <row r="44" spans="3:11">
      <c r="C44" s="1" t="str">
        <f>AA2</f>
        <v>WEXLER</v>
      </c>
      <c r="D44" s="1" t="s">
        <v>111</v>
      </c>
      <c r="E44" s="96">
        <f>AC14</f>
        <v>8245010231.9166813</v>
      </c>
      <c r="F44" s="97">
        <f>Z17</f>
        <v>61903800</v>
      </c>
      <c r="G44" s="96">
        <f t="shared" si="19"/>
        <v>8306914031.9166813</v>
      </c>
      <c r="H44" s="99"/>
    </row>
    <row r="45" spans="3:11">
      <c r="C45" s="1" t="str">
        <f>AD2</f>
        <v>OPEN GROUP</v>
      </c>
      <c r="D45" s="1" t="s">
        <v>112</v>
      </c>
      <c r="E45" s="100">
        <f>AF14</f>
        <v>8482419521.1446371</v>
      </c>
      <c r="F45" s="97">
        <f>AF17</f>
        <v>61903800</v>
      </c>
      <c r="G45" s="96">
        <f>E45+F45</f>
        <v>8544323321.1446371</v>
      </c>
      <c r="H45" s="99"/>
    </row>
    <row r="46" spans="3:11">
      <c r="D46" s="101"/>
      <c r="E46" s="102"/>
      <c r="F46" s="103"/>
      <c r="G46" s="104"/>
      <c r="H46" s="105"/>
    </row>
    <row r="47" spans="3:11">
      <c r="D47" s="106" t="s">
        <v>14</v>
      </c>
      <c r="E47" s="107">
        <f>AVERAGE(G38:G45)</f>
        <v>7971342496.1815023</v>
      </c>
    </row>
    <row r="48" spans="3:11">
      <c r="D48" s="1" t="s">
        <v>15</v>
      </c>
      <c r="E48" s="108">
        <f>MEDIAN(G38:G45)</f>
        <v>7771740070.9890804</v>
      </c>
    </row>
    <row r="49" spans="3:16">
      <c r="D49" s="1" t="s">
        <v>16</v>
      </c>
      <c r="E49" s="109">
        <f>STDEVA(G38:G45)</f>
        <v>350495658.87225312</v>
      </c>
    </row>
    <row r="50" spans="3:16">
      <c r="D50" s="1" t="s">
        <v>17</v>
      </c>
      <c r="E50" s="110">
        <f>E49/E47</f>
        <v>4.3969464245219726E-2</v>
      </c>
    </row>
    <row r="52" spans="3:16" ht="23.25" customHeight="1">
      <c r="D52" s="221" t="s">
        <v>18</v>
      </c>
      <c r="E52" s="221"/>
      <c r="F52" s="221"/>
    </row>
    <row r="53" spans="3:16" ht="19.5" customHeight="1">
      <c r="D53" s="221"/>
      <c r="E53" s="221"/>
      <c r="F53" s="221"/>
    </row>
    <row r="54" spans="3:16">
      <c r="D54" s="221"/>
      <c r="E54" s="221"/>
      <c r="F54" s="221"/>
    </row>
    <row r="55" spans="3:16" ht="23.25" customHeight="1">
      <c r="D55" s="221"/>
      <c r="E55" s="221"/>
      <c r="F55" s="221"/>
    </row>
    <row r="56" spans="3:16" ht="28.95" customHeight="1">
      <c r="I56" s="131" t="s">
        <v>129</v>
      </c>
      <c r="J56" s="131" t="s">
        <v>130</v>
      </c>
      <c r="K56" s="131" t="s">
        <v>131</v>
      </c>
      <c r="L56" s="131" t="s">
        <v>132</v>
      </c>
      <c r="M56" s="131" t="s">
        <v>134</v>
      </c>
      <c r="O56" s="69"/>
      <c r="P56" s="69"/>
    </row>
    <row r="57" spans="3:16">
      <c r="H57" s="45" t="s">
        <v>57</v>
      </c>
      <c r="I57" s="127">
        <v>3853076000</v>
      </c>
      <c r="J57" s="130">
        <f>E59</f>
        <v>4304886474</v>
      </c>
      <c r="K57" s="128">
        <f>I57-E59</f>
        <v>-451810474</v>
      </c>
      <c r="L57" s="129">
        <v>600000000</v>
      </c>
      <c r="M57" s="1" t="s">
        <v>135</v>
      </c>
      <c r="N57" s="126">
        <f>+L57+K57</f>
        <v>148189526</v>
      </c>
      <c r="O57" s="69"/>
      <c r="P57" s="69"/>
    </row>
    <row r="58" spans="3:16">
      <c r="C58" s="56" t="s">
        <v>113</v>
      </c>
      <c r="D58" s="54" t="s">
        <v>122</v>
      </c>
      <c r="E58" s="57" t="s">
        <v>114</v>
      </c>
      <c r="F58" s="57" t="s">
        <v>115</v>
      </c>
      <c r="H58" s="45" t="s">
        <v>56</v>
      </c>
      <c r="I58" s="127">
        <v>3276969000</v>
      </c>
      <c r="J58" s="130">
        <f>E61</f>
        <v>1638484500</v>
      </c>
      <c r="K58" s="129">
        <f>I58-E61</f>
        <v>1638484500</v>
      </c>
      <c r="L58" s="129">
        <v>173040000</v>
      </c>
      <c r="M58" s="1" t="s">
        <v>133</v>
      </c>
      <c r="N58" s="66">
        <f>+K58+L58</f>
        <v>1811524500</v>
      </c>
      <c r="O58" s="69"/>
      <c r="P58" s="69"/>
    </row>
    <row r="59" spans="3:16" ht="40.950000000000003" customHeight="1">
      <c r="C59" s="58" t="s">
        <v>116</v>
      </c>
      <c r="D59" s="125">
        <v>0.54039999999999999</v>
      </c>
      <c r="E59" s="134">
        <f>ROUND($E$34*D59,0)</f>
        <v>4304886474</v>
      </c>
      <c r="F59" s="70">
        <v>117926</v>
      </c>
      <c r="H59" s="136" t="s">
        <v>59</v>
      </c>
      <c r="I59" s="137">
        <f>I57+I58</f>
        <v>7130045000</v>
      </c>
      <c r="J59" s="132">
        <f t="shared" ref="J59:L59" si="20">J57+J58</f>
        <v>5943370974</v>
      </c>
      <c r="K59" s="132">
        <f t="shared" si="20"/>
        <v>1186674026</v>
      </c>
      <c r="L59" s="132">
        <f t="shared" si="20"/>
        <v>773040000</v>
      </c>
      <c r="M59" s="123" t="s">
        <v>136</v>
      </c>
      <c r="N59" s="126">
        <f>+N58+N57</f>
        <v>1959714026</v>
      </c>
      <c r="O59" s="69"/>
      <c r="P59" s="69"/>
    </row>
    <row r="60" spans="3:16" ht="55.2">
      <c r="C60" s="149" t="s">
        <v>138</v>
      </c>
      <c r="D60" s="125">
        <f>E60/E62</f>
        <v>0.25391814774481392</v>
      </c>
      <c r="E60" s="134">
        <v>2022740192</v>
      </c>
      <c r="F60" s="235">
        <v>17826</v>
      </c>
      <c r="H60" s="139"/>
      <c r="I60" s="140"/>
      <c r="K60" s="66"/>
      <c r="L60" s="148"/>
      <c r="O60" s="69"/>
      <c r="P60" s="69"/>
    </row>
    <row r="61" spans="3:16" ht="43.5" customHeight="1">
      <c r="C61" s="149" t="s">
        <v>139</v>
      </c>
      <c r="D61" s="125">
        <f>E61/E62</f>
        <v>0.20568185226854266</v>
      </c>
      <c r="E61" s="134">
        <v>1638484500</v>
      </c>
      <c r="F61" s="236"/>
      <c r="G61" s="133">
        <f>D61/2</f>
        <v>0.10284092613427133</v>
      </c>
      <c r="H61" s="138"/>
      <c r="I61" s="71"/>
      <c r="J61" s="71"/>
      <c r="O61" s="69"/>
      <c r="P61" s="69"/>
    </row>
    <row r="62" spans="3:16" ht="23.55" customHeight="1">
      <c r="C62" s="61" t="s">
        <v>59</v>
      </c>
      <c r="D62" s="62">
        <f>D61+D59+D60</f>
        <v>1.0000000000133564</v>
      </c>
      <c r="E62" s="135">
        <f>E59+E60+E61</f>
        <v>7966111166</v>
      </c>
      <c r="O62" s="69"/>
      <c r="P62" s="69"/>
    </row>
    <row r="63" spans="3:16">
      <c r="O63" s="69"/>
      <c r="P63" s="69"/>
    </row>
    <row r="64" spans="3:16">
      <c r="C64" s="237" t="s">
        <v>36</v>
      </c>
      <c r="D64" s="237" t="s">
        <v>37</v>
      </c>
      <c r="E64" s="237" t="s">
        <v>38</v>
      </c>
      <c r="F64" s="237" t="s">
        <v>39</v>
      </c>
      <c r="G64" s="237" t="s">
        <v>40</v>
      </c>
      <c r="H64" s="237" t="s">
        <v>41</v>
      </c>
      <c r="I64" s="237" t="s">
        <v>118</v>
      </c>
      <c r="J64" s="233" t="s">
        <v>119</v>
      </c>
      <c r="K64" s="234"/>
      <c r="O64" s="69"/>
      <c r="P64" s="69"/>
    </row>
    <row r="65" spans="3:16">
      <c r="C65" s="238"/>
      <c r="D65" s="238"/>
      <c r="E65" s="238"/>
      <c r="F65" s="238"/>
      <c r="G65" s="238"/>
      <c r="H65" s="238"/>
      <c r="I65" s="238"/>
      <c r="J65" s="233"/>
      <c r="K65" s="234"/>
      <c r="O65" s="69"/>
      <c r="P65" s="69"/>
    </row>
    <row r="66" spans="3:16" ht="96.6">
      <c r="C66" s="47">
        <v>1</v>
      </c>
      <c r="D66" s="48" t="s">
        <v>60</v>
      </c>
      <c r="E66" s="49" t="s">
        <v>67</v>
      </c>
      <c r="F66" s="172" t="s">
        <v>43</v>
      </c>
      <c r="G66" s="20">
        <v>1</v>
      </c>
      <c r="H66" s="239">
        <f>H5</f>
        <v>8.67</v>
      </c>
      <c r="I66" s="142">
        <f>ROUND(E30*1.19,2)</f>
        <v>218933927.09999999</v>
      </c>
      <c r="J66" s="143">
        <f>I66*$H$66</f>
        <v>1898157147.957</v>
      </c>
      <c r="K66" s="114"/>
      <c r="O66" s="69"/>
      <c r="P66" s="69"/>
    </row>
    <row r="67" spans="3:16" ht="82.8">
      <c r="C67" s="47">
        <v>2</v>
      </c>
      <c r="D67" s="50" t="s">
        <v>61</v>
      </c>
      <c r="E67" s="49" t="s">
        <v>68</v>
      </c>
      <c r="F67" s="173"/>
      <c r="G67" s="20">
        <v>1</v>
      </c>
      <c r="H67" s="240"/>
      <c r="I67" s="128">
        <f>ROUND(F30*1.19,2)</f>
        <v>333019116.43000001</v>
      </c>
      <c r="J67" s="143">
        <f t="shared" ref="J67:J71" si="21">I67*$H$66</f>
        <v>2887275739.4481001</v>
      </c>
      <c r="K67" s="114"/>
      <c r="O67" s="69"/>
      <c r="P67" s="69"/>
    </row>
    <row r="68" spans="3:16" ht="72.45" customHeight="1">
      <c r="C68" s="47">
        <v>3</v>
      </c>
      <c r="D68" s="51" t="s">
        <v>62</v>
      </c>
      <c r="E68" s="49" t="s">
        <v>121</v>
      </c>
      <c r="F68" s="173"/>
      <c r="G68" s="20">
        <v>1</v>
      </c>
      <c r="H68" s="240"/>
      <c r="I68" s="128">
        <f>ROUND(G30*1.19,2)</f>
        <v>160213562.74000001</v>
      </c>
      <c r="J68" s="143">
        <f t="shared" si="21"/>
        <v>1389051588.9558001</v>
      </c>
      <c r="K68" s="114"/>
      <c r="O68" s="69"/>
      <c r="P68" s="69"/>
    </row>
    <row r="69" spans="3:16" ht="96.6">
      <c r="C69" s="47">
        <v>4</v>
      </c>
      <c r="D69" s="51" t="s">
        <v>63</v>
      </c>
      <c r="E69" s="49" t="s">
        <v>70</v>
      </c>
      <c r="F69" s="173"/>
      <c r="G69" s="20">
        <v>1</v>
      </c>
      <c r="H69" s="240"/>
      <c r="I69" s="128">
        <f>ROUND(H30*1.19,2)</f>
        <v>77373520.349999994</v>
      </c>
      <c r="J69" s="143">
        <f t="shared" si="21"/>
        <v>670828421.43449998</v>
      </c>
      <c r="K69" s="114"/>
      <c r="O69" s="69"/>
      <c r="P69" s="69"/>
    </row>
    <row r="70" spans="3:16" ht="138">
      <c r="C70" s="47">
        <v>5</v>
      </c>
      <c r="D70" s="51" t="s">
        <v>64</v>
      </c>
      <c r="E70" s="49" t="s">
        <v>71</v>
      </c>
      <c r="F70" s="173"/>
      <c r="G70" s="52">
        <v>1</v>
      </c>
      <c r="H70" s="240"/>
      <c r="I70" s="128">
        <f>ROUND(I30*1.19,2)</f>
        <v>48068990.899999999</v>
      </c>
      <c r="J70" s="143">
        <f t="shared" si="21"/>
        <v>416758151.10299999</v>
      </c>
      <c r="K70" s="114"/>
      <c r="O70" s="69"/>
      <c r="P70" s="69"/>
    </row>
    <row r="71" spans="3:16" ht="207">
      <c r="C71" s="47">
        <v>6</v>
      </c>
      <c r="D71" s="51" t="s">
        <v>65</v>
      </c>
      <c r="E71" s="49" t="s">
        <v>72</v>
      </c>
      <c r="F71" s="173"/>
      <c r="G71" s="52">
        <v>1</v>
      </c>
      <c r="H71" s="240"/>
      <c r="I71" s="128">
        <f>ROUND(J30*1.19,2)</f>
        <v>54154943.719999999</v>
      </c>
      <c r="J71" s="143">
        <f t="shared" si="21"/>
        <v>469523362.05239999</v>
      </c>
      <c r="K71" s="114"/>
      <c r="O71" s="69"/>
      <c r="P71" s="69"/>
    </row>
    <row r="72" spans="3:16" ht="362.55" customHeight="1">
      <c r="C72" s="47">
        <v>7</v>
      </c>
      <c r="D72" s="53" t="s">
        <v>66</v>
      </c>
      <c r="E72" s="53" t="s">
        <v>73</v>
      </c>
      <c r="F72" s="173"/>
      <c r="G72" s="47">
        <v>1</v>
      </c>
      <c r="H72" s="240"/>
      <c r="I72" s="145">
        <f>ROUND(K30*1.19,2)-0.47</f>
        <v>172612955.05000001</v>
      </c>
      <c r="J72" s="143">
        <f>I72</f>
        <v>172612955.05000001</v>
      </c>
      <c r="K72" s="114"/>
      <c r="O72" s="69"/>
      <c r="P72" s="69"/>
    </row>
    <row r="73" spans="3:16" ht="87" customHeight="1">
      <c r="C73" s="47">
        <v>8</v>
      </c>
      <c r="D73" s="50" t="s">
        <v>47</v>
      </c>
      <c r="E73" s="53"/>
      <c r="F73" s="174"/>
      <c r="G73" s="47">
        <v>1</v>
      </c>
      <c r="H73" s="241"/>
      <c r="I73" s="141">
        <f>ROUND(L30*1.19,2)</f>
        <v>7140000</v>
      </c>
      <c r="J73" s="143">
        <f>I73*H66</f>
        <v>61903800</v>
      </c>
      <c r="K73" s="114"/>
      <c r="O73" s="69"/>
      <c r="P73" s="69"/>
    </row>
    <row r="74" spans="3:16">
      <c r="C74" s="229" t="s">
        <v>120</v>
      </c>
      <c r="D74" s="229"/>
      <c r="E74" s="229"/>
      <c r="F74" s="229"/>
      <c r="G74" s="229"/>
      <c r="H74" s="229"/>
      <c r="I74" s="229"/>
      <c r="J74" s="143">
        <f>SUM(J66:J73)</f>
        <v>7966111166.0007992</v>
      </c>
      <c r="K74" s="144">
        <f>J74-E34</f>
        <v>7.991790771484375E-4</v>
      </c>
      <c r="O74" s="69"/>
      <c r="P74" s="69"/>
    </row>
    <row r="75" spans="3:16">
      <c r="O75" s="69"/>
      <c r="P75" s="69"/>
    </row>
    <row r="76" spans="3:16">
      <c r="O76" s="69"/>
      <c r="P76" s="69"/>
    </row>
    <row r="77" spans="3:16">
      <c r="O77" s="69"/>
      <c r="P77" s="69"/>
    </row>
    <row r="78" spans="3:16">
      <c r="O78" s="69"/>
      <c r="P78" s="69"/>
    </row>
  </sheetData>
  <mergeCells count="53">
    <mergeCell ref="C74:I74"/>
    <mergeCell ref="F66:F73"/>
    <mergeCell ref="H66:H73"/>
    <mergeCell ref="H64:H65"/>
    <mergeCell ref="I64:I65"/>
    <mergeCell ref="J64:J65"/>
    <mergeCell ref="K64:K65"/>
    <mergeCell ref="F60:F61"/>
    <mergeCell ref="C64:C65"/>
    <mergeCell ref="D64:D65"/>
    <mergeCell ref="E64:E65"/>
    <mergeCell ref="F64:F65"/>
    <mergeCell ref="G64:G65"/>
    <mergeCell ref="AA15:AB15"/>
    <mergeCell ref="AD15:AE15"/>
    <mergeCell ref="C16:J16"/>
    <mergeCell ref="C17:J17"/>
    <mergeCell ref="C18:J18"/>
    <mergeCell ref="U15:V15"/>
    <mergeCell ref="X15:Y15"/>
    <mergeCell ref="D52:F55"/>
    <mergeCell ref="I15:J15"/>
    <mergeCell ref="L15:M15"/>
    <mergeCell ref="O15:P15"/>
    <mergeCell ref="R15:S15"/>
    <mergeCell ref="U12:V14"/>
    <mergeCell ref="X12:Y14"/>
    <mergeCell ref="AA12:AB14"/>
    <mergeCell ref="AD12:AE14"/>
    <mergeCell ref="C13:J13"/>
    <mergeCell ref="C14:J14"/>
    <mergeCell ref="R12:S14"/>
    <mergeCell ref="F5:F11"/>
    <mergeCell ref="H5:H11"/>
    <mergeCell ref="C12:J12"/>
    <mergeCell ref="L12:M14"/>
    <mergeCell ref="O12:P14"/>
    <mergeCell ref="AA2:AC2"/>
    <mergeCell ref="AD2:AF2"/>
    <mergeCell ref="I3:K3"/>
    <mergeCell ref="L3:N3"/>
    <mergeCell ref="O3:Q3"/>
    <mergeCell ref="R3:T3"/>
    <mergeCell ref="U3:W3"/>
    <mergeCell ref="X3:Z3"/>
    <mergeCell ref="AA3:AC3"/>
    <mergeCell ref="AD3:AF3"/>
    <mergeCell ref="I2:K2"/>
    <mergeCell ref="L2:N2"/>
    <mergeCell ref="O2:Q2"/>
    <mergeCell ref="R2:T2"/>
    <mergeCell ref="U2:W2"/>
    <mergeCell ref="X2:Z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0B4F80-3910-46D2-9E74-FEE01BDA547B}">
  <sheetPr>
    <tabColor theme="7" tint="0.79998168889431442"/>
  </sheetPr>
  <dimension ref="B1:AF76"/>
  <sheetViews>
    <sheetView topLeftCell="B11" zoomScale="70" zoomScaleNormal="70" workbookViewId="0">
      <selection activeCell="E34" sqref="E34"/>
    </sheetView>
  </sheetViews>
  <sheetFormatPr baseColWidth="10" defaultRowHeight="13.8"/>
  <cols>
    <col min="1" max="1" width="3.296875" customWidth="1"/>
    <col min="2" max="2" width="30.8984375" customWidth="1"/>
    <col min="3" max="3" width="17.8984375" customWidth="1"/>
    <col min="4" max="4" width="27.5" customWidth="1"/>
    <col min="5" max="5" width="24.3984375" customWidth="1"/>
    <col min="6" max="6" width="15.3984375" customWidth="1"/>
    <col min="7" max="7" width="18.8984375" customWidth="1"/>
    <col min="8" max="8" width="18.59765625" customWidth="1"/>
    <col min="9" max="10" width="19.5" customWidth="1"/>
    <col min="11" max="11" width="24.296875" customWidth="1"/>
    <col min="12" max="12" width="18.296875" bestFit="1" customWidth="1"/>
    <col min="13" max="13" width="17.5" bestFit="1" customWidth="1"/>
    <col min="14" max="14" width="22.19921875" customWidth="1"/>
    <col min="15" max="15" width="22.5" customWidth="1"/>
    <col min="16" max="16" width="15" bestFit="1" customWidth="1"/>
    <col min="17" max="17" width="21" bestFit="1" customWidth="1"/>
    <col min="18" max="19" width="17.5" customWidth="1"/>
    <col min="20" max="20" width="21.796875" bestFit="1" customWidth="1"/>
    <col min="21" max="22" width="15.5" customWidth="1"/>
    <col min="23" max="23" width="22.09765625" bestFit="1" customWidth="1"/>
    <col min="24" max="25" width="15.5" customWidth="1"/>
    <col min="26" max="26" width="22.09765625" bestFit="1" customWidth="1"/>
    <col min="27" max="28" width="15.5" customWidth="1"/>
    <col min="29" max="29" width="21.796875" bestFit="1" customWidth="1"/>
    <col min="30" max="31" width="15.5" customWidth="1"/>
    <col min="32" max="32" width="22.09765625" bestFit="1" customWidth="1"/>
  </cols>
  <sheetData>
    <row r="1" spans="2:32">
      <c r="B1" s="32" t="s">
        <v>102</v>
      </c>
    </row>
    <row r="2" spans="2:32" s="4" customFormat="1">
      <c r="B2" s="68" t="s">
        <v>103</v>
      </c>
      <c r="I2" s="208" t="s">
        <v>94</v>
      </c>
      <c r="J2" s="208"/>
      <c r="K2" s="208"/>
      <c r="L2" s="208" t="s">
        <v>95</v>
      </c>
      <c r="M2" s="208"/>
      <c r="N2" s="208"/>
      <c r="O2" s="208" t="s">
        <v>96</v>
      </c>
      <c r="P2" s="208"/>
      <c r="Q2" s="208"/>
      <c r="R2" s="208" t="s">
        <v>97</v>
      </c>
      <c r="S2" s="208"/>
      <c r="T2" s="208"/>
      <c r="U2" s="208" t="s">
        <v>98</v>
      </c>
      <c r="V2" s="208"/>
      <c r="W2" s="208"/>
      <c r="X2" s="208" t="s">
        <v>99</v>
      </c>
      <c r="Y2" s="208"/>
      <c r="Z2" s="208"/>
      <c r="AA2" s="208" t="s">
        <v>100</v>
      </c>
      <c r="AB2" s="208"/>
      <c r="AC2" s="208"/>
      <c r="AD2" s="208" t="s">
        <v>101</v>
      </c>
      <c r="AE2" s="208"/>
      <c r="AF2" s="208"/>
    </row>
    <row r="3" spans="2:32">
      <c r="B3" s="32"/>
      <c r="I3" s="209" t="s">
        <v>105</v>
      </c>
      <c r="J3" s="209"/>
      <c r="K3" s="209"/>
      <c r="L3" s="209" t="s">
        <v>106</v>
      </c>
      <c r="M3" s="209"/>
      <c r="N3" s="209"/>
      <c r="O3" s="209" t="s">
        <v>107</v>
      </c>
      <c r="P3" s="209"/>
      <c r="Q3" s="209"/>
      <c r="R3" s="209" t="s">
        <v>108</v>
      </c>
      <c r="S3" s="209"/>
      <c r="T3" s="209"/>
      <c r="U3" s="209" t="s">
        <v>109</v>
      </c>
      <c r="V3" s="209"/>
      <c r="W3" s="209"/>
      <c r="X3" s="209" t="s">
        <v>110</v>
      </c>
      <c r="Y3" s="209"/>
      <c r="Z3" s="209"/>
      <c r="AA3" s="209" t="s">
        <v>111</v>
      </c>
      <c r="AB3" s="209"/>
      <c r="AC3" s="209"/>
      <c r="AD3" s="209" t="s">
        <v>112</v>
      </c>
      <c r="AE3" s="209"/>
      <c r="AF3" s="209"/>
    </row>
    <row r="4" spans="2:32" ht="14.55" customHeight="1">
      <c r="B4" s="64"/>
      <c r="C4" s="12" t="s">
        <v>36</v>
      </c>
      <c r="D4" s="12" t="s">
        <v>37</v>
      </c>
      <c r="E4" s="13" t="s">
        <v>38</v>
      </c>
      <c r="F4" s="12" t="s">
        <v>39</v>
      </c>
      <c r="G4" s="13" t="s">
        <v>40</v>
      </c>
      <c r="H4" s="13" t="s">
        <v>41</v>
      </c>
      <c r="I4" s="13" t="s">
        <v>42</v>
      </c>
      <c r="J4" s="13" t="s">
        <v>78</v>
      </c>
      <c r="K4" s="13" t="s">
        <v>10</v>
      </c>
      <c r="L4" s="13" t="s">
        <v>42</v>
      </c>
      <c r="M4" s="13" t="s">
        <v>78</v>
      </c>
      <c r="N4" s="13" t="s">
        <v>10</v>
      </c>
      <c r="O4" s="13" t="s">
        <v>42</v>
      </c>
      <c r="P4" s="13" t="s">
        <v>78</v>
      </c>
      <c r="Q4" s="13" t="s">
        <v>10</v>
      </c>
      <c r="R4" s="13" t="s">
        <v>42</v>
      </c>
      <c r="S4" s="13" t="s">
        <v>78</v>
      </c>
      <c r="T4" s="13" t="s">
        <v>10</v>
      </c>
      <c r="U4" s="13" t="s">
        <v>42</v>
      </c>
      <c r="V4" s="13" t="s">
        <v>78</v>
      </c>
      <c r="W4" s="13" t="s">
        <v>10</v>
      </c>
      <c r="X4" s="13" t="s">
        <v>42</v>
      </c>
      <c r="Y4" s="13" t="s">
        <v>78</v>
      </c>
      <c r="Z4" s="13" t="s">
        <v>10</v>
      </c>
      <c r="AA4" s="13" t="s">
        <v>42</v>
      </c>
      <c r="AB4" s="13" t="s">
        <v>78</v>
      </c>
      <c r="AC4" s="13" t="s">
        <v>10</v>
      </c>
      <c r="AD4" s="13" t="s">
        <v>42</v>
      </c>
      <c r="AE4" s="13" t="s">
        <v>78</v>
      </c>
      <c r="AF4" s="13" t="s">
        <v>10</v>
      </c>
    </row>
    <row r="5" spans="2:32" ht="69">
      <c r="C5" s="47">
        <v>1</v>
      </c>
      <c r="D5" s="48" t="s">
        <v>60</v>
      </c>
      <c r="E5" s="49" t="s">
        <v>67</v>
      </c>
      <c r="F5" s="172" t="s">
        <v>43</v>
      </c>
      <c r="G5" s="111">
        <v>1</v>
      </c>
      <c r="H5" s="242">
        <v>9</v>
      </c>
      <c r="I5" s="115">
        <f>COINSA!H28</f>
        <v>175844798.11295536</v>
      </c>
      <c r="J5" s="116">
        <f t="shared" ref="J5:J10" si="0">I5*19%</f>
        <v>33410511.641461518</v>
      </c>
      <c r="K5" s="21">
        <f>(I5+J5)*$H$5</f>
        <v>1883297787.789752</v>
      </c>
      <c r="L5" s="117">
        <f>TSG!H28</f>
        <v>177931812</v>
      </c>
      <c r="M5" s="117">
        <f>L5*19%</f>
        <v>33807044.280000001</v>
      </c>
      <c r="N5" s="72">
        <f>(L5+M5)*$H$5</f>
        <v>1905649706.52</v>
      </c>
      <c r="O5" s="115">
        <f>DATASEC!$H$28</f>
        <v>178892208.22624573</v>
      </c>
      <c r="P5" s="115">
        <f>O5*19%</f>
        <v>33989519.562986687</v>
      </c>
      <c r="Q5" s="73">
        <f>(O5+P5)*$H$5</f>
        <v>1915935550.103092</v>
      </c>
      <c r="R5" s="115">
        <f>'GROW DATA'!H28</f>
        <v>179316998.72688618</v>
      </c>
      <c r="S5" s="115">
        <f>R5*19%</f>
        <v>34070229.758108377</v>
      </c>
      <c r="T5" s="73">
        <f>(R5+S5)*$H$5</f>
        <v>1920485056.3649511</v>
      </c>
      <c r="U5" s="115">
        <f>EYC!$H$28</f>
        <v>179353446.40000001</v>
      </c>
      <c r="V5" s="115">
        <f>U5*19%</f>
        <v>34077154.816</v>
      </c>
      <c r="W5" s="73">
        <f>(U5+V5)*$H$5</f>
        <v>1920875410.9440002</v>
      </c>
      <c r="X5" s="115">
        <f>HEIMCORE!H28</f>
        <v>191395824.26683715</v>
      </c>
      <c r="Y5" s="115">
        <f>X5*19%</f>
        <v>36365206.610699058</v>
      </c>
      <c r="Z5" s="73">
        <f>(X5+Y5)*$H$5</f>
        <v>2049849277.897826</v>
      </c>
      <c r="AA5" s="115">
        <f>WEXLER!H28</f>
        <v>191783676.46307409</v>
      </c>
      <c r="AB5" s="115">
        <f>AA5*19%</f>
        <v>36438898.527984075</v>
      </c>
      <c r="AC5" s="73">
        <f>(AA5+AB5)*$H$5</f>
        <v>2054003174.9195235</v>
      </c>
      <c r="AD5" s="115">
        <f>'OPEN GROUP'!H28</f>
        <v>197305952.97140029</v>
      </c>
      <c r="AE5" s="115">
        <f>AD5*19%</f>
        <v>37488131.064566053</v>
      </c>
      <c r="AF5" s="73">
        <f>(AD5+AE5)*$H$5</f>
        <v>2113146756.3236971</v>
      </c>
    </row>
    <row r="6" spans="2:32" ht="69">
      <c r="C6" s="47">
        <v>2</v>
      </c>
      <c r="D6" s="50" t="s">
        <v>61</v>
      </c>
      <c r="E6" s="49" t="s">
        <v>68</v>
      </c>
      <c r="F6" s="173"/>
      <c r="G6" s="111">
        <v>1</v>
      </c>
      <c r="H6" s="243"/>
      <c r="I6" s="115">
        <f>COINSA!H29</f>
        <v>267476494.79467681</v>
      </c>
      <c r="J6" s="116">
        <f t="shared" si="0"/>
        <v>50820534.010988593</v>
      </c>
      <c r="K6" s="21">
        <f t="shared" ref="K6:K10" si="1">(I6+J6)*$H$5</f>
        <v>2864673259.2509885</v>
      </c>
      <c r="L6" s="117">
        <f>TSG!H29</f>
        <v>270651040</v>
      </c>
      <c r="M6" s="117">
        <f t="shared" ref="M6:M11" si="2">L6*19%</f>
        <v>51423697.600000001</v>
      </c>
      <c r="N6" s="72">
        <f t="shared" ref="N6:N10" si="3">(L6+M6)*$H$5</f>
        <v>2898672638.4000001</v>
      </c>
      <c r="O6" s="115">
        <f>DATASEC!H29</f>
        <v>272111892.50932038</v>
      </c>
      <c r="P6" s="115">
        <f t="shared" ref="P6:P11" si="4">O6*19%</f>
        <v>51701259.576770872</v>
      </c>
      <c r="Q6" s="73">
        <f t="shared" ref="Q6:Q10" si="5">(O6+P6)*$H$5</f>
        <v>2914318368.7748213</v>
      </c>
      <c r="R6" s="115">
        <f>'GROW DATA'!H29</f>
        <v>272758038.85742223</v>
      </c>
      <c r="S6" s="115">
        <f t="shared" ref="S6:S11" si="6">R6*19%</f>
        <v>51824027.382910222</v>
      </c>
      <c r="T6" s="73">
        <f t="shared" ref="T6:T10" si="7">(R6+S6)*$H$5</f>
        <v>2921238596.1629925</v>
      </c>
      <c r="U6" s="115">
        <f>EYC!$H$29</f>
        <v>272813479.19999999</v>
      </c>
      <c r="V6" s="115">
        <f t="shared" ref="V6:V11" si="8">U6*19%</f>
        <v>51834561.048</v>
      </c>
      <c r="W6" s="73">
        <f t="shared" ref="W6:W10" si="9">(U6+V6)*$H$5</f>
        <v>2921832362.2319999</v>
      </c>
      <c r="X6" s="115">
        <f>HEIMCORE!H29</f>
        <v>291131069.79910052</v>
      </c>
      <c r="Y6" s="115">
        <f t="shared" ref="Y6:Y11" si="10">X6*19%</f>
        <v>55314903.261829101</v>
      </c>
      <c r="Z6" s="73">
        <f t="shared" ref="Z6:Z10" si="11">(X6+Y6)*$H$5</f>
        <v>3118013757.5483665</v>
      </c>
      <c r="AA6" s="115">
        <f>WEXLER!H29</f>
        <v>291721029.50823694</v>
      </c>
      <c r="AB6" s="115">
        <f t="shared" ref="AB6:AB11" si="12">AA6*19%</f>
        <v>55426995.606565021</v>
      </c>
      <c r="AC6" s="73">
        <f t="shared" ref="AC6:AC10" si="13">(AA6+AB6)*$H$5</f>
        <v>3124332226.0332174</v>
      </c>
      <c r="AD6" s="115">
        <f>'OPEN GROUP'!H29</f>
        <v>300120932.03356081</v>
      </c>
      <c r="AE6" s="115">
        <f t="shared" ref="AE6:AE11" si="14">AD6*19%</f>
        <v>57022977.086376555</v>
      </c>
      <c r="AF6" s="73">
        <f t="shared" ref="AF6:AF10" si="15">(AD6+AE6)*$H$5</f>
        <v>3214295182.0794363</v>
      </c>
    </row>
    <row r="7" spans="2:32" ht="69">
      <c r="C7" s="47">
        <v>3</v>
      </c>
      <c r="D7" s="51" t="s">
        <v>62</v>
      </c>
      <c r="E7" s="49" t="s">
        <v>121</v>
      </c>
      <c r="F7" s="173"/>
      <c r="G7" s="111">
        <v>1</v>
      </c>
      <c r="H7" s="243"/>
      <c r="I7" s="115">
        <f>COINSA!H30</f>
        <v>129166017.93462135</v>
      </c>
      <c r="J7" s="116">
        <f t="shared" si="0"/>
        <v>24541543.407578055</v>
      </c>
      <c r="K7" s="21">
        <f t="shared" si="1"/>
        <v>1383368052.0797946</v>
      </c>
      <c r="L7" s="117">
        <f>TSG!H30</f>
        <v>130699025</v>
      </c>
      <c r="M7" s="117">
        <f t="shared" si="2"/>
        <v>24832814.75</v>
      </c>
      <c r="N7" s="72">
        <f t="shared" si="3"/>
        <v>1399786557.75</v>
      </c>
      <c r="O7" s="115">
        <f>DATASEC!H30</f>
        <v>131404479.5415127</v>
      </c>
      <c r="P7" s="115">
        <f t="shared" si="4"/>
        <v>24966851.112887412</v>
      </c>
      <c r="Q7" s="73">
        <f t="shared" si="5"/>
        <v>1407341975.889601</v>
      </c>
      <c r="R7" s="115">
        <f>'GROW DATA'!H30</f>
        <v>131716507.52307937</v>
      </c>
      <c r="S7" s="115">
        <f t="shared" si="6"/>
        <v>25026136.429385081</v>
      </c>
      <c r="T7" s="73">
        <f t="shared" si="7"/>
        <v>1410683795.5721803</v>
      </c>
      <c r="U7" s="115">
        <f>EYC!$H$30</f>
        <v>131743280</v>
      </c>
      <c r="V7" s="115">
        <f t="shared" si="8"/>
        <v>25031223.199999999</v>
      </c>
      <c r="W7" s="73">
        <f t="shared" si="9"/>
        <v>1410970528.8</v>
      </c>
      <c r="X7" s="115">
        <f>HEIMCORE!H30</f>
        <v>140588955.34675783</v>
      </c>
      <c r="Y7" s="115">
        <f t="shared" si="10"/>
        <v>26711901.51588399</v>
      </c>
      <c r="Z7" s="73">
        <f t="shared" si="11"/>
        <v>1505707711.7637763</v>
      </c>
      <c r="AA7" s="115">
        <f>WEXLER!H30</f>
        <v>140873850.46036214</v>
      </c>
      <c r="AB7" s="115">
        <f t="shared" si="12"/>
        <v>26766031.587468807</v>
      </c>
      <c r="AC7" s="73">
        <f t="shared" si="13"/>
        <v>1508758938.4304786</v>
      </c>
      <c r="AD7" s="115">
        <f>'OPEN GROUP'!H30</f>
        <v>144930214.2207289</v>
      </c>
      <c r="AE7" s="115">
        <f t="shared" si="14"/>
        <v>27536740.701938491</v>
      </c>
      <c r="AF7" s="73">
        <f t="shared" si="15"/>
        <v>1552202594.3040066</v>
      </c>
    </row>
    <row r="8" spans="2:32" ht="69">
      <c r="C8" s="47">
        <v>4</v>
      </c>
      <c r="D8" s="51" t="s">
        <v>63</v>
      </c>
      <c r="E8" s="49" t="s">
        <v>70</v>
      </c>
      <c r="F8" s="173"/>
      <c r="G8" s="111">
        <v>1</v>
      </c>
      <c r="H8" s="243"/>
      <c r="I8" s="115">
        <f>COINSA!H31</f>
        <v>62145375.307799943</v>
      </c>
      <c r="J8" s="116">
        <f t="shared" si="0"/>
        <v>11807621.308481989</v>
      </c>
      <c r="K8" s="21">
        <f t="shared" si="1"/>
        <v>665576969.5465374</v>
      </c>
      <c r="L8" s="117">
        <f>TSG!H31</f>
        <v>62882948</v>
      </c>
      <c r="M8" s="117">
        <f t="shared" si="2"/>
        <v>11947760.120000001</v>
      </c>
      <c r="N8" s="72">
        <f t="shared" si="3"/>
        <v>673476373.08000004</v>
      </c>
      <c r="O8" s="115">
        <f>DATASEC!H31</f>
        <v>63222361.645977341</v>
      </c>
      <c r="P8" s="115">
        <f t="shared" si="4"/>
        <v>12012248.712735696</v>
      </c>
      <c r="Q8" s="73">
        <f t="shared" si="5"/>
        <v>677111493.22841728</v>
      </c>
      <c r="R8" s="115">
        <f>'GROW DATA'!H31</f>
        <v>63372487.014329337</v>
      </c>
      <c r="S8" s="115">
        <f t="shared" si="6"/>
        <v>12040772.532722574</v>
      </c>
      <c r="T8" s="73">
        <f t="shared" si="7"/>
        <v>678719335.92346716</v>
      </c>
      <c r="U8" s="115">
        <f>EYC!$H$31</f>
        <v>63385368</v>
      </c>
      <c r="V8" s="115">
        <f t="shared" si="8"/>
        <v>12043219.92</v>
      </c>
      <c r="W8" s="73">
        <f t="shared" si="9"/>
        <v>678857291.27999997</v>
      </c>
      <c r="X8" s="115">
        <f>HEIMCORE!H31</f>
        <v>67641269.227468848</v>
      </c>
      <c r="Y8" s="115">
        <f t="shared" si="10"/>
        <v>12851841.153219081</v>
      </c>
      <c r="Z8" s="73">
        <f t="shared" si="11"/>
        <v>724437993.42619133</v>
      </c>
      <c r="AA8" s="115">
        <f>WEXLER!H31</f>
        <v>67778340.215964139</v>
      </c>
      <c r="AB8" s="115">
        <f t="shared" si="12"/>
        <v>12877884.641033186</v>
      </c>
      <c r="AC8" s="73">
        <f t="shared" si="13"/>
        <v>725906023.71297598</v>
      </c>
      <c r="AD8" s="115">
        <f>'OPEN GROUP'!H31</f>
        <v>69729970.00454016</v>
      </c>
      <c r="AE8" s="115">
        <f t="shared" si="14"/>
        <v>13248694.300862631</v>
      </c>
      <c r="AF8" s="73">
        <f t="shared" si="15"/>
        <v>746807978.74862504</v>
      </c>
    </row>
    <row r="9" spans="2:32" ht="96.6">
      <c r="C9" s="47">
        <v>5</v>
      </c>
      <c r="D9" s="51" t="s">
        <v>64</v>
      </c>
      <c r="E9" s="49" t="s">
        <v>71</v>
      </c>
      <c r="F9" s="173"/>
      <c r="G9" s="52">
        <v>1</v>
      </c>
      <c r="H9" s="243"/>
      <c r="I9" s="115">
        <f>COINSA!H32</f>
        <v>38608369.304898478</v>
      </c>
      <c r="J9" s="116">
        <f t="shared" si="0"/>
        <v>7335590.1679307111</v>
      </c>
      <c r="K9" s="21">
        <f t="shared" si="1"/>
        <v>413495635.25546277</v>
      </c>
      <c r="L9" s="118">
        <f>TSG!H32</f>
        <v>39066593</v>
      </c>
      <c r="M9" s="117">
        <f t="shared" si="2"/>
        <v>7422652.6699999999</v>
      </c>
      <c r="N9" s="72">
        <f t="shared" si="3"/>
        <v>418403211.03000003</v>
      </c>
      <c r="O9" s="115">
        <f>DATASEC!H32</f>
        <v>39277456.683882646</v>
      </c>
      <c r="P9" s="115">
        <f t="shared" si="4"/>
        <v>7462716.7699377025</v>
      </c>
      <c r="Q9" s="73">
        <f t="shared" si="5"/>
        <v>420661561.08438313</v>
      </c>
      <c r="R9" s="115">
        <f>'GROW DATA'!H32</f>
        <v>39370723.409438014</v>
      </c>
      <c r="S9" s="115">
        <f t="shared" si="6"/>
        <v>7480437.447793223</v>
      </c>
      <c r="T9" s="73">
        <f t="shared" si="7"/>
        <v>421660447.71508116</v>
      </c>
      <c r="U9" s="115">
        <f>EYC!$H$32</f>
        <v>39378725.836800002</v>
      </c>
      <c r="V9" s="115">
        <f t="shared" si="8"/>
        <v>7481957.9089919999</v>
      </c>
      <c r="W9" s="73">
        <f t="shared" si="9"/>
        <v>421746153.71212804</v>
      </c>
      <c r="X9" s="115">
        <f>HEIMCORE!H32</f>
        <v>42022742.475229807</v>
      </c>
      <c r="Y9" s="115">
        <f t="shared" si="10"/>
        <v>7984321.0702936631</v>
      </c>
      <c r="Z9" s="73">
        <f t="shared" si="11"/>
        <v>450063571.90971124</v>
      </c>
      <c r="AA9" s="115">
        <f>WEXLER!H32</f>
        <v>42107899.050736874</v>
      </c>
      <c r="AB9" s="115">
        <f t="shared" si="12"/>
        <v>8000500.8196400059</v>
      </c>
      <c r="AC9" s="73">
        <f t="shared" si="13"/>
        <v>450975598.8333919</v>
      </c>
      <c r="AD9" s="115">
        <f>'OPEN GROUP'!H32</f>
        <v>43320366.48295667</v>
      </c>
      <c r="AE9" s="115">
        <f t="shared" si="14"/>
        <v>8230869.6317617679</v>
      </c>
      <c r="AF9" s="73">
        <f t="shared" si="15"/>
        <v>463961125.03246593</v>
      </c>
    </row>
    <row r="10" spans="2:32" ht="138">
      <c r="C10" s="47">
        <v>6</v>
      </c>
      <c r="D10" s="51" t="s">
        <v>65</v>
      </c>
      <c r="E10" s="49" t="s">
        <v>72</v>
      </c>
      <c r="F10" s="173"/>
      <c r="G10" s="52">
        <v>1</v>
      </c>
      <c r="H10" s="243"/>
      <c r="I10" s="115">
        <f>COINSA!H33</f>
        <v>43496525.611894608</v>
      </c>
      <c r="J10" s="116">
        <f t="shared" si="0"/>
        <v>8264339.8662599754</v>
      </c>
      <c r="K10" s="21">
        <f t="shared" si="1"/>
        <v>465847789.30339128</v>
      </c>
      <c r="L10" s="119">
        <f>TSG!H33</f>
        <v>44012764</v>
      </c>
      <c r="M10" s="117">
        <f t="shared" si="2"/>
        <v>8362425.1600000001</v>
      </c>
      <c r="N10" s="72">
        <f t="shared" si="3"/>
        <v>471376702.43999994</v>
      </c>
      <c r="O10" s="120">
        <f>DATASEC!H33</f>
        <v>44250325.289025433</v>
      </c>
      <c r="P10" s="115">
        <f t="shared" si="4"/>
        <v>8407561.8049148321</v>
      </c>
      <c r="Q10" s="73">
        <f t="shared" si="5"/>
        <v>473920983.84546238</v>
      </c>
      <c r="R10" s="120">
        <f>'GROW DATA'!H33</f>
        <v>44355400.395534575</v>
      </c>
      <c r="S10" s="115">
        <f t="shared" si="6"/>
        <v>8427526.0751515701</v>
      </c>
      <c r="T10" s="73">
        <f t="shared" si="7"/>
        <v>475046338.2361753</v>
      </c>
      <c r="U10" s="120">
        <f>EYC!$H$33</f>
        <v>44364416</v>
      </c>
      <c r="V10" s="115">
        <f t="shared" si="8"/>
        <v>8429239.040000001</v>
      </c>
      <c r="W10" s="73">
        <f t="shared" si="9"/>
        <v>475142895.36000001</v>
      </c>
      <c r="X10" s="120">
        <f>HEIMCORE!H33</f>
        <v>47343188.206707686</v>
      </c>
      <c r="Y10" s="115">
        <f t="shared" si="10"/>
        <v>8995205.7592744604</v>
      </c>
      <c r="Z10" s="73">
        <f t="shared" si="11"/>
        <v>507045545.69383931</v>
      </c>
      <c r="AA10" s="120">
        <f>WEXLER!H33</f>
        <v>47439126.347433418</v>
      </c>
      <c r="AB10" s="115">
        <f t="shared" si="12"/>
        <v>9013434.0060123503</v>
      </c>
      <c r="AC10" s="73">
        <f t="shared" si="13"/>
        <v>508073043.18101192</v>
      </c>
      <c r="AD10" s="120">
        <f>'OPEN GROUP'!H33</f>
        <v>48805102.732052311</v>
      </c>
      <c r="AE10" s="115">
        <f t="shared" si="14"/>
        <v>9272969.5190899391</v>
      </c>
      <c r="AF10" s="73">
        <f t="shared" si="15"/>
        <v>522702650.26028025</v>
      </c>
    </row>
    <row r="11" spans="2:32" ht="94.95" customHeight="1">
      <c r="C11" s="47">
        <v>7</v>
      </c>
      <c r="D11" s="50" t="s">
        <v>66</v>
      </c>
      <c r="E11" s="50" t="s">
        <v>73</v>
      </c>
      <c r="F11" s="174"/>
      <c r="G11" s="52">
        <v>1</v>
      </c>
      <c r="H11" s="244"/>
      <c r="I11" s="115">
        <f>COINSA!H34</f>
        <v>138640414.38467282</v>
      </c>
      <c r="J11" s="116">
        <f t="shared" ref="J11" si="16">I11*19%</f>
        <v>26341678.733087838</v>
      </c>
      <c r="K11" s="21">
        <f>(I11+J11)</f>
        <v>164982093.11776066</v>
      </c>
      <c r="L11" s="119">
        <f>TSG!H34</f>
        <v>140285868</v>
      </c>
      <c r="M11" s="117">
        <f t="shared" si="2"/>
        <v>26654314.920000002</v>
      </c>
      <c r="N11" s="72">
        <f>L11+M11</f>
        <v>166940182.92000002</v>
      </c>
      <c r="O11" s="120">
        <f>DATASEC!H34</f>
        <v>141043068.34680611</v>
      </c>
      <c r="P11" s="115">
        <f t="shared" si="4"/>
        <v>26798182.98589316</v>
      </c>
      <c r="Q11" s="73">
        <f>O11+P11</f>
        <v>167841251.33269927</v>
      </c>
      <c r="R11" s="120">
        <f>'GROW DATA'!H34</f>
        <v>141377983.74758831</v>
      </c>
      <c r="S11" s="115">
        <f t="shared" si="6"/>
        <v>26861816.91204178</v>
      </c>
      <c r="T11" s="73">
        <f>R11+S11</f>
        <v>168239800.65963009</v>
      </c>
      <c r="U11" s="120">
        <f>EYC!$H$34</f>
        <v>141406720</v>
      </c>
      <c r="V11" s="115">
        <f t="shared" si="8"/>
        <v>26867276.800000001</v>
      </c>
      <c r="W11" s="73">
        <f>U11+V11</f>
        <v>168273996.80000001</v>
      </c>
      <c r="X11" s="120">
        <f>HEIMCORE!H34</f>
        <v>150901230.36113483</v>
      </c>
      <c r="Y11" s="115">
        <f t="shared" si="10"/>
        <v>28671233.768615618</v>
      </c>
      <c r="Z11" s="73">
        <f>X11+Y11</f>
        <v>179572464.12975043</v>
      </c>
      <c r="AA11" s="120">
        <f>WEXLER!H34</f>
        <v>151207022.68358812</v>
      </c>
      <c r="AB11" s="115">
        <f t="shared" si="12"/>
        <v>28729334.309881743</v>
      </c>
      <c r="AC11" s="73">
        <f>AA11+AB11</f>
        <v>179936356.99346986</v>
      </c>
      <c r="AD11" s="120">
        <f>'OPEN GROUP'!H34</f>
        <v>155560922.89375693</v>
      </c>
      <c r="AE11" s="115">
        <f t="shared" si="14"/>
        <v>29556575.349813815</v>
      </c>
      <c r="AF11" s="73">
        <f>AD11+AE11</f>
        <v>185117498.24357074</v>
      </c>
    </row>
    <row r="12" spans="2:32">
      <c r="C12" s="213" t="s">
        <v>44</v>
      </c>
      <c r="D12" s="213"/>
      <c r="E12" s="213"/>
      <c r="F12" s="213"/>
      <c r="G12" s="213"/>
      <c r="H12" s="213"/>
      <c r="I12" s="213"/>
      <c r="J12" s="213"/>
      <c r="K12" s="74">
        <f>SUM(I5:I10)*H5+I11</f>
        <v>6589278643.9862928</v>
      </c>
      <c r="L12" s="214"/>
      <c r="M12" s="215"/>
      <c r="N12" s="74">
        <f>SUM(L5:L10)*H5+L11</f>
        <v>6667483506</v>
      </c>
      <c r="O12" s="214"/>
      <c r="P12" s="215"/>
      <c r="Q12" s="74">
        <f>SUM(O5:O10)*H5+O11</f>
        <v>6703471583.4104853</v>
      </c>
      <c r="R12" s="214"/>
      <c r="S12" s="215"/>
      <c r="T12" s="74">
        <f>SUM(R5:R10)*H5+R11</f>
        <v>6719389387.0877943</v>
      </c>
      <c r="U12" s="214"/>
      <c r="V12" s="215"/>
      <c r="W12" s="74">
        <f>SUM(U5:U10)*H5+U11</f>
        <v>6720755158.9312</v>
      </c>
      <c r="X12" s="214"/>
      <c r="Y12" s="215"/>
      <c r="Z12" s="74">
        <f>SUM(X5:X10)*H5+X11</f>
        <v>7172008674.2600508</v>
      </c>
      <c r="AA12" s="214"/>
      <c r="AB12" s="215"/>
      <c r="AC12" s="74">
        <f>SUM(AA5:AA10)*H5+AA11</f>
        <v>7186542321.0958576</v>
      </c>
      <c r="AD12" s="214"/>
      <c r="AE12" s="215"/>
      <c r="AF12" s="74">
        <f>SUM(AD5:AD10)*H5+AD11</f>
        <v>7393473768.9009094</v>
      </c>
    </row>
    <row r="13" spans="2:32">
      <c r="C13" s="213" t="s">
        <v>45</v>
      </c>
      <c r="D13" s="213"/>
      <c r="E13" s="213"/>
      <c r="F13" s="213"/>
      <c r="G13" s="213"/>
      <c r="H13" s="213"/>
      <c r="I13" s="213"/>
      <c r="J13" s="213"/>
      <c r="K13" s="74">
        <f>+K12*0.19</f>
        <v>1251962942.3573956</v>
      </c>
      <c r="L13" s="216"/>
      <c r="M13" s="217"/>
      <c r="N13" s="74">
        <f>+N12*0.19</f>
        <v>1266821866.1400001</v>
      </c>
      <c r="O13" s="216"/>
      <c r="P13" s="217"/>
      <c r="Q13" s="74">
        <f>+Q12*0.19</f>
        <v>1273659600.8479922</v>
      </c>
      <c r="R13" s="216"/>
      <c r="S13" s="217"/>
      <c r="T13" s="74">
        <f>+T12*0.19</f>
        <v>1276683983.5466809</v>
      </c>
      <c r="U13" s="216"/>
      <c r="V13" s="217"/>
      <c r="W13" s="74">
        <f>+W12*0.19</f>
        <v>1276943480.196928</v>
      </c>
      <c r="X13" s="216"/>
      <c r="Y13" s="217"/>
      <c r="Z13" s="74">
        <f>+Z12*0.19</f>
        <v>1362681648.1094096</v>
      </c>
      <c r="AA13" s="216"/>
      <c r="AB13" s="217"/>
      <c r="AC13" s="74">
        <f>+AC12*0.19</f>
        <v>1365443041.008213</v>
      </c>
      <c r="AD13" s="216"/>
      <c r="AE13" s="217"/>
      <c r="AF13" s="74">
        <f>+AF12*0.19</f>
        <v>1404760016.0911727</v>
      </c>
    </row>
    <row r="14" spans="2:32">
      <c r="C14" s="220" t="s">
        <v>46</v>
      </c>
      <c r="D14" s="220"/>
      <c r="E14" s="220"/>
      <c r="F14" s="220"/>
      <c r="G14" s="220"/>
      <c r="H14" s="220"/>
      <c r="I14" s="220"/>
      <c r="J14" s="220"/>
      <c r="K14" s="121">
        <f>+K12+K13</f>
        <v>7841241586.343689</v>
      </c>
      <c r="L14" s="218"/>
      <c r="M14" s="219"/>
      <c r="N14" s="121">
        <f>+N12+N13</f>
        <v>7934305372.1400003</v>
      </c>
      <c r="O14" s="218"/>
      <c r="P14" s="219"/>
      <c r="Q14" s="121">
        <f>+Q12+Q13</f>
        <v>7977131184.2584772</v>
      </c>
      <c r="R14" s="218"/>
      <c r="S14" s="219"/>
      <c r="T14" s="121">
        <f>+T12+T13</f>
        <v>7996073370.6344757</v>
      </c>
      <c r="U14" s="218"/>
      <c r="V14" s="219"/>
      <c r="W14" s="121">
        <f>+W12+W13</f>
        <v>7997698639.1281281</v>
      </c>
      <c r="X14" s="218"/>
      <c r="Y14" s="219"/>
      <c r="Z14" s="121">
        <f>+Z12+Z13</f>
        <v>8534690322.3694601</v>
      </c>
      <c r="AA14" s="218"/>
      <c r="AB14" s="219"/>
      <c r="AC14" s="121">
        <f>+AC12+AC13</f>
        <v>8551985362.1040707</v>
      </c>
      <c r="AD14" s="218"/>
      <c r="AE14" s="219"/>
      <c r="AF14" s="121">
        <f>+AF12+AF13</f>
        <v>8798233784.9920826</v>
      </c>
    </row>
    <row r="15" spans="2:32">
      <c r="C15" s="54">
        <v>6</v>
      </c>
      <c r="D15" s="75" t="s">
        <v>47</v>
      </c>
      <c r="E15" s="75" t="s">
        <v>48</v>
      </c>
      <c r="F15" s="76" t="s">
        <v>43</v>
      </c>
      <c r="G15" s="54">
        <v>1</v>
      </c>
      <c r="H15" s="77">
        <v>9</v>
      </c>
      <c r="I15" s="222">
        <v>6000000</v>
      </c>
      <c r="J15" s="223"/>
      <c r="K15" s="74">
        <f>+I15*H15</f>
        <v>54000000</v>
      </c>
      <c r="L15" s="224">
        <v>6000000</v>
      </c>
      <c r="M15" s="225"/>
      <c r="N15" s="74">
        <f>L15*H15</f>
        <v>54000000</v>
      </c>
      <c r="O15" s="224">
        <v>6000000</v>
      </c>
      <c r="P15" s="225"/>
      <c r="Q15" s="74">
        <f>O15*H15</f>
        <v>54000000</v>
      </c>
      <c r="R15" s="224">
        <v>6000000</v>
      </c>
      <c r="S15" s="225"/>
      <c r="T15" s="74">
        <f>R15*H15</f>
        <v>54000000</v>
      </c>
      <c r="U15" s="224">
        <v>6000000</v>
      </c>
      <c r="V15" s="225"/>
      <c r="W15" s="74">
        <f>U15*H15</f>
        <v>54000000</v>
      </c>
      <c r="X15" s="224">
        <v>6000000</v>
      </c>
      <c r="Y15" s="225"/>
      <c r="Z15" s="74">
        <f>X15*H15</f>
        <v>54000000</v>
      </c>
      <c r="AA15" s="224">
        <v>6000000</v>
      </c>
      <c r="AB15" s="225"/>
      <c r="AC15" s="74">
        <f>AA15*H15</f>
        <v>54000000</v>
      </c>
      <c r="AD15" s="224">
        <v>6000000</v>
      </c>
      <c r="AE15" s="225"/>
      <c r="AF15" s="74">
        <f>AD15*H15</f>
        <v>54000000</v>
      </c>
    </row>
    <row r="16" spans="2:32">
      <c r="C16" s="226" t="s">
        <v>49</v>
      </c>
      <c r="D16" s="227"/>
      <c r="E16" s="227"/>
      <c r="F16" s="227"/>
      <c r="G16" s="227"/>
      <c r="H16" s="227"/>
      <c r="I16" s="227"/>
      <c r="J16" s="228"/>
      <c r="K16" s="78">
        <f>+K15*0.19</f>
        <v>10260000</v>
      </c>
      <c r="L16" s="79"/>
      <c r="M16" s="79"/>
      <c r="N16" s="78">
        <f>+N15*0.19</f>
        <v>10260000</v>
      </c>
      <c r="O16" s="79"/>
      <c r="P16" s="79"/>
      <c r="Q16" s="78">
        <f>+Q15*0.19</f>
        <v>10260000</v>
      </c>
      <c r="R16" s="79"/>
      <c r="S16" s="79"/>
      <c r="T16" s="78">
        <f>+T15*0.19</f>
        <v>10260000</v>
      </c>
      <c r="U16" s="79"/>
      <c r="V16" s="79"/>
      <c r="W16" s="78">
        <f>+W15*0.19</f>
        <v>10260000</v>
      </c>
      <c r="X16" s="79"/>
      <c r="Y16" s="79"/>
      <c r="Z16" s="78">
        <f>+Z15*0.19</f>
        <v>10260000</v>
      </c>
      <c r="AA16" s="79"/>
      <c r="AB16" s="79"/>
      <c r="AC16" s="78">
        <f>+AC15*0.19</f>
        <v>10260000</v>
      </c>
      <c r="AD16" s="79"/>
      <c r="AE16" s="79"/>
      <c r="AF16" s="78">
        <f>+AF15*0.19</f>
        <v>10260000</v>
      </c>
    </row>
    <row r="17" spans="3:32">
      <c r="C17" s="229" t="s">
        <v>50</v>
      </c>
      <c r="D17" s="229"/>
      <c r="E17" s="229"/>
      <c r="F17" s="229"/>
      <c r="G17" s="229"/>
      <c r="H17" s="229"/>
      <c r="I17" s="229"/>
      <c r="J17" s="229"/>
      <c r="K17" s="80">
        <f>+K15+K16</f>
        <v>64260000</v>
      </c>
      <c r="L17" s="79"/>
      <c r="M17" s="79"/>
      <c r="N17" s="80">
        <f>+N15+N16</f>
        <v>64260000</v>
      </c>
      <c r="O17" s="79"/>
      <c r="P17" s="79"/>
      <c r="Q17" s="80">
        <f>+Q15+Q16</f>
        <v>64260000</v>
      </c>
      <c r="R17" s="79"/>
      <c r="S17" s="79"/>
      <c r="T17" s="80">
        <f>+T15+T16</f>
        <v>64260000</v>
      </c>
      <c r="U17" s="79"/>
      <c r="V17" s="79"/>
      <c r="W17" s="80">
        <f>+W15+W16</f>
        <v>64260000</v>
      </c>
      <c r="X17" s="79"/>
      <c r="Y17" s="79"/>
      <c r="Z17" s="80">
        <f>+Z15+Z16</f>
        <v>64260000</v>
      </c>
      <c r="AA17" s="79"/>
      <c r="AB17" s="79"/>
      <c r="AC17" s="80">
        <f>+AC15+AC16</f>
        <v>64260000</v>
      </c>
      <c r="AD17" s="79"/>
      <c r="AE17" s="79"/>
      <c r="AF17" s="80">
        <f>+AF15+AF16</f>
        <v>64260000</v>
      </c>
    </row>
    <row r="18" spans="3:32">
      <c r="C18" s="230" t="s">
        <v>51</v>
      </c>
      <c r="D18" s="231"/>
      <c r="E18" s="231"/>
      <c r="F18" s="231"/>
      <c r="G18" s="231"/>
      <c r="H18" s="231"/>
      <c r="I18" s="231"/>
      <c r="J18" s="232"/>
      <c r="K18" s="81">
        <f>+K14+K17</f>
        <v>7905501586.343689</v>
      </c>
      <c r="N18" s="81">
        <f>+N14+N17</f>
        <v>7998565372.1400003</v>
      </c>
      <c r="Q18" s="81">
        <f>+Q14+Q17</f>
        <v>8041391184.2584772</v>
      </c>
      <c r="T18" s="81">
        <f>+T14+T17</f>
        <v>8060333370.6344757</v>
      </c>
      <c r="W18" s="81">
        <f>+W14+W17</f>
        <v>8061958639.1281281</v>
      </c>
      <c r="Z18" s="81">
        <f>+Z14+Z17</f>
        <v>8598950322.3694611</v>
      </c>
      <c r="AC18" s="81">
        <f>+AC14+AC17</f>
        <v>8616245362.1040707</v>
      </c>
      <c r="AF18" s="81">
        <f>+AF14+AF17</f>
        <v>8862493784.9920826</v>
      </c>
    </row>
    <row r="20" spans="3:32" ht="104.55" customHeight="1">
      <c r="C20" s="82" t="s">
        <v>8</v>
      </c>
      <c r="D20" s="82" t="s">
        <v>104</v>
      </c>
      <c r="E20" s="82" t="s">
        <v>60</v>
      </c>
      <c r="F20" s="82" t="s">
        <v>61</v>
      </c>
      <c r="G20" s="82" t="s">
        <v>62</v>
      </c>
      <c r="H20" s="82" t="s">
        <v>63</v>
      </c>
      <c r="I20" s="82" t="s">
        <v>64</v>
      </c>
      <c r="J20" s="82" t="s">
        <v>65</v>
      </c>
      <c r="K20" s="82" t="s">
        <v>66</v>
      </c>
      <c r="L20" s="82" t="s">
        <v>47</v>
      </c>
    </row>
    <row r="21" spans="3:32">
      <c r="C21" s="1" t="str">
        <f>I2</f>
        <v>COINSA</v>
      </c>
      <c r="D21" s="1" t="s">
        <v>105</v>
      </c>
      <c r="E21" s="83">
        <f>I5</f>
        <v>175844798.11295536</v>
      </c>
      <c r="F21" s="83">
        <f>I6</f>
        <v>267476494.79467681</v>
      </c>
      <c r="G21" s="84">
        <f>I7</f>
        <v>129166017.93462135</v>
      </c>
      <c r="H21" s="84">
        <f>I8</f>
        <v>62145375.307799943</v>
      </c>
      <c r="I21" s="85">
        <f>I9</f>
        <v>38608369.304898478</v>
      </c>
      <c r="J21" s="112">
        <f>I10</f>
        <v>43496525.611894608</v>
      </c>
      <c r="K21" s="112">
        <f>I11</f>
        <v>138640414.38467282</v>
      </c>
      <c r="L21" s="112">
        <f>I15</f>
        <v>6000000</v>
      </c>
    </row>
    <row r="22" spans="3:32">
      <c r="C22" s="1" t="str">
        <f>L2</f>
        <v>TSG</v>
      </c>
      <c r="D22" s="1" t="s">
        <v>106</v>
      </c>
      <c r="E22" s="83">
        <f>L5</f>
        <v>177931812</v>
      </c>
      <c r="F22" s="83">
        <f>L6</f>
        <v>270651040</v>
      </c>
      <c r="G22" s="84">
        <f>L7</f>
        <v>130699025</v>
      </c>
      <c r="H22" s="84">
        <f>L8</f>
        <v>62882948</v>
      </c>
      <c r="I22" s="84">
        <f>L9</f>
        <v>39066593</v>
      </c>
      <c r="J22" s="112">
        <f>L10</f>
        <v>44012764</v>
      </c>
      <c r="K22" s="112">
        <f>L11</f>
        <v>140285868</v>
      </c>
      <c r="L22" s="112">
        <f>L15</f>
        <v>6000000</v>
      </c>
    </row>
    <row r="23" spans="3:32">
      <c r="C23" s="1" t="str">
        <f>O2</f>
        <v>DATASEC</v>
      </c>
      <c r="D23" s="1" t="s">
        <v>107</v>
      </c>
      <c r="E23" s="83">
        <f>O5</f>
        <v>178892208.22624573</v>
      </c>
      <c r="F23" s="83">
        <f>O6</f>
        <v>272111892.50932038</v>
      </c>
      <c r="G23" s="84">
        <f>O7</f>
        <v>131404479.5415127</v>
      </c>
      <c r="H23" s="84">
        <f>O8</f>
        <v>63222361.645977341</v>
      </c>
      <c r="I23" s="84">
        <f>O9</f>
        <v>39277456.683882646</v>
      </c>
      <c r="J23" s="112">
        <f>O10</f>
        <v>44250325.289025433</v>
      </c>
      <c r="K23" s="112">
        <f>O11</f>
        <v>141043068.34680611</v>
      </c>
      <c r="L23" s="112">
        <f>O15</f>
        <v>6000000</v>
      </c>
    </row>
    <row r="24" spans="3:32">
      <c r="C24" s="1" t="str">
        <f>R2</f>
        <v>GROW DATA</v>
      </c>
      <c r="D24" s="1" t="s">
        <v>108</v>
      </c>
      <c r="E24" s="83">
        <f>R5</f>
        <v>179316998.72688618</v>
      </c>
      <c r="F24" s="83">
        <f>R6</f>
        <v>272758038.85742223</v>
      </c>
      <c r="G24" s="84">
        <f>R7</f>
        <v>131716507.52307937</v>
      </c>
      <c r="H24" s="84">
        <f>R8</f>
        <v>63372487.014329337</v>
      </c>
      <c r="I24" s="84">
        <f>R9</f>
        <v>39370723.409438014</v>
      </c>
      <c r="J24" s="112">
        <f>R10</f>
        <v>44355400.395534575</v>
      </c>
      <c r="K24" s="112">
        <f>R11</f>
        <v>141377983.74758831</v>
      </c>
      <c r="L24" s="112">
        <f>R15</f>
        <v>6000000</v>
      </c>
    </row>
    <row r="25" spans="3:32">
      <c r="C25" s="1" t="str">
        <f>U2</f>
        <v>EYC</v>
      </c>
      <c r="D25" s="1" t="s">
        <v>109</v>
      </c>
      <c r="E25" s="83">
        <f>U5</f>
        <v>179353446.40000001</v>
      </c>
      <c r="F25" s="83">
        <f>U6</f>
        <v>272813479.19999999</v>
      </c>
      <c r="G25" s="84">
        <f>U7</f>
        <v>131743280</v>
      </c>
      <c r="H25" s="84">
        <f>U8</f>
        <v>63385368</v>
      </c>
      <c r="I25" s="84">
        <f>U9</f>
        <v>39378725.836800002</v>
      </c>
      <c r="J25" s="112">
        <f>U10</f>
        <v>44364416</v>
      </c>
      <c r="K25" s="112">
        <f>U11</f>
        <v>141406720</v>
      </c>
      <c r="L25" s="112">
        <f>U15</f>
        <v>6000000</v>
      </c>
    </row>
    <row r="26" spans="3:32">
      <c r="C26" s="1" t="str">
        <f>X2</f>
        <v>HEIMCORE</v>
      </c>
      <c r="D26" s="1" t="s">
        <v>110</v>
      </c>
      <c r="E26" s="83">
        <f>X5</f>
        <v>191395824.26683715</v>
      </c>
      <c r="F26" s="83">
        <f>X6</f>
        <v>291131069.79910052</v>
      </c>
      <c r="G26" s="84">
        <f>X7</f>
        <v>140588955.34675783</v>
      </c>
      <c r="H26" s="84">
        <f>X8</f>
        <v>67641269.227468848</v>
      </c>
      <c r="I26" s="84">
        <f>X9</f>
        <v>42022742.475229807</v>
      </c>
      <c r="J26" s="112">
        <f>X10</f>
        <v>47343188.206707686</v>
      </c>
      <c r="K26" s="112">
        <f>X11</f>
        <v>150901230.36113483</v>
      </c>
      <c r="L26" s="112">
        <f>X15</f>
        <v>6000000</v>
      </c>
    </row>
    <row r="27" spans="3:32">
      <c r="C27" s="1" t="str">
        <f>AA2</f>
        <v>WEXLER</v>
      </c>
      <c r="D27" s="1" t="s">
        <v>111</v>
      </c>
      <c r="E27" s="83">
        <f>AA5</f>
        <v>191783676.46307409</v>
      </c>
      <c r="F27" s="83">
        <f>AA6</f>
        <v>291721029.50823694</v>
      </c>
      <c r="G27" s="84">
        <f>AA7</f>
        <v>140873850.46036214</v>
      </c>
      <c r="H27" s="84">
        <f>AA8</f>
        <v>67778340.215964139</v>
      </c>
      <c r="I27" s="84">
        <f>AA9</f>
        <v>42107899.050736874</v>
      </c>
      <c r="J27" s="112">
        <f>AA10</f>
        <v>47439126.347433418</v>
      </c>
      <c r="K27" s="112">
        <f>AA11</f>
        <v>151207022.68358812</v>
      </c>
      <c r="L27" s="112">
        <f>AA15</f>
        <v>6000000</v>
      </c>
    </row>
    <row r="28" spans="3:32">
      <c r="C28" s="1" t="str">
        <f>AD2</f>
        <v>OPEN GROUP</v>
      </c>
      <c r="D28" s="1" t="s">
        <v>112</v>
      </c>
      <c r="E28" s="83">
        <f>AD5</f>
        <v>197305952.97140029</v>
      </c>
      <c r="F28" s="83">
        <f>AD6</f>
        <v>300120932.03356081</v>
      </c>
      <c r="G28" s="84">
        <f>AA7</f>
        <v>140873850.46036214</v>
      </c>
      <c r="H28" s="84">
        <f>AD8</f>
        <v>69729970.00454016</v>
      </c>
      <c r="I28" s="84">
        <f>AD9</f>
        <v>43320366.48295667</v>
      </c>
      <c r="J28" s="112">
        <f>AD10</f>
        <v>48805102.732052311</v>
      </c>
      <c r="K28" s="112">
        <f>AD11</f>
        <v>155560922.89375693</v>
      </c>
      <c r="L28" s="112">
        <f>AD15</f>
        <v>6000000</v>
      </c>
    </row>
    <row r="29" spans="3:32">
      <c r="E29" s="86"/>
      <c r="F29" s="86"/>
      <c r="G29" s="86"/>
      <c r="H29" s="86"/>
      <c r="I29" s="86"/>
      <c r="J29" s="86"/>
      <c r="K29" s="86"/>
      <c r="L29" s="86"/>
    </row>
    <row r="30" spans="3:32">
      <c r="D30" s="1" t="s">
        <v>9</v>
      </c>
      <c r="E30" s="87">
        <f>ROUND(AVERAGE(E21:E28),0)</f>
        <v>183978090</v>
      </c>
      <c r="F30" s="88">
        <f>ROUND(AVERAGE(F21:F28),0)</f>
        <v>279847997</v>
      </c>
      <c r="G30" s="87">
        <f>ROUND(AVERAGE(G21:G28),0)</f>
        <v>134633246</v>
      </c>
      <c r="H30" s="87">
        <f>ROUND(AVERAGE(H21:H28),0)</f>
        <v>65019765</v>
      </c>
      <c r="I30" s="87">
        <f>ROUND(AVERAGE(I21:I28),0)</f>
        <v>40394110</v>
      </c>
      <c r="J30" s="87">
        <f>ROUND(AVERAGE(J21:J28),2)</f>
        <v>45508356.07</v>
      </c>
      <c r="K30" s="87">
        <f>ROUND(AVERAGE(K21:K28),2)</f>
        <v>145052903.80000001</v>
      </c>
      <c r="L30" s="87">
        <f>ROUND(AVERAGE(L21:L28),2)</f>
        <v>6000000</v>
      </c>
    </row>
    <row r="31" spans="3:32">
      <c r="D31" s="1" t="s">
        <v>58</v>
      </c>
      <c r="E31" s="87">
        <f>E30*$H$5</f>
        <v>1655802810</v>
      </c>
      <c r="F31" s="87">
        <f>F30*$H$5</f>
        <v>2518631973</v>
      </c>
      <c r="G31" s="87">
        <f t="shared" ref="G31:I31" si="17">G30*$H$5</f>
        <v>1211699214</v>
      </c>
      <c r="H31" s="87">
        <f t="shared" si="17"/>
        <v>585177885</v>
      </c>
      <c r="I31" s="87">
        <f t="shared" si="17"/>
        <v>363546990</v>
      </c>
      <c r="J31" s="87">
        <f>J30*$H$5</f>
        <v>409575204.63</v>
      </c>
      <c r="K31" s="87">
        <f>K30</f>
        <v>145052903.80000001</v>
      </c>
      <c r="L31" s="87">
        <f>L30*$H$5</f>
        <v>54000000</v>
      </c>
    </row>
    <row r="32" spans="3:32">
      <c r="D32" s="1" t="s">
        <v>10</v>
      </c>
      <c r="E32" s="89">
        <f>SUM(E31:L31)</f>
        <v>6943486980.4300003</v>
      </c>
      <c r="F32" s="90"/>
      <c r="G32" s="91"/>
      <c r="H32" s="91"/>
      <c r="I32" s="91"/>
      <c r="J32" s="91"/>
      <c r="K32" s="86"/>
    </row>
    <row r="33" spans="3:11">
      <c r="D33" s="1" t="s">
        <v>11</v>
      </c>
      <c r="E33" s="89">
        <f>ROUND(E32*0.19,0)</f>
        <v>1319262526</v>
      </c>
      <c r="F33" s="90"/>
      <c r="G33" s="92"/>
      <c r="H33" s="90"/>
      <c r="I33" s="90"/>
      <c r="J33" s="90"/>
      <c r="K33" s="86"/>
    </row>
    <row r="34" spans="3:11">
      <c r="D34" s="93" t="s">
        <v>12</v>
      </c>
      <c r="E34" s="94">
        <f>E33+E32</f>
        <v>8262749506.4300003</v>
      </c>
      <c r="F34" s="86"/>
      <c r="G34" s="92"/>
      <c r="H34" s="90"/>
      <c r="I34" s="90"/>
      <c r="J34" s="90"/>
      <c r="K34" s="86"/>
    </row>
    <row r="35" spans="3:11">
      <c r="E35" s="95"/>
    </row>
    <row r="36" spans="3:11" ht="48.45" customHeight="1">
      <c r="C36" s="82" t="s">
        <v>8</v>
      </c>
      <c r="D36" s="82" t="s">
        <v>104</v>
      </c>
      <c r="E36" s="82" t="s">
        <v>54</v>
      </c>
      <c r="F36" s="82" t="s">
        <v>55</v>
      </c>
      <c r="G36" s="82" t="s">
        <v>13</v>
      </c>
    </row>
    <row r="37" spans="3:11">
      <c r="C37" s="1" t="str">
        <f>I2</f>
        <v>COINSA</v>
      </c>
      <c r="D37" s="1" t="s">
        <v>105</v>
      </c>
      <c r="E37" s="96">
        <f>K14</f>
        <v>7841241586.343689</v>
      </c>
      <c r="F37" s="97">
        <f>K17</f>
        <v>64260000</v>
      </c>
      <c r="G37" s="96">
        <f>E37+F37</f>
        <v>7905501586.343689</v>
      </c>
      <c r="H37" s="98"/>
    </row>
    <row r="38" spans="3:11">
      <c r="C38" s="1" t="str">
        <f>L2</f>
        <v>TSG</v>
      </c>
      <c r="D38" s="1" t="s">
        <v>106</v>
      </c>
      <c r="E38" s="96">
        <f>N14</f>
        <v>7934305372.1400003</v>
      </c>
      <c r="F38" s="97">
        <f>N17</f>
        <v>64260000</v>
      </c>
      <c r="G38" s="96">
        <f t="shared" ref="G38:G40" si="18">E38+F38</f>
        <v>7998565372.1400003</v>
      </c>
      <c r="H38" s="99"/>
    </row>
    <row r="39" spans="3:11">
      <c r="C39" s="1" t="str">
        <f>O2</f>
        <v>DATASEC</v>
      </c>
      <c r="D39" s="1" t="s">
        <v>107</v>
      </c>
      <c r="E39" s="96">
        <f>Q14</f>
        <v>7977131184.2584772</v>
      </c>
      <c r="F39" s="97">
        <f>N17</f>
        <v>64260000</v>
      </c>
      <c r="G39" s="96">
        <f t="shared" si="18"/>
        <v>8041391184.2584772</v>
      </c>
      <c r="H39" s="99"/>
    </row>
    <row r="40" spans="3:11">
      <c r="C40" s="1" t="str">
        <f>R2</f>
        <v>GROW DATA</v>
      </c>
      <c r="D40" s="1" t="s">
        <v>108</v>
      </c>
      <c r="E40" s="96">
        <f>T14</f>
        <v>7996073370.6344757</v>
      </c>
      <c r="F40" s="97">
        <f>Q17</f>
        <v>64260000</v>
      </c>
      <c r="G40" s="96">
        <f t="shared" si="18"/>
        <v>8060333370.6344757</v>
      </c>
      <c r="H40" s="99"/>
    </row>
    <row r="41" spans="3:11">
      <c r="C41" s="1" t="str">
        <f>U2</f>
        <v>EYC</v>
      </c>
      <c r="D41" s="1" t="s">
        <v>109</v>
      </c>
      <c r="E41" s="100">
        <f>W14</f>
        <v>7997698639.1281281</v>
      </c>
      <c r="F41" s="97">
        <f>T17</f>
        <v>64260000</v>
      </c>
      <c r="G41" s="96">
        <f>E41+F41</f>
        <v>8061958639.1281281</v>
      </c>
      <c r="H41" s="99"/>
    </row>
    <row r="42" spans="3:11">
      <c r="C42" s="1" t="str">
        <f>X2</f>
        <v>HEIMCORE</v>
      </c>
      <c r="D42" s="1" t="s">
        <v>110</v>
      </c>
      <c r="E42" s="96">
        <f>Z14</f>
        <v>8534690322.3694601</v>
      </c>
      <c r="F42" s="97">
        <f>W17</f>
        <v>64260000</v>
      </c>
      <c r="G42" s="96">
        <f t="shared" ref="G42:G43" si="19">E42+F42</f>
        <v>8598950322.3694611</v>
      </c>
      <c r="H42" s="99"/>
    </row>
    <row r="43" spans="3:11">
      <c r="C43" s="1" t="str">
        <f>AA2</f>
        <v>WEXLER</v>
      </c>
      <c r="D43" s="1" t="s">
        <v>111</v>
      </c>
      <c r="E43" s="96">
        <f>AC14</f>
        <v>8551985362.1040707</v>
      </c>
      <c r="F43" s="97">
        <f>Z17</f>
        <v>64260000</v>
      </c>
      <c r="G43" s="96">
        <f t="shared" si="19"/>
        <v>8616245362.1040707</v>
      </c>
      <c r="H43" s="99"/>
    </row>
    <row r="44" spans="3:11">
      <c r="C44" s="1" t="str">
        <f>AD2</f>
        <v>OPEN GROUP</v>
      </c>
      <c r="D44" s="1" t="s">
        <v>112</v>
      </c>
      <c r="E44" s="100">
        <f>AF14</f>
        <v>8798233784.9920826</v>
      </c>
      <c r="F44" s="97">
        <f>AF17</f>
        <v>64260000</v>
      </c>
      <c r="G44" s="96">
        <f>E44+F44</f>
        <v>8862493784.9920826</v>
      </c>
      <c r="H44" s="99"/>
    </row>
    <row r="45" spans="3:11">
      <c r="D45" s="101"/>
      <c r="E45" s="102"/>
      <c r="F45" s="103"/>
      <c r="G45" s="104"/>
      <c r="H45" s="105"/>
    </row>
    <row r="46" spans="3:11">
      <c r="D46" s="106" t="s">
        <v>14</v>
      </c>
      <c r="E46" s="107">
        <f>AVERAGE(G37:G44)</f>
        <v>8268179952.7462978</v>
      </c>
    </row>
    <row r="47" spans="3:11">
      <c r="D47" s="1" t="s">
        <v>15</v>
      </c>
      <c r="E47" s="108">
        <f>MEDIAN(G37:G44)</f>
        <v>8061146004.8813019</v>
      </c>
    </row>
    <row r="48" spans="3:11">
      <c r="D48" s="1" t="s">
        <v>16</v>
      </c>
      <c r="E48" s="109">
        <f>STDEVA(G37:G44)</f>
        <v>363545181.85322791</v>
      </c>
    </row>
    <row r="49" spans="3:16">
      <c r="D49" s="1" t="s">
        <v>17</v>
      </c>
      <c r="E49" s="110">
        <f>E48/E46</f>
        <v>4.3969190793008248E-2</v>
      </c>
    </row>
    <row r="51" spans="3:16" ht="23.25" customHeight="1">
      <c r="D51" s="221" t="s">
        <v>18</v>
      </c>
      <c r="E51" s="221"/>
      <c r="F51" s="221"/>
    </row>
    <row r="52" spans="3:16" ht="19.5" customHeight="1">
      <c r="D52" s="221"/>
      <c r="E52" s="221"/>
      <c r="F52" s="221"/>
    </row>
    <row r="53" spans="3:16">
      <c r="D53" s="221"/>
      <c r="E53" s="221"/>
      <c r="F53" s="221"/>
    </row>
    <row r="54" spans="3:16" ht="23.25" customHeight="1">
      <c r="D54" s="221"/>
      <c r="E54" s="221"/>
      <c r="F54" s="221"/>
    </row>
    <row r="55" spans="3:16">
      <c r="O55" s="69"/>
      <c r="P55" s="69"/>
    </row>
    <row r="56" spans="3:16">
      <c r="O56" s="69"/>
      <c r="P56" s="69"/>
    </row>
    <row r="57" spans="3:16">
      <c r="C57" s="56" t="s">
        <v>113</v>
      </c>
      <c r="D57" s="54" t="s">
        <v>122</v>
      </c>
      <c r="E57" s="57" t="s">
        <v>114</v>
      </c>
      <c r="F57" s="57" t="s">
        <v>115</v>
      </c>
      <c r="O57" s="69"/>
      <c r="P57" s="69"/>
    </row>
    <row r="58" spans="3:16" ht="193.2">
      <c r="C58" s="58" t="s">
        <v>116</v>
      </c>
      <c r="D58" s="55"/>
      <c r="E58" s="59">
        <f>ROUND(E19*G58,0)</f>
        <v>0</v>
      </c>
      <c r="F58" s="70" t="s">
        <v>117</v>
      </c>
      <c r="O58" s="69"/>
      <c r="P58" s="69"/>
    </row>
    <row r="59" spans="3:16" ht="69">
      <c r="C59" s="58" t="s">
        <v>124</v>
      </c>
      <c r="D59" s="55"/>
      <c r="E59" s="59"/>
      <c r="F59" s="235" t="s">
        <v>117</v>
      </c>
      <c r="O59" s="69"/>
      <c r="P59" s="69"/>
    </row>
    <row r="60" spans="3:16" ht="110.4">
      <c r="C60" s="58" t="s">
        <v>123</v>
      </c>
      <c r="D60" s="55"/>
      <c r="E60" s="60">
        <f>ROUND(E19*G60,0)</f>
        <v>0</v>
      </c>
      <c r="F60" s="236"/>
      <c r="G60" s="71"/>
      <c r="H60" s="71"/>
      <c r="I60" s="71"/>
      <c r="J60" s="71"/>
      <c r="O60" s="69"/>
      <c r="P60" s="69"/>
    </row>
    <row r="61" spans="3:16" ht="23.55" customHeight="1">
      <c r="C61" s="61" t="s">
        <v>59</v>
      </c>
      <c r="D61" s="62">
        <f>D60+D58</f>
        <v>0</v>
      </c>
      <c r="E61" s="63">
        <f>E58+E59+E60</f>
        <v>0</v>
      </c>
      <c r="O61" s="69"/>
      <c r="P61" s="69"/>
    </row>
    <row r="62" spans="3:16">
      <c r="O62" s="69"/>
      <c r="P62" s="69"/>
    </row>
    <row r="63" spans="3:16">
      <c r="C63" s="237" t="s">
        <v>36</v>
      </c>
      <c r="D63" s="237" t="s">
        <v>37</v>
      </c>
      <c r="E63" s="237" t="s">
        <v>38</v>
      </c>
      <c r="F63" s="237" t="s">
        <v>39</v>
      </c>
      <c r="G63" s="237" t="s">
        <v>40</v>
      </c>
      <c r="H63" s="237" t="s">
        <v>41</v>
      </c>
      <c r="I63" s="237" t="s">
        <v>118</v>
      </c>
      <c r="J63" s="233" t="s">
        <v>119</v>
      </c>
      <c r="K63" s="234"/>
      <c r="O63" s="69"/>
      <c r="P63" s="69"/>
    </row>
    <row r="64" spans="3:16">
      <c r="C64" s="238"/>
      <c r="D64" s="238"/>
      <c r="E64" s="238"/>
      <c r="F64" s="238"/>
      <c r="G64" s="238"/>
      <c r="H64" s="238"/>
      <c r="I64" s="238"/>
      <c r="J64" s="233"/>
      <c r="K64" s="234"/>
      <c r="O64" s="69"/>
      <c r="P64" s="69"/>
    </row>
    <row r="65" spans="3:16" ht="69">
      <c r="C65" s="47">
        <v>1</v>
      </c>
      <c r="D65" s="48" t="s">
        <v>60</v>
      </c>
      <c r="E65" s="49" t="s">
        <v>67</v>
      </c>
      <c r="F65" s="172" t="s">
        <v>43</v>
      </c>
      <c r="G65" s="20">
        <v>1</v>
      </c>
      <c r="H65" s="242">
        <v>9</v>
      </c>
      <c r="I65" s="1"/>
      <c r="J65" s="113"/>
      <c r="K65" s="114"/>
      <c r="O65" s="69"/>
      <c r="P65" s="69"/>
    </row>
    <row r="66" spans="3:16" ht="69">
      <c r="C66" s="47">
        <v>2</v>
      </c>
      <c r="D66" s="50" t="s">
        <v>61</v>
      </c>
      <c r="E66" s="49" t="s">
        <v>68</v>
      </c>
      <c r="F66" s="173"/>
      <c r="G66" s="20">
        <v>1</v>
      </c>
      <c r="H66" s="243"/>
      <c r="I66" s="1"/>
      <c r="J66" s="113"/>
      <c r="K66" s="114"/>
      <c r="O66" s="69"/>
      <c r="P66" s="69"/>
    </row>
    <row r="67" spans="3:16" ht="69">
      <c r="C67" s="47">
        <v>3</v>
      </c>
      <c r="D67" s="51" t="s">
        <v>62</v>
      </c>
      <c r="E67" s="49" t="s">
        <v>121</v>
      </c>
      <c r="F67" s="173"/>
      <c r="G67" s="20">
        <v>1</v>
      </c>
      <c r="H67" s="243"/>
      <c r="I67" s="1"/>
      <c r="J67" s="113"/>
      <c r="K67" s="114"/>
      <c r="O67" s="69"/>
      <c r="P67" s="69"/>
    </row>
    <row r="68" spans="3:16" ht="69">
      <c r="C68" s="47">
        <v>4</v>
      </c>
      <c r="D68" s="51" t="s">
        <v>63</v>
      </c>
      <c r="E68" s="49" t="s">
        <v>70</v>
      </c>
      <c r="F68" s="173"/>
      <c r="G68" s="20">
        <v>1</v>
      </c>
      <c r="H68" s="243"/>
      <c r="I68" s="1"/>
      <c r="J68" s="113"/>
      <c r="K68" s="114"/>
      <c r="O68" s="69"/>
      <c r="P68" s="69"/>
    </row>
    <row r="69" spans="3:16" ht="96.6">
      <c r="C69" s="47">
        <v>5</v>
      </c>
      <c r="D69" s="51" t="s">
        <v>64</v>
      </c>
      <c r="E69" s="49" t="s">
        <v>71</v>
      </c>
      <c r="F69" s="173"/>
      <c r="G69" s="52">
        <v>1</v>
      </c>
      <c r="H69" s="243"/>
      <c r="I69" s="1"/>
      <c r="J69" s="113"/>
      <c r="K69" s="114"/>
      <c r="O69" s="69"/>
      <c r="P69" s="69"/>
    </row>
    <row r="70" spans="3:16" ht="138">
      <c r="C70" s="47">
        <v>6</v>
      </c>
      <c r="D70" s="51" t="s">
        <v>65</v>
      </c>
      <c r="E70" s="49" t="s">
        <v>72</v>
      </c>
      <c r="F70" s="173"/>
      <c r="G70" s="52">
        <v>1</v>
      </c>
      <c r="H70" s="243"/>
      <c r="I70" s="1"/>
      <c r="J70" s="113"/>
      <c r="K70" s="114"/>
      <c r="O70" s="69"/>
      <c r="P70" s="69"/>
    </row>
    <row r="71" spans="3:16" ht="362.55" customHeight="1">
      <c r="C71" s="47">
        <v>7</v>
      </c>
      <c r="D71" s="53" t="s">
        <v>66</v>
      </c>
      <c r="E71" s="53" t="s">
        <v>73</v>
      </c>
      <c r="F71" s="173"/>
      <c r="G71" s="47">
        <v>1</v>
      </c>
      <c r="H71" s="244"/>
      <c r="I71" s="46"/>
      <c r="J71" s="113"/>
      <c r="K71" s="114"/>
      <c r="O71" s="69"/>
      <c r="P71" s="69"/>
    </row>
    <row r="72" spans="3:16">
      <c r="C72" s="229" t="s">
        <v>120</v>
      </c>
      <c r="D72" s="229"/>
      <c r="E72" s="229"/>
      <c r="F72" s="229"/>
      <c r="G72" s="229"/>
      <c r="H72" s="229"/>
      <c r="I72" s="229"/>
      <c r="J72" s="113">
        <f>SUM(J65:J71)</f>
        <v>0</v>
      </c>
      <c r="K72" s="114"/>
      <c r="O72" s="69"/>
      <c r="P72" s="69"/>
    </row>
    <row r="73" spans="3:16">
      <c r="O73" s="69"/>
      <c r="P73" s="69"/>
    </row>
    <row r="74" spans="3:16">
      <c r="O74" s="69"/>
      <c r="P74" s="69"/>
    </row>
    <row r="75" spans="3:16">
      <c r="O75" s="69"/>
      <c r="P75" s="69"/>
    </row>
    <row r="76" spans="3:16">
      <c r="O76" s="69"/>
      <c r="P76" s="69"/>
    </row>
  </sheetData>
  <mergeCells count="53">
    <mergeCell ref="AD2:AF2"/>
    <mergeCell ref="R3:T3"/>
    <mergeCell ref="U3:W3"/>
    <mergeCell ref="F5:F11"/>
    <mergeCell ref="X2:Z2"/>
    <mergeCell ref="AA2:AC2"/>
    <mergeCell ref="I2:K2"/>
    <mergeCell ref="L2:N2"/>
    <mergeCell ref="O2:Q2"/>
    <mergeCell ref="R2:T2"/>
    <mergeCell ref="U2:W2"/>
    <mergeCell ref="X3:Z3"/>
    <mergeCell ref="AA3:AC3"/>
    <mergeCell ref="AD3:AF3"/>
    <mergeCell ref="H5:H11"/>
    <mergeCell ref="I3:K3"/>
    <mergeCell ref="F59:F60"/>
    <mergeCell ref="L12:M14"/>
    <mergeCell ref="I15:J15"/>
    <mergeCell ref="C63:C64"/>
    <mergeCell ref="C72:I72"/>
    <mergeCell ref="J63:J64"/>
    <mergeCell ref="L15:M15"/>
    <mergeCell ref="K63:K64"/>
    <mergeCell ref="H63:H64"/>
    <mergeCell ref="G63:G64"/>
    <mergeCell ref="F63:F64"/>
    <mergeCell ref="E63:E64"/>
    <mergeCell ref="D63:D64"/>
    <mergeCell ref="F65:F71"/>
    <mergeCell ref="I63:I64"/>
    <mergeCell ref="D51:F54"/>
    <mergeCell ref="AD12:AE14"/>
    <mergeCell ref="AD15:AE15"/>
    <mergeCell ref="C18:J18"/>
    <mergeCell ref="C16:J16"/>
    <mergeCell ref="C17:J17"/>
    <mergeCell ref="C12:J12"/>
    <mergeCell ref="C13:J13"/>
    <mergeCell ref="C14:J14"/>
    <mergeCell ref="R15:S15"/>
    <mergeCell ref="U12:V14"/>
    <mergeCell ref="U15:V15"/>
    <mergeCell ref="X12:Y14"/>
    <mergeCell ref="X15:Y15"/>
    <mergeCell ref="O12:P14"/>
    <mergeCell ref="O15:P15"/>
    <mergeCell ref="R12:S14"/>
    <mergeCell ref="AA12:AB14"/>
    <mergeCell ref="AA15:AB15"/>
    <mergeCell ref="L3:N3"/>
    <mergeCell ref="O3:Q3"/>
    <mergeCell ref="H65:H71"/>
  </mergeCells>
  <phoneticPr fontId="2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COINSA</vt:lpstr>
      <vt:lpstr>TSG</vt:lpstr>
      <vt:lpstr>DATASEC</vt:lpstr>
      <vt:lpstr>GROW DATA</vt:lpstr>
      <vt:lpstr>EYC</vt:lpstr>
      <vt:lpstr>HEIMCORE</vt:lpstr>
      <vt:lpstr>WEXLER</vt:lpstr>
      <vt:lpstr>OPEN GROUP</vt:lpstr>
      <vt:lpstr>Consolidado 2026_8,67 meses</vt:lpstr>
      <vt:lpstr>Consolidado 2026_9 meses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Paula Castro Yusunguaira</dc:creator>
  <cp:keywords/>
  <dc:description/>
  <cp:lastModifiedBy>Edgar Alberto Giraldo Sierra</cp:lastModifiedBy>
  <cp:revision/>
  <dcterms:created xsi:type="dcterms:W3CDTF">2024-09-19T14:39:00Z</dcterms:created>
  <dcterms:modified xsi:type="dcterms:W3CDTF">2026-01-22T21:28:24Z</dcterms:modified>
  <cp:category/>
  <cp:contentStatus/>
</cp:coreProperties>
</file>