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a.martinez\Documents\LINA MARTINEZ\2026\VIGILANCIA\"/>
    </mc:Choice>
  </mc:AlternateContent>
  <bookViews>
    <workbookView xWindow="0" yWindow="0" windowWidth="28800" windowHeight="12435"/>
  </bookViews>
  <sheets>
    <sheet name="NUEVAS TARIFAS 202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1" l="1"/>
  <c r="F149" i="1"/>
  <c r="F145" i="1"/>
  <c r="F144" i="1"/>
  <c r="F142" i="1"/>
  <c r="F141" i="1"/>
  <c r="F140" i="1"/>
  <c r="F139" i="1"/>
  <c r="F129" i="1"/>
  <c r="F127" i="1"/>
  <c r="F125" i="1"/>
  <c r="F124" i="1"/>
  <c r="F122" i="1"/>
  <c r="F121" i="1"/>
  <c r="F120" i="1"/>
  <c r="F119" i="1"/>
  <c r="W115" i="1" l="1"/>
  <c r="W117" i="1" s="1"/>
  <c r="S111" i="1"/>
  <c r="O111" i="1"/>
  <c r="S110" i="1"/>
  <c r="F109" i="1"/>
  <c r="F107" i="1"/>
  <c r="F105" i="1"/>
  <c r="F104" i="1"/>
  <c r="F102" i="1"/>
  <c r="F101" i="1"/>
  <c r="F100" i="1"/>
  <c r="F99" i="1"/>
  <c r="F88" i="1"/>
  <c r="F86" i="1"/>
  <c r="F84" i="1"/>
  <c r="F83" i="1"/>
  <c r="F81" i="1"/>
  <c r="F80" i="1"/>
  <c r="F79" i="1"/>
  <c r="F78" i="1"/>
  <c r="Q72" i="1"/>
  <c r="P72" i="1"/>
  <c r="O70" i="1"/>
  <c r="S69" i="1"/>
  <c r="S70" i="1" s="1"/>
  <c r="F68" i="1"/>
  <c r="F66" i="1"/>
  <c r="F64" i="1"/>
  <c r="F63" i="1"/>
  <c r="F61" i="1"/>
  <c r="F60" i="1"/>
  <c r="F59" i="1"/>
  <c r="F58" i="1"/>
  <c r="P52" i="1"/>
  <c r="O50" i="1"/>
  <c r="S49" i="1"/>
  <c r="F48" i="1"/>
  <c r="F46" i="1"/>
  <c r="F44" i="1"/>
  <c r="F43" i="1"/>
  <c r="F41" i="1"/>
  <c r="F40" i="1"/>
  <c r="F39" i="1"/>
  <c r="F38" i="1"/>
  <c r="P34" i="1"/>
  <c r="O34" i="1"/>
  <c r="S33" i="1"/>
  <c r="S34" i="1" s="1"/>
  <c r="F32" i="1"/>
  <c r="H32" i="1" s="1"/>
  <c r="I32" i="1" s="1"/>
  <c r="F30" i="1"/>
  <c r="H30" i="1" s="1"/>
  <c r="F28" i="1"/>
  <c r="F27" i="1"/>
  <c r="F25" i="1"/>
  <c r="F24" i="1"/>
  <c r="F23" i="1"/>
  <c r="F22" i="1"/>
  <c r="O17" i="1"/>
  <c r="S16" i="1"/>
  <c r="F15" i="1"/>
  <c r="F13" i="1"/>
  <c r="F11" i="1"/>
  <c r="F10" i="1"/>
  <c r="F8" i="1"/>
  <c r="F7" i="1"/>
  <c r="F6" i="1"/>
  <c r="F5" i="1"/>
  <c r="G3" i="1"/>
  <c r="S50" i="1" l="1"/>
  <c r="G100" i="1"/>
  <c r="H100" i="1" s="1"/>
  <c r="G142" i="1"/>
  <c r="H142" i="1" s="1"/>
  <c r="I142" i="1" s="1"/>
  <c r="J142" i="1" s="1"/>
  <c r="K142" i="1" s="1"/>
  <c r="L142" i="1" s="1"/>
  <c r="M142" i="1" s="1"/>
  <c r="G141" i="1"/>
  <c r="H141" i="1" s="1"/>
  <c r="G125" i="1"/>
  <c r="H125" i="1" s="1"/>
  <c r="I125" i="1" s="1"/>
  <c r="J125" i="1" s="1"/>
  <c r="K125" i="1" s="1"/>
  <c r="L125" i="1" s="1"/>
  <c r="M125" i="1" s="1"/>
  <c r="G140" i="1"/>
  <c r="H140" i="1" s="1"/>
  <c r="I140" i="1" s="1"/>
  <c r="J140" i="1" s="1"/>
  <c r="K140" i="1" s="1"/>
  <c r="L140" i="1" s="1"/>
  <c r="M140" i="1" s="1"/>
  <c r="G139" i="1"/>
  <c r="H139" i="1" s="1"/>
  <c r="I139" i="1" s="1"/>
  <c r="J139" i="1" s="1"/>
  <c r="K139" i="1" s="1"/>
  <c r="L139" i="1" s="1"/>
  <c r="M139" i="1" s="1"/>
  <c r="G124" i="1"/>
  <c r="H124" i="1" s="1"/>
  <c r="I124" i="1" s="1"/>
  <c r="J124" i="1" s="1"/>
  <c r="G122" i="1"/>
  <c r="H122" i="1" s="1"/>
  <c r="I122" i="1" s="1"/>
  <c r="J122" i="1" s="1"/>
  <c r="K122" i="1" s="1"/>
  <c r="L122" i="1" s="1"/>
  <c r="M122" i="1" s="1"/>
  <c r="G145" i="1"/>
  <c r="H145" i="1" s="1"/>
  <c r="I145" i="1" s="1"/>
  <c r="J145" i="1" s="1"/>
  <c r="K145" i="1" s="1"/>
  <c r="L145" i="1" s="1"/>
  <c r="M145" i="1" s="1"/>
  <c r="G121" i="1"/>
  <c r="H121" i="1" s="1"/>
  <c r="I121" i="1" s="1"/>
  <c r="J121" i="1" s="1"/>
  <c r="K121" i="1" s="1"/>
  <c r="L121" i="1" s="1"/>
  <c r="M121" i="1" s="1"/>
  <c r="G144" i="1"/>
  <c r="H144" i="1" s="1"/>
  <c r="I144" i="1" s="1"/>
  <c r="J144" i="1" s="1"/>
  <c r="K144" i="1" s="1"/>
  <c r="L144" i="1" s="1"/>
  <c r="M144" i="1" s="1"/>
  <c r="G120" i="1"/>
  <c r="H120" i="1" s="1"/>
  <c r="I120" i="1" s="1"/>
  <c r="J120" i="1" s="1"/>
  <c r="K120" i="1" s="1"/>
  <c r="L120" i="1" s="1"/>
  <c r="M120" i="1" s="1"/>
  <c r="G119" i="1"/>
  <c r="H119" i="1" s="1"/>
  <c r="I119" i="1" s="1"/>
  <c r="J119" i="1" s="1"/>
  <c r="K119" i="1" s="1"/>
  <c r="L119" i="1" s="1"/>
  <c r="M119" i="1" s="1"/>
  <c r="I100" i="1"/>
  <c r="J100" i="1" s="1"/>
  <c r="I30" i="1"/>
  <c r="J30" i="1" s="1"/>
  <c r="G7" i="1"/>
  <c r="H7" i="1" s="1"/>
  <c r="G46" i="1"/>
  <c r="H46" i="1" s="1"/>
  <c r="G63" i="1"/>
  <c r="H63" i="1" s="1"/>
  <c r="G11" i="1"/>
  <c r="H11" i="1" s="1"/>
  <c r="G28" i="1"/>
  <c r="H28" i="1" s="1"/>
  <c r="G101" i="1"/>
  <c r="H101" i="1" s="1"/>
  <c r="G6" i="1"/>
  <c r="H6" i="1" s="1"/>
  <c r="G8" i="1"/>
  <c r="H8" i="1" s="1"/>
  <c r="G23" i="1"/>
  <c r="G25" i="1"/>
  <c r="H25" i="1" s="1"/>
  <c r="G43" i="1"/>
  <c r="H43" i="1" s="1"/>
  <c r="G99" i="1"/>
  <c r="H99" i="1" s="1"/>
  <c r="G102" i="1"/>
  <c r="H102" i="1" s="1"/>
  <c r="G44" i="1"/>
  <c r="H44" i="1" s="1"/>
  <c r="G48" i="1"/>
  <c r="H48" i="1" s="1"/>
  <c r="G64" i="1"/>
  <c r="H64" i="1" s="1"/>
  <c r="G13" i="1"/>
  <c r="H13" i="1" s="1"/>
  <c r="G5" i="1"/>
  <c r="H5" i="1" s="1"/>
  <c r="G10" i="1"/>
  <c r="H10" i="1" s="1"/>
  <c r="G22" i="1"/>
  <c r="G24" i="1"/>
  <c r="H24" i="1" s="1"/>
  <c r="G27" i="1"/>
  <c r="H27" i="1" s="1"/>
  <c r="G41" i="1"/>
  <c r="H41" i="1" s="1"/>
  <c r="G40" i="1"/>
  <c r="H40" i="1" s="1"/>
  <c r="G39" i="1"/>
  <c r="H39" i="1" s="1"/>
  <c r="G38" i="1"/>
  <c r="H38" i="1" s="1"/>
  <c r="G61" i="1"/>
  <c r="H61" i="1" s="1"/>
  <c r="G60" i="1"/>
  <c r="H60" i="1" s="1"/>
  <c r="G59" i="1"/>
  <c r="H59" i="1" s="1"/>
  <c r="G58" i="1"/>
  <c r="H58" i="1" s="1"/>
  <c r="G105" i="1"/>
  <c r="H105" i="1" s="1"/>
  <c r="G104" i="1"/>
  <c r="G84" i="1"/>
  <c r="G83" i="1"/>
  <c r="H83" i="1" s="1"/>
  <c r="G81" i="1"/>
  <c r="H81" i="1" s="1"/>
  <c r="G80" i="1"/>
  <c r="H80" i="1" s="1"/>
  <c r="G79" i="1"/>
  <c r="H79" i="1" s="1"/>
  <c r="G78" i="1"/>
  <c r="H78" i="1" s="1"/>
  <c r="G15" i="1"/>
  <c r="H15" i="1" s="1"/>
  <c r="J32" i="1"/>
  <c r="K124" i="1" l="1"/>
  <c r="L124" i="1" s="1"/>
  <c r="M124" i="1" s="1"/>
  <c r="H84" i="1"/>
  <c r="G129" i="1"/>
  <c r="H129" i="1" s="1"/>
  <c r="I129" i="1" s="1"/>
  <c r="J129" i="1" s="1"/>
  <c r="K129" i="1" s="1"/>
  <c r="L129" i="1" s="1"/>
  <c r="M129" i="1" s="1"/>
  <c r="G127" i="1"/>
  <c r="H127" i="1" s="1"/>
  <c r="H104" i="1"/>
  <c r="I104" i="1" s="1"/>
  <c r="G149" i="1"/>
  <c r="H149" i="1" s="1"/>
  <c r="I149" i="1" s="1"/>
  <c r="J149" i="1" s="1"/>
  <c r="K149" i="1" s="1"/>
  <c r="L149" i="1" s="1"/>
  <c r="M149" i="1" s="1"/>
  <c r="G147" i="1"/>
  <c r="H147" i="1" s="1"/>
  <c r="I147" i="1" s="1"/>
  <c r="J147" i="1" s="1"/>
  <c r="K147" i="1" s="1"/>
  <c r="L147" i="1" s="1"/>
  <c r="M147" i="1" s="1"/>
  <c r="I141" i="1"/>
  <c r="J141" i="1" s="1"/>
  <c r="K141" i="1" s="1"/>
  <c r="L141" i="1" s="1"/>
  <c r="M141" i="1" s="1"/>
  <c r="M150" i="1" s="1"/>
  <c r="M151" i="1" s="1"/>
  <c r="I15" i="1"/>
  <c r="J15" i="1" s="1"/>
  <c r="O42" i="1"/>
  <c r="I41" i="1"/>
  <c r="J41" i="1" s="1"/>
  <c r="I79" i="1"/>
  <c r="J79" i="1" s="1"/>
  <c r="I80" i="1"/>
  <c r="J80" i="1" s="1"/>
  <c r="K30" i="1"/>
  <c r="L30" i="1" s="1"/>
  <c r="M30" i="1" s="1"/>
  <c r="I81" i="1"/>
  <c r="J81" i="1" s="1"/>
  <c r="O82" i="1"/>
  <c r="I10" i="1"/>
  <c r="J10" i="1" s="1"/>
  <c r="I11" i="1"/>
  <c r="J11" i="1" s="1"/>
  <c r="K100" i="1"/>
  <c r="L100" i="1" s="1"/>
  <c r="M100" i="1" s="1"/>
  <c r="I63" i="1"/>
  <c r="J63" i="1" s="1"/>
  <c r="I84" i="1"/>
  <c r="J84" i="1" s="1"/>
  <c r="I39" i="1"/>
  <c r="J39" i="1" s="1"/>
  <c r="I13" i="1"/>
  <c r="J13" i="1" s="1"/>
  <c r="I78" i="1"/>
  <c r="J78" i="1" s="1"/>
  <c r="I64" i="1"/>
  <c r="J64" i="1" s="1"/>
  <c r="I27" i="1"/>
  <c r="J27" i="1" s="1"/>
  <c r="I43" i="1"/>
  <c r="J43" i="1" s="1"/>
  <c r="I40" i="1"/>
  <c r="J40" i="1" s="1"/>
  <c r="O103" i="1"/>
  <c r="I102" i="1"/>
  <c r="J102" i="1" s="1"/>
  <c r="I28" i="1"/>
  <c r="J28" i="1" s="1"/>
  <c r="I60" i="1"/>
  <c r="J60" i="1" s="1"/>
  <c r="I99" i="1"/>
  <c r="J99" i="1" s="1"/>
  <c r="I61" i="1"/>
  <c r="J61" i="1" s="1"/>
  <c r="O62" i="1"/>
  <c r="G88" i="1"/>
  <c r="H88" i="1" s="1"/>
  <c r="G86" i="1"/>
  <c r="H86" i="1" s="1"/>
  <c r="H22" i="1"/>
  <c r="I48" i="1"/>
  <c r="J48" i="1" s="1"/>
  <c r="I38" i="1"/>
  <c r="J38" i="1" s="1"/>
  <c r="I5" i="1"/>
  <c r="J5" i="1" s="1"/>
  <c r="I105" i="1"/>
  <c r="J105" i="1" s="1"/>
  <c r="I44" i="1"/>
  <c r="J44" i="1" s="1"/>
  <c r="H23" i="1"/>
  <c r="G66" i="1"/>
  <c r="H66" i="1" s="1"/>
  <c r="G68" i="1"/>
  <c r="H68" i="1" s="1"/>
  <c r="K32" i="1"/>
  <c r="L32" i="1" s="1"/>
  <c r="M32" i="1" s="1"/>
  <c r="I83" i="1"/>
  <c r="J83" i="1" s="1"/>
  <c r="I58" i="1"/>
  <c r="J58" i="1" s="1"/>
  <c r="O9" i="1"/>
  <c r="I8" i="1"/>
  <c r="J8" i="1" s="1"/>
  <c r="I46" i="1"/>
  <c r="J46" i="1" s="1"/>
  <c r="O26" i="1"/>
  <c r="I25" i="1"/>
  <c r="J25" i="1" s="1"/>
  <c r="I6" i="1"/>
  <c r="J6" i="1" s="1"/>
  <c r="I59" i="1"/>
  <c r="J59" i="1" s="1"/>
  <c r="I24" i="1"/>
  <c r="J24" i="1" s="1"/>
  <c r="G109" i="1"/>
  <c r="H109" i="1" s="1"/>
  <c r="G107" i="1"/>
  <c r="H107" i="1" s="1"/>
  <c r="I101" i="1"/>
  <c r="J101" i="1" s="1"/>
  <c r="I7" i="1"/>
  <c r="J7" i="1" s="1"/>
  <c r="I127" i="1" l="1"/>
  <c r="J127" i="1" s="1"/>
  <c r="J104" i="1"/>
  <c r="K104" i="1" s="1"/>
  <c r="L104" i="1" s="1"/>
  <c r="M104" i="1" s="1"/>
  <c r="K25" i="1"/>
  <c r="L25" i="1" s="1"/>
  <c r="M25" i="1" s="1"/>
  <c r="K101" i="1"/>
  <c r="L101" i="1" s="1"/>
  <c r="M101" i="1" s="1"/>
  <c r="K78" i="1"/>
  <c r="L78" i="1" s="1"/>
  <c r="M78" i="1" s="1"/>
  <c r="K11" i="1"/>
  <c r="L11" i="1" s="1"/>
  <c r="M11" i="1" s="1"/>
  <c r="K41" i="1"/>
  <c r="L41" i="1" s="1"/>
  <c r="M41" i="1" s="1"/>
  <c r="K24" i="1"/>
  <c r="L24" i="1" s="1"/>
  <c r="M24" i="1" s="1"/>
  <c r="K8" i="1"/>
  <c r="L8" i="1" s="1"/>
  <c r="M8" i="1" s="1"/>
  <c r="K38" i="1"/>
  <c r="L38" i="1" s="1"/>
  <c r="M38" i="1" s="1"/>
  <c r="K15" i="1"/>
  <c r="L15" i="1" s="1"/>
  <c r="M15" i="1" s="1"/>
  <c r="K39" i="1"/>
  <c r="L39" i="1" s="1"/>
  <c r="M39" i="1" s="1"/>
  <c r="K81" i="1"/>
  <c r="L81" i="1" s="1"/>
  <c r="M81" i="1" s="1"/>
  <c r="K6" i="1"/>
  <c r="L6" i="1" s="1"/>
  <c r="M6" i="1" s="1"/>
  <c r="K43" i="1"/>
  <c r="L43" i="1" s="1"/>
  <c r="M43" i="1" s="1"/>
  <c r="K27" i="1"/>
  <c r="L27" i="1" s="1"/>
  <c r="M27" i="1" s="1"/>
  <c r="K63" i="1"/>
  <c r="L63" i="1" s="1"/>
  <c r="M63" i="1" s="1"/>
  <c r="K64" i="1"/>
  <c r="L64" i="1" s="1"/>
  <c r="M64" i="1" s="1"/>
  <c r="K7" i="1"/>
  <c r="L7" i="1" s="1"/>
  <c r="M7" i="1" s="1"/>
  <c r="K80" i="1"/>
  <c r="L80" i="1" s="1"/>
  <c r="M80" i="1" s="1"/>
  <c r="K5" i="1"/>
  <c r="L5" i="1" s="1"/>
  <c r="M5" i="1" s="1"/>
  <c r="K102" i="1"/>
  <c r="L102" i="1" s="1"/>
  <c r="M102" i="1" s="1"/>
  <c r="K10" i="1"/>
  <c r="L10" i="1" s="1"/>
  <c r="M10" i="1" s="1"/>
  <c r="K59" i="1"/>
  <c r="L59" i="1" s="1"/>
  <c r="M59" i="1" s="1"/>
  <c r="K83" i="1"/>
  <c r="L83" i="1" s="1"/>
  <c r="M83" i="1" s="1"/>
  <c r="K99" i="1"/>
  <c r="L99" i="1" s="1"/>
  <c r="M99" i="1" s="1"/>
  <c r="K79" i="1"/>
  <c r="L79" i="1" s="1"/>
  <c r="M79" i="1" s="1"/>
  <c r="I107" i="1"/>
  <c r="J107" i="1" s="1"/>
  <c r="K58" i="1"/>
  <c r="L58" i="1" s="1"/>
  <c r="M58" i="1" s="1"/>
  <c r="K28" i="1"/>
  <c r="L28" i="1" s="1"/>
  <c r="M28" i="1" s="1"/>
  <c r="I109" i="1"/>
  <c r="J109" i="1" s="1"/>
  <c r="I23" i="1"/>
  <c r="J23" i="1" s="1"/>
  <c r="K84" i="1"/>
  <c r="L84" i="1" s="1"/>
  <c r="M84" i="1" s="1"/>
  <c r="K60" i="1"/>
  <c r="L60" i="1" s="1"/>
  <c r="M60" i="1" s="1"/>
  <c r="I86" i="1"/>
  <c r="J86" i="1" s="1"/>
  <c r="K44" i="1"/>
  <c r="L44" i="1" s="1"/>
  <c r="M44" i="1"/>
  <c r="I88" i="1"/>
  <c r="J88" i="1" s="1"/>
  <c r="K13" i="1"/>
  <c r="L13" i="1" s="1"/>
  <c r="M13" i="1" s="1"/>
  <c r="K46" i="1"/>
  <c r="L46" i="1" s="1"/>
  <c r="M46" i="1" s="1"/>
  <c r="K40" i="1"/>
  <c r="L40" i="1" s="1"/>
  <c r="M40" i="1" s="1"/>
  <c r="I22" i="1"/>
  <c r="J22" i="1" s="1"/>
  <c r="K61" i="1"/>
  <c r="L61" i="1" s="1"/>
  <c r="M61" i="1" s="1"/>
  <c r="K48" i="1"/>
  <c r="L48" i="1" s="1"/>
  <c r="M48" i="1" s="1"/>
  <c r="K105" i="1"/>
  <c r="L105" i="1" s="1"/>
  <c r="M105" i="1" s="1"/>
  <c r="I68" i="1"/>
  <c r="J68" i="1" s="1"/>
  <c r="I66" i="1"/>
  <c r="J66" i="1" s="1"/>
  <c r="K127" i="1" l="1"/>
  <c r="L127" i="1" s="1"/>
  <c r="M127" i="1" s="1"/>
  <c r="M130" i="1" s="1"/>
  <c r="M131" i="1" s="1"/>
  <c r="K23" i="1"/>
  <c r="L23" i="1" s="1"/>
  <c r="M23" i="1" s="1"/>
  <c r="K86" i="1"/>
  <c r="L86" i="1" s="1"/>
  <c r="M86" i="1" s="1"/>
  <c r="K66" i="1"/>
  <c r="L66" i="1" s="1"/>
  <c r="M66" i="1" s="1"/>
  <c r="K107" i="1"/>
  <c r="L107" i="1" s="1"/>
  <c r="M107" i="1" s="1"/>
  <c r="AK102" i="1"/>
  <c r="AM102" i="1" s="1"/>
  <c r="K88" i="1"/>
  <c r="L88" i="1" s="1"/>
  <c r="M88" i="1" s="1"/>
  <c r="M49" i="1"/>
  <c r="K22" i="1"/>
  <c r="L22" i="1" s="1"/>
  <c r="M22" i="1" s="1"/>
  <c r="AK99" i="1"/>
  <c r="AM99" i="1" s="1"/>
  <c r="M16" i="1"/>
  <c r="K109" i="1"/>
  <c r="L109" i="1" s="1"/>
  <c r="M109" i="1" s="1"/>
  <c r="K68" i="1"/>
  <c r="L68" i="1" s="1"/>
  <c r="M68" i="1" s="1"/>
  <c r="M33" i="1" l="1"/>
  <c r="N33" i="1" s="1"/>
  <c r="M69" i="1"/>
  <c r="AB69" i="1" s="1"/>
  <c r="AC69" i="1" s="1"/>
  <c r="M89" i="1"/>
  <c r="M90" i="1" s="1"/>
  <c r="M110" i="1"/>
  <c r="AB110" i="1"/>
  <c r="AC110" i="1" s="1"/>
  <c r="M17" i="1"/>
  <c r="P16" i="1"/>
  <c r="O16" i="1"/>
  <c r="N16" i="1"/>
  <c r="M50" i="1"/>
  <c r="O49" i="1"/>
  <c r="AB49" i="1"/>
  <c r="N49" i="1"/>
  <c r="AK107" i="1"/>
  <c r="AM107" i="1" s="1"/>
  <c r="AM110" i="1" s="1"/>
  <c r="O33" i="1" l="1"/>
  <c r="M34" i="1"/>
  <c r="M52" i="1" s="1"/>
  <c r="Q52" i="1" s="1"/>
  <c r="M111" i="1"/>
  <c r="M154" i="1" s="1"/>
  <c r="AM111" i="1"/>
  <c r="AC49" i="1"/>
  <c r="O110" i="1"/>
  <c r="O69" i="1"/>
  <c r="N69" i="1"/>
  <c r="N70" i="1" s="1"/>
  <c r="M70" i="1"/>
  <c r="M92" i="1" s="1"/>
  <c r="N110" i="1"/>
  <c r="N111" i="1" s="1"/>
  <c r="N50" i="1"/>
</calcChain>
</file>

<file path=xl/sharedStrings.xml><?xml version="1.0" encoding="utf-8"?>
<sst xmlns="http://schemas.openxmlformats.org/spreadsheetml/2006/main" count="429" uniqueCount="73">
  <si>
    <t>TARIFA DEL 01 DE ENERO AL 30 DE JUNIO DEL 2025 PARA SERVICIOS DE VIGILANCIA Y SEGURIDAD PRIVADA</t>
  </si>
  <si>
    <t>LUGAR</t>
  </si>
  <si>
    <t>CANTIDAD PERSONAL REQUERIDO</t>
  </si>
  <si>
    <t xml:space="preserve">TIEMPO </t>
  </si>
  <si>
    <t xml:space="preserve">UBICACIÓN </t>
  </si>
  <si>
    <t>Salario mínimo</t>
  </si>
  <si>
    <t>Tarifa mínima en salarios mínimos legales mensuales vigentes</t>
  </si>
  <si>
    <t>Seguro de vida</t>
  </si>
  <si>
    <t xml:space="preserve">Costo Directo </t>
  </si>
  <si>
    <t>AyS</t>
  </si>
  <si>
    <t>Subtotal (Antes de Iva)</t>
  </si>
  <si>
    <t xml:space="preserve">Aiu </t>
  </si>
  <si>
    <t>Iva</t>
  </si>
  <si>
    <t>Total unitario (Iva incluido)</t>
  </si>
  <si>
    <t>SEDE ADMINISTRATIVA Carrera66A No. 43- 18 Barrio Salitre Greco</t>
  </si>
  <si>
    <t>01 vigilante con arma</t>
  </si>
  <si>
    <t>Catorce (14) horas diurnas lunes a sábado incluido festivos.</t>
  </si>
  <si>
    <t xml:space="preserve">Entrada principal FORPO </t>
  </si>
  <si>
    <t>1.423.500,00</t>
  </si>
  <si>
    <t>Veinticuatro (24) horas incluido domingos y festivos</t>
  </si>
  <si>
    <t xml:space="preserve">Entrada al sótano FORPO </t>
  </si>
  <si>
    <t>Entrada área norte FORPO</t>
  </si>
  <si>
    <t>01 vigilante con arma – motorizado</t>
  </si>
  <si>
    <t>Servicio de vigilancia motorizada ocho (08) horas diurnas, lunes a domingo incluido - festivos</t>
  </si>
  <si>
    <t>Sede Administrativa - Complejo Fábrica de Confecciones - Complejo Industrial Santa Lucia – Edificio El Comendador</t>
  </si>
  <si>
    <t>COMPLEJO
INDUSTRIAL
Carrera 51 D No 46-
02 sur Barrio Muzú</t>
  </si>
  <si>
    <t>Veinticuatro (24) horas incluido domingos y festivos Veinticuatro (24) horas incluido domingos y festivos</t>
  </si>
  <si>
    <t>Entrada principal complejo fábrica de confecciones Entrada principal complejo fábrica de confecciones</t>
  </si>
  <si>
    <t>catorce (14) horas diurnas lunes a sábado incluido festivos</t>
  </si>
  <si>
    <t>Oficina de comercio exterior – recorredor</t>
  </si>
  <si>
    <t>Sede Funza
Bodegas -
Complejo Industrial
Santa Lucia</t>
  </si>
  <si>
    <t>Sede Funza Bodegas - Complejo Industrial Santa Lucia</t>
  </si>
  <si>
    <t>Edificio El Comendador – Carrera 10 No. 12 – 53</t>
  </si>
  <si>
    <t>Edificio El Comendador – Carrera 10 No. 12 – 53 – recorrido interno y parqueadero.</t>
  </si>
  <si>
    <t>VALOR MES</t>
  </si>
  <si>
    <t>VALOR TOTAL (1,57 MESES)</t>
  </si>
  <si>
    <t>TARIFA DEL 01 DE JULIO AL 14 DE JULIO DEL 2025 PARA SERVICIOS DE VIGILANCIA Y SEGURIDAD PRIVADA</t>
  </si>
  <si>
    <t>VALOR 14 DÍAS DE JULIO</t>
  </si>
  <si>
    <t>VALOR TOTAL (0,5 MESES)</t>
  </si>
  <si>
    <t>TARIFA DEL 15 DE JULIO AL 24 DE DICIEMBRE DEL 2025 PARA SERVICIOS DE VIGILANCIA Y SEGURIDAD PRIVADA</t>
  </si>
  <si>
    <t>TOTAL JULIO</t>
  </si>
  <si>
    <t>VALOR 15 DÍAS DE JULIO</t>
  </si>
  <si>
    <t>Error: son 16 días de Julio pa completar el mes de 30 días.</t>
  </si>
  <si>
    <t>VALOR TOTAL (4,63 MESES)</t>
  </si>
  <si>
    <t>VALOR JULIO</t>
  </si>
  <si>
    <t>TOTAL OFERTA ECONÓMICA DEL 14 DE MAYO AL 30 DE NOVIEMBRE 2025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</si>
  <si>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</si>
  <si>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</si>
  <si>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</si>
  <si>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</si>
  <si>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</si>
  <si>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</si>
  <si>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</si>
  <si>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>TARIFA DEL 01 DE DICIEMBRE AL 24 DE DICIEMBRE DEL 2025 PARA SERVICIOS DE VIGILANCIA Y SEGURIDAD PRIVADA</t>
  </si>
  <si>
    <t>VALOR TOTAL (24 DÍAS)</t>
  </si>
  <si>
    <t>TARIFA DEL 25 DE DICIEMBRE AL 31 DE DICIEMBRE DEL 2025 PARA SERVICIOS DE VIGILANCIA Y SEGURIDAD PRIVADA</t>
  </si>
  <si>
    <t>VALOR TOTAL (6 días)</t>
  </si>
  <si>
    <t>VALOR TOTAL DICIEMBRE 2025</t>
  </si>
  <si>
    <t>12 DIAS</t>
  </si>
  <si>
    <t>FACTURACIÓN REAL DICIEMBRE</t>
  </si>
  <si>
    <t>OTRO SÍ N° 1</t>
  </si>
  <si>
    <t>FALTANTE</t>
  </si>
  <si>
    <t>CRUCE SALDO - FALTANTE</t>
  </si>
  <si>
    <t>TARIFA DEL 01 MARZO AL 30 DE JUNIO DEL 2026 PARA SERVICIOS DE VIGILANCIA Y SEGURIDAD PRIVADA</t>
  </si>
  <si>
    <t>TARIFA DEL 01 JULIO AL 14 DE JULIO DEL 2026 PARA SERVICIOS DE VIGILANCIA Y SEGURIDAD PRIVADA</t>
  </si>
  <si>
    <t>TARIFA DEL 15 JULIO AL 31 DE DICIEMBRE DEL 2026 PARA SERVICIOS DE VIGILANCIA Y SEGURIDAD PRIVADA</t>
  </si>
  <si>
    <t>VALOR TOTAL (3 MESES Y MEDIO)</t>
  </si>
  <si>
    <t>VALOR TOTAL (MEDIO MES)</t>
  </si>
  <si>
    <t>VALOR TOTAL (5 MESES Y MEDIO)</t>
  </si>
  <si>
    <t>VALOR TOTAL (9,5 MESES)</t>
  </si>
  <si>
    <t>Catorce (14) horas lunes a sábado incluido festivos.</t>
  </si>
  <si>
    <t>Servicio de vigilancia motorizada ocho (08) horas, lunes a domingo incluido - festivos</t>
  </si>
  <si>
    <t>catorce (14) horas lunes a sábado incluido festivos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</si>
</sst>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b/>
      <sz val="12"/>
      <color rgb="FF000000"/>
      <name val="Century Gothic"/>
      <family val="2"/>
    </font>
    <font>
      <b/>
      <sz val="12"/>
      <color theme="1"/>
      <name val="Century Gothic"/>
      <family val="2"/>
    </font>
    <font>
      <b/>
      <sz val="18"/>
      <color theme="1"/>
      <name val="Century Gothic"/>
      <family val="2"/>
    </font>
    <font>
      <sz val="12"/>
      <color rgb="FF000000"/>
      <name val="Century Gothic"/>
      <family val="2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8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4" fillId="0" borderId="0" xfId="1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66" fontId="7" fillId="2" borderId="0" xfId="2" applyNumberFormat="1" applyFont="1" applyFill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0" borderId="6" xfId="1" applyFont="1" applyBorder="1" applyAlignment="1">
      <alignment horizontal="center" vertical="center" wrapText="1"/>
    </xf>
    <xf numFmtId="164" fontId="9" fillId="0" borderId="6" xfId="1" applyFont="1" applyBorder="1" applyAlignment="1">
      <alignment horizontal="right" vertical="center"/>
    </xf>
    <xf numFmtId="164" fontId="9" fillId="0" borderId="7" xfId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0" borderId="10" xfId="1" applyFont="1" applyBorder="1" applyAlignment="1">
      <alignment horizontal="center" vertical="center" wrapText="1"/>
    </xf>
    <xf numFmtId="164" fontId="9" fillId="0" borderId="10" xfId="1" applyFont="1" applyBorder="1" applyAlignment="1">
      <alignment horizontal="right" vertical="center"/>
    </xf>
    <xf numFmtId="164" fontId="9" fillId="0" borderId="11" xfId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1" applyFont="1" applyBorder="1" applyAlignment="1">
      <alignment horizontal="center" vertical="center" wrapText="1"/>
    </xf>
    <xf numFmtId="164" fontId="9" fillId="0" borderId="14" xfId="1" applyFont="1" applyBorder="1" applyAlignment="1">
      <alignment horizontal="right" vertical="center"/>
    </xf>
    <xf numFmtId="164" fontId="9" fillId="0" borderId="15" xfId="1" applyFont="1" applyBorder="1" applyAlignment="1">
      <alignment horizontal="right" vertical="center"/>
    </xf>
    <xf numFmtId="164" fontId="3" fillId="2" borderId="0" xfId="1" applyFont="1" applyFill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164" fontId="3" fillId="2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4" fontId="8" fillId="0" borderId="18" xfId="1" applyFont="1" applyBorder="1" applyAlignment="1">
      <alignment horizontal="center" vertical="center" wrapText="1"/>
    </xf>
    <xf numFmtId="164" fontId="9" fillId="0" borderId="18" xfId="1" applyFont="1" applyBorder="1" applyAlignment="1">
      <alignment horizontal="right" vertical="center"/>
    </xf>
    <xf numFmtId="164" fontId="9" fillId="0" borderId="19" xfId="1" applyFont="1" applyBorder="1" applyAlignment="1">
      <alignment horizontal="right" vertical="center"/>
    </xf>
    <xf numFmtId="164" fontId="9" fillId="0" borderId="2" xfId="1" applyFont="1" applyBorder="1" applyAlignment="1">
      <alignment horizontal="right" vertical="center"/>
    </xf>
    <xf numFmtId="164" fontId="9" fillId="0" borderId="3" xfId="1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164" fontId="10" fillId="0" borderId="3" xfId="0" applyNumberFormat="1" applyFont="1" applyBorder="1"/>
    <xf numFmtId="164" fontId="3" fillId="2" borderId="0" xfId="1" applyFont="1" applyFill="1"/>
    <xf numFmtId="164" fontId="10" fillId="0" borderId="19" xfId="0" applyNumberFormat="1" applyFont="1" applyBorder="1"/>
    <xf numFmtId="0" fontId="10" fillId="0" borderId="0" xfId="0" applyFont="1" applyAlignment="1">
      <alignment horizontal="right"/>
    </xf>
    <xf numFmtId="164" fontId="10" fillId="0" borderId="0" xfId="0" applyNumberFormat="1" applyFont="1"/>
    <xf numFmtId="0" fontId="2" fillId="0" borderId="0" xfId="0" applyFont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4" fontId="10" fillId="2" borderId="0" xfId="1" applyFont="1" applyFill="1"/>
    <xf numFmtId="164" fontId="10" fillId="2" borderId="0" xfId="0" applyNumberFormat="1" applyFont="1" applyFill="1"/>
    <xf numFmtId="0" fontId="10" fillId="2" borderId="0" xfId="0" applyFont="1" applyFill="1"/>
    <xf numFmtId="0" fontId="10" fillId="3" borderId="0" xfId="0" applyFont="1" applyFill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10" fillId="3" borderId="19" xfId="0" applyNumberFormat="1" applyFont="1" applyFill="1" applyBorder="1"/>
    <xf numFmtId="164" fontId="3" fillId="0" borderId="0" xfId="1" applyFont="1" applyFill="1"/>
    <xf numFmtId="164" fontId="10" fillId="0" borderId="0" xfId="1" applyFont="1" applyFill="1"/>
    <xf numFmtId="0" fontId="10" fillId="0" borderId="0" xfId="0" applyFont="1"/>
    <xf numFmtId="164" fontId="10" fillId="4" borderId="19" xfId="0" applyNumberFormat="1" applyFont="1" applyFill="1" applyBorder="1"/>
    <xf numFmtId="0" fontId="3" fillId="2" borderId="0" xfId="0" applyFont="1" applyFill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1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3" fillId="0" borderId="5" xfId="0" applyFont="1" applyBorder="1"/>
    <xf numFmtId="165" fontId="3" fillId="0" borderId="7" xfId="1" applyNumberFormat="1" applyFont="1" applyFill="1" applyBorder="1"/>
    <xf numFmtId="0" fontId="3" fillId="0" borderId="24" xfId="0" applyFont="1" applyBorder="1"/>
    <xf numFmtId="165" fontId="3" fillId="0" borderId="25" xfId="1" applyNumberFormat="1" applyFont="1" applyFill="1" applyBorder="1"/>
    <xf numFmtId="0" fontId="11" fillId="6" borderId="1" xfId="0" applyFont="1" applyFill="1" applyBorder="1"/>
    <xf numFmtId="165" fontId="11" fillId="6" borderId="19" xfId="0" applyNumberFormat="1" applyFont="1" applyFill="1" applyBorder="1"/>
    <xf numFmtId="0" fontId="3" fillId="0" borderId="26" xfId="0" applyFont="1" applyBorder="1"/>
    <xf numFmtId="0" fontId="3" fillId="0" borderId="27" xfId="0" applyFont="1" applyBorder="1"/>
    <xf numFmtId="0" fontId="11" fillId="7" borderId="13" xfId="0" applyFont="1" applyFill="1" applyBorder="1"/>
    <xf numFmtId="165" fontId="11" fillId="7" borderId="15" xfId="0" applyNumberFormat="1" applyFont="1" applyFill="1" applyBorder="1"/>
    <xf numFmtId="0" fontId="12" fillId="0" borderId="0" xfId="0" applyFont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0" fontId="10" fillId="0" borderId="18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right"/>
    </xf>
    <xf numFmtId="0" fontId="10" fillId="0" borderId="21" xfId="0" applyFont="1" applyBorder="1" applyAlignment="1">
      <alignment horizontal="right"/>
    </xf>
    <xf numFmtId="0" fontId="10" fillId="0" borderId="22" xfId="0" applyFont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right"/>
    </xf>
    <xf numFmtId="0" fontId="10" fillId="3" borderId="21" xfId="0" applyFont="1" applyFill="1" applyBorder="1" applyAlignment="1">
      <alignment horizontal="right"/>
    </xf>
    <xf numFmtId="0" fontId="10" fillId="3" borderId="22" xfId="0" applyFont="1" applyFill="1" applyBorder="1" applyAlignment="1">
      <alignment horizontal="right"/>
    </xf>
    <xf numFmtId="0" fontId="10" fillId="4" borderId="20" xfId="0" applyFont="1" applyFill="1" applyBorder="1" applyAlignment="1">
      <alignment horizontal="right"/>
    </xf>
    <xf numFmtId="0" fontId="10" fillId="4" borderId="21" xfId="0" applyFont="1" applyFill="1" applyBorder="1" applyAlignment="1">
      <alignment horizontal="right"/>
    </xf>
    <xf numFmtId="0" fontId="10" fillId="4" borderId="22" xfId="0" applyFont="1" applyFill="1" applyBorder="1" applyAlignment="1">
      <alignment horizontal="right"/>
    </xf>
    <xf numFmtId="164" fontId="9" fillId="0" borderId="0" xfId="1" applyFont="1" applyBorder="1" applyAlignment="1">
      <alignment horizontal="right" vertical="center"/>
    </xf>
    <xf numFmtId="164" fontId="9" fillId="0" borderId="28" xfId="1" applyFont="1" applyBorder="1" applyAlignment="1">
      <alignment horizontal="righ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54"/>
  <sheetViews>
    <sheetView tabSelected="1" topLeftCell="A138" zoomScale="90" zoomScaleNormal="90" workbookViewId="0">
      <selection activeCell="A144" sqref="A144:A145"/>
    </sheetView>
  </sheetViews>
  <sheetFormatPr baseColWidth="10" defaultColWidth="13.140625" defaultRowHeight="16.5" x14ac:dyDescent="0.3"/>
  <cols>
    <col min="1" max="1" width="27" style="2" customWidth="1"/>
    <col min="2" max="2" width="22.28515625" style="2" customWidth="1"/>
    <col min="3" max="3" width="27.5703125" style="2" customWidth="1"/>
    <col min="4" max="4" width="24.140625" style="2" customWidth="1"/>
    <col min="5" max="5" width="21.140625" style="2" customWidth="1"/>
    <col min="6" max="6" width="26" style="2" customWidth="1"/>
    <col min="7" max="7" width="15.42578125" style="2" bestFit="1" customWidth="1"/>
    <col min="8" max="8" width="22.140625" style="2" bestFit="1" customWidth="1"/>
    <col min="9" max="9" width="20.7109375" style="2" bestFit="1" customWidth="1"/>
    <col min="10" max="10" width="22.140625" style="2" bestFit="1" customWidth="1"/>
    <col min="11" max="11" width="20.7109375" style="2" bestFit="1" customWidth="1"/>
    <col min="12" max="12" width="18.28515625" style="2" bestFit="1" customWidth="1"/>
    <col min="13" max="13" width="23.28515625" style="2" bestFit="1" customWidth="1"/>
    <col min="14" max="16" width="21.140625" style="1" hidden="1" customWidth="1"/>
    <col min="17" max="18" width="20" style="1" hidden="1" customWidth="1"/>
    <col min="19" max="19" width="21.140625" style="1" hidden="1" customWidth="1"/>
    <col min="20" max="21" width="13.140625" style="1" hidden="1" customWidth="1"/>
    <col min="22" max="22" width="39.28515625" style="1" hidden="1" customWidth="1"/>
    <col min="23" max="24" width="20" style="1" hidden="1" customWidth="1"/>
    <col min="25" max="26" width="20" style="2" hidden="1" customWidth="1"/>
    <col min="27" max="27" width="21.140625" style="2" hidden="1" customWidth="1"/>
    <col min="28" max="28" width="20" style="2" hidden="1" customWidth="1"/>
    <col min="29" max="29" width="21.140625" style="2" hidden="1" customWidth="1"/>
    <col min="30" max="36" width="13.140625" style="2" hidden="1" customWidth="1"/>
    <col min="37" max="37" width="18.42578125" style="3" hidden="1" customWidth="1"/>
    <col min="38" max="38" width="13.140625" style="3" hidden="1" customWidth="1"/>
    <col min="39" max="39" width="19.7109375" style="4" hidden="1" customWidth="1"/>
    <col min="40" max="45" width="13.140625" style="2" hidden="1" customWidth="1"/>
    <col min="46" max="84" width="0" style="2" hidden="1" customWidth="1"/>
    <col min="85" max="85" width="20.5703125" style="2" bestFit="1" customWidth="1"/>
    <col min="86" max="86" width="18.140625" style="2" bestFit="1" customWidth="1"/>
    <col min="87" max="16384" width="13.140625" style="2"/>
  </cols>
  <sheetData>
    <row r="1" spans="1:24" ht="18.75" hidden="1" x14ac:dyDescent="0.3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24" hidden="1" x14ac:dyDescent="0.3"/>
    <row r="3" spans="1:24" ht="17.25" hidden="1" thickBot="1" x14ac:dyDescent="0.35">
      <c r="G3" s="5">
        <f>ROUND(1500*P4,0)</f>
        <v>551</v>
      </c>
    </row>
    <row r="4" spans="1:24" s="4" customFormat="1" ht="60.75" hidden="1" thickBot="1" x14ac:dyDescent="0.3">
      <c r="A4" s="6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8" t="s">
        <v>13</v>
      </c>
      <c r="N4" s="9"/>
      <c r="O4" s="10">
        <v>0.36735000000000001</v>
      </c>
      <c r="P4" s="10">
        <v>0.36735000000000001</v>
      </c>
      <c r="Q4" s="9"/>
      <c r="R4" s="9"/>
      <c r="S4" s="9"/>
      <c r="T4" s="9"/>
      <c r="U4" s="9"/>
      <c r="V4" s="9"/>
      <c r="W4" s="9"/>
      <c r="X4" s="9"/>
    </row>
    <row r="5" spans="1:24" ht="51.75" hidden="1" customHeight="1" x14ac:dyDescent="0.3">
      <c r="A5" s="92" t="s">
        <v>14</v>
      </c>
      <c r="B5" s="11" t="s">
        <v>15</v>
      </c>
      <c r="C5" s="12" t="s">
        <v>16</v>
      </c>
      <c r="D5" s="12" t="s">
        <v>17</v>
      </c>
      <c r="E5" s="13" t="s">
        <v>18</v>
      </c>
      <c r="F5" s="14">
        <f>(E5*9.14)</f>
        <v>13010790</v>
      </c>
      <c r="G5" s="14">
        <f>$G$3</f>
        <v>551</v>
      </c>
      <c r="H5" s="14">
        <f>ROUND((F5+G5)*55.97%/30*26/15*14,0)</f>
        <v>5890691</v>
      </c>
      <c r="I5" s="14">
        <f>ROUND(H5*10%,0)</f>
        <v>589069</v>
      </c>
      <c r="J5" s="14">
        <f>H5+I5</f>
        <v>6479760</v>
      </c>
      <c r="K5" s="14">
        <f>ROUND(J5*10%,0)</f>
        <v>647976</v>
      </c>
      <c r="L5" s="14">
        <f>ROUND(K5*19%,0)</f>
        <v>123115</v>
      </c>
      <c r="M5" s="15">
        <f>ROUND(J5+L5,0)</f>
        <v>6602875</v>
      </c>
    </row>
    <row r="6" spans="1:24" ht="51.75" hidden="1" x14ac:dyDescent="0.3">
      <c r="A6" s="93"/>
      <c r="B6" s="16" t="s">
        <v>15</v>
      </c>
      <c r="C6" s="17" t="s">
        <v>19</v>
      </c>
      <c r="D6" s="17" t="s">
        <v>20</v>
      </c>
      <c r="E6" s="18" t="s">
        <v>18</v>
      </c>
      <c r="F6" s="19">
        <f>E6*9.14</f>
        <v>13010790</v>
      </c>
      <c r="G6" s="19">
        <f t="shared" ref="G6:G8" si="0">$G$3</f>
        <v>551</v>
      </c>
      <c r="H6" s="19">
        <f>F6+G6</f>
        <v>13011341</v>
      </c>
      <c r="I6" s="19">
        <f t="shared" ref="I6:I10" si="1">ROUND(H6*10%,0)</f>
        <v>1301134</v>
      </c>
      <c r="J6" s="19">
        <f t="shared" ref="J6:J8" si="2">H6+I6</f>
        <v>14312475</v>
      </c>
      <c r="K6" s="19">
        <f t="shared" ref="K6:K10" si="3">ROUND(J6*10%,0)</f>
        <v>1431248</v>
      </c>
      <c r="L6" s="19">
        <f t="shared" ref="L6:L10" si="4">ROUND(K6*19%,0)</f>
        <v>271937</v>
      </c>
      <c r="M6" s="20">
        <f t="shared" ref="M6:M8" si="5">ROUND(J6+L6,0)</f>
        <v>14584412</v>
      </c>
    </row>
    <row r="7" spans="1:24" ht="51.75" hidden="1" x14ac:dyDescent="0.3">
      <c r="A7" s="93"/>
      <c r="B7" s="16" t="s">
        <v>15</v>
      </c>
      <c r="C7" s="17" t="s">
        <v>19</v>
      </c>
      <c r="D7" s="17" t="s">
        <v>21</v>
      </c>
      <c r="E7" s="18" t="s">
        <v>18</v>
      </c>
      <c r="F7" s="19">
        <f>E7*9.14</f>
        <v>13010790</v>
      </c>
      <c r="G7" s="19">
        <f t="shared" si="0"/>
        <v>551</v>
      </c>
      <c r="H7" s="19">
        <f>F7+G7</f>
        <v>13011341</v>
      </c>
      <c r="I7" s="19">
        <f t="shared" si="1"/>
        <v>1301134</v>
      </c>
      <c r="J7" s="19">
        <f t="shared" si="2"/>
        <v>14312475</v>
      </c>
      <c r="K7" s="19">
        <f t="shared" si="3"/>
        <v>1431248</v>
      </c>
      <c r="L7" s="19">
        <f t="shared" si="4"/>
        <v>271937</v>
      </c>
      <c r="M7" s="20">
        <f t="shared" si="5"/>
        <v>14584412</v>
      </c>
    </row>
    <row r="8" spans="1:24" ht="121.5" hidden="1" thickBot="1" x14ac:dyDescent="0.35">
      <c r="A8" s="94"/>
      <c r="B8" s="21" t="s">
        <v>22</v>
      </c>
      <c r="C8" s="22" t="s">
        <v>23</v>
      </c>
      <c r="D8" s="22" t="s">
        <v>24</v>
      </c>
      <c r="E8" s="23" t="s">
        <v>18</v>
      </c>
      <c r="F8" s="24">
        <f>E8*9.14</f>
        <v>13010790</v>
      </c>
      <c r="G8" s="24">
        <f t="shared" si="0"/>
        <v>551</v>
      </c>
      <c r="H8" s="24">
        <f>ROUND(((F8+G8)*55.97%/15*8)+(P8*O4),0)</f>
        <v>3932178</v>
      </c>
      <c r="I8" s="24">
        <f t="shared" si="1"/>
        <v>393218</v>
      </c>
      <c r="J8" s="24">
        <f t="shared" si="2"/>
        <v>4325396</v>
      </c>
      <c r="K8" s="24">
        <f t="shared" si="3"/>
        <v>432540</v>
      </c>
      <c r="L8" s="24">
        <f t="shared" si="4"/>
        <v>82183</v>
      </c>
      <c r="M8" s="25">
        <f t="shared" si="5"/>
        <v>4407579</v>
      </c>
      <c r="O8" s="26">
        <v>4015480</v>
      </c>
      <c r="P8" s="27">
        <v>131225</v>
      </c>
    </row>
    <row r="9" spans="1:24" ht="17.25" hidden="1" thickBot="1" x14ac:dyDescent="0.35">
      <c r="O9" s="28">
        <f>O8-H8</f>
        <v>83302</v>
      </c>
    </row>
    <row r="10" spans="1:24" ht="103.5" hidden="1" x14ac:dyDescent="0.3">
      <c r="A10" s="84" t="s">
        <v>25</v>
      </c>
      <c r="B10" s="12" t="s">
        <v>15</v>
      </c>
      <c r="C10" s="12" t="s">
        <v>26</v>
      </c>
      <c r="D10" s="12" t="s">
        <v>27</v>
      </c>
      <c r="E10" s="13" t="s">
        <v>18</v>
      </c>
      <c r="F10" s="14">
        <f>E10*9.14</f>
        <v>13010790</v>
      </c>
      <c r="G10" s="14">
        <f>G3</f>
        <v>551</v>
      </c>
      <c r="H10" s="14">
        <f>F10+G10</f>
        <v>13011341</v>
      </c>
      <c r="I10" s="14">
        <f t="shared" si="1"/>
        <v>1301134</v>
      </c>
      <c r="J10" s="14">
        <f t="shared" ref="J10" si="6">H10+I10</f>
        <v>14312475</v>
      </c>
      <c r="K10" s="14">
        <f t="shared" si="3"/>
        <v>1431248</v>
      </c>
      <c r="L10" s="14">
        <f t="shared" si="4"/>
        <v>271937</v>
      </c>
      <c r="M10" s="15">
        <f t="shared" ref="M10" si="7">ROUND(J10+L10,0)</f>
        <v>14584412</v>
      </c>
    </row>
    <row r="11" spans="1:24" ht="52.5" hidden="1" thickBot="1" x14ac:dyDescent="0.35">
      <c r="A11" s="85"/>
      <c r="B11" s="22" t="s">
        <v>15</v>
      </c>
      <c r="C11" s="22" t="s">
        <v>28</v>
      </c>
      <c r="D11" s="22" t="s">
        <v>29</v>
      </c>
      <c r="E11" s="23" t="s">
        <v>18</v>
      </c>
      <c r="F11" s="24">
        <f>(E11*9.14)</f>
        <v>13010790</v>
      </c>
      <c r="G11" s="24">
        <f>G3</f>
        <v>551</v>
      </c>
      <c r="H11" s="24">
        <f>ROUND((F11+G11)*55.97%/30*26/15*14,0)</f>
        <v>5890691</v>
      </c>
      <c r="I11" s="24">
        <f>ROUND(H11*10%,0)</f>
        <v>589069</v>
      </c>
      <c r="J11" s="24">
        <f>H11+I11</f>
        <v>6479760</v>
      </c>
      <c r="K11" s="24">
        <f>ROUND(J11*10%,0)</f>
        <v>647976</v>
      </c>
      <c r="L11" s="24">
        <f>ROUND(K11*19%,0)</f>
        <v>123115</v>
      </c>
      <c r="M11" s="25">
        <f>ROUND(J11+L11,0)</f>
        <v>6602875</v>
      </c>
    </row>
    <row r="12" spans="1:24" ht="17.25" hidden="1" thickBot="1" x14ac:dyDescent="0.35"/>
    <row r="13" spans="1:24" ht="69.75" hidden="1" thickBot="1" x14ac:dyDescent="0.35">
      <c r="A13" s="29" t="s">
        <v>30</v>
      </c>
      <c r="B13" s="30" t="s">
        <v>15</v>
      </c>
      <c r="C13" s="30" t="s">
        <v>19</v>
      </c>
      <c r="D13" s="30" t="s">
        <v>31</v>
      </c>
      <c r="E13" s="31" t="s">
        <v>18</v>
      </c>
      <c r="F13" s="32">
        <f>E13*9.14</f>
        <v>13010790</v>
      </c>
      <c r="G13" s="32">
        <f>G3</f>
        <v>551</v>
      </c>
      <c r="H13" s="32">
        <f>F13+G13</f>
        <v>13011341</v>
      </c>
      <c r="I13" s="32">
        <f t="shared" ref="I13" si="8">ROUND(H13*10%,0)</f>
        <v>1301134</v>
      </c>
      <c r="J13" s="32">
        <f t="shared" ref="J13" si="9">H13+I13</f>
        <v>14312475</v>
      </c>
      <c r="K13" s="32">
        <f t="shared" ref="K13" si="10">ROUND(J13*10%,0)</f>
        <v>1431248</v>
      </c>
      <c r="L13" s="32">
        <f t="shared" ref="L13" si="11">ROUND(K13*19%,0)</f>
        <v>271937</v>
      </c>
      <c r="M13" s="33">
        <f t="shared" ref="M13" si="12">ROUND(J13+L13,0)</f>
        <v>14584412</v>
      </c>
    </row>
    <row r="14" spans="1:24" ht="17.25" hidden="1" thickBot="1" x14ac:dyDescent="0.35"/>
    <row r="15" spans="1:24" ht="104.25" hidden="1" thickBot="1" x14ac:dyDescent="0.35">
      <c r="A15" s="29" t="s">
        <v>32</v>
      </c>
      <c r="B15" s="30" t="s">
        <v>15</v>
      </c>
      <c r="C15" s="30" t="s">
        <v>19</v>
      </c>
      <c r="D15" s="30" t="s">
        <v>33</v>
      </c>
      <c r="E15" s="31" t="s">
        <v>18</v>
      </c>
      <c r="F15" s="32">
        <f>E15*9.14</f>
        <v>13010790</v>
      </c>
      <c r="G15" s="32">
        <f>G3</f>
        <v>551</v>
      </c>
      <c r="H15" s="32">
        <f>F15+G15</f>
        <v>13011341</v>
      </c>
      <c r="I15" s="32">
        <f t="shared" ref="I15" si="13">ROUND(H15*10%,0)</f>
        <v>1301134</v>
      </c>
      <c r="J15" s="32">
        <f t="shared" ref="J15" si="14">H15+I15</f>
        <v>14312475</v>
      </c>
      <c r="K15" s="32">
        <f t="shared" ref="K15" si="15">ROUND(J15*10%,0)</f>
        <v>1431248</v>
      </c>
      <c r="L15" s="34">
        <f t="shared" ref="L15" si="16">ROUND(K15*19%,0)</f>
        <v>271937</v>
      </c>
      <c r="M15" s="35">
        <f t="shared" ref="M15" si="17">ROUND(J15+L15,0)</f>
        <v>14584412</v>
      </c>
    </row>
    <row r="16" spans="1:24" ht="17.25" hidden="1" thickBot="1" x14ac:dyDescent="0.35">
      <c r="L16" s="36" t="s">
        <v>34</v>
      </c>
      <c r="M16" s="37">
        <f>SUM(M5:M8,M10:M11,M13,M15)</f>
        <v>90535389</v>
      </c>
      <c r="N16" s="38">
        <f>+M16*2.07</f>
        <v>187408255.22999999</v>
      </c>
      <c r="O16" s="28">
        <f>(M16/30*60)</f>
        <v>181070778</v>
      </c>
      <c r="P16" s="28">
        <f>M16*2.5</f>
        <v>226338472.5</v>
      </c>
      <c r="R16" s="38">
        <v>90625237</v>
      </c>
      <c r="S16" s="38">
        <f>R16/30*60</f>
        <v>181250474</v>
      </c>
    </row>
    <row r="17" spans="1:16" ht="17.25" hidden="1" thickBot="1" x14ac:dyDescent="0.35">
      <c r="H17" s="86" t="s">
        <v>35</v>
      </c>
      <c r="I17" s="87"/>
      <c r="J17" s="87"/>
      <c r="K17" s="87"/>
      <c r="L17" s="88"/>
      <c r="M17" s="39">
        <f>ROUND(M16*1.5,0)</f>
        <v>135803084</v>
      </c>
      <c r="O17" s="28">
        <f>17/30</f>
        <v>0.56666666666666665</v>
      </c>
      <c r="P17" s="28"/>
    </row>
    <row r="18" spans="1:16" hidden="1" x14ac:dyDescent="0.3">
      <c r="H18" s="40"/>
      <c r="I18" s="40"/>
      <c r="J18" s="40"/>
      <c r="K18" s="40"/>
      <c r="L18" s="40"/>
      <c r="M18" s="41"/>
      <c r="O18" s="28"/>
      <c r="P18" s="28"/>
    </row>
    <row r="19" spans="1:16" ht="18" hidden="1" customHeight="1" x14ac:dyDescent="0.3">
      <c r="A19" s="89" t="s">
        <v>36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</row>
    <row r="20" spans="1:16" ht="16.5" hidden="1" customHeight="1" thickBot="1" x14ac:dyDescent="0.3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</row>
    <row r="21" spans="1:16" ht="60.75" hidden="1" thickBot="1" x14ac:dyDescent="0.35">
      <c r="A21" s="43" t="s">
        <v>1</v>
      </c>
      <c r="B21" s="7" t="s">
        <v>2</v>
      </c>
      <c r="C21" s="7" t="s">
        <v>3</v>
      </c>
      <c r="D21" s="7" t="s">
        <v>4</v>
      </c>
      <c r="E21" s="7" t="s">
        <v>5</v>
      </c>
      <c r="F21" s="7" t="s">
        <v>6</v>
      </c>
      <c r="G21" s="7" t="s">
        <v>7</v>
      </c>
      <c r="H21" s="7" t="s">
        <v>8</v>
      </c>
      <c r="I21" s="7" t="s">
        <v>9</v>
      </c>
      <c r="J21" s="7" t="s">
        <v>10</v>
      </c>
      <c r="K21" s="7" t="s">
        <v>11</v>
      </c>
      <c r="L21" s="7" t="s">
        <v>12</v>
      </c>
      <c r="M21" s="8" t="s">
        <v>13</v>
      </c>
    </row>
    <row r="22" spans="1:16" ht="51.75" hidden="1" customHeight="1" x14ac:dyDescent="0.3">
      <c r="A22" s="76" t="s">
        <v>14</v>
      </c>
      <c r="B22" s="12" t="s">
        <v>15</v>
      </c>
      <c r="C22" s="12" t="s">
        <v>16</v>
      </c>
      <c r="D22" s="12" t="s">
        <v>17</v>
      </c>
      <c r="E22" s="13" t="s">
        <v>18</v>
      </c>
      <c r="F22" s="14">
        <f>(E22*9.24)</f>
        <v>13153140</v>
      </c>
      <c r="G22" s="14">
        <f>$G$3</f>
        <v>551</v>
      </c>
      <c r="H22" s="14">
        <f>ROUND((F22+G22)*55.97%/30*26/15*14,0)</f>
        <v>5955138</v>
      </c>
      <c r="I22" s="14">
        <f>ROUND(H22*10%,0)</f>
        <v>595514</v>
      </c>
      <c r="J22" s="14">
        <f>H22+I22</f>
        <v>6550652</v>
      </c>
      <c r="K22" s="14">
        <f>ROUND(J22*10%,0)</f>
        <v>655065</v>
      </c>
      <c r="L22" s="14">
        <f>ROUND(K22*19%,0)</f>
        <v>124462</v>
      </c>
      <c r="M22" s="15">
        <f>ROUND(J22+L22,0)</f>
        <v>6675114</v>
      </c>
    </row>
    <row r="23" spans="1:16" ht="51.75" hidden="1" x14ac:dyDescent="0.3">
      <c r="A23" s="77"/>
      <c r="B23" s="17" t="s">
        <v>15</v>
      </c>
      <c r="C23" s="17" t="s">
        <v>19</v>
      </c>
      <c r="D23" s="17" t="s">
        <v>20</v>
      </c>
      <c r="E23" s="18" t="s">
        <v>18</v>
      </c>
      <c r="F23" s="19">
        <f t="shared" ref="F23:F25" si="18">(E23*9.24)</f>
        <v>13153140</v>
      </c>
      <c r="G23" s="19">
        <f t="shared" ref="G23:G25" si="19">$G$3</f>
        <v>551</v>
      </c>
      <c r="H23" s="19">
        <f>F23+G23</f>
        <v>13153691</v>
      </c>
      <c r="I23" s="19">
        <f t="shared" ref="I23:I25" si="20">ROUND(H23*10%,0)</f>
        <v>1315369</v>
      </c>
      <c r="J23" s="19">
        <f t="shared" ref="J23:J25" si="21">H23+I23</f>
        <v>14469060</v>
      </c>
      <c r="K23" s="19">
        <f t="shared" ref="K23:K25" si="22">ROUND(J23*10%,0)</f>
        <v>1446906</v>
      </c>
      <c r="L23" s="19">
        <f t="shared" ref="L23:L25" si="23">ROUND(K23*19%,0)</f>
        <v>274912</v>
      </c>
      <c r="M23" s="20">
        <f t="shared" ref="M23:M25" si="24">ROUND(J23+L23,0)</f>
        <v>14743972</v>
      </c>
    </row>
    <row r="24" spans="1:16" ht="51.75" hidden="1" x14ac:dyDescent="0.3">
      <c r="A24" s="77"/>
      <c r="B24" s="17" t="s">
        <v>15</v>
      </c>
      <c r="C24" s="17" t="s">
        <v>19</v>
      </c>
      <c r="D24" s="17" t="s">
        <v>21</v>
      </c>
      <c r="E24" s="18" t="s">
        <v>18</v>
      </c>
      <c r="F24" s="19">
        <f t="shared" si="18"/>
        <v>13153140</v>
      </c>
      <c r="G24" s="19">
        <f t="shared" si="19"/>
        <v>551</v>
      </c>
      <c r="H24" s="19">
        <f>F24+G24</f>
        <v>13153691</v>
      </c>
      <c r="I24" s="19">
        <f t="shared" si="20"/>
        <v>1315369</v>
      </c>
      <c r="J24" s="19">
        <f t="shared" si="21"/>
        <v>14469060</v>
      </c>
      <c r="K24" s="19">
        <f t="shared" si="22"/>
        <v>1446906</v>
      </c>
      <c r="L24" s="19">
        <f t="shared" si="23"/>
        <v>274912</v>
      </c>
      <c r="M24" s="20">
        <f t="shared" si="24"/>
        <v>14743972</v>
      </c>
    </row>
    <row r="25" spans="1:16" ht="121.5" hidden="1" thickBot="1" x14ac:dyDescent="0.35">
      <c r="A25" s="78"/>
      <c r="B25" s="22" t="s">
        <v>22</v>
      </c>
      <c r="C25" s="22" t="s">
        <v>23</v>
      </c>
      <c r="D25" s="22" t="s">
        <v>24</v>
      </c>
      <c r="E25" s="23" t="s">
        <v>18</v>
      </c>
      <c r="F25" s="24">
        <f t="shared" si="18"/>
        <v>13153140</v>
      </c>
      <c r="G25" s="24">
        <f t="shared" si="19"/>
        <v>551</v>
      </c>
      <c r="H25" s="24">
        <f>ROUND(((F25+G25)*55.97%/15*8)+(P25*O4),0)</f>
        <v>3974670</v>
      </c>
      <c r="I25" s="24">
        <f t="shared" si="20"/>
        <v>397467</v>
      </c>
      <c r="J25" s="24">
        <f t="shared" si="21"/>
        <v>4372137</v>
      </c>
      <c r="K25" s="24">
        <f t="shared" si="22"/>
        <v>437214</v>
      </c>
      <c r="L25" s="24">
        <f t="shared" si="23"/>
        <v>83071</v>
      </c>
      <c r="M25" s="25">
        <f t="shared" si="24"/>
        <v>4455208</v>
      </c>
      <c r="O25" s="26">
        <v>4079219</v>
      </c>
      <c r="P25" s="27">
        <v>131225</v>
      </c>
    </row>
    <row r="26" spans="1:16" ht="17.25" hidden="1" thickBot="1" x14ac:dyDescent="0.35">
      <c r="O26" s="28">
        <f>O25-H25</f>
        <v>104549</v>
      </c>
    </row>
    <row r="27" spans="1:16" ht="103.5" hidden="1" x14ac:dyDescent="0.3">
      <c r="A27" s="84" t="s">
        <v>25</v>
      </c>
      <c r="B27" s="12" t="s">
        <v>15</v>
      </c>
      <c r="C27" s="12" t="s">
        <v>26</v>
      </c>
      <c r="D27" s="12" t="s">
        <v>27</v>
      </c>
      <c r="E27" s="13" t="s">
        <v>18</v>
      </c>
      <c r="F27" s="14">
        <f>E27*9.24</f>
        <v>13153140</v>
      </c>
      <c r="G27" s="14">
        <f>$G$3</f>
        <v>551</v>
      </c>
      <c r="H27" s="14">
        <f>F27+G27</f>
        <v>13153691</v>
      </c>
      <c r="I27" s="14">
        <f t="shared" ref="I27" si="25">ROUND(H27*10%,0)</f>
        <v>1315369</v>
      </c>
      <c r="J27" s="14">
        <f t="shared" ref="J27" si="26">H27+I27</f>
        <v>14469060</v>
      </c>
      <c r="K27" s="14">
        <f t="shared" ref="K27" si="27">ROUND(J27*10%,0)</f>
        <v>1446906</v>
      </c>
      <c r="L27" s="14">
        <f t="shared" ref="L27" si="28">ROUND(K27*19%,0)</f>
        <v>274912</v>
      </c>
      <c r="M27" s="15">
        <f t="shared" ref="M27" si="29">ROUND(J27+L27,0)</f>
        <v>14743972</v>
      </c>
    </row>
    <row r="28" spans="1:16" ht="52.5" hidden="1" thickBot="1" x14ac:dyDescent="0.35">
      <c r="A28" s="85"/>
      <c r="B28" s="22" t="s">
        <v>15</v>
      </c>
      <c r="C28" s="22" t="s">
        <v>28</v>
      </c>
      <c r="D28" s="22" t="s">
        <v>29</v>
      </c>
      <c r="E28" s="23" t="s">
        <v>18</v>
      </c>
      <c r="F28" s="24">
        <f>(E28*9.24)</f>
        <v>13153140</v>
      </c>
      <c r="G28" s="24">
        <f>$G$3</f>
        <v>551</v>
      </c>
      <c r="H28" s="24">
        <f>ROUND((F28+G28)*55.97%/30*26/15*14,0)</f>
        <v>5955138</v>
      </c>
      <c r="I28" s="24">
        <f>ROUND(H28*10%,0)</f>
        <v>595514</v>
      </c>
      <c r="J28" s="24">
        <f>H28+I28</f>
        <v>6550652</v>
      </c>
      <c r="K28" s="24">
        <f>ROUND(J28*10%,0)</f>
        <v>655065</v>
      </c>
      <c r="L28" s="24">
        <f>ROUND(K28*19%,0)</f>
        <v>124462</v>
      </c>
      <c r="M28" s="25">
        <f>ROUND(J28+L28,0)</f>
        <v>6675114</v>
      </c>
    </row>
    <row r="29" spans="1:16" ht="17.25" hidden="1" thickBot="1" x14ac:dyDescent="0.35"/>
    <row r="30" spans="1:16" ht="69.75" hidden="1" thickBot="1" x14ac:dyDescent="0.35">
      <c r="A30" s="29" t="s">
        <v>30</v>
      </c>
      <c r="B30" s="30" t="s">
        <v>15</v>
      </c>
      <c r="C30" s="30" t="s">
        <v>19</v>
      </c>
      <c r="D30" s="30" t="s">
        <v>31</v>
      </c>
      <c r="E30" s="31" t="s">
        <v>18</v>
      </c>
      <c r="F30" s="32">
        <f>E30*9.24</f>
        <v>13153140</v>
      </c>
      <c r="G30" s="32">
        <v>551</v>
      </c>
      <c r="H30" s="32">
        <f>F30+G30</f>
        <v>13153691</v>
      </c>
      <c r="I30" s="32">
        <f t="shared" ref="I30" si="30">ROUND(H30*10%,0)</f>
        <v>1315369</v>
      </c>
      <c r="J30" s="32">
        <f t="shared" ref="J30" si="31">H30+I30</f>
        <v>14469060</v>
      </c>
      <c r="K30" s="32">
        <f t="shared" ref="K30" si="32">ROUND(J30*10%,0)</f>
        <v>1446906</v>
      </c>
      <c r="L30" s="32">
        <f t="shared" ref="L30" si="33">ROUND(K30*19%,0)</f>
        <v>274912</v>
      </c>
      <c r="M30" s="33">
        <f t="shared" ref="M30" si="34">ROUND(J30+L30,0)</f>
        <v>14743972</v>
      </c>
    </row>
    <row r="31" spans="1:16" ht="17.25" hidden="1" thickBot="1" x14ac:dyDescent="0.35"/>
    <row r="32" spans="1:16" ht="104.25" hidden="1" thickBot="1" x14ac:dyDescent="0.35">
      <c r="A32" s="29" t="s">
        <v>32</v>
      </c>
      <c r="B32" s="30" t="s">
        <v>15</v>
      </c>
      <c r="C32" s="30" t="s">
        <v>19</v>
      </c>
      <c r="D32" s="30" t="s">
        <v>33</v>
      </c>
      <c r="E32" s="31" t="s">
        <v>18</v>
      </c>
      <c r="F32" s="32">
        <f>E32*9.24</f>
        <v>13153140</v>
      </c>
      <c r="G32" s="32">
        <v>551</v>
      </c>
      <c r="H32" s="32">
        <f>F32+G32</f>
        <v>13153691</v>
      </c>
      <c r="I32" s="32">
        <f t="shared" ref="I32" si="35">ROUND(H32*10%,0)</f>
        <v>1315369</v>
      </c>
      <c r="J32" s="32">
        <f t="shared" ref="J32" si="36">H32+I32</f>
        <v>14469060</v>
      </c>
      <c r="K32" s="32">
        <f t="shared" ref="K32" si="37">ROUND(J32*10%,0)</f>
        <v>1446906</v>
      </c>
      <c r="L32" s="34">
        <f t="shared" ref="L32" si="38">ROUND(K32*19%,0)</f>
        <v>274912</v>
      </c>
      <c r="M32" s="35">
        <f t="shared" ref="M32" si="39">ROUND(J32+L32,0)</f>
        <v>14743972</v>
      </c>
      <c r="N32" s="1" t="s">
        <v>37</v>
      </c>
    </row>
    <row r="33" spans="1:29" ht="17.25" hidden="1" thickBot="1" x14ac:dyDescent="0.35">
      <c r="L33" s="44" t="s">
        <v>34</v>
      </c>
      <c r="M33" s="37">
        <f>SUM(M22:M25,M27:M28,M30,M32)</f>
        <v>91525296</v>
      </c>
      <c r="N33" s="38">
        <f>+M33/30*14</f>
        <v>42711804.800000004</v>
      </c>
      <c r="O33" s="28">
        <f>(M33/30*136)</f>
        <v>414914675.20000005</v>
      </c>
      <c r="P33" s="28"/>
      <c r="R33" s="38">
        <v>92110103</v>
      </c>
      <c r="S33" s="38">
        <f>R33/30*136</f>
        <v>417565800.26666665</v>
      </c>
    </row>
    <row r="34" spans="1:29" ht="17.25" hidden="1" thickBot="1" x14ac:dyDescent="0.35">
      <c r="I34" s="86" t="s">
        <v>38</v>
      </c>
      <c r="J34" s="87"/>
      <c r="K34" s="87"/>
      <c r="L34" s="88"/>
      <c r="M34" s="39">
        <f>ROUND(M33/30*14,0)</f>
        <v>42711805</v>
      </c>
      <c r="O34" s="1">
        <f>15/30</f>
        <v>0.5</v>
      </c>
      <c r="P34" s="1">
        <f>1.57+0.5</f>
        <v>2.0700000000000003</v>
      </c>
      <c r="S34" s="28" t="e">
        <f>S33+#REF!</f>
        <v>#REF!</v>
      </c>
    </row>
    <row r="35" spans="1:29" ht="18" hidden="1" customHeight="1" x14ac:dyDescent="0.3">
      <c r="A35" s="89" t="s">
        <v>39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</row>
    <row r="36" spans="1:29" ht="16.5" hidden="1" customHeight="1" thickBot="1" x14ac:dyDescent="0.3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</row>
    <row r="37" spans="1:29" ht="60.75" hidden="1" thickBot="1" x14ac:dyDescent="0.35">
      <c r="A37" s="6" t="s">
        <v>1</v>
      </c>
      <c r="B37" s="45" t="s">
        <v>2</v>
      </c>
      <c r="C37" s="45" t="s">
        <v>3</v>
      </c>
      <c r="D37" s="45" t="s">
        <v>4</v>
      </c>
      <c r="E37" s="45" t="s">
        <v>5</v>
      </c>
      <c r="F37" s="45" t="s">
        <v>6</v>
      </c>
      <c r="G37" s="45" t="s">
        <v>7</v>
      </c>
      <c r="H37" s="45" t="s">
        <v>8</v>
      </c>
      <c r="I37" s="45" t="s">
        <v>9</v>
      </c>
      <c r="J37" s="45" t="s">
        <v>10</v>
      </c>
      <c r="K37" s="45" t="s">
        <v>11</v>
      </c>
      <c r="L37" s="45" t="s">
        <v>12</v>
      </c>
      <c r="M37" s="46" t="s">
        <v>13</v>
      </c>
    </row>
    <row r="38" spans="1:29" ht="51.75" hidden="1" customHeight="1" x14ac:dyDescent="0.3">
      <c r="A38" s="76" t="s">
        <v>14</v>
      </c>
      <c r="B38" s="12" t="s">
        <v>15</v>
      </c>
      <c r="C38" s="12" t="s">
        <v>16</v>
      </c>
      <c r="D38" s="12" t="s">
        <v>17</v>
      </c>
      <c r="E38" s="13" t="s">
        <v>18</v>
      </c>
      <c r="F38" s="14">
        <f>(E38*9.53)</f>
        <v>13565955</v>
      </c>
      <c r="G38" s="14">
        <f>$G$3</f>
        <v>551</v>
      </c>
      <c r="H38" s="14">
        <f>ROUND((F38+G38)*55.97%/30*26/15*14,0)</f>
        <v>6142034</v>
      </c>
      <c r="I38" s="14">
        <f>ROUND(H38*10%,0)</f>
        <v>614203</v>
      </c>
      <c r="J38" s="14">
        <f>H38+I38</f>
        <v>6756237</v>
      </c>
      <c r="K38" s="14">
        <f>ROUND(J38*10%,0)</f>
        <v>675624</v>
      </c>
      <c r="L38" s="14">
        <f>ROUND(K38*19%,0)</f>
        <v>128369</v>
      </c>
      <c r="M38" s="15">
        <f>ROUND(J38+L38,0)</f>
        <v>6884606</v>
      </c>
    </row>
    <row r="39" spans="1:29" ht="51.75" hidden="1" x14ac:dyDescent="0.3">
      <c r="A39" s="77"/>
      <c r="B39" s="17" t="s">
        <v>15</v>
      </c>
      <c r="C39" s="17" t="s">
        <v>19</v>
      </c>
      <c r="D39" s="17" t="s">
        <v>20</v>
      </c>
      <c r="E39" s="18" t="s">
        <v>18</v>
      </c>
      <c r="F39" s="19">
        <f>E39*9.53</f>
        <v>13565955</v>
      </c>
      <c r="G39" s="19">
        <f t="shared" ref="G39:G41" si="40">$G$3</f>
        <v>551</v>
      </c>
      <c r="H39" s="19">
        <f>F39+G39</f>
        <v>13566506</v>
      </c>
      <c r="I39" s="19">
        <f t="shared" ref="I39:I41" si="41">ROUND(H39*10%,0)</f>
        <v>1356651</v>
      </c>
      <c r="J39" s="19">
        <f t="shared" ref="J39:J41" si="42">H39+I39</f>
        <v>14923157</v>
      </c>
      <c r="K39" s="19">
        <f t="shared" ref="K39:K41" si="43">ROUND(J39*10%,0)</f>
        <v>1492316</v>
      </c>
      <c r="L39" s="19">
        <f t="shared" ref="L39:L41" si="44">ROUND(K39*19%,0)</f>
        <v>283540</v>
      </c>
      <c r="M39" s="20">
        <f t="shared" ref="M39:M41" si="45">ROUND(J39+L39,0)</f>
        <v>15206697</v>
      </c>
    </row>
    <row r="40" spans="1:29" ht="51.75" hidden="1" x14ac:dyDescent="0.3">
      <c r="A40" s="77"/>
      <c r="B40" s="17" t="s">
        <v>15</v>
      </c>
      <c r="C40" s="17" t="s">
        <v>19</v>
      </c>
      <c r="D40" s="17" t="s">
        <v>21</v>
      </c>
      <c r="E40" s="18" t="s">
        <v>18</v>
      </c>
      <c r="F40" s="19">
        <f>E40*9.53</f>
        <v>13565955</v>
      </c>
      <c r="G40" s="19">
        <f t="shared" si="40"/>
        <v>551</v>
      </c>
      <c r="H40" s="19">
        <f>F40+G40</f>
        <v>13566506</v>
      </c>
      <c r="I40" s="19">
        <f t="shared" si="41"/>
        <v>1356651</v>
      </c>
      <c r="J40" s="19">
        <f t="shared" si="42"/>
        <v>14923157</v>
      </c>
      <c r="K40" s="19">
        <f t="shared" si="43"/>
        <v>1492316</v>
      </c>
      <c r="L40" s="19">
        <f t="shared" si="44"/>
        <v>283540</v>
      </c>
      <c r="M40" s="20">
        <f t="shared" si="45"/>
        <v>15206697</v>
      </c>
    </row>
    <row r="41" spans="1:29" ht="121.5" hidden="1" thickBot="1" x14ac:dyDescent="0.35">
      <c r="A41" s="78"/>
      <c r="B41" s="22" t="s">
        <v>22</v>
      </c>
      <c r="C41" s="22" t="s">
        <v>23</v>
      </c>
      <c r="D41" s="22" t="s">
        <v>24</v>
      </c>
      <c r="E41" s="23" t="s">
        <v>18</v>
      </c>
      <c r="F41" s="24">
        <f>E41*9.53</f>
        <v>13565955</v>
      </c>
      <c r="G41" s="24">
        <f t="shared" si="40"/>
        <v>551</v>
      </c>
      <c r="H41" s="24">
        <f>ROUND(((F41+G41)*55.97%/15*8)+(P41*O4),0)</f>
        <v>4097898</v>
      </c>
      <c r="I41" s="24">
        <f t="shared" si="41"/>
        <v>409790</v>
      </c>
      <c r="J41" s="24">
        <f t="shared" si="42"/>
        <v>4507688</v>
      </c>
      <c r="K41" s="24">
        <f t="shared" si="43"/>
        <v>450769</v>
      </c>
      <c r="L41" s="24">
        <f t="shared" si="44"/>
        <v>85646</v>
      </c>
      <c r="M41" s="25">
        <f t="shared" si="45"/>
        <v>4593334</v>
      </c>
      <c r="O41" s="26">
        <v>4079219</v>
      </c>
      <c r="P41" s="27">
        <v>131225</v>
      </c>
    </row>
    <row r="42" spans="1:29" ht="17.25" hidden="1" thickBot="1" x14ac:dyDescent="0.35">
      <c r="O42" s="28">
        <f>O41-H41</f>
        <v>-18679</v>
      </c>
    </row>
    <row r="43" spans="1:29" ht="103.5" hidden="1" x14ac:dyDescent="0.3">
      <c r="A43" s="84" t="s">
        <v>25</v>
      </c>
      <c r="B43" s="12" t="s">
        <v>15</v>
      </c>
      <c r="C43" s="12" t="s">
        <v>26</v>
      </c>
      <c r="D43" s="12" t="s">
        <v>27</v>
      </c>
      <c r="E43" s="13" t="s">
        <v>18</v>
      </c>
      <c r="F43" s="14">
        <f>E43*9.53</f>
        <v>13565955</v>
      </c>
      <c r="G43" s="14">
        <f>$G$3</f>
        <v>551</v>
      </c>
      <c r="H43" s="14">
        <f>F43+G43</f>
        <v>13566506</v>
      </c>
      <c r="I43" s="14">
        <f t="shared" ref="I43" si="46">ROUND(H43*10%,0)</f>
        <v>1356651</v>
      </c>
      <c r="J43" s="14">
        <f t="shared" ref="J43" si="47">H43+I43</f>
        <v>14923157</v>
      </c>
      <c r="K43" s="14">
        <f t="shared" ref="K43" si="48">ROUND(J43*10%,0)</f>
        <v>1492316</v>
      </c>
      <c r="L43" s="14">
        <f t="shared" ref="L43" si="49">ROUND(K43*19%,0)</f>
        <v>283540</v>
      </c>
      <c r="M43" s="15">
        <f t="shared" ref="M43" si="50">ROUND(J43+L43,0)</f>
        <v>15206697</v>
      </c>
    </row>
    <row r="44" spans="1:29" ht="52.5" hidden="1" thickBot="1" x14ac:dyDescent="0.35">
      <c r="A44" s="85"/>
      <c r="B44" s="22" t="s">
        <v>15</v>
      </c>
      <c r="C44" s="22" t="s">
        <v>28</v>
      </c>
      <c r="D44" s="22" t="s">
        <v>29</v>
      </c>
      <c r="E44" s="23" t="s">
        <v>18</v>
      </c>
      <c r="F44" s="24">
        <f>(E44*9.53)</f>
        <v>13565955</v>
      </c>
      <c r="G44" s="24">
        <f>$G$3</f>
        <v>551</v>
      </c>
      <c r="H44" s="24">
        <f>ROUND((F44+G44)*55.97%/30*26/15*14,0)</f>
        <v>6142034</v>
      </c>
      <c r="I44" s="24">
        <f>ROUND(H44*10%,0)</f>
        <v>614203</v>
      </c>
      <c r="J44" s="24">
        <f>H44+I44</f>
        <v>6756237</v>
      </c>
      <c r="K44" s="24">
        <f>ROUND(J44*10%,0)</f>
        <v>675624</v>
      </c>
      <c r="L44" s="24">
        <f>ROUND(K44*19%,0)</f>
        <v>128369</v>
      </c>
      <c r="M44" s="25">
        <f>ROUND(J44+L44,0)</f>
        <v>6884606</v>
      </c>
    </row>
    <row r="45" spans="1:29" ht="17.25" hidden="1" thickBot="1" x14ac:dyDescent="0.35"/>
    <row r="46" spans="1:29" ht="69.75" hidden="1" thickBot="1" x14ac:dyDescent="0.35">
      <c r="A46" s="29" t="s">
        <v>30</v>
      </c>
      <c r="B46" s="30" t="s">
        <v>15</v>
      </c>
      <c r="C46" s="30" t="s">
        <v>19</v>
      </c>
      <c r="D46" s="30" t="s">
        <v>31</v>
      </c>
      <c r="E46" s="31" t="s">
        <v>18</v>
      </c>
      <c r="F46" s="32">
        <f>E46*9.53</f>
        <v>13565955</v>
      </c>
      <c r="G46" s="32">
        <f>G3</f>
        <v>551</v>
      </c>
      <c r="H46" s="32">
        <f>F46+G46</f>
        <v>13566506</v>
      </c>
      <c r="I46" s="32">
        <f t="shared" ref="I46" si="51">ROUND(H46*10%,0)</f>
        <v>1356651</v>
      </c>
      <c r="J46" s="32">
        <f t="shared" ref="J46" si="52">H46+I46</f>
        <v>14923157</v>
      </c>
      <c r="K46" s="32">
        <f t="shared" ref="K46" si="53">ROUND(J46*10%,0)</f>
        <v>1492316</v>
      </c>
      <c r="L46" s="32">
        <f t="shared" ref="L46" si="54">ROUND(K46*19%,0)</f>
        <v>283540</v>
      </c>
      <c r="M46" s="33">
        <f t="shared" ref="M46" si="55">ROUND(J46+L46,0)</f>
        <v>15206697</v>
      </c>
    </row>
    <row r="47" spans="1:29" ht="17.25" hidden="1" thickBot="1" x14ac:dyDescent="0.35"/>
    <row r="48" spans="1:29" ht="104.25" hidden="1" thickBot="1" x14ac:dyDescent="0.35">
      <c r="A48" s="29" t="s">
        <v>32</v>
      </c>
      <c r="B48" s="30" t="s">
        <v>15</v>
      </c>
      <c r="C48" s="30" t="s">
        <v>19</v>
      </c>
      <c r="D48" s="30" t="s">
        <v>33</v>
      </c>
      <c r="E48" s="31" t="s">
        <v>18</v>
      </c>
      <c r="F48" s="32">
        <f>E48*9.53</f>
        <v>13565955</v>
      </c>
      <c r="G48" s="32">
        <f>G3</f>
        <v>551</v>
      </c>
      <c r="H48" s="32">
        <f>F48+G48</f>
        <v>13566506</v>
      </c>
      <c r="I48" s="32">
        <f t="shared" ref="I48" si="56">ROUND(H48*10%,0)</f>
        <v>1356651</v>
      </c>
      <c r="J48" s="32">
        <f t="shared" ref="J48" si="57">H48+I48</f>
        <v>14923157</v>
      </c>
      <c r="K48" s="32">
        <f t="shared" ref="K48" si="58">ROUND(J48*10%,0)</f>
        <v>1492316</v>
      </c>
      <c r="L48" s="34">
        <f t="shared" ref="L48" si="59">ROUND(K48*19%,0)</f>
        <v>283540</v>
      </c>
      <c r="M48" s="35">
        <f t="shared" ref="M48" si="60">ROUND(J48+L48,0)</f>
        <v>15206697</v>
      </c>
      <c r="N48" s="38">
        <v>613462031</v>
      </c>
      <c r="V48" s="28"/>
      <c r="AC48" s="47" t="s">
        <v>40</v>
      </c>
    </row>
    <row r="49" spans="1:29" ht="17.25" hidden="1" thickBot="1" x14ac:dyDescent="0.35">
      <c r="L49" s="44" t="s">
        <v>34</v>
      </c>
      <c r="M49" s="37">
        <f>SUM(M38:M41,M43:M44,M46,M48)</f>
        <v>94396031</v>
      </c>
      <c r="N49" s="48">
        <f>+M49/30*15</f>
        <v>47198015.5</v>
      </c>
      <c r="O49" s="49">
        <f>(M49/30*136)</f>
        <v>427928673.86666667</v>
      </c>
      <c r="P49" s="49"/>
      <c r="Q49" s="50"/>
      <c r="R49" s="48">
        <v>92110103</v>
      </c>
      <c r="S49" s="48">
        <f>R49/30*136</f>
        <v>417565800.26666665</v>
      </c>
      <c r="T49" s="50"/>
      <c r="U49" s="50"/>
      <c r="V49" s="50" t="s">
        <v>41</v>
      </c>
      <c r="W49" s="50"/>
      <c r="X49" s="50" t="s">
        <v>42</v>
      </c>
      <c r="Y49" s="51"/>
      <c r="Z49" s="51"/>
      <c r="AA49" s="51"/>
      <c r="AB49" s="52">
        <f>M49/30*16</f>
        <v>50344549.866666667</v>
      </c>
      <c r="AC49" s="52">
        <f>N33+AB49</f>
        <v>93056354.666666672</v>
      </c>
    </row>
    <row r="50" spans="1:29" ht="17.25" hidden="1" thickBot="1" x14ac:dyDescent="0.35">
      <c r="I50" s="86" t="s">
        <v>43</v>
      </c>
      <c r="J50" s="87"/>
      <c r="K50" s="87"/>
      <c r="L50" s="88"/>
      <c r="M50" s="39">
        <f>ROUND(M49/30*136,0)</f>
        <v>427928674</v>
      </c>
      <c r="N50" s="38">
        <f>+N49+N33</f>
        <v>89909820.300000012</v>
      </c>
      <c r="O50" s="1">
        <f>19/30</f>
        <v>0.6333333333333333</v>
      </c>
      <c r="S50" s="28">
        <f>S49+S16</f>
        <v>598816274.26666665</v>
      </c>
      <c r="V50" s="1" t="s">
        <v>44</v>
      </c>
    </row>
    <row r="51" spans="1:29" ht="17.25" hidden="1" thickBot="1" x14ac:dyDescent="0.35">
      <c r="I51" s="53"/>
      <c r="J51" s="53"/>
      <c r="K51" s="53"/>
      <c r="L51" s="53"/>
    </row>
    <row r="52" spans="1:29" ht="17.25" hidden="1" thickBot="1" x14ac:dyDescent="0.35">
      <c r="H52" s="86" t="s">
        <v>45</v>
      </c>
      <c r="I52" s="87"/>
      <c r="J52" s="87"/>
      <c r="K52" s="87"/>
      <c r="L52" s="88"/>
      <c r="M52" s="39">
        <f>M17+M34+M50</f>
        <v>606443563</v>
      </c>
      <c r="O52" s="38">
        <v>613462031</v>
      </c>
      <c r="P52" s="1">
        <f>1.57+0.47+4.53</f>
        <v>6.57</v>
      </c>
      <c r="Q52" s="28">
        <f>M52-O52</f>
        <v>-7018468</v>
      </c>
      <c r="V52" s="1" t="s">
        <v>46</v>
      </c>
      <c r="W52" s="1" t="s">
        <v>47</v>
      </c>
      <c r="X52" s="1" t="s">
        <v>48</v>
      </c>
      <c r="Y52" s="2" t="s">
        <v>49</v>
      </c>
      <c r="Z52" s="2" t="s">
        <v>50</v>
      </c>
      <c r="AA52" s="2" t="s">
        <v>51</v>
      </c>
      <c r="AB52" s="2" t="s">
        <v>52</v>
      </c>
    </row>
    <row r="53" spans="1:29" hidden="1" x14ac:dyDescent="0.3">
      <c r="H53" s="40"/>
      <c r="I53" s="40"/>
      <c r="J53" s="40"/>
      <c r="K53" s="40"/>
      <c r="L53" s="40"/>
      <c r="M53" s="41"/>
      <c r="O53" s="38"/>
      <c r="Q53" s="28"/>
    </row>
    <row r="54" spans="1:29" hidden="1" x14ac:dyDescent="0.3">
      <c r="H54" s="40"/>
      <c r="I54" s="40"/>
      <c r="J54" s="40"/>
      <c r="K54" s="40"/>
      <c r="L54" s="40"/>
      <c r="M54" s="41"/>
      <c r="O54" s="38"/>
      <c r="Q54" s="28"/>
    </row>
    <row r="55" spans="1:29" ht="18" hidden="1" customHeight="1" x14ac:dyDescent="0.3">
      <c r="A55" s="90" t="s">
        <v>53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</row>
    <row r="56" spans="1:29" ht="18.75" hidden="1" thickBot="1" x14ac:dyDescent="0.3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</row>
    <row r="57" spans="1:29" ht="60.75" hidden="1" thickBot="1" x14ac:dyDescent="0.35">
      <c r="A57" s="6" t="s">
        <v>1</v>
      </c>
      <c r="B57" s="45" t="s">
        <v>2</v>
      </c>
      <c r="C57" s="45" t="s">
        <v>3</v>
      </c>
      <c r="D57" s="45" t="s">
        <v>4</v>
      </c>
      <c r="E57" s="45" t="s">
        <v>5</v>
      </c>
      <c r="F57" s="45" t="s">
        <v>6</v>
      </c>
      <c r="G57" s="45" t="s">
        <v>7</v>
      </c>
      <c r="H57" s="45" t="s">
        <v>8</v>
      </c>
      <c r="I57" s="45" t="s">
        <v>9</v>
      </c>
      <c r="J57" s="45" t="s">
        <v>10</v>
      </c>
      <c r="K57" s="45" t="s">
        <v>11</v>
      </c>
      <c r="L57" s="45" t="s">
        <v>12</v>
      </c>
      <c r="M57" s="46" t="s">
        <v>13</v>
      </c>
    </row>
    <row r="58" spans="1:29" ht="51.75" hidden="1" customHeight="1" x14ac:dyDescent="0.3">
      <c r="A58" s="76" t="s">
        <v>14</v>
      </c>
      <c r="B58" s="12" t="s">
        <v>15</v>
      </c>
      <c r="C58" s="12" t="s">
        <v>16</v>
      </c>
      <c r="D58" s="12" t="s">
        <v>17</v>
      </c>
      <c r="E58" s="13" t="s">
        <v>18</v>
      </c>
      <c r="F58" s="14">
        <f>(E58*9.53)</f>
        <v>13565955</v>
      </c>
      <c r="G58" s="14">
        <f>$G$3</f>
        <v>551</v>
      </c>
      <c r="H58" s="14">
        <f>ROUND((F58+G58)*55.97%/30*26/15*14,0)</f>
        <v>6142034</v>
      </c>
      <c r="I58" s="14">
        <f>ROUND(H58*10%,0)</f>
        <v>614203</v>
      </c>
      <c r="J58" s="14">
        <f>H58+I58</f>
        <v>6756237</v>
      </c>
      <c r="K58" s="14">
        <f>ROUND(J58*10%,0)</f>
        <v>675624</v>
      </c>
      <c r="L58" s="14">
        <f>ROUND(K58*19%,0)</f>
        <v>128369</v>
      </c>
      <c r="M58" s="15">
        <f>ROUND(J58+L58,0)</f>
        <v>6884606</v>
      </c>
    </row>
    <row r="59" spans="1:29" ht="51.75" hidden="1" x14ac:dyDescent="0.3">
      <c r="A59" s="77"/>
      <c r="B59" s="17" t="s">
        <v>15</v>
      </c>
      <c r="C59" s="17" t="s">
        <v>19</v>
      </c>
      <c r="D59" s="17" t="s">
        <v>20</v>
      </c>
      <c r="E59" s="18" t="s">
        <v>18</v>
      </c>
      <c r="F59" s="19">
        <f>E59*9.53</f>
        <v>13565955</v>
      </c>
      <c r="G59" s="19">
        <f>$G$3</f>
        <v>551</v>
      </c>
      <c r="H59" s="19">
        <f>F59+G59</f>
        <v>13566506</v>
      </c>
      <c r="I59" s="19">
        <f>ROUND(H59*10%,0)</f>
        <v>1356651</v>
      </c>
      <c r="J59" s="19">
        <f>H59+I59</f>
        <v>14923157</v>
      </c>
      <c r="K59" s="19">
        <f>ROUND(J59*10%,0)</f>
        <v>1492316</v>
      </c>
      <c r="L59" s="19">
        <f>ROUND(K59*19%,0)</f>
        <v>283540</v>
      </c>
      <c r="M59" s="20">
        <f>ROUND(J59+L59,0)</f>
        <v>15206697</v>
      </c>
    </row>
    <row r="60" spans="1:29" ht="51.75" hidden="1" x14ac:dyDescent="0.3">
      <c r="A60" s="77"/>
      <c r="B60" s="17" t="s">
        <v>15</v>
      </c>
      <c r="C60" s="17" t="s">
        <v>19</v>
      </c>
      <c r="D60" s="17" t="s">
        <v>21</v>
      </c>
      <c r="E60" s="18" t="s">
        <v>18</v>
      </c>
      <c r="F60" s="19">
        <f>E60*9.53</f>
        <v>13565955</v>
      </c>
      <c r="G60" s="19">
        <f>$G$3</f>
        <v>551</v>
      </c>
      <c r="H60" s="19">
        <f>F60+G60</f>
        <v>13566506</v>
      </c>
      <c r="I60" s="19">
        <f>ROUND(H60*10%,0)</f>
        <v>1356651</v>
      </c>
      <c r="J60" s="19">
        <f>H60+I60</f>
        <v>14923157</v>
      </c>
      <c r="K60" s="19">
        <f>ROUND(J60*10%,0)</f>
        <v>1492316</v>
      </c>
      <c r="L60" s="19">
        <f>ROUND(K60*19%,0)</f>
        <v>283540</v>
      </c>
      <c r="M60" s="20">
        <f>ROUND(J60+L60,0)</f>
        <v>15206697</v>
      </c>
    </row>
    <row r="61" spans="1:29" ht="121.5" hidden="1" thickBot="1" x14ac:dyDescent="0.35">
      <c r="A61" s="78"/>
      <c r="B61" s="22" t="s">
        <v>22</v>
      </c>
      <c r="C61" s="22" t="s">
        <v>23</v>
      </c>
      <c r="D61" s="22" t="s">
        <v>24</v>
      </c>
      <c r="E61" s="23" t="s">
        <v>18</v>
      </c>
      <c r="F61" s="24">
        <f>E61*9.53</f>
        <v>13565955</v>
      </c>
      <c r="G61" s="24">
        <f>$G$3</f>
        <v>551</v>
      </c>
      <c r="H61" s="24">
        <f>ROUND(((F61+G61)*55.97%/15*8)+(P61*O4),0)</f>
        <v>4097898</v>
      </c>
      <c r="I61" s="24">
        <f>ROUND(H61*10%,0)</f>
        <v>409790</v>
      </c>
      <c r="J61" s="24">
        <f>H61+I61</f>
        <v>4507688</v>
      </c>
      <c r="K61" s="24">
        <f>ROUND(J61*10%,0)</f>
        <v>450769</v>
      </c>
      <c r="L61" s="24">
        <f>ROUND(K61*19%,0)</f>
        <v>85646</v>
      </c>
      <c r="M61" s="25">
        <f>ROUND(J61+L61,0)</f>
        <v>4593334</v>
      </c>
      <c r="O61" s="26">
        <v>4079219</v>
      </c>
      <c r="P61" s="27">
        <v>131225</v>
      </c>
    </row>
    <row r="62" spans="1:29" ht="17.25" hidden="1" thickBot="1" x14ac:dyDescent="0.35">
      <c r="O62" s="28">
        <f>O61-H61</f>
        <v>-18679</v>
      </c>
    </row>
    <row r="63" spans="1:29" ht="103.5" hidden="1" x14ac:dyDescent="0.3">
      <c r="A63" s="84" t="s">
        <v>25</v>
      </c>
      <c r="B63" s="12" t="s">
        <v>15</v>
      </c>
      <c r="C63" s="12" t="s">
        <v>26</v>
      </c>
      <c r="D63" s="12" t="s">
        <v>27</v>
      </c>
      <c r="E63" s="13" t="s">
        <v>18</v>
      </c>
      <c r="F63" s="14">
        <f>E63*9.53</f>
        <v>13565955</v>
      </c>
      <c r="G63" s="14">
        <f>$G$3</f>
        <v>551</v>
      </c>
      <c r="H63" s="14">
        <f>F63+G63</f>
        <v>13566506</v>
      </c>
      <c r="I63" s="14">
        <f>ROUND(H63*10%,0)</f>
        <v>1356651</v>
      </c>
      <c r="J63" s="14">
        <f>H63+I63</f>
        <v>14923157</v>
      </c>
      <c r="K63" s="14">
        <f>ROUND(J63*10%,0)</f>
        <v>1492316</v>
      </c>
      <c r="L63" s="14">
        <f>ROUND(K63*19%,0)</f>
        <v>283540</v>
      </c>
      <c r="M63" s="15">
        <f>ROUND(J63+L63,0)</f>
        <v>15206697</v>
      </c>
    </row>
    <row r="64" spans="1:29" ht="52.5" hidden="1" thickBot="1" x14ac:dyDescent="0.35">
      <c r="A64" s="85"/>
      <c r="B64" s="22" t="s">
        <v>15</v>
      </c>
      <c r="C64" s="22" t="s">
        <v>28</v>
      </c>
      <c r="D64" s="22" t="s">
        <v>29</v>
      </c>
      <c r="E64" s="23" t="s">
        <v>18</v>
      </c>
      <c r="F64" s="24">
        <f>(E64*9.53)</f>
        <v>13565955</v>
      </c>
      <c r="G64" s="24">
        <f>$G$3</f>
        <v>551</v>
      </c>
      <c r="H64" s="24">
        <f>ROUND((F64+G64)*55.97%/30*26/15*14,0)</f>
        <v>6142034</v>
      </c>
      <c r="I64" s="24">
        <f>ROUND(H64*10%,0)</f>
        <v>614203</v>
      </c>
      <c r="J64" s="24">
        <f>H64+I64</f>
        <v>6756237</v>
      </c>
      <c r="K64" s="24">
        <f>ROUND(J64*10%,0)</f>
        <v>675624</v>
      </c>
      <c r="L64" s="24">
        <f>ROUND(K64*19%,0)</f>
        <v>128369</v>
      </c>
      <c r="M64" s="25">
        <f>ROUND(J64+L64,0)</f>
        <v>6884606</v>
      </c>
    </row>
    <row r="65" spans="1:29" ht="17.25" hidden="1" thickBot="1" x14ac:dyDescent="0.35"/>
    <row r="66" spans="1:29" ht="69.75" hidden="1" thickBot="1" x14ac:dyDescent="0.35">
      <c r="A66" s="29" t="s">
        <v>30</v>
      </c>
      <c r="B66" s="30" t="s">
        <v>15</v>
      </c>
      <c r="C66" s="30" t="s">
        <v>19</v>
      </c>
      <c r="D66" s="30" t="s">
        <v>31</v>
      </c>
      <c r="E66" s="31" t="s">
        <v>18</v>
      </c>
      <c r="F66" s="32">
        <f>E66*9.53</f>
        <v>13565955</v>
      </c>
      <c r="G66" s="32">
        <f>G23</f>
        <v>551</v>
      </c>
      <c r="H66" s="32">
        <f>F66+G66</f>
        <v>13566506</v>
      </c>
      <c r="I66" s="32">
        <f>ROUND(H66*10%,0)</f>
        <v>1356651</v>
      </c>
      <c r="J66" s="32">
        <f>H66+I66</f>
        <v>14923157</v>
      </c>
      <c r="K66" s="32">
        <f>ROUND(J66*10%,0)</f>
        <v>1492316</v>
      </c>
      <c r="L66" s="32">
        <f>ROUND(K66*19%,0)</f>
        <v>283540</v>
      </c>
      <c r="M66" s="33">
        <f>ROUND(J66+L66,0)</f>
        <v>15206697</v>
      </c>
    </row>
    <row r="67" spans="1:29" ht="17.25" hidden="1" thickBot="1" x14ac:dyDescent="0.35"/>
    <row r="68" spans="1:29" ht="104.25" hidden="1" thickBot="1" x14ac:dyDescent="0.35">
      <c r="A68" s="29" t="s">
        <v>32</v>
      </c>
      <c r="B68" s="30" t="s">
        <v>15</v>
      </c>
      <c r="C68" s="30" t="s">
        <v>19</v>
      </c>
      <c r="D68" s="30" t="s">
        <v>33</v>
      </c>
      <c r="E68" s="31" t="s">
        <v>18</v>
      </c>
      <c r="F68" s="32">
        <f>E68*9.53</f>
        <v>13565955</v>
      </c>
      <c r="G68" s="32">
        <f>G23</f>
        <v>551</v>
      </c>
      <c r="H68" s="32">
        <f>F68+G68</f>
        <v>13566506</v>
      </c>
      <c r="I68" s="32">
        <f>ROUND(H68*10%,0)</f>
        <v>1356651</v>
      </c>
      <c r="J68" s="32">
        <f>H68+I68</f>
        <v>14923157</v>
      </c>
      <c r="K68" s="32">
        <f>ROUND(J68*10%,0)</f>
        <v>1492316</v>
      </c>
      <c r="L68" s="34">
        <f>ROUND(K68*19%,0)</f>
        <v>283540</v>
      </c>
      <c r="M68" s="35">
        <f>ROUND(J68+L68,0)</f>
        <v>15206697</v>
      </c>
      <c r="N68" s="38">
        <v>613462031</v>
      </c>
      <c r="V68" s="28"/>
      <c r="AC68" s="47" t="s">
        <v>40</v>
      </c>
    </row>
    <row r="69" spans="1:29" ht="17.25" hidden="1" thickBot="1" x14ac:dyDescent="0.35">
      <c r="L69" s="44" t="s">
        <v>34</v>
      </c>
      <c r="M69" s="37">
        <f>SUM(M58:M61,M63:M64,M66,M68)</f>
        <v>94396031</v>
      </c>
      <c r="N69" s="48">
        <f>+M69/30*15</f>
        <v>47198015.5</v>
      </c>
      <c r="O69" s="49">
        <f>(M69/30*136)</f>
        <v>427928673.86666667</v>
      </c>
      <c r="P69" s="49"/>
      <c r="Q69" s="50"/>
      <c r="R69" s="48">
        <v>92110103</v>
      </c>
      <c r="S69" s="48">
        <f>R69/30*136</f>
        <v>417565800.26666665</v>
      </c>
      <c r="T69" s="50"/>
      <c r="U69" s="50"/>
      <c r="V69" s="50" t="s">
        <v>41</v>
      </c>
      <c r="W69" s="50"/>
      <c r="X69" s="50" t="s">
        <v>42</v>
      </c>
      <c r="Y69" s="51"/>
      <c r="Z69" s="51"/>
      <c r="AA69" s="51"/>
      <c r="AB69" s="52">
        <f>M69/30*16</f>
        <v>50344549.866666667</v>
      </c>
      <c r="AC69" s="52">
        <f>N53+AB69</f>
        <v>50344549.866666667</v>
      </c>
    </row>
    <row r="70" spans="1:29" ht="17.25" hidden="1" thickBot="1" x14ac:dyDescent="0.35">
      <c r="I70" s="95" t="s">
        <v>54</v>
      </c>
      <c r="J70" s="96"/>
      <c r="K70" s="96"/>
      <c r="L70" s="97"/>
      <c r="M70" s="54">
        <f>ROUND(M69/30*24,0)</f>
        <v>75516825</v>
      </c>
      <c r="N70" s="38">
        <f>+N69+N53</f>
        <v>47198015.5</v>
      </c>
      <c r="O70" s="1">
        <f>19/30</f>
        <v>0.6333333333333333</v>
      </c>
      <c r="S70" s="28">
        <f>S69+S36</f>
        <v>417565800.26666665</v>
      </c>
      <c r="V70" s="1" t="s">
        <v>44</v>
      </c>
    </row>
    <row r="71" spans="1:29" hidden="1" x14ac:dyDescent="0.3">
      <c r="I71" s="53"/>
      <c r="J71" s="53"/>
      <c r="K71" s="53"/>
      <c r="L71" s="53"/>
    </row>
    <row r="72" spans="1:29" hidden="1" x14ac:dyDescent="0.3">
      <c r="H72" s="83"/>
      <c r="I72" s="83"/>
      <c r="J72" s="83"/>
      <c r="K72" s="83"/>
      <c r="L72" s="83"/>
      <c r="M72" s="41"/>
      <c r="O72" s="38">
        <v>613462031</v>
      </c>
      <c r="P72" s="1">
        <f>1.57+0.47+4.53</f>
        <v>6.57</v>
      </c>
      <c r="Q72" s="28">
        <f>M72-O72</f>
        <v>-613462031</v>
      </c>
      <c r="V72" s="1" t="s">
        <v>46</v>
      </c>
      <c r="W72" s="1" t="s">
        <v>47</v>
      </c>
      <c r="X72" s="1" t="s">
        <v>48</v>
      </c>
      <c r="Y72" s="2" t="s">
        <v>49</v>
      </c>
      <c r="Z72" s="2" t="s">
        <v>50</v>
      </c>
      <c r="AA72" s="2" t="s">
        <v>51</v>
      </c>
      <c r="AB72" s="2" t="s">
        <v>52</v>
      </c>
    </row>
    <row r="73" spans="1:29" hidden="1" x14ac:dyDescent="0.3">
      <c r="H73" s="40"/>
      <c r="I73" s="40"/>
      <c r="J73" s="40"/>
      <c r="K73" s="40"/>
      <c r="L73" s="40"/>
      <c r="M73" s="41"/>
      <c r="O73" s="38"/>
      <c r="Q73" s="28"/>
    </row>
    <row r="74" spans="1:29" hidden="1" x14ac:dyDescent="0.3">
      <c r="H74" s="40"/>
      <c r="I74" s="40"/>
      <c r="J74" s="40"/>
      <c r="K74" s="40"/>
      <c r="L74" s="40"/>
      <c r="M74" s="41"/>
      <c r="O74" s="38"/>
      <c r="Q74" s="28"/>
    </row>
    <row r="75" spans="1:29" ht="18" hidden="1" customHeight="1" x14ac:dyDescent="0.3">
      <c r="A75" s="90" t="s">
        <v>55</v>
      </c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</row>
    <row r="76" spans="1:29" ht="18.75" hidden="1" thickBot="1" x14ac:dyDescent="0.3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</row>
    <row r="77" spans="1:29" ht="60.75" hidden="1" thickBot="1" x14ac:dyDescent="0.35">
      <c r="A77" s="6" t="s">
        <v>1</v>
      </c>
      <c r="B77" s="45" t="s">
        <v>2</v>
      </c>
      <c r="C77" s="45" t="s">
        <v>3</v>
      </c>
      <c r="D77" s="45" t="s">
        <v>4</v>
      </c>
      <c r="E77" s="45" t="s">
        <v>5</v>
      </c>
      <c r="F77" s="45" t="s">
        <v>6</v>
      </c>
      <c r="G77" s="45" t="s">
        <v>7</v>
      </c>
      <c r="H77" s="45" t="s">
        <v>8</v>
      </c>
      <c r="I77" s="45" t="s">
        <v>9</v>
      </c>
      <c r="J77" s="45" t="s">
        <v>10</v>
      </c>
      <c r="K77" s="45" t="s">
        <v>11</v>
      </c>
      <c r="L77" s="45" t="s">
        <v>12</v>
      </c>
      <c r="M77" s="46" t="s">
        <v>13</v>
      </c>
    </row>
    <row r="78" spans="1:29" ht="51.75" hidden="1" customHeight="1" x14ac:dyDescent="0.3">
      <c r="A78" s="76" t="s">
        <v>14</v>
      </c>
      <c r="B78" s="12" t="s">
        <v>15</v>
      </c>
      <c r="C78" s="12" t="s">
        <v>16</v>
      </c>
      <c r="D78" s="12" t="s">
        <v>17</v>
      </c>
      <c r="E78" s="13" t="s">
        <v>18</v>
      </c>
      <c r="F78" s="14">
        <f>(E78*9.77)</f>
        <v>13907595</v>
      </c>
      <c r="G78" s="14">
        <f>$G$3</f>
        <v>551</v>
      </c>
      <c r="H78" s="14">
        <f>ROUND((F78+G78)*(0.4759+0.5241/11)/30*26,0)</f>
        <v>6310674</v>
      </c>
      <c r="I78" s="14">
        <f>ROUND(H78*10%,0)</f>
        <v>631067</v>
      </c>
      <c r="J78" s="14">
        <f>H78+I78</f>
        <v>6941741</v>
      </c>
      <c r="K78" s="14">
        <f>ROUND(J78*10%,0)</f>
        <v>694174</v>
      </c>
      <c r="L78" s="14">
        <f>ROUND(K78*19%,0)</f>
        <v>131893</v>
      </c>
      <c r="M78" s="15">
        <f>ROUND(J78+L78,0)</f>
        <v>7073634</v>
      </c>
    </row>
    <row r="79" spans="1:29" ht="51.75" hidden="1" x14ac:dyDescent="0.3">
      <c r="A79" s="77"/>
      <c r="B79" s="17" t="s">
        <v>15</v>
      </c>
      <c r="C79" s="17" t="s">
        <v>19</v>
      </c>
      <c r="D79" s="17" t="s">
        <v>20</v>
      </c>
      <c r="E79" s="18" t="s">
        <v>18</v>
      </c>
      <c r="F79" s="19">
        <f>E79*9.77</f>
        <v>13907595</v>
      </c>
      <c r="G79" s="19">
        <f>$G$3</f>
        <v>551</v>
      </c>
      <c r="H79" s="19">
        <f>F79+G79</f>
        <v>13908146</v>
      </c>
      <c r="I79" s="19">
        <f>ROUND(H79*10%,0)</f>
        <v>1390815</v>
      </c>
      <c r="J79" s="19">
        <f>H79+I79</f>
        <v>15298961</v>
      </c>
      <c r="K79" s="19">
        <f>ROUND(J79*10%,0)</f>
        <v>1529896</v>
      </c>
      <c r="L79" s="19">
        <f>ROUND(K79*19%,0)</f>
        <v>290680</v>
      </c>
      <c r="M79" s="20">
        <f>ROUND(J79+L79,0)</f>
        <v>15589641</v>
      </c>
    </row>
    <row r="80" spans="1:29" ht="51.75" hidden="1" x14ac:dyDescent="0.3">
      <c r="A80" s="77"/>
      <c r="B80" s="17" t="s">
        <v>15</v>
      </c>
      <c r="C80" s="17" t="s">
        <v>19</v>
      </c>
      <c r="D80" s="17" t="s">
        <v>21</v>
      </c>
      <c r="E80" s="18" t="s">
        <v>18</v>
      </c>
      <c r="F80" s="19">
        <f>E80*9.77</f>
        <v>13907595</v>
      </c>
      <c r="G80" s="19">
        <f>$G$3</f>
        <v>551</v>
      </c>
      <c r="H80" s="19">
        <f>F80+G80</f>
        <v>13908146</v>
      </c>
      <c r="I80" s="19">
        <f>ROUND(H80*10%,0)</f>
        <v>1390815</v>
      </c>
      <c r="J80" s="19">
        <f>H80+I80</f>
        <v>15298961</v>
      </c>
      <c r="K80" s="19">
        <f>ROUND(J80*10%,0)</f>
        <v>1529896</v>
      </c>
      <c r="L80" s="19">
        <f>ROUND(K80*19%,0)</f>
        <v>290680</v>
      </c>
      <c r="M80" s="20">
        <f>ROUND(J80+L80,0)</f>
        <v>15589641</v>
      </c>
    </row>
    <row r="81" spans="1:29" ht="121.5" hidden="1" thickBot="1" x14ac:dyDescent="0.35">
      <c r="A81" s="78"/>
      <c r="B81" s="22" t="s">
        <v>22</v>
      </c>
      <c r="C81" s="22" t="s">
        <v>23</v>
      </c>
      <c r="D81" s="22" t="s">
        <v>24</v>
      </c>
      <c r="E81" s="23" t="s">
        <v>18</v>
      </c>
      <c r="F81" s="24">
        <f>E81*9.77</f>
        <v>13907595</v>
      </c>
      <c r="G81" s="24">
        <f>$G$3</f>
        <v>551</v>
      </c>
      <c r="H81" s="24">
        <f>ROUND(((F81+G81)*0.4759/13*8)+(P81*O4),0)</f>
        <v>4121367</v>
      </c>
      <c r="I81" s="24">
        <f>ROUND(H81*10%,0)</f>
        <v>412137</v>
      </c>
      <c r="J81" s="24">
        <f>H81+I81</f>
        <v>4533504</v>
      </c>
      <c r="K81" s="24">
        <f>ROUND(J81*10%,0)</f>
        <v>453350</v>
      </c>
      <c r="L81" s="24">
        <f>ROUND(K81*19%,0)</f>
        <v>86137</v>
      </c>
      <c r="M81" s="25">
        <f>ROUND(J81+L81,0)</f>
        <v>4619641</v>
      </c>
      <c r="O81" s="26">
        <v>4079219</v>
      </c>
      <c r="P81" s="27">
        <v>131225</v>
      </c>
    </row>
    <row r="82" spans="1:29" ht="17.25" hidden="1" thickBot="1" x14ac:dyDescent="0.35">
      <c r="O82" s="28">
        <f>O81-H81</f>
        <v>-42148</v>
      </c>
    </row>
    <row r="83" spans="1:29" ht="103.5" hidden="1" x14ac:dyDescent="0.3">
      <c r="A83" s="84" t="s">
        <v>25</v>
      </c>
      <c r="B83" s="12" t="s">
        <v>15</v>
      </c>
      <c r="C83" s="12" t="s">
        <v>26</v>
      </c>
      <c r="D83" s="12" t="s">
        <v>27</v>
      </c>
      <c r="E83" s="13" t="s">
        <v>18</v>
      </c>
      <c r="F83" s="14">
        <f>E83*9.77</f>
        <v>13907595</v>
      </c>
      <c r="G83" s="14">
        <f>$G$3</f>
        <v>551</v>
      </c>
      <c r="H83" s="14">
        <f>F83+G83</f>
        <v>13908146</v>
      </c>
      <c r="I83" s="14">
        <f>ROUND(H83*10%,0)</f>
        <v>1390815</v>
      </c>
      <c r="J83" s="14">
        <f>H83+I83</f>
        <v>15298961</v>
      </c>
      <c r="K83" s="14">
        <f>ROUND(J83*10%,0)</f>
        <v>1529896</v>
      </c>
      <c r="L83" s="14">
        <f>ROUND(K83*19%,0)</f>
        <v>290680</v>
      </c>
      <c r="M83" s="15">
        <f>ROUND(J83+L83,0)</f>
        <v>15589641</v>
      </c>
    </row>
    <row r="84" spans="1:29" ht="52.5" hidden="1" thickBot="1" x14ac:dyDescent="0.35">
      <c r="A84" s="85"/>
      <c r="B84" s="22" t="s">
        <v>15</v>
      </c>
      <c r="C84" s="22" t="s">
        <v>28</v>
      </c>
      <c r="D84" s="22" t="s">
        <v>29</v>
      </c>
      <c r="E84" s="23" t="s">
        <v>18</v>
      </c>
      <c r="F84" s="24">
        <f>(E84*9.77)</f>
        <v>13907595</v>
      </c>
      <c r="G84" s="24">
        <f>$G$3</f>
        <v>551</v>
      </c>
      <c r="H84" s="24">
        <f>ROUND((F84+G84)*(0.4759+0.5241/11)/30*26,0)</f>
        <v>6310674</v>
      </c>
      <c r="I84" s="24">
        <f>ROUND(H84*10%,0)</f>
        <v>631067</v>
      </c>
      <c r="J84" s="24">
        <f>H84+I84</f>
        <v>6941741</v>
      </c>
      <c r="K84" s="24">
        <f>ROUND(J84*10%,0)</f>
        <v>694174</v>
      </c>
      <c r="L84" s="24">
        <f>ROUND(K84*19%,0)</f>
        <v>131893</v>
      </c>
      <c r="M84" s="25">
        <f>ROUND(J84+L84,0)</f>
        <v>7073634</v>
      </c>
    </row>
    <row r="85" spans="1:29" ht="17.25" hidden="1" thickBot="1" x14ac:dyDescent="0.35"/>
    <row r="86" spans="1:29" ht="69.75" hidden="1" thickBot="1" x14ac:dyDescent="0.35">
      <c r="A86" s="29" t="s">
        <v>30</v>
      </c>
      <c r="B86" s="30" t="s">
        <v>15</v>
      </c>
      <c r="C86" s="30" t="s">
        <v>19</v>
      </c>
      <c r="D86" s="30" t="s">
        <v>31</v>
      </c>
      <c r="E86" s="31" t="s">
        <v>18</v>
      </c>
      <c r="F86" s="32">
        <f>E86*9.77</f>
        <v>13907595</v>
      </c>
      <c r="G86" s="32">
        <f>G22</f>
        <v>551</v>
      </c>
      <c r="H86" s="32">
        <f>F86+G86</f>
        <v>13908146</v>
      </c>
      <c r="I86" s="32">
        <f>ROUND(H86*10%,0)</f>
        <v>1390815</v>
      </c>
      <c r="J86" s="32">
        <f>H86+I86</f>
        <v>15298961</v>
      </c>
      <c r="K86" s="32">
        <f>ROUND(J86*10%,0)</f>
        <v>1529896</v>
      </c>
      <c r="L86" s="32">
        <f>ROUND(K86*19%,0)</f>
        <v>290680</v>
      </c>
      <c r="M86" s="33">
        <f>ROUND(J86+L86,0)</f>
        <v>15589641</v>
      </c>
    </row>
    <row r="87" spans="1:29" ht="17.25" hidden="1" thickBot="1" x14ac:dyDescent="0.35"/>
    <row r="88" spans="1:29" ht="104.25" hidden="1" thickBot="1" x14ac:dyDescent="0.35">
      <c r="A88" s="29" t="s">
        <v>32</v>
      </c>
      <c r="B88" s="30" t="s">
        <v>15</v>
      </c>
      <c r="C88" s="30" t="s">
        <v>19</v>
      </c>
      <c r="D88" s="30" t="s">
        <v>33</v>
      </c>
      <c r="E88" s="31" t="s">
        <v>18</v>
      </c>
      <c r="F88" s="32">
        <f>E88*9.77</f>
        <v>13907595</v>
      </c>
      <c r="G88" s="32">
        <f>G22</f>
        <v>551</v>
      </c>
      <c r="H88" s="32">
        <f>F88+G88</f>
        <v>13908146</v>
      </c>
      <c r="I88" s="32">
        <f>ROUND(H88*10%,0)</f>
        <v>1390815</v>
      </c>
      <c r="J88" s="32">
        <f>H88+I88</f>
        <v>15298961</v>
      </c>
      <c r="K88" s="32">
        <f>ROUND(J88*10%,0)</f>
        <v>1529896</v>
      </c>
      <c r="L88" s="34">
        <f>ROUND(K88*19%,0)</f>
        <v>290680</v>
      </c>
      <c r="M88" s="35">
        <f>ROUND(J88+L88,0)</f>
        <v>15589641</v>
      </c>
      <c r="N88" s="55"/>
      <c r="O88" s="2"/>
      <c r="P88" s="2"/>
      <c r="Q88" s="2"/>
      <c r="R88" s="2"/>
      <c r="S88" s="2"/>
      <c r="T88" s="2"/>
      <c r="U88" s="2"/>
      <c r="V88" s="52"/>
      <c r="W88" s="2"/>
      <c r="X88" s="2"/>
      <c r="AC88" s="4"/>
    </row>
    <row r="89" spans="1:29" ht="17.25" hidden="1" thickBot="1" x14ac:dyDescent="0.35">
      <c r="L89" s="44" t="s">
        <v>34</v>
      </c>
      <c r="M89" s="37">
        <f>SUM(M78:M81,M83:M84,M86,M88)</f>
        <v>96715114</v>
      </c>
      <c r="N89" s="56"/>
      <c r="O89" s="41"/>
      <c r="P89" s="41"/>
      <c r="Q89" s="57"/>
      <c r="R89" s="56"/>
      <c r="S89" s="56"/>
      <c r="T89" s="57"/>
      <c r="U89" s="57"/>
      <c r="V89" s="57"/>
      <c r="W89" s="57"/>
      <c r="X89" s="57"/>
      <c r="Y89" s="57"/>
      <c r="Z89" s="57"/>
      <c r="AA89" s="57"/>
      <c r="AB89" s="52"/>
      <c r="AC89" s="52"/>
    </row>
    <row r="90" spans="1:29" ht="17.25" hidden="1" thickBot="1" x14ac:dyDescent="0.35">
      <c r="I90" s="95" t="s">
        <v>56</v>
      </c>
      <c r="J90" s="96"/>
      <c r="K90" s="96"/>
      <c r="L90" s="97"/>
      <c r="M90" s="54">
        <f>ROUND(M89/30*6,0)</f>
        <v>19343023</v>
      </c>
      <c r="N90" s="55"/>
      <c r="O90" s="2"/>
      <c r="P90" s="2"/>
      <c r="Q90" s="2"/>
      <c r="R90" s="2"/>
      <c r="S90" s="52"/>
      <c r="T90" s="2"/>
      <c r="U90" s="2"/>
      <c r="V90" s="2"/>
      <c r="W90" s="2"/>
      <c r="X90" s="2"/>
    </row>
    <row r="91" spans="1:29" ht="17.25" hidden="1" thickBot="1" x14ac:dyDescent="0.35">
      <c r="I91" s="53"/>
      <c r="J91" s="53"/>
      <c r="K91" s="53"/>
      <c r="L91" s="5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9" ht="17.25" hidden="1" thickBot="1" x14ac:dyDescent="0.35">
      <c r="H92" s="98" t="s">
        <v>57</v>
      </c>
      <c r="I92" s="99"/>
      <c r="J92" s="99"/>
      <c r="K92" s="99"/>
      <c r="L92" s="100"/>
      <c r="M92" s="58">
        <f>M70+M90</f>
        <v>94859848</v>
      </c>
      <c r="N92" s="2"/>
      <c r="O92" s="55"/>
      <c r="P92" s="2"/>
      <c r="Q92" s="52"/>
      <c r="R92" s="2"/>
      <c r="S92" s="2"/>
      <c r="T92" s="2"/>
      <c r="U92" s="2"/>
      <c r="V92" s="2"/>
      <c r="W92" s="2"/>
      <c r="X92" s="2"/>
    </row>
    <row r="93" spans="1:29" hidden="1" x14ac:dyDescent="0.3">
      <c r="H93" s="40"/>
      <c r="I93" s="40"/>
      <c r="J93" s="40"/>
      <c r="N93" s="2"/>
      <c r="O93" s="55"/>
      <c r="P93" s="2"/>
      <c r="Q93" s="52"/>
      <c r="R93" s="2"/>
      <c r="S93" s="2"/>
      <c r="T93" s="2"/>
      <c r="U93" s="2"/>
      <c r="V93" s="2"/>
      <c r="W93" s="2"/>
      <c r="X93" s="2"/>
    </row>
    <row r="94" spans="1:29" hidden="1" x14ac:dyDescent="0.3">
      <c r="H94" s="40"/>
      <c r="I94" s="40"/>
      <c r="J94" s="40"/>
      <c r="O94" s="38"/>
      <c r="Q94" s="28"/>
    </row>
    <row r="95" spans="1:29" hidden="1" x14ac:dyDescent="0.3">
      <c r="P95" s="38"/>
      <c r="V95" s="59"/>
      <c r="W95" s="59"/>
      <c r="X95" s="59"/>
      <c r="Y95" s="3"/>
      <c r="Z95" s="3"/>
      <c r="AA95" s="3"/>
      <c r="AB95" s="3"/>
      <c r="AC95" s="60"/>
    </row>
    <row r="96" spans="1:29" ht="18" customHeight="1" x14ac:dyDescent="0.3">
      <c r="A96" s="75" t="s">
        <v>63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</row>
    <row r="97" spans="1:86" ht="16.5" customHeight="1" thickBot="1" x14ac:dyDescent="0.35">
      <c r="A97" s="42"/>
      <c r="B97" s="42"/>
      <c r="C97" s="42"/>
      <c r="D97" s="42"/>
      <c r="E97" s="42"/>
      <c r="F97" s="42"/>
      <c r="G97" s="74"/>
      <c r="H97" s="42"/>
      <c r="I97" s="42"/>
      <c r="J97" s="42"/>
      <c r="K97" s="42"/>
      <c r="L97" s="42"/>
      <c r="M97" s="42"/>
    </row>
    <row r="98" spans="1:86" ht="60.75" thickBot="1" x14ac:dyDescent="0.35">
      <c r="A98" s="6" t="s">
        <v>1</v>
      </c>
      <c r="B98" s="45" t="s">
        <v>2</v>
      </c>
      <c r="C98" s="45" t="s">
        <v>3</v>
      </c>
      <c r="D98" s="45" t="s">
        <v>4</v>
      </c>
      <c r="E98" s="45" t="s">
        <v>5</v>
      </c>
      <c r="F98" s="45" t="s">
        <v>6</v>
      </c>
      <c r="G98" s="45" t="s">
        <v>7</v>
      </c>
      <c r="H98" s="45" t="s">
        <v>8</v>
      </c>
      <c r="I98" s="45" t="s">
        <v>9</v>
      </c>
      <c r="J98" s="45" t="s">
        <v>10</v>
      </c>
      <c r="K98" s="45" t="s">
        <v>11</v>
      </c>
      <c r="L98" s="45" t="s">
        <v>12</v>
      </c>
      <c r="M98" s="46" t="s">
        <v>13</v>
      </c>
    </row>
    <row r="99" spans="1:86" ht="51.75" x14ac:dyDescent="0.3">
      <c r="A99" s="76" t="s">
        <v>14</v>
      </c>
      <c r="B99" s="12" t="s">
        <v>15</v>
      </c>
      <c r="C99" s="12" t="s">
        <v>70</v>
      </c>
      <c r="D99" s="12" t="s">
        <v>17</v>
      </c>
      <c r="E99" s="13">
        <v>1750905</v>
      </c>
      <c r="F99" s="14">
        <f>(E99*9.77)</f>
        <v>17106341.849999998</v>
      </c>
      <c r="G99" s="14">
        <f>$G$3</f>
        <v>551</v>
      </c>
      <c r="H99" s="14">
        <f>ROUND((F99+G99)*(0.4759+0.5241/11)/30*26,0)</f>
        <v>7762071</v>
      </c>
      <c r="I99" s="14">
        <f>ROUND(H99*10%,0)</f>
        <v>776207</v>
      </c>
      <c r="J99" s="14">
        <f>H99+I99</f>
        <v>8538278</v>
      </c>
      <c r="K99" s="14">
        <f>ROUND(J99*10%,0)</f>
        <v>853828</v>
      </c>
      <c r="L99" s="14">
        <f>ROUND(K99*19%,0)</f>
        <v>162227</v>
      </c>
      <c r="M99" s="15">
        <f>ROUND(J99+L99,0)</f>
        <v>8700505</v>
      </c>
      <c r="AK99" s="61">
        <f>+M99/30*12</f>
        <v>3480202</v>
      </c>
      <c r="AL99" s="3" t="s">
        <v>58</v>
      </c>
      <c r="AM99" s="62">
        <f>+M99-AK99</f>
        <v>5220303</v>
      </c>
      <c r="CG99" s="102"/>
      <c r="CH99" s="101"/>
    </row>
    <row r="100" spans="1:86" ht="51.75" x14ac:dyDescent="0.3">
      <c r="A100" s="77"/>
      <c r="B100" s="17" t="s">
        <v>15</v>
      </c>
      <c r="C100" s="17" t="s">
        <v>19</v>
      </c>
      <c r="D100" s="17" t="s">
        <v>20</v>
      </c>
      <c r="E100" s="18">
        <v>1750905</v>
      </c>
      <c r="F100" s="19">
        <f>(E100*9.77)</f>
        <v>17106341.849999998</v>
      </c>
      <c r="G100" s="19">
        <f>$G$3</f>
        <v>551</v>
      </c>
      <c r="H100" s="19">
        <f>F100+G100</f>
        <v>17106892.849999998</v>
      </c>
      <c r="I100" s="19">
        <f t="shared" ref="I100:I102" si="61">ROUND(H100*10%,0)</f>
        <v>1710689</v>
      </c>
      <c r="J100" s="19">
        <f t="shared" ref="J100:J102" si="62">H100+I100</f>
        <v>18817581.849999998</v>
      </c>
      <c r="K100" s="19">
        <f t="shared" ref="K100:K102" si="63">ROUND(J100*10%,0)</f>
        <v>1881758</v>
      </c>
      <c r="L100" s="19">
        <f t="shared" ref="L100:L102" si="64">ROUND(K100*19%,0)</f>
        <v>357534</v>
      </c>
      <c r="M100" s="20">
        <f t="shared" ref="M100:M102" si="65">ROUND(J100+L100,0)</f>
        <v>19175116</v>
      </c>
    </row>
    <row r="101" spans="1:86" ht="51.75" x14ac:dyDescent="0.3">
      <c r="A101" s="77"/>
      <c r="B101" s="17" t="s">
        <v>15</v>
      </c>
      <c r="C101" s="17" t="s">
        <v>19</v>
      </c>
      <c r="D101" s="17" t="s">
        <v>21</v>
      </c>
      <c r="E101" s="18">
        <v>1750905</v>
      </c>
      <c r="F101" s="19">
        <f>(E101*9.77)</f>
        <v>17106341.849999998</v>
      </c>
      <c r="G101" s="19">
        <f>$G$3</f>
        <v>551</v>
      </c>
      <c r="H101" s="19">
        <f>F101+G101</f>
        <v>17106892.849999998</v>
      </c>
      <c r="I101" s="19">
        <f t="shared" si="61"/>
        <v>1710689</v>
      </c>
      <c r="J101" s="19">
        <f t="shared" si="62"/>
        <v>18817581.849999998</v>
      </c>
      <c r="K101" s="19">
        <f t="shared" si="63"/>
        <v>1881758</v>
      </c>
      <c r="L101" s="19">
        <f t="shared" si="64"/>
        <v>357534</v>
      </c>
      <c r="M101" s="20">
        <f t="shared" si="65"/>
        <v>19175116</v>
      </c>
    </row>
    <row r="102" spans="1:86" ht="121.5" thickBot="1" x14ac:dyDescent="0.35">
      <c r="A102" s="78"/>
      <c r="B102" s="22" t="s">
        <v>22</v>
      </c>
      <c r="C102" s="22" t="s">
        <v>71</v>
      </c>
      <c r="D102" s="22" t="s">
        <v>24</v>
      </c>
      <c r="E102" s="23">
        <v>1750905</v>
      </c>
      <c r="F102" s="24">
        <f>(E102*9.77)</f>
        <v>17106341.849999998</v>
      </c>
      <c r="G102" s="24">
        <f>$G$3</f>
        <v>551</v>
      </c>
      <c r="H102" s="24">
        <f>ROUND(((F102+G102)*0.4759/13*8)+(P102*O4),0)</f>
        <v>5058156</v>
      </c>
      <c r="I102" s="24">
        <f t="shared" si="61"/>
        <v>505816</v>
      </c>
      <c r="J102" s="24">
        <f t="shared" si="62"/>
        <v>5563972</v>
      </c>
      <c r="K102" s="24">
        <f t="shared" si="63"/>
        <v>556397</v>
      </c>
      <c r="L102" s="24">
        <f t="shared" si="64"/>
        <v>105715</v>
      </c>
      <c r="M102" s="25">
        <f t="shared" si="65"/>
        <v>5669687</v>
      </c>
      <c r="O102" s="26">
        <v>4079219</v>
      </c>
      <c r="P102" s="27">
        <v>131225</v>
      </c>
      <c r="AK102" s="61">
        <f>+M102/30*12</f>
        <v>2267874.8000000003</v>
      </c>
      <c r="AL102" s="3" t="s">
        <v>58</v>
      </c>
      <c r="AM102" s="62">
        <f>+M102-AK102</f>
        <v>3401812.1999999997</v>
      </c>
    </row>
    <row r="103" spans="1:86" ht="17.25" thickBot="1" x14ac:dyDescent="0.35">
      <c r="O103" s="28">
        <f>O102-H102</f>
        <v>-978937</v>
      </c>
    </row>
    <row r="104" spans="1:86" ht="103.5" x14ac:dyDescent="0.3">
      <c r="A104" s="79" t="s">
        <v>25</v>
      </c>
      <c r="B104" s="12" t="s">
        <v>15</v>
      </c>
      <c r="C104" s="12" t="s">
        <v>26</v>
      </c>
      <c r="D104" s="12" t="s">
        <v>27</v>
      </c>
      <c r="E104" s="13">
        <v>1750905</v>
      </c>
      <c r="F104" s="14">
        <f>(E104*9.77)</f>
        <v>17106341.849999998</v>
      </c>
      <c r="G104" s="14">
        <f>$G$3</f>
        <v>551</v>
      </c>
      <c r="H104" s="14">
        <f>F104+G104</f>
        <v>17106892.849999998</v>
      </c>
      <c r="I104" s="14">
        <f t="shared" ref="I104" si="66">ROUND(H104*10%,0)</f>
        <v>1710689</v>
      </c>
      <c r="J104" s="14">
        <f t="shared" ref="J104" si="67">H104+I104</f>
        <v>18817581.849999998</v>
      </c>
      <c r="K104" s="14">
        <f t="shared" ref="K104" si="68">ROUND(J104*10%,0)</f>
        <v>1881758</v>
      </c>
      <c r="L104" s="14">
        <f t="shared" ref="L104" si="69">ROUND(K104*19%,0)</f>
        <v>357534</v>
      </c>
      <c r="M104" s="15">
        <f t="shared" ref="M104" si="70">ROUND(J104+L104,0)</f>
        <v>19175116</v>
      </c>
    </row>
    <row r="105" spans="1:86" ht="52.5" thickBot="1" x14ac:dyDescent="0.35">
      <c r="A105" s="80"/>
      <c r="B105" s="22" t="s">
        <v>15</v>
      </c>
      <c r="C105" s="22" t="s">
        <v>72</v>
      </c>
      <c r="D105" s="22" t="s">
        <v>29</v>
      </c>
      <c r="E105" s="23">
        <v>1750905</v>
      </c>
      <c r="F105" s="24">
        <f>(E105*9.77)</f>
        <v>17106341.849999998</v>
      </c>
      <c r="G105" s="24">
        <f>$G$3</f>
        <v>551</v>
      </c>
      <c r="H105" s="24">
        <f>ROUND((F105+G105)*(0.4759+0.5241/11)/30*26,0)</f>
        <v>7762071</v>
      </c>
      <c r="I105" s="24">
        <f>ROUND(H105*10%,0)</f>
        <v>776207</v>
      </c>
      <c r="J105" s="24">
        <f>H105+I105</f>
        <v>8538278</v>
      </c>
      <c r="K105" s="24">
        <f>ROUND(J105*10%,0)</f>
        <v>853828</v>
      </c>
      <c r="L105" s="24">
        <f>ROUND(K105*19%,0)</f>
        <v>162227</v>
      </c>
      <c r="M105" s="25">
        <f>ROUND(J105+L105,0)</f>
        <v>8700505</v>
      </c>
    </row>
    <row r="106" spans="1:86" ht="17.25" thickBot="1" x14ac:dyDescent="0.35"/>
    <row r="107" spans="1:86" ht="69.75" thickBot="1" x14ac:dyDescent="0.35">
      <c r="A107" s="29" t="s">
        <v>30</v>
      </c>
      <c r="B107" s="30" t="s">
        <v>15</v>
      </c>
      <c r="C107" s="30" t="s">
        <v>19</v>
      </c>
      <c r="D107" s="30" t="s">
        <v>31</v>
      </c>
      <c r="E107" s="31">
        <v>1750905</v>
      </c>
      <c r="F107" s="32">
        <f>(E107*9.77)</f>
        <v>17106341.849999998</v>
      </c>
      <c r="G107" s="32">
        <f>G64</f>
        <v>551</v>
      </c>
      <c r="H107" s="32">
        <f>F107+G107</f>
        <v>17106892.849999998</v>
      </c>
      <c r="I107" s="32">
        <f t="shared" ref="I107" si="71">ROUND(H107*10%,0)</f>
        <v>1710689</v>
      </c>
      <c r="J107" s="32">
        <f t="shared" ref="J107" si="72">H107+I107</f>
        <v>18817581.849999998</v>
      </c>
      <c r="K107" s="32">
        <f t="shared" ref="K107" si="73">ROUND(J107*10%,0)</f>
        <v>1881758</v>
      </c>
      <c r="L107" s="32">
        <f t="shared" ref="L107" si="74">ROUND(K107*19%,0)</f>
        <v>357534</v>
      </c>
      <c r="M107" s="33">
        <f t="shared" ref="M107" si="75">ROUND(J107+L107,0)</f>
        <v>19175116</v>
      </c>
      <c r="AK107" s="61">
        <f>+M107/30*12</f>
        <v>7670046.4000000004</v>
      </c>
      <c r="AL107" s="3" t="s">
        <v>58</v>
      </c>
      <c r="AM107" s="62">
        <f>+M107-AK107</f>
        <v>11505069.6</v>
      </c>
    </row>
    <row r="108" spans="1:86" ht="17.25" thickBot="1" x14ac:dyDescent="0.35"/>
    <row r="109" spans="1:86" ht="104.25" thickBot="1" x14ac:dyDescent="0.35">
      <c r="A109" s="29" t="s">
        <v>32</v>
      </c>
      <c r="B109" s="30" t="s">
        <v>15</v>
      </c>
      <c r="C109" s="30" t="s">
        <v>19</v>
      </c>
      <c r="D109" s="30" t="s">
        <v>33</v>
      </c>
      <c r="E109" s="31">
        <v>1750905</v>
      </c>
      <c r="F109" s="32">
        <f>(E109*9.77)</f>
        <v>17106341.849999998</v>
      </c>
      <c r="G109" s="32">
        <f>G64</f>
        <v>551</v>
      </c>
      <c r="H109" s="32">
        <f>F109+G109</f>
        <v>17106892.849999998</v>
      </c>
      <c r="I109" s="32">
        <f t="shared" ref="I109" si="76">ROUND(H109*10%,0)</f>
        <v>1710689</v>
      </c>
      <c r="J109" s="32">
        <f t="shared" ref="J109" si="77">H109+I109</f>
        <v>18817581.849999998</v>
      </c>
      <c r="K109" s="32">
        <f t="shared" ref="K109" si="78">ROUND(J109*10%,0)</f>
        <v>1881758</v>
      </c>
      <c r="L109" s="34">
        <f t="shared" ref="L109" si="79">ROUND(K109*19%,0)</f>
        <v>357534</v>
      </c>
      <c r="M109" s="35">
        <f t="shared" ref="M109" si="80">ROUND(J109+L109,0)</f>
        <v>19175116</v>
      </c>
      <c r="N109" s="38">
        <v>613462031</v>
      </c>
      <c r="V109" s="28"/>
      <c r="AC109" s="47" t="s">
        <v>40</v>
      </c>
    </row>
    <row r="110" spans="1:86" ht="17.25" thickBot="1" x14ac:dyDescent="0.35">
      <c r="L110" s="44" t="s">
        <v>34</v>
      </c>
      <c r="M110" s="37">
        <f>SUM(M99:M102,M104:M105,M107,M109)</f>
        <v>118946277</v>
      </c>
      <c r="N110" s="48">
        <f>+M110/30*15</f>
        <v>59473138.5</v>
      </c>
      <c r="O110" s="49">
        <f>(M110/30*136)</f>
        <v>539223122.39999998</v>
      </c>
      <c r="P110" s="49"/>
      <c r="Q110" s="50"/>
      <c r="R110" s="48">
        <v>92110103</v>
      </c>
      <c r="S110" s="48">
        <f>R110/30*136</f>
        <v>417565800.26666665</v>
      </c>
      <c r="T110" s="50"/>
      <c r="U110" s="50"/>
      <c r="V110" s="50" t="s">
        <v>41</v>
      </c>
      <c r="W110" s="50"/>
      <c r="X110" s="50" t="s">
        <v>42</v>
      </c>
      <c r="Y110" s="51"/>
      <c r="Z110" s="51"/>
      <c r="AA110" s="51"/>
      <c r="AB110" s="52">
        <f>M110/30*16</f>
        <v>63438014.399999999</v>
      </c>
      <c r="AC110" s="52">
        <f>N94+AB110</f>
        <v>63438014.399999999</v>
      </c>
      <c r="AM110" s="63">
        <f>SUM(AM98:AM109)</f>
        <v>20127184.799999997</v>
      </c>
    </row>
    <row r="111" spans="1:86" ht="17.25" thickBot="1" x14ac:dyDescent="0.35">
      <c r="I111" s="81" t="s">
        <v>66</v>
      </c>
      <c r="J111" s="82"/>
      <c r="K111" s="82"/>
      <c r="L111" s="82"/>
      <c r="M111" s="39">
        <f>ROUND(M110*3.5,0)</f>
        <v>416311970</v>
      </c>
      <c r="N111" s="38">
        <f>+N110+N94</f>
        <v>59473138.5</v>
      </c>
      <c r="O111" s="1">
        <f>19/30</f>
        <v>0.6333333333333333</v>
      </c>
      <c r="S111" s="28">
        <f>S110+S77</f>
        <v>417565800.26666665</v>
      </c>
      <c r="V111" s="1" t="s">
        <v>44</v>
      </c>
      <c r="AM111" s="62">
        <f>+M110-AM110</f>
        <v>98819092.200000003</v>
      </c>
    </row>
    <row r="112" spans="1:86" ht="17.25" thickBot="1" x14ac:dyDescent="0.35">
      <c r="I112" s="53"/>
      <c r="J112" s="53"/>
      <c r="K112" s="53"/>
      <c r="L112" s="53"/>
    </row>
    <row r="113" spans="1:24" x14ac:dyDescent="0.3">
      <c r="R113" s="2"/>
      <c r="S113" s="2"/>
      <c r="T113" s="2"/>
      <c r="U113" s="2"/>
      <c r="V113" s="64" t="s">
        <v>59</v>
      </c>
      <c r="W113" s="65">
        <v>94871186</v>
      </c>
      <c r="X113" s="2"/>
    </row>
    <row r="114" spans="1:24" ht="17.25" thickBot="1" x14ac:dyDescent="0.35">
      <c r="R114" s="2"/>
      <c r="S114" s="2"/>
      <c r="T114" s="2"/>
      <c r="U114" s="2"/>
      <c r="V114" s="66" t="s">
        <v>60</v>
      </c>
      <c r="W114" s="67">
        <v>87852717.370000005</v>
      </c>
      <c r="X114" s="2"/>
    </row>
    <row r="115" spans="1:24" ht="17.25" thickBot="1" x14ac:dyDescent="0.35">
      <c r="R115" s="2"/>
      <c r="S115" s="2"/>
      <c r="T115" s="2"/>
      <c r="U115" s="2"/>
      <c r="V115" s="68" t="s">
        <v>61</v>
      </c>
      <c r="W115" s="69">
        <f>W113-W114</f>
        <v>7018468.6299999952</v>
      </c>
      <c r="X115" s="2"/>
    </row>
    <row r="116" spans="1:24" ht="18" x14ac:dyDescent="0.3">
      <c r="A116" s="75" t="s">
        <v>64</v>
      </c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R116" s="2"/>
      <c r="S116" s="2"/>
      <c r="T116" s="2"/>
      <c r="U116" s="2"/>
      <c r="V116" s="70"/>
      <c r="W116" s="71"/>
      <c r="X116" s="2"/>
    </row>
    <row r="117" spans="1:24" ht="18.75" thickBot="1" x14ac:dyDescent="0.35">
      <c r="A117" s="42"/>
      <c r="B117" s="42"/>
      <c r="C117" s="42"/>
      <c r="D117" s="42"/>
      <c r="E117" s="42"/>
      <c r="F117" s="42"/>
      <c r="G117" s="74"/>
      <c r="H117" s="42"/>
      <c r="I117" s="42"/>
      <c r="J117" s="42"/>
      <c r="K117" s="42"/>
      <c r="L117" s="42"/>
      <c r="M117" s="42"/>
      <c r="R117" s="2"/>
      <c r="S117" s="2"/>
      <c r="T117" s="2"/>
      <c r="U117" s="2"/>
      <c r="V117" s="72" t="s">
        <v>62</v>
      </c>
      <c r="W117" s="73" t="e">
        <f>#REF!-W115</f>
        <v>#REF!</v>
      </c>
      <c r="X117" s="2"/>
    </row>
    <row r="118" spans="1:24" ht="60.75" thickBot="1" x14ac:dyDescent="0.35">
      <c r="A118" s="6" t="s">
        <v>1</v>
      </c>
      <c r="B118" s="45" t="s">
        <v>2</v>
      </c>
      <c r="C118" s="45" t="s">
        <v>3</v>
      </c>
      <c r="D118" s="45" t="s">
        <v>4</v>
      </c>
      <c r="E118" s="45" t="s">
        <v>5</v>
      </c>
      <c r="F118" s="45" t="s">
        <v>6</v>
      </c>
      <c r="G118" s="45" t="s">
        <v>7</v>
      </c>
      <c r="H118" s="45" t="s">
        <v>8</v>
      </c>
      <c r="I118" s="45" t="s">
        <v>9</v>
      </c>
      <c r="J118" s="45" t="s">
        <v>10</v>
      </c>
      <c r="K118" s="45" t="s">
        <v>11</v>
      </c>
      <c r="L118" s="45" t="s">
        <v>12</v>
      </c>
      <c r="M118" s="46" t="s">
        <v>13</v>
      </c>
      <c r="R118" s="2"/>
      <c r="S118" s="2"/>
      <c r="T118" s="2"/>
      <c r="U118" s="2"/>
      <c r="V118" s="2"/>
      <c r="W118" s="2"/>
      <c r="X118" s="2"/>
    </row>
    <row r="119" spans="1:24" ht="51.75" x14ac:dyDescent="0.3">
      <c r="A119" s="76" t="s">
        <v>14</v>
      </c>
      <c r="B119" s="12" t="s">
        <v>15</v>
      </c>
      <c r="C119" s="12" t="s">
        <v>70</v>
      </c>
      <c r="D119" s="12" t="s">
        <v>17</v>
      </c>
      <c r="E119" s="13">
        <v>1750905</v>
      </c>
      <c r="F119" s="14">
        <f>(E119*9.85)</f>
        <v>17246414.25</v>
      </c>
      <c r="G119" s="14">
        <f>$G$3</f>
        <v>551</v>
      </c>
      <c r="H119" s="14">
        <f>ROUND((F119+G119)*(0.4759+0.5241/11)/30*26,0)</f>
        <v>7825628</v>
      </c>
      <c r="I119" s="14">
        <f>ROUND(H119*10%,0)</f>
        <v>782563</v>
      </c>
      <c r="J119" s="14">
        <f>H119+I119</f>
        <v>8608191</v>
      </c>
      <c r="K119" s="14">
        <f>ROUND(J119*10%,0)</f>
        <v>860819</v>
      </c>
      <c r="L119" s="14">
        <f>ROUND(K119*19%,0)</f>
        <v>163556</v>
      </c>
      <c r="M119" s="15">
        <f>ROUND(J119+L119,0)</f>
        <v>8771747</v>
      </c>
      <c r="R119" s="2"/>
      <c r="S119" s="2"/>
      <c r="T119" s="2"/>
      <c r="U119" s="2"/>
      <c r="V119" s="2"/>
      <c r="W119" s="2"/>
      <c r="X119" s="2"/>
    </row>
    <row r="120" spans="1:24" ht="51.75" x14ac:dyDescent="0.3">
      <c r="A120" s="77"/>
      <c r="B120" s="17" t="s">
        <v>15</v>
      </c>
      <c r="C120" s="17" t="s">
        <v>19</v>
      </c>
      <c r="D120" s="17" t="s">
        <v>20</v>
      </c>
      <c r="E120" s="18">
        <v>1750905</v>
      </c>
      <c r="F120" s="19">
        <f>(E120*9.85)</f>
        <v>17246414.25</v>
      </c>
      <c r="G120" s="19">
        <f>$G$3</f>
        <v>551</v>
      </c>
      <c r="H120" s="19">
        <f>F120+G120</f>
        <v>17246965.25</v>
      </c>
      <c r="I120" s="19">
        <f t="shared" ref="I120:I122" si="81">ROUND(H120*10%,0)</f>
        <v>1724697</v>
      </c>
      <c r="J120" s="19">
        <f t="shared" ref="J120:J122" si="82">H120+I120</f>
        <v>18971662.25</v>
      </c>
      <c r="K120" s="19">
        <f t="shared" ref="K120:K122" si="83">ROUND(J120*10%,0)</f>
        <v>1897166</v>
      </c>
      <c r="L120" s="19">
        <f t="shared" ref="L120:L122" si="84">ROUND(K120*19%,0)</f>
        <v>360462</v>
      </c>
      <c r="M120" s="20">
        <f t="shared" ref="M120:M122" si="85">ROUND(J120+L120,0)</f>
        <v>19332124</v>
      </c>
      <c r="R120" s="2"/>
      <c r="S120" s="2"/>
      <c r="T120" s="2"/>
      <c r="U120" s="2"/>
      <c r="V120" s="2"/>
      <c r="W120" s="2"/>
      <c r="X120" s="2"/>
    </row>
    <row r="121" spans="1:24" ht="51.75" x14ac:dyDescent="0.3">
      <c r="A121" s="77"/>
      <c r="B121" s="17" t="s">
        <v>15</v>
      </c>
      <c r="C121" s="17" t="s">
        <v>19</v>
      </c>
      <c r="D121" s="17" t="s">
        <v>21</v>
      </c>
      <c r="E121" s="18">
        <v>1750905</v>
      </c>
      <c r="F121" s="19">
        <f>(E121*9.85)</f>
        <v>17246414.25</v>
      </c>
      <c r="G121" s="19">
        <f>$G$3</f>
        <v>551</v>
      </c>
      <c r="H121" s="19">
        <f>F121+G121</f>
        <v>17246965.25</v>
      </c>
      <c r="I121" s="19">
        <f t="shared" si="81"/>
        <v>1724697</v>
      </c>
      <c r="J121" s="19">
        <f t="shared" si="82"/>
        <v>18971662.25</v>
      </c>
      <c r="K121" s="19">
        <f t="shared" si="83"/>
        <v>1897166</v>
      </c>
      <c r="L121" s="19">
        <f t="shared" si="84"/>
        <v>360462</v>
      </c>
      <c r="M121" s="20">
        <f t="shared" si="85"/>
        <v>19332124</v>
      </c>
      <c r="R121" s="2"/>
      <c r="S121" s="2"/>
      <c r="T121" s="2"/>
      <c r="U121" s="2"/>
      <c r="V121" s="2"/>
      <c r="W121" s="2"/>
      <c r="X121" s="2"/>
    </row>
    <row r="122" spans="1:24" ht="121.5" thickBot="1" x14ac:dyDescent="0.35">
      <c r="A122" s="78"/>
      <c r="B122" s="22" t="s">
        <v>22</v>
      </c>
      <c r="C122" s="22" t="s">
        <v>71</v>
      </c>
      <c r="D122" s="22" t="s">
        <v>24</v>
      </c>
      <c r="E122" s="23">
        <v>1750905</v>
      </c>
      <c r="F122" s="24">
        <f>(E122*9.85)</f>
        <v>17246414.25</v>
      </c>
      <c r="G122" s="24">
        <f>$G$3</f>
        <v>551</v>
      </c>
      <c r="H122" s="24">
        <f>ROUND(((F122+G122)*0.4759/13*8)+(P122*O24),0)</f>
        <v>5050973</v>
      </c>
      <c r="I122" s="24">
        <f t="shared" si="81"/>
        <v>505097</v>
      </c>
      <c r="J122" s="24">
        <f t="shared" si="82"/>
        <v>5556070</v>
      </c>
      <c r="K122" s="24">
        <f t="shared" si="83"/>
        <v>555607</v>
      </c>
      <c r="L122" s="24">
        <f t="shared" si="84"/>
        <v>105565</v>
      </c>
      <c r="M122" s="25">
        <f t="shared" si="85"/>
        <v>5661635</v>
      </c>
      <c r="R122" s="2"/>
      <c r="S122" s="2"/>
      <c r="T122" s="2"/>
      <c r="U122" s="2"/>
      <c r="V122" s="2"/>
      <c r="W122" s="2"/>
      <c r="X122" s="2"/>
    </row>
    <row r="123" spans="1:24" ht="17.25" thickBot="1" x14ac:dyDescent="0.35">
      <c r="R123" s="2"/>
      <c r="S123" s="2"/>
      <c r="T123" s="2"/>
      <c r="U123" s="2"/>
      <c r="V123" s="2"/>
      <c r="W123" s="2"/>
      <c r="X123" s="2"/>
    </row>
    <row r="124" spans="1:24" ht="103.5" x14ac:dyDescent="0.3">
      <c r="A124" s="79" t="s">
        <v>25</v>
      </c>
      <c r="B124" s="12" t="s">
        <v>15</v>
      </c>
      <c r="C124" s="12" t="s">
        <v>26</v>
      </c>
      <c r="D124" s="12" t="s">
        <v>27</v>
      </c>
      <c r="E124" s="13">
        <v>1750905</v>
      </c>
      <c r="F124" s="14">
        <f>(E124*9.85)</f>
        <v>17246414.25</v>
      </c>
      <c r="G124" s="14">
        <f>$G$3</f>
        <v>551</v>
      </c>
      <c r="H124" s="14">
        <f>F124+G124</f>
        <v>17246965.25</v>
      </c>
      <c r="I124" s="14">
        <f t="shared" ref="I124" si="86">ROUND(H124*10%,0)</f>
        <v>1724697</v>
      </c>
      <c r="J124" s="14">
        <f t="shared" ref="J124" si="87">H124+I124</f>
        <v>18971662.25</v>
      </c>
      <c r="K124" s="14">
        <f t="shared" ref="K124" si="88">ROUND(J124*10%,0)</f>
        <v>1897166</v>
      </c>
      <c r="L124" s="14">
        <f t="shared" ref="L124" si="89">ROUND(K124*19%,0)</f>
        <v>360462</v>
      </c>
      <c r="M124" s="15">
        <f t="shared" ref="M124" si="90">ROUND(J124+L124,0)</f>
        <v>19332124</v>
      </c>
      <c r="R124" s="2"/>
      <c r="S124" s="2"/>
      <c r="T124" s="2"/>
      <c r="U124" s="2"/>
      <c r="V124" s="2"/>
      <c r="W124" s="2"/>
      <c r="X124" s="2"/>
    </row>
    <row r="125" spans="1:24" ht="52.5" thickBot="1" x14ac:dyDescent="0.35">
      <c r="A125" s="80"/>
      <c r="B125" s="22" t="s">
        <v>15</v>
      </c>
      <c r="C125" s="22" t="s">
        <v>72</v>
      </c>
      <c r="D125" s="22" t="s">
        <v>29</v>
      </c>
      <c r="E125" s="23">
        <v>1750905</v>
      </c>
      <c r="F125" s="24">
        <f>(E125*9.85)</f>
        <v>17246414.25</v>
      </c>
      <c r="G125" s="24">
        <f>$G$3</f>
        <v>551</v>
      </c>
      <c r="H125" s="24">
        <f>ROUND((F125+G125)*(0.4759+0.5241/11)/30*26,0)</f>
        <v>7825628</v>
      </c>
      <c r="I125" s="24">
        <f>ROUND(H125*10%,0)</f>
        <v>782563</v>
      </c>
      <c r="J125" s="24">
        <f>H125+I125</f>
        <v>8608191</v>
      </c>
      <c r="K125" s="24">
        <f>ROUND(J125*10%,0)</f>
        <v>860819</v>
      </c>
      <c r="L125" s="24">
        <f>ROUND(K125*19%,0)</f>
        <v>163556</v>
      </c>
      <c r="M125" s="25">
        <f>ROUND(J125+L125,0)</f>
        <v>8771747</v>
      </c>
      <c r="R125" s="2"/>
      <c r="S125" s="2"/>
      <c r="T125" s="2"/>
      <c r="U125" s="2"/>
      <c r="V125" s="2"/>
      <c r="W125" s="2"/>
      <c r="X125" s="2"/>
    </row>
    <row r="126" spans="1:24" ht="17.25" thickBot="1" x14ac:dyDescent="0.35"/>
    <row r="127" spans="1:24" ht="69.75" thickBot="1" x14ac:dyDescent="0.35">
      <c r="A127" s="29" t="s">
        <v>30</v>
      </c>
      <c r="B127" s="30" t="s">
        <v>15</v>
      </c>
      <c r="C127" s="30" t="s">
        <v>19</v>
      </c>
      <c r="D127" s="30" t="s">
        <v>31</v>
      </c>
      <c r="E127" s="31">
        <v>1750905</v>
      </c>
      <c r="F127" s="32">
        <f>(E127*9.85)</f>
        <v>17246414.25</v>
      </c>
      <c r="G127" s="32">
        <f>G84</f>
        <v>551</v>
      </c>
      <c r="H127" s="32">
        <f>F127+G127</f>
        <v>17246965.25</v>
      </c>
      <c r="I127" s="32">
        <f t="shared" ref="I127" si="91">ROUND(H127*10%,0)</f>
        <v>1724697</v>
      </c>
      <c r="J127" s="32">
        <f t="shared" ref="J127" si="92">H127+I127</f>
        <v>18971662.25</v>
      </c>
      <c r="K127" s="32">
        <f t="shared" ref="K127" si="93">ROUND(J127*10%,0)</f>
        <v>1897166</v>
      </c>
      <c r="L127" s="32">
        <f t="shared" ref="L127" si="94">ROUND(K127*19%,0)</f>
        <v>360462</v>
      </c>
      <c r="M127" s="33">
        <f t="shared" ref="M127" si="95">ROUND(J127+L127,0)</f>
        <v>19332124</v>
      </c>
    </row>
    <row r="128" spans="1:24" ht="17.25" thickBot="1" x14ac:dyDescent="0.35"/>
    <row r="129" spans="1:13" ht="104.25" thickBot="1" x14ac:dyDescent="0.35">
      <c r="A129" s="29" t="s">
        <v>32</v>
      </c>
      <c r="B129" s="30" t="s">
        <v>15</v>
      </c>
      <c r="C129" s="30" t="s">
        <v>19</v>
      </c>
      <c r="D129" s="30" t="s">
        <v>33</v>
      </c>
      <c r="E129" s="31">
        <v>1750905</v>
      </c>
      <c r="F129" s="32">
        <f>(E129*9.85)</f>
        <v>17246414.25</v>
      </c>
      <c r="G129" s="32">
        <f>G84</f>
        <v>551</v>
      </c>
      <c r="H129" s="32">
        <f>F129+G129</f>
        <v>17246965.25</v>
      </c>
      <c r="I129" s="32">
        <f t="shared" ref="I129" si="96">ROUND(H129*10%,0)</f>
        <v>1724697</v>
      </c>
      <c r="J129" s="32">
        <f t="shared" ref="J129" si="97">H129+I129</f>
        <v>18971662.25</v>
      </c>
      <c r="K129" s="32">
        <f t="shared" ref="K129" si="98">ROUND(J129*10%,0)</f>
        <v>1897166</v>
      </c>
      <c r="L129" s="34">
        <f t="shared" ref="L129" si="99">ROUND(K129*19%,0)</f>
        <v>360462</v>
      </c>
      <c r="M129" s="35">
        <f t="shared" ref="M129" si="100">ROUND(J129+L129,0)</f>
        <v>19332124</v>
      </c>
    </row>
    <row r="130" spans="1:13" ht="17.25" thickBot="1" x14ac:dyDescent="0.35">
      <c r="L130" s="44" t="s">
        <v>34</v>
      </c>
      <c r="M130" s="37">
        <f>SUM(M119:M122,M124:M125,M127,M129)</f>
        <v>119865749</v>
      </c>
    </row>
    <row r="131" spans="1:13" ht="17.25" thickBot="1" x14ac:dyDescent="0.35">
      <c r="I131" s="81" t="s">
        <v>67</v>
      </c>
      <c r="J131" s="82"/>
      <c r="K131" s="82"/>
      <c r="L131" s="82"/>
      <c r="M131" s="39">
        <f>ROUND(M130*0.5,0)</f>
        <v>59932875</v>
      </c>
    </row>
    <row r="136" spans="1:13" ht="18" x14ac:dyDescent="0.3">
      <c r="A136" s="75" t="s">
        <v>65</v>
      </c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</row>
    <row r="137" spans="1:13" ht="18.75" thickBot="1" x14ac:dyDescent="0.35">
      <c r="A137" s="42"/>
      <c r="B137" s="42"/>
      <c r="C137" s="42"/>
      <c r="D137" s="42"/>
      <c r="E137" s="42"/>
      <c r="F137" s="42"/>
      <c r="G137" s="74"/>
      <c r="H137" s="42"/>
      <c r="I137" s="42"/>
      <c r="J137" s="42"/>
      <c r="K137" s="42"/>
      <c r="L137" s="42"/>
      <c r="M137" s="42"/>
    </row>
    <row r="138" spans="1:13" ht="60.75" thickBot="1" x14ac:dyDescent="0.35">
      <c r="A138" s="6" t="s">
        <v>1</v>
      </c>
      <c r="B138" s="45" t="s">
        <v>2</v>
      </c>
      <c r="C138" s="45" t="s">
        <v>3</v>
      </c>
      <c r="D138" s="45" t="s">
        <v>4</v>
      </c>
      <c r="E138" s="45" t="s">
        <v>5</v>
      </c>
      <c r="F138" s="45" t="s">
        <v>6</v>
      </c>
      <c r="G138" s="45" t="s">
        <v>7</v>
      </c>
      <c r="H138" s="45" t="s">
        <v>8</v>
      </c>
      <c r="I138" s="45" t="s">
        <v>9</v>
      </c>
      <c r="J138" s="45" t="s">
        <v>10</v>
      </c>
      <c r="K138" s="45" t="s">
        <v>11</v>
      </c>
      <c r="L138" s="45" t="s">
        <v>12</v>
      </c>
      <c r="M138" s="46" t="s">
        <v>13</v>
      </c>
    </row>
    <row r="139" spans="1:13" ht="51.75" x14ac:dyDescent="0.3">
      <c r="A139" s="76" t="s">
        <v>14</v>
      </c>
      <c r="B139" s="12" t="s">
        <v>15</v>
      </c>
      <c r="C139" s="12" t="s">
        <v>70</v>
      </c>
      <c r="D139" s="12" t="s">
        <v>17</v>
      </c>
      <c r="E139" s="13">
        <v>1750905</v>
      </c>
      <c r="F139" s="14">
        <f>(E139*10.21)</f>
        <v>17876740.050000001</v>
      </c>
      <c r="G139" s="14">
        <f>$G$3</f>
        <v>551</v>
      </c>
      <c r="H139" s="14">
        <f>ROUND((F139+G139)*(0.4759+0.5241/11)/30*26,0)</f>
        <v>8111631</v>
      </c>
      <c r="I139" s="14">
        <f>ROUND(H139*10%,0)</f>
        <v>811163</v>
      </c>
      <c r="J139" s="14">
        <f>H139+I139</f>
        <v>8922794</v>
      </c>
      <c r="K139" s="14">
        <f>ROUND(J139*10%,0)</f>
        <v>892279</v>
      </c>
      <c r="L139" s="14">
        <f>ROUND(K139*19%,0)</f>
        <v>169533</v>
      </c>
      <c r="M139" s="15">
        <f>ROUND(J139+L139,0)</f>
        <v>9092327</v>
      </c>
    </row>
    <row r="140" spans="1:13" ht="51.75" x14ac:dyDescent="0.3">
      <c r="A140" s="77"/>
      <c r="B140" s="17" t="s">
        <v>15</v>
      </c>
      <c r="C140" s="17" t="s">
        <v>19</v>
      </c>
      <c r="D140" s="17" t="s">
        <v>20</v>
      </c>
      <c r="E140" s="18">
        <v>1750905</v>
      </c>
      <c r="F140" s="19">
        <f>(E140*10.21)</f>
        <v>17876740.050000001</v>
      </c>
      <c r="G140" s="19">
        <f>$G$3</f>
        <v>551</v>
      </c>
      <c r="H140" s="19">
        <f>F140+G140</f>
        <v>17877291.050000001</v>
      </c>
      <c r="I140" s="19">
        <f t="shared" ref="I140:I142" si="101">ROUND(H140*10%,0)</f>
        <v>1787729</v>
      </c>
      <c r="J140" s="19">
        <f t="shared" ref="J140:J142" si="102">H140+I140</f>
        <v>19665020.050000001</v>
      </c>
      <c r="K140" s="19">
        <f t="shared" ref="K140:K142" si="103">ROUND(J140*10%,0)</f>
        <v>1966502</v>
      </c>
      <c r="L140" s="19">
        <f t="shared" ref="L140:L142" si="104">ROUND(K140*19%,0)</f>
        <v>373635</v>
      </c>
      <c r="M140" s="20">
        <f t="shared" ref="M140:M142" si="105">ROUND(J140+L140,0)</f>
        <v>20038655</v>
      </c>
    </row>
    <row r="141" spans="1:13" ht="51.75" x14ac:dyDescent="0.3">
      <c r="A141" s="77"/>
      <c r="B141" s="17" t="s">
        <v>15</v>
      </c>
      <c r="C141" s="17" t="s">
        <v>19</v>
      </c>
      <c r="D141" s="17" t="s">
        <v>21</v>
      </c>
      <c r="E141" s="18">
        <v>1750905</v>
      </c>
      <c r="F141" s="19">
        <f>(E141*10.21)</f>
        <v>17876740.050000001</v>
      </c>
      <c r="G141" s="19">
        <f>$G$3</f>
        <v>551</v>
      </c>
      <c r="H141" s="19">
        <f>F141+G141</f>
        <v>17877291.050000001</v>
      </c>
      <c r="I141" s="19">
        <f t="shared" si="101"/>
        <v>1787729</v>
      </c>
      <c r="J141" s="19">
        <f t="shared" si="102"/>
        <v>19665020.050000001</v>
      </c>
      <c r="K141" s="19">
        <f t="shared" si="103"/>
        <v>1966502</v>
      </c>
      <c r="L141" s="19">
        <f t="shared" si="104"/>
        <v>373635</v>
      </c>
      <c r="M141" s="20">
        <f t="shared" si="105"/>
        <v>20038655</v>
      </c>
    </row>
    <row r="142" spans="1:13" ht="121.5" thickBot="1" x14ac:dyDescent="0.35">
      <c r="A142" s="78"/>
      <c r="B142" s="22" t="s">
        <v>22</v>
      </c>
      <c r="C142" s="22" t="s">
        <v>71</v>
      </c>
      <c r="D142" s="22" t="s">
        <v>24</v>
      </c>
      <c r="E142" s="23">
        <v>1750905</v>
      </c>
      <c r="F142" s="24">
        <f>(E142*10.21)</f>
        <v>17876740.050000001</v>
      </c>
      <c r="G142" s="24">
        <f>$G$3</f>
        <v>551</v>
      </c>
      <c r="H142" s="24">
        <f>ROUND(((F142+G142)*0.4759/13*8)+(P142*O44),0)</f>
        <v>5235571</v>
      </c>
      <c r="I142" s="24">
        <f t="shared" si="101"/>
        <v>523557</v>
      </c>
      <c r="J142" s="24">
        <f t="shared" si="102"/>
        <v>5759128</v>
      </c>
      <c r="K142" s="24">
        <f t="shared" si="103"/>
        <v>575913</v>
      </c>
      <c r="L142" s="24">
        <f t="shared" si="104"/>
        <v>109423</v>
      </c>
      <c r="M142" s="25">
        <f t="shared" si="105"/>
        <v>5868551</v>
      </c>
    </row>
    <row r="143" spans="1:13" ht="17.25" thickBot="1" x14ac:dyDescent="0.35"/>
    <row r="144" spans="1:13" ht="103.5" x14ac:dyDescent="0.3">
      <c r="A144" s="79" t="s">
        <v>25</v>
      </c>
      <c r="B144" s="12" t="s">
        <v>15</v>
      </c>
      <c r="C144" s="12" t="s">
        <v>26</v>
      </c>
      <c r="D144" s="12" t="s">
        <v>27</v>
      </c>
      <c r="E144" s="13">
        <v>1750905</v>
      </c>
      <c r="F144" s="14">
        <f>(E144*10.21)</f>
        <v>17876740.050000001</v>
      </c>
      <c r="G144" s="14">
        <f>$G$3</f>
        <v>551</v>
      </c>
      <c r="H144" s="14">
        <f>F144+G144</f>
        <v>17877291.050000001</v>
      </c>
      <c r="I144" s="14">
        <f t="shared" ref="I144" si="106">ROUND(H144*10%,0)</f>
        <v>1787729</v>
      </c>
      <c r="J144" s="14">
        <f t="shared" ref="J144" si="107">H144+I144</f>
        <v>19665020.050000001</v>
      </c>
      <c r="K144" s="14">
        <f t="shared" ref="K144" si="108">ROUND(J144*10%,0)</f>
        <v>1966502</v>
      </c>
      <c r="L144" s="14">
        <f t="shared" ref="L144" si="109">ROUND(K144*19%,0)</f>
        <v>373635</v>
      </c>
      <c r="M144" s="15">
        <f t="shared" ref="M144" si="110">ROUND(J144+L144,0)</f>
        <v>20038655</v>
      </c>
    </row>
    <row r="145" spans="1:13" ht="52.5" thickBot="1" x14ac:dyDescent="0.35">
      <c r="A145" s="80"/>
      <c r="B145" s="22" t="s">
        <v>15</v>
      </c>
      <c r="C145" s="22" t="s">
        <v>72</v>
      </c>
      <c r="D145" s="22" t="s">
        <v>29</v>
      </c>
      <c r="E145" s="23">
        <v>1750905</v>
      </c>
      <c r="F145" s="24">
        <f>(E145*10.21)</f>
        <v>17876740.050000001</v>
      </c>
      <c r="G145" s="24">
        <f>$G$3</f>
        <v>551</v>
      </c>
      <c r="H145" s="24">
        <f>ROUND((F145+G145)*(0.4759+0.5241/11)/30*26,0)</f>
        <v>8111631</v>
      </c>
      <c r="I145" s="24">
        <f>ROUND(H145*10%,0)</f>
        <v>811163</v>
      </c>
      <c r="J145" s="24">
        <f>H145+I145</f>
        <v>8922794</v>
      </c>
      <c r="K145" s="24">
        <f>ROUND(J145*10%,0)</f>
        <v>892279</v>
      </c>
      <c r="L145" s="24">
        <f>ROUND(K145*19%,0)</f>
        <v>169533</v>
      </c>
      <c r="M145" s="25">
        <f>ROUND(J145+L145,0)</f>
        <v>9092327</v>
      </c>
    </row>
    <row r="146" spans="1:13" ht="17.25" thickBot="1" x14ac:dyDescent="0.35"/>
    <row r="147" spans="1:13" ht="69.75" thickBot="1" x14ac:dyDescent="0.35">
      <c r="A147" s="29" t="s">
        <v>30</v>
      </c>
      <c r="B147" s="30" t="s">
        <v>15</v>
      </c>
      <c r="C147" s="30" t="s">
        <v>19</v>
      </c>
      <c r="D147" s="30" t="s">
        <v>31</v>
      </c>
      <c r="E147" s="31">
        <v>1750905</v>
      </c>
      <c r="F147" s="32">
        <f>(E147*10.21)</f>
        <v>17876740.050000001</v>
      </c>
      <c r="G147" s="32">
        <f>G104</f>
        <v>551</v>
      </c>
      <c r="H147" s="32">
        <f>F147+G147</f>
        <v>17877291.050000001</v>
      </c>
      <c r="I147" s="32">
        <f t="shared" ref="I147" si="111">ROUND(H147*10%,0)</f>
        <v>1787729</v>
      </c>
      <c r="J147" s="32">
        <f t="shared" ref="J147" si="112">H147+I147</f>
        <v>19665020.050000001</v>
      </c>
      <c r="K147" s="32">
        <f t="shared" ref="K147" si="113">ROUND(J147*10%,0)</f>
        <v>1966502</v>
      </c>
      <c r="L147" s="32">
        <f t="shared" ref="L147" si="114">ROUND(K147*19%,0)</f>
        <v>373635</v>
      </c>
      <c r="M147" s="33">
        <f t="shared" ref="M147" si="115">ROUND(J147+L147,0)</f>
        <v>20038655</v>
      </c>
    </row>
    <row r="148" spans="1:13" ht="17.25" thickBot="1" x14ac:dyDescent="0.35"/>
    <row r="149" spans="1:13" ht="104.25" thickBot="1" x14ac:dyDescent="0.35">
      <c r="A149" s="29" t="s">
        <v>32</v>
      </c>
      <c r="B149" s="30" t="s">
        <v>15</v>
      </c>
      <c r="C149" s="30" t="s">
        <v>19</v>
      </c>
      <c r="D149" s="30" t="s">
        <v>33</v>
      </c>
      <c r="E149" s="31">
        <v>1750905</v>
      </c>
      <c r="F149" s="32">
        <f>(E149*10.21)</f>
        <v>17876740.050000001</v>
      </c>
      <c r="G149" s="32">
        <f>G104</f>
        <v>551</v>
      </c>
      <c r="H149" s="32">
        <f>F149+G149</f>
        <v>17877291.050000001</v>
      </c>
      <c r="I149" s="32">
        <f t="shared" ref="I149" si="116">ROUND(H149*10%,0)</f>
        <v>1787729</v>
      </c>
      <c r="J149" s="32">
        <f t="shared" ref="J149" si="117">H149+I149</f>
        <v>19665020.050000001</v>
      </c>
      <c r="K149" s="32">
        <f t="shared" ref="K149" si="118">ROUND(J149*10%,0)</f>
        <v>1966502</v>
      </c>
      <c r="L149" s="34">
        <f t="shared" ref="L149" si="119">ROUND(K149*19%,0)</f>
        <v>373635</v>
      </c>
      <c r="M149" s="35">
        <f t="shared" ref="M149" si="120">ROUND(J149+L149,0)</f>
        <v>20038655</v>
      </c>
    </row>
    <row r="150" spans="1:13" ht="17.25" thickBot="1" x14ac:dyDescent="0.35">
      <c r="L150" s="44" t="s">
        <v>34</v>
      </c>
      <c r="M150" s="37">
        <f>SUM(M139:M142,M144:M145,M147,M149)</f>
        <v>124246480</v>
      </c>
    </row>
    <row r="151" spans="1:13" ht="17.25" thickBot="1" x14ac:dyDescent="0.35">
      <c r="I151" s="81" t="s">
        <v>68</v>
      </c>
      <c r="J151" s="82"/>
      <c r="K151" s="82"/>
      <c r="L151" s="82"/>
      <c r="M151" s="39">
        <f>ROUND(M150*5.5,0)</f>
        <v>683355640</v>
      </c>
    </row>
    <row r="153" spans="1:13" ht="17.25" thickBot="1" x14ac:dyDescent="0.35"/>
    <row r="154" spans="1:13" ht="17.25" thickBot="1" x14ac:dyDescent="0.35">
      <c r="I154" s="81" t="s">
        <v>69</v>
      </c>
      <c r="J154" s="82"/>
      <c r="K154" s="82"/>
      <c r="L154" s="82"/>
      <c r="M154" s="39">
        <f>+M151+M131+M111</f>
        <v>1159600485</v>
      </c>
    </row>
  </sheetData>
  <mergeCells count="36">
    <mergeCell ref="I70:L70"/>
    <mergeCell ref="A99:A102"/>
    <mergeCell ref="A104:A105"/>
    <mergeCell ref="I111:L111"/>
    <mergeCell ref="A75:M75"/>
    <mergeCell ref="A78:A81"/>
    <mergeCell ref="A83:A84"/>
    <mergeCell ref="I90:L90"/>
    <mergeCell ref="H92:L92"/>
    <mergeCell ref="A96:M96"/>
    <mergeCell ref="A1:M1"/>
    <mergeCell ref="A5:A8"/>
    <mergeCell ref="A10:A11"/>
    <mergeCell ref="H17:L17"/>
    <mergeCell ref="A19:M19"/>
    <mergeCell ref="A22:A25"/>
    <mergeCell ref="A116:M116"/>
    <mergeCell ref="A119:A122"/>
    <mergeCell ref="A124:A125"/>
    <mergeCell ref="I131:L131"/>
    <mergeCell ref="H72:L72"/>
    <mergeCell ref="A27:A28"/>
    <mergeCell ref="I34:L34"/>
    <mergeCell ref="A35:M35"/>
    <mergeCell ref="A38:A41"/>
    <mergeCell ref="A43:A44"/>
    <mergeCell ref="I50:L50"/>
    <mergeCell ref="H52:L52"/>
    <mergeCell ref="A55:M55"/>
    <mergeCell ref="A58:A61"/>
    <mergeCell ref="A63:A64"/>
    <mergeCell ref="A136:M136"/>
    <mergeCell ref="A139:A142"/>
    <mergeCell ref="A144:A145"/>
    <mergeCell ref="I151:L151"/>
    <mergeCell ref="I154:L1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NUEVAS TARIFAS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Milena Martinez Cardenas</dc:creator>
  <cp:lastModifiedBy>Lina Milena Martinez Cardenas</cp:lastModifiedBy>
  <dcterms:created xsi:type="dcterms:W3CDTF">2026-02-09T23:51:30Z</dcterms:created>
  <dcterms:modified xsi:type="dcterms:W3CDTF">2026-02-12T20:21:10Z</dcterms:modified>
</cp:coreProperties>
</file>