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pueducar-my.sharepoint.com/personal/slizarazo_cpe_gov_co/Documents/SLIZARAZO/SANDRA/LICITACION-INVITACION/LICITACIONES/2026/VIGILANCIA/01. PREPLIEGO/"/>
    </mc:Choice>
  </mc:AlternateContent>
  <xr:revisionPtr revIDLastSave="2" documentId="8_{F6DB372C-A1EF-476C-8D94-8ECCE73959DE}" xr6:coauthVersionLast="47" xr6:coauthVersionMax="47" xr10:uidLastSave="{FC5CE625-5C2E-4075-8823-A4AC2AA1D9C6}"/>
  <bookViews>
    <workbookView xWindow="-110" yWindow="-110" windowWidth="19420" windowHeight="11500" activeTab="3" xr2:uid="{A4488194-DC09-414A-A793-24680E7F7865}"/>
  </bookViews>
  <sheets>
    <sheet name="Vigilancia" sheetId="1" r:id="rId1"/>
    <sheet name="Alarmas" sheetId="2" r:id="rId2"/>
    <sheet name="Presupuesto Periodos" sheetId="3" r:id="rId3"/>
    <sheet name="Presupuesto Fina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4" l="1"/>
  <c r="AC5" i="1"/>
  <c r="J5" i="1"/>
  <c r="Q29" i="1"/>
  <c r="Q28" i="1"/>
  <c r="Q27" i="1"/>
  <c r="Q26" i="1"/>
  <c r="Q25" i="1"/>
  <c r="Q19" i="1"/>
  <c r="Q18" i="1"/>
  <c r="Q17" i="1"/>
  <c r="Q16" i="1"/>
  <c r="Q15" i="1"/>
  <c r="Q9" i="1"/>
  <c r="Q8" i="1"/>
  <c r="Q7" i="1"/>
  <c r="Q6" i="1"/>
  <c r="Q5" i="1"/>
  <c r="I29" i="1"/>
  <c r="I28" i="1"/>
  <c r="I27" i="1"/>
  <c r="I26" i="1"/>
  <c r="I25" i="1"/>
  <c r="I19" i="1"/>
  <c r="I18" i="1"/>
  <c r="I17" i="1"/>
  <c r="I16" i="1"/>
  <c r="I15" i="1"/>
  <c r="I9" i="1"/>
  <c r="I8" i="1"/>
  <c r="I7" i="1"/>
  <c r="I6" i="1"/>
  <c r="I5" i="1"/>
  <c r="N5" i="4"/>
  <c r="E37" i="3"/>
  <c r="E36" i="3"/>
  <c r="E35" i="3"/>
  <c r="E34" i="3"/>
  <c r="M7" i="2"/>
  <c r="M6" i="2"/>
  <c r="M5" i="2"/>
  <c r="M4" i="2"/>
  <c r="I7" i="2"/>
  <c r="I6" i="2"/>
  <c r="I5" i="2"/>
  <c r="I4" i="2"/>
  <c r="E7" i="2"/>
  <c r="E6" i="2"/>
  <c r="E5" i="2"/>
  <c r="E4" i="2"/>
  <c r="Y29" i="1"/>
  <c r="Y28" i="1"/>
  <c r="Y27" i="1"/>
  <c r="Y26" i="1"/>
  <c r="Y25" i="1"/>
  <c r="Y19" i="1"/>
  <c r="Y18" i="1"/>
  <c r="Y17" i="1"/>
  <c r="Y16" i="1"/>
  <c r="Y15" i="1"/>
  <c r="Y9" i="1"/>
  <c r="Y8" i="1"/>
  <c r="Y7" i="1"/>
  <c r="Y6" i="1"/>
  <c r="Y5" i="1"/>
  <c r="N9" i="4" l="1"/>
  <c r="E38" i="3"/>
  <c r="S6" i="2"/>
  <c r="R5" i="2"/>
  <c r="R6" i="2"/>
  <c r="Q6" i="2"/>
  <c r="P6" i="2"/>
  <c r="W6" i="2" s="1"/>
  <c r="X6" i="2" s="1"/>
  <c r="N7" i="2"/>
  <c r="O7" i="2" s="1"/>
  <c r="N6" i="2"/>
  <c r="O6" i="2" s="1"/>
  <c r="N5" i="2"/>
  <c r="O5" i="2" s="1"/>
  <c r="N4" i="2"/>
  <c r="O4" i="2" s="1"/>
  <c r="T25" i="1"/>
  <c r="X29" i="1"/>
  <c r="X28" i="1"/>
  <c r="Z28" i="1" s="1"/>
  <c r="AA28" i="1" s="1"/>
  <c r="AB28" i="1" s="1"/>
  <c r="X27" i="1"/>
  <c r="X26" i="1"/>
  <c r="X25" i="1"/>
  <c r="Z25" i="1" s="1"/>
  <c r="AA25" i="1" s="1"/>
  <c r="AB25" i="1" s="1"/>
  <c r="X19" i="1"/>
  <c r="X18" i="1"/>
  <c r="X17" i="1"/>
  <c r="X16" i="1"/>
  <c r="X15" i="1"/>
  <c r="Z15" i="1" s="1"/>
  <c r="AA15" i="1" s="1"/>
  <c r="AB15" i="1" s="1"/>
  <c r="X9" i="1"/>
  <c r="X8" i="1"/>
  <c r="X7" i="1"/>
  <c r="X6" i="1"/>
  <c r="X5" i="1"/>
  <c r="Z5" i="1" s="1"/>
  <c r="AA5" i="1" s="1"/>
  <c r="J7" i="2"/>
  <c r="K7" i="2" s="1"/>
  <c r="J6" i="2"/>
  <c r="K6" i="2" s="1"/>
  <c r="J5" i="2"/>
  <c r="K5" i="2" s="1"/>
  <c r="J4" i="2"/>
  <c r="K4" i="2" s="1"/>
  <c r="L25" i="1"/>
  <c r="P29" i="1"/>
  <c r="P28" i="1"/>
  <c r="P27" i="1"/>
  <c r="P26" i="1"/>
  <c r="P25" i="1"/>
  <c r="R25" i="1" s="1"/>
  <c r="S25" i="1" s="1"/>
  <c r="P19" i="1"/>
  <c r="P18" i="1"/>
  <c r="R18" i="1" s="1"/>
  <c r="S18" i="1" s="1"/>
  <c r="T18" i="1" s="1"/>
  <c r="P17" i="1"/>
  <c r="P16" i="1"/>
  <c r="P15" i="1"/>
  <c r="R15" i="1" s="1"/>
  <c r="S15" i="1" s="1"/>
  <c r="T15" i="1" s="1"/>
  <c r="R5" i="1"/>
  <c r="AF5" i="1" s="1"/>
  <c r="P9" i="1"/>
  <c r="P8" i="1"/>
  <c r="R8" i="1" s="1"/>
  <c r="S8" i="1" s="1"/>
  <c r="P7" i="1"/>
  <c r="P6" i="1"/>
  <c r="P5" i="1"/>
  <c r="F5" i="2"/>
  <c r="G5" i="2" s="1"/>
  <c r="F6" i="2"/>
  <c r="G6" i="2" s="1"/>
  <c r="F7" i="2"/>
  <c r="G7" i="2" s="1"/>
  <c r="F4" i="2"/>
  <c r="G4" i="2" s="1"/>
  <c r="H29" i="1"/>
  <c r="J29" i="1" s="1"/>
  <c r="K29" i="1" s="1"/>
  <c r="L29" i="1" s="1"/>
  <c r="H28" i="1"/>
  <c r="H27" i="1"/>
  <c r="H26" i="1"/>
  <c r="H25" i="1"/>
  <c r="J25" i="1" s="1"/>
  <c r="K25" i="1" s="1"/>
  <c r="H19" i="1"/>
  <c r="H18" i="1"/>
  <c r="H17" i="1"/>
  <c r="H16" i="1"/>
  <c r="H15" i="1"/>
  <c r="J15" i="1" s="1"/>
  <c r="K15" i="1" s="1"/>
  <c r="L15" i="1" s="1"/>
  <c r="H6" i="1"/>
  <c r="H7" i="1"/>
  <c r="H8" i="1"/>
  <c r="H9" i="1"/>
  <c r="H5" i="1"/>
  <c r="K5" i="1" s="1"/>
  <c r="L5" i="1" s="1"/>
  <c r="T8" i="1" l="1"/>
  <c r="S5" i="1"/>
  <c r="AE5" i="1"/>
  <c r="AD5" i="1"/>
  <c r="AH5" i="1" s="1"/>
  <c r="T5" i="1"/>
  <c r="AE25" i="1"/>
  <c r="AD25" i="1"/>
  <c r="AC25" i="1"/>
  <c r="AJ25" i="1" s="1"/>
  <c r="AK25" i="1" s="1"/>
  <c r="AL25" i="1" s="1"/>
  <c r="AF25" i="1"/>
  <c r="AH25" i="1" s="1"/>
  <c r="AC15" i="1"/>
  <c r="AJ15" i="1" s="1"/>
  <c r="AK15" i="1" s="1"/>
  <c r="AL15" i="1" s="1"/>
  <c r="AD15" i="1"/>
  <c r="AE15" i="1"/>
  <c r="AI15" i="1" s="1"/>
  <c r="AF15" i="1"/>
  <c r="T6" i="2"/>
  <c r="U6" i="2"/>
  <c r="P7" i="2"/>
  <c r="W7" i="2" s="1"/>
  <c r="X7" i="2" s="1"/>
  <c r="Q7" i="2"/>
  <c r="R7" i="2"/>
  <c r="S7" i="2"/>
  <c r="V6" i="2"/>
  <c r="G8" i="2"/>
  <c r="S5" i="2"/>
  <c r="P5" i="2"/>
  <c r="W5" i="2" s="1"/>
  <c r="X5" i="2" s="1"/>
  <c r="Q5" i="2"/>
  <c r="R4" i="2"/>
  <c r="P4" i="2"/>
  <c r="W4" i="2" s="1"/>
  <c r="X4" i="2" s="1"/>
  <c r="S4" i="2"/>
  <c r="Q4" i="2"/>
  <c r="AI5" i="1"/>
  <c r="AB5" i="1"/>
  <c r="AJ5" i="1"/>
  <c r="AK5" i="1" s="1"/>
  <c r="AL5" i="1" s="1"/>
  <c r="N6" i="4"/>
  <c r="N7" i="4"/>
  <c r="N8" i="4"/>
  <c r="O8" i="2"/>
  <c r="Z26" i="1"/>
  <c r="Z29" i="1"/>
  <c r="Z27" i="1"/>
  <c r="Z18" i="1"/>
  <c r="Z16" i="1"/>
  <c r="Z19" i="1"/>
  <c r="Z17" i="1"/>
  <c r="Z8" i="1"/>
  <c r="Z6" i="1"/>
  <c r="Z9" i="1"/>
  <c r="Z7" i="1"/>
  <c r="K8" i="2"/>
  <c r="R29" i="1"/>
  <c r="S29" i="1" s="1"/>
  <c r="T29" i="1" s="1"/>
  <c r="R28" i="1"/>
  <c r="S28" i="1" s="1"/>
  <c r="T28" i="1" s="1"/>
  <c r="R26" i="1"/>
  <c r="S26" i="1" s="1"/>
  <c r="T26" i="1" s="1"/>
  <c r="R27" i="1"/>
  <c r="S27" i="1" s="1"/>
  <c r="T27" i="1" s="1"/>
  <c r="R16" i="1"/>
  <c r="S16" i="1" s="1"/>
  <c r="T16" i="1" s="1"/>
  <c r="R19" i="1"/>
  <c r="S19" i="1" s="1"/>
  <c r="T19" i="1" s="1"/>
  <c r="R17" i="1"/>
  <c r="S17" i="1" s="1"/>
  <c r="T17" i="1" s="1"/>
  <c r="R6" i="1"/>
  <c r="R9" i="1"/>
  <c r="R7" i="1"/>
  <c r="J26" i="1"/>
  <c r="K26" i="1" s="1"/>
  <c r="L26" i="1" s="1"/>
  <c r="J28" i="1"/>
  <c r="J27" i="1"/>
  <c r="K27" i="1" s="1"/>
  <c r="L27" i="1" s="1"/>
  <c r="J16" i="1"/>
  <c r="K16" i="1" s="1"/>
  <c r="L16" i="1" s="1"/>
  <c r="J19" i="1"/>
  <c r="K19" i="1" s="1"/>
  <c r="L19" i="1" s="1"/>
  <c r="J18" i="1"/>
  <c r="K18" i="1" s="1"/>
  <c r="L18" i="1" s="1"/>
  <c r="J17" i="1"/>
  <c r="K17" i="1" s="1"/>
  <c r="L17" i="1" s="1"/>
  <c r="J6" i="1"/>
  <c r="K6" i="1" s="1"/>
  <c r="L6" i="1" s="1"/>
  <c r="J7" i="1"/>
  <c r="K7" i="1" s="1"/>
  <c r="L7" i="1" s="1"/>
  <c r="J9" i="1"/>
  <c r="K9" i="1" s="1"/>
  <c r="L9" i="1" s="1"/>
  <c r="J8" i="1"/>
  <c r="K8" i="1" s="1"/>
  <c r="L8" i="1" s="1"/>
  <c r="AI25" i="1" l="1"/>
  <c r="AG25" i="1"/>
  <c r="AH15" i="1"/>
  <c r="S9" i="1"/>
  <c r="T9" i="1" s="1"/>
  <c r="S7" i="1"/>
  <c r="T7" i="1" s="1"/>
  <c r="S6" i="1"/>
  <c r="T6" i="1" s="1"/>
  <c r="K28" i="1"/>
  <c r="L28" i="1" s="1"/>
  <c r="AE28" i="1"/>
  <c r="AF28" i="1"/>
  <c r="AD28" i="1"/>
  <c r="AC28" i="1"/>
  <c r="AJ28" i="1" s="1"/>
  <c r="AK28" i="1" s="1"/>
  <c r="AL28" i="1" s="1"/>
  <c r="AG15" i="1"/>
  <c r="N10" i="4"/>
  <c r="V7" i="2"/>
  <c r="U7" i="2"/>
  <c r="T7" i="2"/>
  <c r="X8" i="2"/>
  <c r="U5" i="2"/>
  <c r="V5" i="2"/>
  <c r="T5" i="2"/>
  <c r="U4" i="2"/>
  <c r="T4" i="2"/>
  <c r="V4" i="2"/>
  <c r="AA29" i="1"/>
  <c r="AB29" i="1" s="1"/>
  <c r="AF29" i="1"/>
  <c r="AE29" i="1"/>
  <c r="AD29" i="1"/>
  <c r="AC29" i="1"/>
  <c r="AJ29" i="1" s="1"/>
  <c r="AK29" i="1" s="1"/>
  <c r="AL29" i="1" s="1"/>
  <c r="AA27" i="1"/>
  <c r="AB27" i="1" s="1"/>
  <c r="AF27" i="1"/>
  <c r="AE27" i="1"/>
  <c r="AD27" i="1"/>
  <c r="AC27" i="1"/>
  <c r="AJ27" i="1" s="1"/>
  <c r="AK27" i="1" s="1"/>
  <c r="AL27" i="1" s="1"/>
  <c r="AA26" i="1"/>
  <c r="AB26" i="1" s="1"/>
  <c r="AE26" i="1"/>
  <c r="AD26" i="1"/>
  <c r="AC26" i="1"/>
  <c r="AJ26" i="1" s="1"/>
  <c r="AK26" i="1" s="1"/>
  <c r="AL26" i="1" s="1"/>
  <c r="AF26" i="1"/>
  <c r="AA19" i="1"/>
  <c r="AB19" i="1" s="1"/>
  <c r="AE19" i="1"/>
  <c r="AF19" i="1"/>
  <c r="AD19" i="1"/>
  <c r="AC19" i="1"/>
  <c r="AJ19" i="1" s="1"/>
  <c r="AK19" i="1" s="1"/>
  <c r="AL19" i="1" s="1"/>
  <c r="AA18" i="1"/>
  <c r="AB18" i="1" s="1"/>
  <c r="AD18" i="1"/>
  <c r="AC18" i="1"/>
  <c r="AJ18" i="1" s="1"/>
  <c r="AK18" i="1" s="1"/>
  <c r="AL18" i="1" s="1"/>
  <c r="AF18" i="1"/>
  <c r="AE18" i="1"/>
  <c r="AA17" i="1"/>
  <c r="AB17" i="1" s="1"/>
  <c r="AF17" i="1"/>
  <c r="AE17" i="1"/>
  <c r="AD17" i="1"/>
  <c r="AC17" i="1"/>
  <c r="AJ17" i="1" s="1"/>
  <c r="AK17" i="1" s="1"/>
  <c r="AL17" i="1" s="1"/>
  <c r="AA16" i="1"/>
  <c r="AB16" i="1" s="1"/>
  <c r="AC16" i="1"/>
  <c r="AF16" i="1"/>
  <c r="AE16" i="1"/>
  <c r="AD16" i="1"/>
  <c r="AD9" i="1"/>
  <c r="AC9" i="1"/>
  <c r="AJ9" i="1" s="1"/>
  <c r="AK9" i="1" s="1"/>
  <c r="AL9" i="1" s="1"/>
  <c r="AA9" i="1"/>
  <c r="AB9" i="1" s="1"/>
  <c r="AF9" i="1"/>
  <c r="AE9" i="1"/>
  <c r="AC8" i="1"/>
  <c r="AJ8" i="1" s="1"/>
  <c r="AK8" i="1" s="1"/>
  <c r="AL8" i="1" s="1"/>
  <c r="AD8" i="1"/>
  <c r="AA8" i="1"/>
  <c r="AB8" i="1" s="1"/>
  <c r="AF8" i="1"/>
  <c r="AE8" i="1"/>
  <c r="AA7" i="1"/>
  <c r="AB7" i="1" s="1"/>
  <c r="AE7" i="1"/>
  <c r="AD7" i="1"/>
  <c r="AC7" i="1"/>
  <c r="AJ7" i="1" s="1"/>
  <c r="AK7" i="1" s="1"/>
  <c r="AL7" i="1" s="1"/>
  <c r="AF7" i="1"/>
  <c r="AD6" i="1"/>
  <c r="AF6" i="1"/>
  <c r="AE6" i="1"/>
  <c r="AC6" i="1"/>
  <c r="AJ6" i="1" s="1"/>
  <c r="AK6" i="1" s="1"/>
  <c r="AL6" i="1" s="1"/>
  <c r="AA6" i="1"/>
  <c r="AB6" i="1" s="1"/>
  <c r="AG5" i="1"/>
  <c r="AB20" i="1"/>
  <c r="T30" i="1"/>
  <c r="T20" i="1"/>
  <c r="L30" i="1"/>
  <c r="L20" i="1"/>
  <c r="L10" i="1"/>
  <c r="T10" i="1" l="1"/>
  <c r="AI28" i="1"/>
  <c r="AG28" i="1"/>
  <c r="AH28" i="1"/>
  <c r="G30" i="3"/>
  <c r="AI29" i="1"/>
  <c r="AG29" i="1"/>
  <c r="AH29" i="1"/>
  <c r="AL30" i="1"/>
  <c r="AB30" i="1"/>
  <c r="AI27" i="1"/>
  <c r="AH27" i="1"/>
  <c r="AG27" i="1"/>
  <c r="AI26" i="1"/>
  <c r="AH26" i="1"/>
  <c r="AG26" i="1"/>
  <c r="AI19" i="1"/>
  <c r="AG19" i="1"/>
  <c r="AH19" i="1"/>
  <c r="AI18" i="1"/>
  <c r="AG18" i="1"/>
  <c r="AH18" i="1"/>
  <c r="AI17" i="1"/>
  <c r="AH17" i="1"/>
  <c r="AG17" i="1"/>
  <c r="AI16" i="1"/>
  <c r="AH16" i="1"/>
  <c r="AG16" i="1"/>
  <c r="AJ16" i="1"/>
  <c r="AK16" i="1" s="1"/>
  <c r="AL16" i="1" s="1"/>
  <c r="AL20" i="1" s="1"/>
  <c r="AI9" i="1"/>
  <c r="AH9" i="1"/>
  <c r="AG9" i="1"/>
  <c r="AG8" i="1"/>
  <c r="AI8" i="1"/>
  <c r="AH8" i="1"/>
  <c r="AL10" i="1"/>
  <c r="AH7" i="1"/>
  <c r="AG7" i="1"/>
  <c r="AI7" i="1"/>
  <c r="AB10" i="1"/>
  <c r="AI6" i="1"/>
  <c r="AH6" i="1"/>
  <c r="AG6" i="1"/>
  <c r="G20" i="3"/>
  <c r="G10" i="3"/>
</calcChain>
</file>

<file path=xl/sharedStrings.xml><?xml version="1.0" encoding="utf-8"?>
<sst xmlns="http://schemas.openxmlformats.org/spreadsheetml/2006/main" count="234" uniqueCount="34">
  <si>
    <t>Centro</t>
  </si>
  <si>
    <t>CST</t>
  </si>
  <si>
    <t>CENARE</t>
  </si>
  <si>
    <t>Dirección Ejecutiva</t>
  </si>
  <si>
    <t>Parque Insdustrial SL</t>
  </si>
  <si>
    <t>No. de Vigilantes</t>
  </si>
  <si>
    <t>Costo Unitario del Servicio</t>
  </si>
  <si>
    <t>Seguro de Vida</t>
  </si>
  <si>
    <t>A y S</t>
  </si>
  <si>
    <t>Valor Unitario Antes IVA</t>
  </si>
  <si>
    <t>Valor IVA mensual</t>
  </si>
  <si>
    <t>Valor Unitario Mnesual</t>
  </si>
  <si>
    <t>Valor Total Mensual</t>
  </si>
  <si>
    <t>Valor Total 3 meses</t>
  </si>
  <si>
    <t>Valor Total 14 días</t>
  </si>
  <si>
    <t>Valor Total 5 meses y 16 días</t>
  </si>
  <si>
    <t>Valor Mensual Antes de IVA</t>
  </si>
  <si>
    <t>Valor de IVA</t>
  </si>
  <si>
    <t>Valor mensual Incuido IVA</t>
  </si>
  <si>
    <t>Valor Total 9 meses</t>
  </si>
  <si>
    <t>SEGURIDAD CARIMAR</t>
  </si>
  <si>
    <t>SEGURIDAD CANADA</t>
  </si>
  <si>
    <t>SEGURIDAD MAYAS</t>
  </si>
  <si>
    <t>Media</t>
  </si>
  <si>
    <t>Mediana</t>
  </si>
  <si>
    <t>Media Acotada</t>
  </si>
  <si>
    <t>Desviación</t>
  </si>
  <si>
    <t>CV Media</t>
  </si>
  <si>
    <t>CV Mediana</t>
  </si>
  <si>
    <t>CV Media Acotada</t>
  </si>
  <si>
    <t>Valor Unitario Mensual</t>
  </si>
  <si>
    <t>Valor mensual</t>
  </si>
  <si>
    <t>Valor Total</t>
  </si>
  <si>
    <t>Valor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</si>
</sst>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0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4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0" applyNumberFormat="1" applyBorder="1"/>
    <xf numFmtId="0" fontId="0" fillId="0" borderId="1" xfId="0" applyBorder="1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44" fontId="0" fillId="2" borderId="1" xfId="1" applyFont="1" applyFill="1" applyBorder="1"/>
    <xf numFmtId="44" fontId="0" fillId="2" borderId="1" xfId="0" applyNumberFormat="1" applyFill="1" applyBorder="1"/>
    <xf numFmtId="0" fontId="0" fillId="3" borderId="2" xfId="0" applyFill="1" applyBorder="1" applyAlignment="1">
      <alignment horizontal="center" vertical="center" wrapText="1"/>
    </xf>
    <xf numFmtId="44" fontId="0" fillId="3" borderId="1" xfId="1" applyFont="1" applyFill="1" applyBorder="1"/>
    <xf numFmtId="44" fontId="0" fillId="3" borderId="1" xfId="0" applyNumberFormat="1" applyFill="1" applyBorder="1"/>
    <xf numFmtId="0" fontId="0" fillId="4" borderId="2" xfId="0" applyFill="1" applyBorder="1" applyAlignment="1">
      <alignment horizontal="center" vertical="center" wrapText="1"/>
    </xf>
    <xf numFmtId="44" fontId="0" fillId="4" borderId="1" xfId="1" applyFont="1" applyFill="1" applyBorder="1"/>
    <xf numFmtId="44" fontId="0" fillId="4" borderId="1" xfId="0" applyNumberFormat="1" applyFill="1" applyBorder="1"/>
    <xf numFmtId="0" fontId="0" fillId="4" borderId="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44" fontId="0" fillId="4" borderId="1" xfId="1" applyFont="1" applyFill="1" applyBorder="1" applyAlignment="1">
      <alignment horizontal="center"/>
    </xf>
    <xf numFmtId="44" fontId="0" fillId="4" borderId="6" xfId="0" applyNumberFormat="1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/>
    </xf>
    <xf numFmtId="44" fontId="0" fillId="3" borderId="6" xfId="0" applyNumberFormat="1" applyFill="1" applyBorder="1"/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/>
    </xf>
    <xf numFmtId="44" fontId="0" fillId="2" borderId="6" xfId="0" applyNumberFormat="1" applyFill="1" applyBorder="1"/>
    <xf numFmtId="0" fontId="0" fillId="4" borderId="8" xfId="0" applyFill="1" applyBorder="1" applyAlignment="1">
      <alignment horizontal="center" vertical="center" wrapText="1"/>
    </xf>
    <xf numFmtId="44" fontId="0" fillId="4" borderId="6" xfId="1" applyFont="1" applyFill="1" applyBorder="1"/>
    <xf numFmtId="0" fontId="0" fillId="5" borderId="1" xfId="0" applyFill="1" applyBorder="1" applyAlignment="1">
      <alignment horizontal="center" vertical="center" wrapText="1"/>
    </xf>
    <xf numFmtId="44" fontId="0" fillId="5" borderId="1" xfId="0" applyNumberFormat="1" applyFill="1" applyBorder="1"/>
    <xf numFmtId="44" fontId="0" fillId="5" borderId="1" xfId="1" applyFont="1" applyFill="1" applyBorder="1"/>
    <xf numFmtId="44" fontId="0" fillId="6" borderId="1" xfId="0" applyNumberFormat="1" applyFill="1" applyBorder="1"/>
    <xf numFmtId="164" fontId="0" fillId="6" borderId="1" xfId="2" applyNumberFormat="1" applyFont="1" applyFill="1" applyBorder="1"/>
    <xf numFmtId="44" fontId="2" fillId="7" borderId="1" xfId="0" applyNumberFormat="1" applyFont="1" applyFill="1" applyBorder="1"/>
    <xf numFmtId="44" fontId="2" fillId="7" borderId="1" xfId="1" applyFont="1" applyFill="1" applyBorder="1"/>
    <xf numFmtId="0" fontId="0" fillId="6" borderId="9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vertical="center" wrapText="1"/>
    </xf>
    <xf numFmtId="44" fontId="0" fillId="6" borderId="1" xfId="1" applyFont="1" applyFill="1" applyBorder="1" applyAlignment="1">
      <alignment vertical="center"/>
    </xf>
    <xf numFmtId="10" fontId="0" fillId="6" borderId="1" xfId="2" applyNumberFormat="1" applyFont="1" applyFill="1" applyBorder="1" applyAlignment="1">
      <alignment vertical="center"/>
    </xf>
    <xf numFmtId="10" fontId="0" fillId="6" borderId="1" xfId="2" applyNumberFormat="1" applyFont="1" applyFill="1" applyBorder="1" applyAlignment="1">
      <alignment vertical="center" wrapText="1"/>
    </xf>
    <xf numFmtId="44" fontId="2" fillId="8" borderId="1" xfId="0" applyNumberFormat="1" applyFont="1" applyFill="1" applyBorder="1"/>
    <xf numFmtId="44" fontId="2" fillId="8" borderId="1" xfId="1" applyFont="1" applyFill="1" applyBorder="1"/>
    <xf numFmtId="0" fontId="2" fillId="8" borderId="1" xfId="0" applyFont="1" applyFill="1" applyBorder="1" applyAlignment="1">
      <alignment horizontal="center" vertical="center" wrapText="1"/>
    </xf>
    <xf numFmtId="44" fontId="0" fillId="9" borderId="0" xfId="0" applyNumberFormat="1" applyFill="1"/>
    <xf numFmtId="44" fontId="0" fillId="9" borderId="1" xfId="0" applyNumberFormat="1" applyFill="1" applyBorder="1"/>
    <xf numFmtId="44" fontId="0" fillId="10" borderId="1" xfId="0" applyNumberFormat="1" applyFill="1" applyBorder="1"/>
    <xf numFmtId="0" fontId="2" fillId="7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7" borderId="6" xfId="0" applyFont="1" applyFill="1" applyBorder="1" applyAlignment="1">
      <alignment horizontal="center" wrapText="1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ED85B-DEBC-4EE1-9DD4-3CFE0EFD9F1D}">
  <dimension ref="C2:AL30"/>
  <sheetViews>
    <sheetView topLeftCell="AA1" workbookViewId="0">
      <selection activeCell="AL25" sqref="AL25"/>
    </sheetView>
  </sheetViews>
  <sheetFormatPr baseColWidth="10" defaultRowHeight="14.5" x14ac:dyDescent="0.35"/>
  <cols>
    <col min="3" max="3" width="19.7265625" bestFit="1" customWidth="1"/>
    <col min="4" max="4" width="15.81640625" bestFit="1" customWidth="1"/>
    <col min="5" max="5" width="16.1796875" customWidth="1"/>
    <col min="6" max="6" width="14.1796875" bestFit="1" customWidth="1"/>
    <col min="7" max="7" width="14.54296875" bestFit="1" customWidth="1"/>
    <col min="8" max="8" width="15.54296875" bestFit="1" customWidth="1"/>
    <col min="9" max="9" width="13" bestFit="1" customWidth="1"/>
    <col min="10" max="10" width="16.81640625" customWidth="1"/>
    <col min="11" max="11" width="15.54296875" bestFit="1" customWidth="1"/>
    <col min="12" max="12" width="16.7265625" bestFit="1" customWidth="1"/>
    <col min="13" max="13" width="15.54296875" bestFit="1" customWidth="1"/>
    <col min="15" max="15" width="14.54296875" bestFit="1" customWidth="1"/>
    <col min="16" max="16" width="15.54296875" bestFit="1" customWidth="1"/>
    <col min="17" max="17" width="13" bestFit="1" customWidth="1"/>
    <col min="18" max="18" width="15.54296875" bestFit="1" customWidth="1"/>
    <col min="19" max="19" width="16.54296875" customWidth="1"/>
    <col min="20" max="20" width="16.7265625" bestFit="1" customWidth="1"/>
    <col min="21" max="21" width="15.54296875" bestFit="1" customWidth="1"/>
    <col min="23" max="23" width="14.54296875" bestFit="1" customWidth="1"/>
    <col min="24" max="24" width="15.54296875" bestFit="1" customWidth="1"/>
    <col min="25" max="25" width="13" bestFit="1" customWidth="1"/>
    <col min="26" max="26" width="15.54296875" bestFit="1" customWidth="1"/>
    <col min="27" max="27" width="15.7265625" customWidth="1"/>
    <col min="28" max="28" width="16.453125" customWidth="1"/>
    <col min="29" max="29" width="15.7265625" customWidth="1"/>
    <col min="30" max="31" width="15.54296875" bestFit="1" customWidth="1"/>
    <col min="32" max="32" width="12" customWidth="1"/>
    <col min="36" max="36" width="15.54296875" bestFit="1" customWidth="1"/>
    <col min="37" max="37" width="17" customWidth="1"/>
    <col min="38" max="38" width="16.7265625" bestFit="1" customWidth="1"/>
  </cols>
  <sheetData>
    <row r="2" spans="3:38" ht="15" thickBot="1" x14ac:dyDescent="0.4"/>
    <row r="3" spans="3:38" ht="15" thickBot="1" x14ac:dyDescent="0.4">
      <c r="E3" s="56" t="s">
        <v>20</v>
      </c>
      <c r="F3" s="57"/>
      <c r="G3" s="57"/>
      <c r="H3" s="57"/>
      <c r="I3" s="57"/>
      <c r="J3" s="57"/>
      <c r="K3" s="57"/>
      <c r="L3" s="58"/>
      <c r="M3" s="59" t="s">
        <v>21</v>
      </c>
      <c r="N3" s="60"/>
      <c r="O3" s="60"/>
      <c r="P3" s="60"/>
      <c r="Q3" s="60"/>
      <c r="R3" s="60"/>
      <c r="S3" s="60"/>
      <c r="T3" s="61"/>
      <c r="U3" s="53" t="s">
        <v>22</v>
      </c>
      <c r="V3" s="54"/>
      <c r="W3" s="54"/>
      <c r="X3" s="54"/>
      <c r="Y3" s="54"/>
      <c r="Z3" s="54"/>
      <c r="AA3" s="54"/>
      <c r="AB3" s="54"/>
      <c r="AC3" s="52" t="s">
        <v>23</v>
      </c>
      <c r="AD3" s="52" t="s">
        <v>24</v>
      </c>
      <c r="AE3" s="49" t="s">
        <v>25</v>
      </c>
      <c r="AF3" s="50" t="s">
        <v>26</v>
      </c>
      <c r="AG3" s="50" t="s">
        <v>27</v>
      </c>
      <c r="AH3" s="50" t="s">
        <v>28</v>
      </c>
      <c r="AI3" s="51" t="s">
        <v>29</v>
      </c>
      <c r="AJ3" s="48" t="s">
        <v>30</v>
      </c>
      <c r="AK3" s="48" t="s">
        <v>12</v>
      </c>
      <c r="AL3" s="48" t="s">
        <v>13</v>
      </c>
    </row>
    <row r="4" spans="3:38" ht="29" x14ac:dyDescent="0.35">
      <c r="C4" s="5" t="s">
        <v>0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9" t="s">
        <v>6</v>
      </c>
      <c r="N4" s="9" t="s">
        <v>7</v>
      </c>
      <c r="O4" s="9" t="s">
        <v>8</v>
      </c>
      <c r="P4" s="9" t="s">
        <v>9</v>
      </c>
      <c r="Q4" s="9" t="s">
        <v>10</v>
      </c>
      <c r="R4" s="9" t="s">
        <v>11</v>
      </c>
      <c r="S4" s="9" t="s">
        <v>12</v>
      </c>
      <c r="T4" s="9" t="s">
        <v>13</v>
      </c>
      <c r="U4" s="12" t="s">
        <v>6</v>
      </c>
      <c r="V4" s="12" t="s">
        <v>7</v>
      </c>
      <c r="W4" s="12" t="s">
        <v>8</v>
      </c>
      <c r="X4" s="12" t="s">
        <v>9</v>
      </c>
      <c r="Y4" s="12" t="s">
        <v>10</v>
      </c>
      <c r="Z4" s="12" t="s">
        <v>30</v>
      </c>
      <c r="AA4" s="12" t="s">
        <v>12</v>
      </c>
      <c r="AB4" s="27" t="s">
        <v>13</v>
      </c>
      <c r="AC4" s="52"/>
      <c r="AD4" s="52"/>
      <c r="AE4" s="49"/>
      <c r="AF4" s="50"/>
      <c r="AG4" s="50"/>
      <c r="AH4" s="50"/>
      <c r="AI4" s="51"/>
      <c r="AJ4" s="48"/>
      <c r="AK4" s="48"/>
      <c r="AL4" s="48"/>
    </row>
    <row r="5" spans="3:38" x14ac:dyDescent="0.35">
      <c r="C5" s="2" t="s">
        <v>1</v>
      </c>
      <c r="D5" s="3">
        <v>1</v>
      </c>
      <c r="E5" s="7">
        <v>4174825</v>
      </c>
      <c r="F5" s="7">
        <v>366</v>
      </c>
      <c r="G5" s="7">
        <v>334015</v>
      </c>
      <c r="H5" s="8">
        <f>SUM(E5:G5)</f>
        <v>4509206</v>
      </c>
      <c r="I5" s="7">
        <f>ROUND(+H5*1.19%,0)</f>
        <v>53660</v>
      </c>
      <c r="J5" s="8">
        <f>+H5+I5</f>
        <v>4562866</v>
      </c>
      <c r="K5" s="7">
        <f>+J5*D5</f>
        <v>4562866</v>
      </c>
      <c r="L5" s="7">
        <f>+K5*3</f>
        <v>13688598</v>
      </c>
      <c r="M5" s="10">
        <v>4174825</v>
      </c>
      <c r="N5" s="10">
        <v>1354</v>
      </c>
      <c r="O5" s="10">
        <v>334094</v>
      </c>
      <c r="P5" s="11">
        <f>SUM(M5:O5)</f>
        <v>4510273</v>
      </c>
      <c r="Q5" s="10">
        <f>ROUND(+P5*1.19%,0)</f>
        <v>53672</v>
      </c>
      <c r="R5" s="11">
        <f>+P5+Q5</f>
        <v>4563945</v>
      </c>
      <c r="S5" s="10">
        <f>+R5*D5</f>
        <v>4563945</v>
      </c>
      <c r="T5" s="10">
        <f>+S5*3</f>
        <v>13691835</v>
      </c>
      <c r="U5" s="13">
        <v>4174825</v>
      </c>
      <c r="V5" s="13">
        <v>300</v>
      </c>
      <c r="W5" s="13">
        <v>334010</v>
      </c>
      <c r="X5" s="14">
        <f>SUM(U5:W5)</f>
        <v>4509135</v>
      </c>
      <c r="Y5" s="13">
        <f>ROUND(+X5*1.19%,0)</f>
        <v>53659</v>
      </c>
      <c r="Z5" s="14">
        <f>+X5+Y5</f>
        <v>4562794</v>
      </c>
      <c r="AA5" s="13">
        <f>+Z5*D5</f>
        <v>4562794</v>
      </c>
      <c r="AB5" s="28">
        <f>+AA5*3</f>
        <v>13688382</v>
      </c>
      <c r="AC5" s="30">
        <f>ROUND(AVERAGE(J5,R5,Z5),0)</f>
        <v>4563202</v>
      </c>
      <c r="AD5" s="30">
        <f>ROUND(MEDIAN(J5,R5,Z5),0)</f>
        <v>4562866</v>
      </c>
      <c r="AE5" s="31">
        <f>ROUND(+(TRIMMEAN((J5,R5,Z5),20%)),0)</f>
        <v>4563202</v>
      </c>
      <c r="AF5" s="32">
        <f>ROUND(STDEV(J5,R5,Z5),0)</f>
        <v>645</v>
      </c>
      <c r="AG5" s="33">
        <f>+AF5/AC5</f>
        <v>1.4134811476678E-4</v>
      </c>
      <c r="AH5" s="33">
        <f>+AF5/AD5</f>
        <v>1.4135852334914065E-4</v>
      </c>
      <c r="AI5" s="33">
        <f>+AF5/AE5</f>
        <v>1.4134811476678E-4</v>
      </c>
      <c r="AJ5" s="34">
        <f>+AC5</f>
        <v>4563202</v>
      </c>
      <c r="AK5" s="35">
        <f>+AJ5*D5</f>
        <v>4563202</v>
      </c>
      <c r="AL5" s="35">
        <f>+AK5*3</f>
        <v>13689606</v>
      </c>
    </row>
    <row r="6" spans="3:38" x14ac:dyDescent="0.35">
      <c r="C6" s="2" t="s">
        <v>1</v>
      </c>
      <c r="D6" s="3">
        <v>1</v>
      </c>
      <c r="E6" s="7">
        <v>17106342</v>
      </c>
      <c r="F6" s="7">
        <v>1500</v>
      </c>
      <c r="G6" s="7">
        <v>1368627</v>
      </c>
      <c r="H6" s="8">
        <f t="shared" ref="H6:H9" si="0">SUM(E6:G6)</f>
        <v>18476469</v>
      </c>
      <c r="I6" s="7">
        <f>ROUND(+H6*1.19%,0)</f>
        <v>219870</v>
      </c>
      <c r="J6" s="8">
        <f t="shared" ref="J6:J9" si="1">+H6+I6</f>
        <v>18696339</v>
      </c>
      <c r="K6" s="7">
        <f t="shared" ref="K6:K9" si="2">+J6*D6</f>
        <v>18696339</v>
      </c>
      <c r="L6" s="7">
        <f t="shared" ref="L6:L9" si="3">+K6*3</f>
        <v>56089017</v>
      </c>
      <c r="M6" s="10">
        <v>17106342</v>
      </c>
      <c r="N6" s="10">
        <v>5550</v>
      </c>
      <c r="O6" s="10">
        <v>1368951</v>
      </c>
      <c r="P6" s="11">
        <f t="shared" ref="P6:P9" si="4">SUM(M6:O6)</f>
        <v>18480843</v>
      </c>
      <c r="Q6" s="10">
        <f>ROUND(+P6*1.19%,0)</f>
        <v>219922</v>
      </c>
      <c r="R6" s="11">
        <f t="shared" ref="R6:R9" si="5">+P6+Q6</f>
        <v>18700765</v>
      </c>
      <c r="S6" s="10">
        <f t="shared" ref="S6:S9" si="6">+R6*D6</f>
        <v>18700765</v>
      </c>
      <c r="T6" s="10">
        <f t="shared" ref="T6:T9" si="7">+S6*3</f>
        <v>56102295</v>
      </c>
      <c r="U6" s="13">
        <v>17106342</v>
      </c>
      <c r="V6" s="13">
        <v>600</v>
      </c>
      <c r="W6" s="13">
        <v>1368555</v>
      </c>
      <c r="X6" s="14">
        <f t="shared" ref="X6:X9" si="8">SUM(U6:W6)</f>
        <v>18475497</v>
      </c>
      <c r="Y6" s="13">
        <f>ROUND(+X6*1.19%,0)</f>
        <v>219858</v>
      </c>
      <c r="Z6" s="14">
        <f t="shared" ref="Z6:Z9" si="9">+X6+Y6</f>
        <v>18695355</v>
      </c>
      <c r="AA6" s="13">
        <f t="shared" ref="AA6:AA9" si="10">+Z6*D6</f>
        <v>18695355</v>
      </c>
      <c r="AB6" s="28">
        <f t="shared" ref="AB6:AB9" si="11">+AA6*3</f>
        <v>56086065</v>
      </c>
      <c r="AC6" s="30">
        <f t="shared" ref="AC6:AC8" si="12">ROUND(AVERAGE(J6,R6,Z6),0)</f>
        <v>18697486</v>
      </c>
      <c r="AD6" s="30">
        <f t="shared" ref="AD6:AD9" si="13">ROUND(MEDIAN(J6,R6,Z6),0)</f>
        <v>18696339</v>
      </c>
      <c r="AE6" s="31">
        <f>ROUND(+(TRIMMEAN((J6,R6,Z6),20%)),0)</f>
        <v>18697486</v>
      </c>
      <c r="AF6" s="32">
        <f t="shared" ref="AF6:AF9" si="14">ROUND(STDEV(J6,R6,Z6),0)</f>
        <v>2882</v>
      </c>
      <c r="AG6" s="33">
        <f t="shared" ref="AG6:AG9" si="15">+AF6/AC6</f>
        <v>1.5413836919038208E-4</v>
      </c>
      <c r="AH6" s="33">
        <f t="shared" ref="AH6:AH9" si="16">+AF6/AD6</f>
        <v>1.5414782541116741E-4</v>
      </c>
      <c r="AI6" s="33">
        <f t="shared" ref="AI6:AI9" si="17">+AF6/AE6</f>
        <v>1.5413836919038208E-4</v>
      </c>
      <c r="AJ6" s="34">
        <f t="shared" ref="AJ6:AJ9" si="18">+AC6</f>
        <v>18697486</v>
      </c>
      <c r="AK6" s="35">
        <f t="shared" ref="AK6:AK9" si="19">+AJ6*D6</f>
        <v>18697486</v>
      </c>
      <c r="AL6" s="35">
        <f t="shared" ref="AL6:AL9" si="20">+AK6*3</f>
        <v>56092458</v>
      </c>
    </row>
    <row r="7" spans="3:38" x14ac:dyDescent="0.35">
      <c r="C7" s="2" t="s">
        <v>2</v>
      </c>
      <c r="D7" s="3">
        <v>1</v>
      </c>
      <c r="E7" s="7">
        <v>17106342</v>
      </c>
      <c r="F7" s="7">
        <v>1500</v>
      </c>
      <c r="G7" s="7">
        <v>1368627</v>
      </c>
      <c r="H7" s="8">
        <f t="shared" si="0"/>
        <v>18476469</v>
      </c>
      <c r="I7" s="7">
        <f>ROUND(+H7*1.19%,0)</f>
        <v>219870</v>
      </c>
      <c r="J7" s="8">
        <f t="shared" si="1"/>
        <v>18696339</v>
      </c>
      <c r="K7" s="7">
        <f t="shared" si="2"/>
        <v>18696339</v>
      </c>
      <c r="L7" s="7">
        <f t="shared" si="3"/>
        <v>56089017</v>
      </c>
      <c r="M7" s="10">
        <v>17106342</v>
      </c>
      <c r="N7" s="10">
        <v>5550</v>
      </c>
      <c r="O7" s="10">
        <v>1368951</v>
      </c>
      <c r="P7" s="11">
        <f t="shared" si="4"/>
        <v>18480843</v>
      </c>
      <c r="Q7" s="10">
        <f>ROUND(+P7*1.19%,0)</f>
        <v>219922</v>
      </c>
      <c r="R7" s="11">
        <f t="shared" si="5"/>
        <v>18700765</v>
      </c>
      <c r="S7" s="10">
        <f t="shared" si="6"/>
        <v>18700765</v>
      </c>
      <c r="T7" s="10">
        <f t="shared" si="7"/>
        <v>56102295</v>
      </c>
      <c r="U7" s="13">
        <v>17106342</v>
      </c>
      <c r="V7" s="13">
        <v>5550</v>
      </c>
      <c r="W7" s="13">
        <v>1368951</v>
      </c>
      <c r="X7" s="14">
        <f t="shared" si="8"/>
        <v>18480843</v>
      </c>
      <c r="Y7" s="13">
        <f>ROUND(+X7*1.19%,0)</f>
        <v>219922</v>
      </c>
      <c r="Z7" s="14">
        <f t="shared" si="9"/>
        <v>18700765</v>
      </c>
      <c r="AA7" s="13">
        <f t="shared" si="10"/>
        <v>18700765</v>
      </c>
      <c r="AB7" s="28">
        <f t="shared" si="11"/>
        <v>56102295</v>
      </c>
      <c r="AC7" s="30">
        <f t="shared" si="12"/>
        <v>18699290</v>
      </c>
      <c r="AD7" s="30">
        <f t="shared" si="13"/>
        <v>18700765</v>
      </c>
      <c r="AE7" s="31">
        <f>ROUND(+(TRIMMEAN((J7,R7,Z7),20%)),0)</f>
        <v>18699290</v>
      </c>
      <c r="AF7" s="32">
        <f t="shared" si="14"/>
        <v>2555</v>
      </c>
      <c r="AG7" s="33">
        <f t="shared" si="15"/>
        <v>1.3663620383447714E-4</v>
      </c>
      <c r="AH7" s="33">
        <f t="shared" si="16"/>
        <v>1.3662542682077444E-4</v>
      </c>
      <c r="AI7" s="33">
        <f t="shared" si="17"/>
        <v>1.3663620383447714E-4</v>
      </c>
      <c r="AJ7" s="34">
        <f t="shared" si="18"/>
        <v>18699290</v>
      </c>
      <c r="AK7" s="35">
        <f t="shared" si="19"/>
        <v>18699290</v>
      </c>
      <c r="AL7" s="35">
        <f t="shared" si="20"/>
        <v>56097870</v>
      </c>
    </row>
    <row r="8" spans="3:38" x14ac:dyDescent="0.35">
      <c r="C8" s="2" t="s">
        <v>3</v>
      </c>
      <c r="D8" s="3">
        <v>1</v>
      </c>
      <c r="E8" s="7">
        <v>1680000</v>
      </c>
      <c r="F8" s="7">
        <v>167</v>
      </c>
      <c r="G8" s="7">
        <v>134413</v>
      </c>
      <c r="H8" s="8">
        <f t="shared" si="0"/>
        <v>1814580</v>
      </c>
      <c r="I8" s="7">
        <f>ROUND(+H8*1.19%,0)</f>
        <v>21594</v>
      </c>
      <c r="J8" s="8">
        <f t="shared" si="1"/>
        <v>1836174</v>
      </c>
      <c r="K8" s="7">
        <f t="shared" si="2"/>
        <v>1836174</v>
      </c>
      <c r="L8" s="7">
        <f t="shared" si="3"/>
        <v>5508522</v>
      </c>
      <c r="M8" s="10">
        <v>1680000</v>
      </c>
      <c r="N8" s="10">
        <v>617</v>
      </c>
      <c r="O8" s="10">
        <v>134449</v>
      </c>
      <c r="P8" s="11">
        <f t="shared" si="4"/>
        <v>1815066</v>
      </c>
      <c r="Q8" s="10">
        <f>ROUND(+P8*1.19%,0)</f>
        <v>21599</v>
      </c>
      <c r="R8" s="11">
        <f t="shared" si="5"/>
        <v>1836665</v>
      </c>
      <c r="S8" s="10">
        <f t="shared" si="6"/>
        <v>1836665</v>
      </c>
      <c r="T8" s="10">
        <f t="shared" si="7"/>
        <v>5509995</v>
      </c>
      <c r="U8" s="13">
        <v>1680000</v>
      </c>
      <c r="V8" s="13">
        <v>200</v>
      </c>
      <c r="W8" s="13">
        <v>134416</v>
      </c>
      <c r="X8" s="14">
        <f t="shared" si="8"/>
        <v>1814616</v>
      </c>
      <c r="Y8" s="13">
        <f>ROUND(+X8*1.19%,0)</f>
        <v>21594</v>
      </c>
      <c r="Z8" s="14">
        <f t="shared" si="9"/>
        <v>1836210</v>
      </c>
      <c r="AA8" s="13">
        <f t="shared" si="10"/>
        <v>1836210</v>
      </c>
      <c r="AB8" s="28">
        <f t="shared" si="11"/>
        <v>5508630</v>
      </c>
      <c r="AC8" s="30">
        <f t="shared" si="12"/>
        <v>1836350</v>
      </c>
      <c r="AD8" s="30">
        <f t="shared" si="13"/>
        <v>1836210</v>
      </c>
      <c r="AE8" s="31">
        <f>ROUND(+(TRIMMEAN((J8,R8,Z8),20%)),0)</f>
        <v>1836350</v>
      </c>
      <c r="AF8" s="32">
        <f t="shared" si="14"/>
        <v>274</v>
      </c>
      <c r="AG8" s="33">
        <f t="shared" si="15"/>
        <v>1.4920902877991668E-4</v>
      </c>
      <c r="AH8" s="33">
        <f t="shared" si="16"/>
        <v>1.4922040507349377E-4</v>
      </c>
      <c r="AI8" s="33">
        <f t="shared" si="17"/>
        <v>1.4920902877991668E-4</v>
      </c>
      <c r="AJ8" s="34">
        <f t="shared" si="18"/>
        <v>1836350</v>
      </c>
      <c r="AK8" s="35">
        <f t="shared" si="19"/>
        <v>1836350</v>
      </c>
      <c r="AL8" s="35">
        <f t="shared" si="20"/>
        <v>5509050</v>
      </c>
    </row>
    <row r="9" spans="3:38" x14ac:dyDescent="0.35">
      <c r="C9" s="2" t="s">
        <v>4</v>
      </c>
      <c r="D9" s="3">
        <v>1</v>
      </c>
      <c r="E9" s="7">
        <v>17106342</v>
      </c>
      <c r="F9" s="7">
        <v>1500</v>
      </c>
      <c r="G9" s="7">
        <v>1368627</v>
      </c>
      <c r="H9" s="8">
        <f t="shared" si="0"/>
        <v>18476469</v>
      </c>
      <c r="I9" s="7">
        <f>ROUND(+H9*1.19%,0)</f>
        <v>219870</v>
      </c>
      <c r="J9" s="8">
        <f t="shared" si="1"/>
        <v>18696339</v>
      </c>
      <c r="K9" s="7">
        <f t="shared" si="2"/>
        <v>18696339</v>
      </c>
      <c r="L9" s="7">
        <f t="shared" si="3"/>
        <v>56089017</v>
      </c>
      <c r="M9" s="10">
        <v>17106342</v>
      </c>
      <c r="N9" s="10">
        <v>5550</v>
      </c>
      <c r="O9" s="10">
        <v>1368951</v>
      </c>
      <c r="P9" s="11">
        <f t="shared" si="4"/>
        <v>18480843</v>
      </c>
      <c r="Q9" s="10">
        <f>ROUND(+P9*1.19%,0)</f>
        <v>219922</v>
      </c>
      <c r="R9" s="11">
        <f t="shared" si="5"/>
        <v>18700765</v>
      </c>
      <c r="S9" s="10">
        <f t="shared" si="6"/>
        <v>18700765</v>
      </c>
      <c r="T9" s="10">
        <f t="shared" si="7"/>
        <v>56102295</v>
      </c>
      <c r="U9" s="13">
        <v>17106342</v>
      </c>
      <c r="V9" s="13">
        <v>5550</v>
      </c>
      <c r="W9" s="13">
        <v>1368951</v>
      </c>
      <c r="X9" s="14">
        <f t="shared" si="8"/>
        <v>18480843</v>
      </c>
      <c r="Y9" s="13">
        <f>ROUND(+X9*1.19%,0)</f>
        <v>219922</v>
      </c>
      <c r="Z9" s="14">
        <f t="shared" si="9"/>
        <v>18700765</v>
      </c>
      <c r="AA9" s="13">
        <f t="shared" si="10"/>
        <v>18700765</v>
      </c>
      <c r="AB9" s="28">
        <f t="shared" si="11"/>
        <v>56102295</v>
      </c>
      <c r="AC9" s="30">
        <f>ROUND(AVERAGE(J9,R9,Z9),0)</f>
        <v>18699290</v>
      </c>
      <c r="AD9" s="30">
        <f t="shared" si="13"/>
        <v>18700765</v>
      </c>
      <c r="AE9" s="31">
        <f>ROUND(+(TRIMMEAN((J9,R9,Z9),20%)),0)</f>
        <v>18699290</v>
      </c>
      <c r="AF9" s="32">
        <f t="shared" si="14"/>
        <v>2555</v>
      </c>
      <c r="AG9" s="33">
        <f t="shared" si="15"/>
        <v>1.3663620383447714E-4</v>
      </c>
      <c r="AH9" s="33">
        <f t="shared" si="16"/>
        <v>1.3662542682077444E-4</v>
      </c>
      <c r="AI9" s="33">
        <f t="shared" si="17"/>
        <v>1.3663620383447714E-4</v>
      </c>
      <c r="AJ9" s="34">
        <f t="shared" si="18"/>
        <v>18699290</v>
      </c>
      <c r="AK9" s="35">
        <f t="shared" si="19"/>
        <v>18699290</v>
      </c>
      <c r="AL9" s="35">
        <f t="shared" si="20"/>
        <v>56097870</v>
      </c>
    </row>
    <row r="10" spans="3:38" x14ac:dyDescent="0.35">
      <c r="L10" s="4">
        <f>SUM(L5:L9)</f>
        <v>187464171</v>
      </c>
      <c r="T10" s="4">
        <f>SUM(T5:T9)</f>
        <v>187508715</v>
      </c>
      <c r="AB10" s="4">
        <f>SUM(AB5:AB9)</f>
        <v>187487667</v>
      </c>
      <c r="AL10" s="1">
        <f>SUM(AL5:AL9)</f>
        <v>187486854</v>
      </c>
    </row>
    <row r="11" spans="3:38" x14ac:dyDescent="0.35">
      <c r="L11" s="1"/>
    </row>
    <row r="12" spans="3:38" ht="15" thickBot="1" x14ac:dyDescent="0.4"/>
    <row r="13" spans="3:38" ht="15.75" customHeight="1" thickBot="1" x14ac:dyDescent="0.4">
      <c r="E13" s="56" t="s">
        <v>20</v>
      </c>
      <c r="F13" s="57"/>
      <c r="G13" s="57"/>
      <c r="H13" s="57"/>
      <c r="I13" s="57"/>
      <c r="J13" s="57"/>
      <c r="K13" s="57"/>
      <c r="L13" s="58"/>
      <c r="M13" s="59" t="s">
        <v>21</v>
      </c>
      <c r="N13" s="60"/>
      <c r="O13" s="60"/>
      <c r="P13" s="60"/>
      <c r="Q13" s="60"/>
      <c r="R13" s="60"/>
      <c r="S13" s="60"/>
      <c r="T13" s="61"/>
      <c r="U13" s="53" t="s">
        <v>22</v>
      </c>
      <c r="V13" s="54"/>
      <c r="W13" s="54"/>
      <c r="X13" s="54"/>
      <c r="Y13" s="54"/>
      <c r="Z13" s="54"/>
      <c r="AA13" s="54"/>
      <c r="AB13" s="55"/>
      <c r="AC13" s="52" t="s">
        <v>23</v>
      </c>
      <c r="AD13" s="52" t="s">
        <v>24</v>
      </c>
      <c r="AE13" s="49" t="s">
        <v>25</v>
      </c>
      <c r="AF13" s="50" t="s">
        <v>26</v>
      </c>
      <c r="AG13" s="50" t="s">
        <v>27</v>
      </c>
      <c r="AH13" s="50" t="s">
        <v>28</v>
      </c>
      <c r="AI13" s="51" t="s">
        <v>29</v>
      </c>
      <c r="AJ13" s="48" t="s">
        <v>30</v>
      </c>
      <c r="AK13" s="48" t="s">
        <v>12</v>
      </c>
      <c r="AL13" s="48" t="s">
        <v>14</v>
      </c>
    </row>
    <row r="14" spans="3:38" ht="29" x14ac:dyDescent="0.35">
      <c r="C14" s="5" t="s">
        <v>0</v>
      </c>
      <c r="D14" s="5" t="s">
        <v>5</v>
      </c>
      <c r="E14" s="6" t="s">
        <v>6</v>
      </c>
      <c r="F14" s="6" t="s">
        <v>7</v>
      </c>
      <c r="G14" s="6" t="s">
        <v>8</v>
      </c>
      <c r="H14" s="6" t="s">
        <v>9</v>
      </c>
      <c r="I14" s="6" t="s">
        <v>10</v>
      </c>
      <c r="J14" s="6" t="s">
        <v>11</v>
      </c>
      <c r="K14" s="6" t="s">
        <v>12</v>
      </c>
      <c r="L14" s="6" t="s">
        <v>14</v>
      </c>
      <c r="M14" s="9" t="s">
        <v>6</v>
      </c>
      <c r="N14" s="9" t="s">
        <v>7</v>
      </c>
      <c r="O14" s="9" t="s">
        <v>8</v>
      </c>
      <c r="P14" s="9" t="s">
        <v>9</v>
      </c>
      <c r="Q14" s="9" t="s">
        <v>10</v>
      </c>
      <c r="R14" s="9" t="s">
        <v>11</v>
      </c>
      <c r="S14" s="9" t="s">
        <v>12</v>
      </c>
      <c r="T14" s="9" t="s">
        <v>14</v>
      </c>
      <c r="U14" s="12" t="s">
        <v>6</v>
      </c>
      <c r="V14" s="12" t="s">
        <v>7</v>
      </c>
      <c r="W14" s="12" t="s">
        <v>8</v>
      </c>
      <c r="X14" s="12" t="s">
        <v>9</v>
      </c>
      <c r="Y14" s="12" t="s">
        <v>10</v>
      </c>
      <c r="Z14" s="12" t="s">
        <v>30</v>
      </c>
      <c r="AA14" s="12" t="s">
        <v>12</v>
      </c>
      <c r="AB14" s="12" t="s">
        <v>14</v>
      </c>
      <c r="AC14" s="52"/>
      <c r="AD14" s="52"/>
      <c r="AE14" s="49"/>
      <c r="AF14" s="50"/>
      <c r="AG14" s="50"/>
      <c r="AH14" s="50"/>
      <c r="AI14" s="51"/>
      <c r="AJ14" s="48"/>
      <c r="AK14" s="48"/>
      <c r="AL14" s="48"/>
    </row>
    <row r="15" spans="3:38" x14ac:dyDescent="0.35">
      <c r="C15" s="2" t="s">
        <v>1</v>
      </c>
      <c r="D15" s="3">
        <v>1</v>
      </c>
      <c r="E15" s="7">
        <v>4209010</v>
      </c>
      <c r="F15" s="7">
        <v>366</v>
      </c>
      <c r="G15" s="7">
        <v>336750</v>
      </c>
      <c r="H15" s="8">
        <f>SUM(E15:G15)</f>
        <v>4546126</v>
      </c>
      <c r="I15" s="7">
        <f>ROUND(+H15*1.19%,0)</f>
        <v>54099</v>
      </c>
      <c r="J15" s="8">
        <f>+H15+I15</f>
        <v>4600225</v>
      </c>
      <c r="K15" s="7">
        <f>+J15*D15</f>
        <v>4600225</v>
      </c>
      <c r="L15" s="7">
        <f>ROUND(+(K15/30)*14,0)</f>
        <v>2146772</v>
      </c>
      <c r="M15" s="10">
        <v>4209010</v>
      </c>
      <c r="N15" s="10">
        <v>1354</v>
      </c>
      <c r="O15" s="10">
        <v>336829</v>
      </c>
      <c r="P15" s="11">
        <f>SUM(M15:O15)</f>
        <v>4547193</v>
      </c>
      <c r="Q15" s="10">
        <f>ROUND(+P15*1.19%,0)</f>
        <v>54112</v>
      </c>
      <c r="R15" s="11">
        <f>+P15+Q15</f>
        <v>4601305</v>
      </c>
      <c r="S15" s="10">
        <f>+R15*D15</f>
        <v>4601305</v>
      </c>
      <c r="T15" s="10">
        <f>ROUND(+(S15/30)*14,0)</f>
        <v>2147276</v>
      </c>
      <c r="U15" s="13">
        <v>4209010</v>
      </c>
      <c r="V15" s="13">
        <v>300</v>
      </c>
      <c r="W15" s="13">
        <v>336745</v>
      </c>
      <c r="X15" s="14">
        <f>SUM(U15:W15)</f>
        <v>4546055</v>
      </c>
      <c r="Y15" s="13">
        <f>ROUND(+X15*1.19%,0)</f>
        <v>54098</v>
      </c>
      <c r="Z15" s="14">
        <f>+X15+Y15</f>
        <v>4600153</v>
      </c>
      <c r="AA15" s="13">
        <f>+Z15*D15</f>
        <v>4600153</v>
      </c>
      <c r="AB15" s="13">
        <f>ROUND(+(AA15/30)*14,0)</f>
        <v>2146738</v>
      </c>
      <c r="AC15" s="30">
        <f>ROUND(AVERAGE(J15,R15,Z15),0)</f>
        <v>4600561</v>
      </c>
      <c r="AD15" s="30">
        <f>ROUND(MEDIAN(J15,R15,Z15),0)</f>
        <v>4600225</v>
      </c>
      <c r="AE15" s="31">
        <f>ROUND(+(TRIMMEAN((J15,R15,Z15),20%)),0)</f>
        <v>4600561</v>
      </c>
      <c r="AF15" s="32">
        <f>ROUND(STDEV(J15,R15,Z15),0)</f>
        <v>645</v>
      </c>
      <c r="AG15" s="33">
        <f>+AF15/AC15</f>
        <v>1.4020029296427111E-4</v>
      </c>
      <c r="AH15" s="33">
        <f>+AF15/AD15</f>
        <v>1.4021053318044225E-4</v>
      </c>
      <c r="AI15" s="33">
        <f>+AF15/AE15</f>
        <v>1.4020029296427111E-4</v>
      </c>
      <c r="AJ15" s="34">
        <f>+AC15</f>
        <v>4600561</v>
      </c>
      <c r="AK15" s="35">
        <f>+AJ15*D15</f>
        <v>4600561</v>
      </c>
      <c r="AL15" s="35">
        <f>ROUND(+(AK15/30)*14,0)</f>
        <v>2146928</v>
      </c>
    </row>
    <row r="16" spans="3:38" x14ac:dyDescent="0.35">
      <c r="C16" s="2" t="s">
        <v>1</v>
      </c>
      <c r="D16" s="3">
        <v>1</v>
      </c>
      <c r="E16" s="7">
        <v>17246414</v>
      </c>
      <c r="F16" s="7">
        <v>1500</v>
      </c>
      <c r="G16" s="7">
        <v>1379833</v>
      </c>
      <c r="H16" s="8">
        <f t="shared" ref="H16:H19" si="21">SUM(E16:G16)</f>
        <v>18627747</v>
      </c>
      <c r="I16" s="7">
        <f>ROUND(+H16*1.19%,0)</f>
        <v>221670</v>
      </c>
      <c r="J16" s="8">
        <f t="shared" ref="J16:J19" si="22">+H16+I16</f>
        <v>18849417</v>
      </c>
      <c r="K16" s="7">
        <f t="shared" ref="K16:K19" si="23">+J16*D16</f>
        <v>18849417</v>
      </c>
      <c r="L16" s="7">
        <f>ROUND(+((K16/30)*14),0)</f>
        <v>8796395</v>
      </c>
      <c r="M16" s="10">
        <v>17246414</v>
      </c>
      <c r="N16" s="10">
        <v>5550</v>
      </c>
      <c r="O16" s="10">
        <v>1380157</v>
      </c>
      <c r="P16" s="11">
        <f t="shared" ref="P16:P19" si="24">SUM(M16:O16)</f>
        <v>18632121</v>
      </c>
      <c r="Q16" s="10">
        <f>ROUND(+P16*1.19%,0)</f>
        <v>221722</v>
      </c>
      <c r="R16" s="11">
        <f t="shared" ref="R16:R19" si="25">+P16+Q16</f>
        <v>18853843</v>
      </c>
      <c r="S16" s="10">
        <f t="shared" ref="S16:S19" si="26">+R16*D16</f>
        <v>18853843</v>
      </c>
      <c r="T16" s="10">
        <f t="shared" ref="T16:T19" si="27">ROUND(+(S16/30)*14,0)</f>
        <v>8798460</v>
      </c>
      <c r="U16" s="13">
        <v>17246414</v>
      </c>
      <c r="V16" s="13">
        <v>600</v>
      </c>
      <c r="W16" s="13">
        <v>1379761</v>
      </c>
      <c r="X16" s="14">
        <f t="shared" ref="X16:X19" si="28">SUM(U16:W16)</f>
        <v>18626775</v>
      </c>
      <c r="Y16" s="13">
        <f>ROUND(+X16*1.19%,0)</f>
        <v>221659</v>
      </c>
      <c r="Z16" s="14">
        <f t="shared" ref="Z16:Z19" si="29">+X16+Y16</f>
        <v>18848434</v>
      </c>
      <c r="AA16" s="13">
        <f t="shared" ref="AA16:AA19" si="30">+Z16*D16</f>
        <v>18848434</v>
      </c>
      <c r="AB16" s="13">
        <f t="shared" ref="AB16:AB19" si="31">ROUND(+(AA16/30)*14,0)</f>
        <v>8795936</v>
      </c>
      <c r="AC16" s="30">
        <f>ROUND(AVERAGE(J16,R16,Z16),0)</f>
        <v>18850565</v>
      </c>
      <c r="AD16" s="30">
        <f t="shared" ref="AD16:AD19" si="32">ROUND(MEDIAN(J16,R16,Z16),0)</f>
        <v>18849417</v>
      </c>
      <c r="AE16" s="31">
        <f>ROUND(+(TRIMMEAN((J16,R16,Z16),20%)),0)</f>
        <v>18850565</v>
      </c>
      <c r="AF16" s="32">
        <f t="shared" ref="AF16:AF19" si="33">ROUND(STDEV(J16,R16,Z16),0)</f>
        <v>2881</v>
      </c>
      <c r="AG16" s="33">
        <f t="shared" ref="AG16:AG19" si="34">+AF16/AC16</f>
        <v>1.5283361533195423E-4</v>
      </c>
      <c r="AH16" s="33">
        <f t="shared" ref="AH16:AH19" si="35">+AF16/AD16</f>
        <v>1.5284292347078957E-4</v>
      </c>
      <c r="AI16" s="33">
        <f t="shared" ref="AI16:AI19" si="36">+AF16/AE16</f>
        <v>1.5283361533195423E-4</v>
      </c>
      <c r="AJ16" s="34">
        <f t="shared" ref="AJ16:AJ19" si="37">+AC16</f>
        <v>18850565</v>
      </c>
      <c r="AK16" s="35">
        <f t="shared" ref="AK16:AK19" si="38">+AJ16*D16</f>
        <v>18850565</v>
      </c>
      <c r="AL16" s="35">
        <f t="shared" ref="AL16:AL19" si="39">ROUND(+(AK16/30)*14,0)</f>
        <v>8796930</v>
      </c>
    </row>
    <row r="17" spans="3:38" x14ac:dyDescent="0.35">
      <c r="C17" s="2" t="s">
        <v>2</v>
      </c>
      <c r="D17" s="3">
        <v>1</v>
      </c>
      <c r="E17" s="7">
        <v>17246414</v>
      </c>
      <c r="F17" s="7">
        <v>1500</v>
      </c>
      <c r="G17" s="7">
        <v>1379833</v>
      </c>
      <c r="H17" s="8">
        <f t="shared" si="21"/>
        <v>18627747</v>
      </c>
      <c r="I17" s="7">
        <f>ROUND(+H17*1.19%,0)</f>
        <v>221670</v>
      </c>
      <c r="J17" s="8">
        <f t="shared" si="22"/>
        <v>18849417</v>
      </c>
      <c r="K17" s="7">
        <f t="shared" si="23"/>
        <v>18849417</v>
      </c>
      <c r="L17" s="7">
        <f>ROUND(+((K17/30)*14),0)</f>
        <v>8796395</v>
      </c>
      <c r="M17" s="10">
        <v>17246414</v>
      </c>
      <c r="N17" s="10">
        <v>5550</v>
      </c>
      <c r="O17" s="10">
        <v>1380157</v>
      </c>
      <c r="P17" s="11">
        <f t="shared" si="24"/>
        <v>18632121</v>
      </c>
      <c r="Q17" s="10">
        <f>ROUND(+P17*1.19%,0)</f>
        <v>221722</v>
      </c>
      <c r="R17" s="11">
        <f t="shared" si="25"/>
        <v>18853843</v>
      </c>
      <c r="S17" s="10">
        <f t="shared" si="26"/>
        <v>18853843</v>
      </c>
      <c r="T17" s="10">
        <f t="shared" si="27"/>
        <v>8798460</v>
      </c>
      <c r="U17" s="13">
        <v>17246414</v>
      </c>
      <c r="V17" s="13">
        <v>5550</v>
      </c>
      <c r="W17" s="13">
        <v>1380157</v>
      </c>
      <c r="X17" s="14">
        <f t="shared" si="28"/>
        <v>18632121</v>
      </c>
      <c r="Y17" s="13">
        <f>ROUND(+X17*1.19%,0)</f>
        <v>221722</v>
      </c>
      <c r="Z17" s="14">
        <f t="shared" si="29"/>
        <v>18853843</v>
      </c>
      <c r="AA17" s="13">
        <f t="shared" si="30"/>
        <v>18853843</v>
      </c>
      <c r="AB17" s="13">
        <f t="shared" si="31"/>
        <v>8798460</v>
      </c>
      <c r="AC17" s="30">
        <f t="shared" ref="AC17:AC18" si="40">ROUND(AVERAGE(J17,R17,Z17),0)</f>
        <v>18852368</v>
      </c>
      <c r="AD17" s="30">
        <f t="shared" si="32"/>
        <v>18853843</v>
      </c>
      <c r="AE17" s="31">
        <f>ROUND(+(TRIMMEAN((J17,R17,Z17),20%)),0)</f>
        <v>18852368</v>
      </c>
      <c r="AF17" s="32">
        <f t="shared" si="33"/>
        <v>2555</v>
      </c>
      <c r="AG17" s="33">
        <f t="shared" si="34"/>
        <v>1.3552674125605867E-4</v>
      </c>
      <c r="AH17" s="33">
        <f t="shared" si="35"/>
        <v>1.3551613854003133E-4</v>
      </c>
      <c r="AI17" s="33">
        <f t="shared" si="36"/>
        <v>1.3552674125605867E-4</v>
      </c>
      <c r="AJ17" s="34">
        <f t="shared" si="37"/>
        <v>18852368</v>
      </c>
      <c r="AK17" s="35">
        <f t="shared" si="38"/>
        <v>18852368</v>
      </c>
      <c r="AL17" s="35">
        <f t="shared" si="39"/>
        <v>8797772</v>
      </c>
    </row>
    <row r="18" spans="3:38" x14ac:dyDescent="0.35">
      <c r="C18" s="2" t="s">
        <v>3</v>
      </c>
      <c r="D18" s="3">
        <v>1</v>
      </c>
      <c r="E18" s="7">
        <v>1680000</v>
      </c>
      <c r="F18" s="7">
        <v>167</v>
      </c>
      <c r="G18" s="7">
        <v>134413</v>
      </c>
      <c r="H18" s="8">
        <f t="shared" si="21"/>
        <v>1814580</v>
      </c>
      <c r="I18" s="7">
        <f>ROUND(+H18*1.19%,0)</f>
        <v>21594</v>
      </c>
      <c r="J18" s="8">
        <f t="shared" si="22"/>
        <v>1836174</v>
      </c>
      <c r="K18" s="7">
        <f t="shared" si="23"/>
        <v>1836174</v>
      </c>
      <c r="L18" s="7">
        <f>ROUND(((K18/30)*14),0)</f>
        <v>856881</v>
      </c>
      <c r="M18" s="10">
        <v>1680000</v>
      </c>
      <c r="N18" s="10">
        <v>617</v>
      </c>
      <c r="O18" s="10">
        <v>134449</v>
      </c>
      <c r="P18" s="11">
        <f t="shared" si="24"/>
        <v>1815066</v>
      </c>
      <c r="Q18" s="10">
        <f>ROUND(+P18*1.19%,0)</f>
        <v>21599</v>
      </c>
      <c r="R18" s="11">
        <f t="shared" si="25"/>
        <v>1836665</v>
      </c>
      <c r="S18" s="10">
        <f t="shared" si="26"/>
        <v>1836665</v>
      </c>
      <c r="T18" s="10">
        <f t="shared" si="27"/>
        <v>857110</v>
      </c>
      <c r="U18" s="13">
        <v>1680000</v>
      </c>
      <c r="V18" s="13">
        <v>200</v>
      </c>
      <c r="W18" s="13">
        <v>134416</v>
      </c>
      <c r="X18" s="14">
        <f t="shared" si="28"/>
        <v>1814616</v>
      </c>
      <c r="Y18" s="13">
        <f>ROUND(+X18*1.19%,0)</f>
        <v>21594</v>
      </c>
      <c r="Z18" s="14">
        <f t="shared" si="29"/>
        <v>1836210</v>
      </c>
      <c r="AA18" s="13">
        <f t="shared" si="30"/>
        <v>1836210</v>
      </c>
      <c r="AB18" s="13">
        <f t="shared" si="31"/>
        <v>856898</v>
      </c>
      <c r="AC18" s="30">
        <f t="shared" si="40"/>
        <v>1836350</v>
      </c>
      <c r="AD18" s="30">
        <f t="shared" si="32"/>
        <v>1836210</v>
      </c>
      <c r="AE18" s="31">
        <f>ROUND(+(TRIMMEAN((J18,R18,Z18),20%)),0)</f>
        <v>1836350</v>
      </c>
      <c r="AF18" s="32">
        <f t="shared" si="33"/>
        <v>274</v>
      </c>
      <c r="AG18" s="33">
        <f t="shared" si="34"/>
        <v>1.4920902877991668E-4</v>
      </c>
      <c r="AH18" s="33">
        <f t="shared" si="35"/>
        <v>1.4922040507349377E-4</v>
      </c>
      <c r="AI18" s="33">
        <f t="shared" si="36"/>
        <v>1.4920902877991668E-4</v>
      </c>
      <c r="AJ18" s="34">
        <f t="shared" si="37"/>
        <v>1836350</v>
      </c>
      <c r="AK18" s="35">
        <f t="shared" si="38"/>
        <v>1836350</v>
      </c>
      <c r="AL18" s="35">
        <f t="shared" si="39"/>
        <v>856963</v>
      </c>
    </row>
    <row r="19" spans="3:38" x14ac:dyDescent="0.35">
      <c r="C19" s="2" t="s">
        <v>4</v>
      </c>
      <c r="D19" s="3">
        <v>1</v>
      </c>
      <c r="E19" s="7">
        <v>17246414</v>
      </c>
      <c r="F19" s="7">
        <v>1500</v>
      </c>
      <c r="G19" s="7">
        <v>1379833</v>
      </c>
      <c r="H19" s="8">
        <f t="shared" si="21"/>
        <v>18627747</v>
      </c>
      <c r="I19" s="7">
        <f>ROUND(+H19*1.19%,0)</f>
        <v>221670</v>
      </c>
      <c r="J19" s="8">
        <f t="shared" si="22"/>
        <v>18849417</v>
      </c>
      <c r="K19" s="7">
        <f t="shared" si="23"/>
        <v>18849417</v>
      </c>
      <c r="L19" s="7">
        <f>ROUND(((K19/30)*14),0)</f>
        <v>8796395</v>
      </c>
      <c r="M19" s="10">
        <v>17246414</v>
      </c>
      <c r="N19" s="10">
        <v>5550</v>
      </c>
      <c r="O19" s="10">
        <v>1380157</v>
      </c>
      <c r="P19" s="11">
        <f t="shared" si="24"/>
        <v>18632121</v>
      </c>
      <c r="Q19" s="10">
        <f>ROUND(+P19*1.19%,0)</f>
        <v>221722</v>
      </c>
      <c r="R19" s="11">
        <f t="shared" si="25"/>
        <v>18853843</v>
      </c>
      <c r="S19" s="10">
        <f t="shared" si="26"/>
        <v>18853843</v>
      </c>
      <c r="T19" s="10">
        <f t="shared" si="27"/>
        <v>8798460</v>
      </c>
      <c r="U19" s="13">
        <v>17246414</v>
      </c>
      <c r="V19" s="13">
        <v>5550</v>
      </c>
      <c r="W19" s="13">
        <v>1380157</v>
      </c>
      <c r="X19" s="14">
        <f t="shared" si="28"/>
        <v>18632121</v>
      </c>
      <c r="Y19" s="13">
        <f>ROUND(+X19*1.19%,0)</f>
        <v>221722</v>
      </c>
      <c r="Z19" s="14">
        <f t="shared" si="29"/>
        <v>18853843</v>
      </c>
      <c r="AA19" s="13">
        <f t="shared" si="30"/>
        <v>18853843</v>
      </c>
      <c r="AB19" s="13">
        <f t="shared" si="31"/>
        <v>8798460</v>
      </c>
      <c r="AC19" s="30">
        <f>ROUND(AVERAGE(J19,R19,Z19),0)</f>
        <v>18852368</v>
      </c>
      <c r="AD19" s="30">
        <f t="shared" si="32"/>
        <v>18853843</v>
      </c>
      <c r="AE19" s="31">
        <f>ROUND(+(TRIMMEAN((J19,R19,Z19),20%)),0)</f>
        <v>18852368</v>
      </c>
      <c r="AF19" s="32">
        <f t="shared" si="33"/>
        <v>2555</v>
      </c>
      <c r="AG19" s="33">
        <f t="shared" si="34"/>
        <v>1.3552674125605867E-4</v>
      </c>
      <c r="AH19" s="33">
        <f t="shared" si="35"/>
        <v>1.3551613854003133E-4</v>
      </c>
      <c r="AI19" s="33">
        <f t="shared" si="36"/>
        <v>1.3552674125605867E-4</v>
      </c>
      <c r="AJ19" s="34">
        <f t="shared" si="37"/>
        <v>18852368</v>
      </c>
      <c r="AK19" s="35">
        <f t="shared" si="38"/>
        <v>18852368</v>
      </c>
      <c r="AL19" s="35">
        <f t="shared" si="39"/>
        <v>8797772</v>
      </c>
    </row>
    <row r="20" spans="3:38" x14ac:dyDescent="0.35">
      <c r="L20" s="4">
        <f>SUM(L15:L19)</f>
        <v>29392838</v>
      </c>
      <c r="T20" s="4">
        <f>SUM(T15:T19)</f>
        <v>29399766</v>
      </c>
      <c r="AB20" s="4">
        <f>SUM(AB15:AB19)</f>
        <v>29396492</v>
      </c>
      <c r="AL20" s="1">
        <f>SUM(AL15:AL19)</f>
        <v>29396365</v>
      </c>
    </row>
    <row r="22" spans="3:38" ht="15" thickBot="1" x14ac:dyDescent="0.4"/>
    <row r="23" spans="3:38" ht="15.75" customHeight="1" thickBot="1" x14ac:dyDescent="0.4">
      <c r="E23" s="56" t="s">
        <v>20</v>
      </c>
      <c r="F23" s="57"/>
      <c r="G23" s="57"/>
      <c r="H23" s="57"/>
      <c r="I23" s="57"/>
      <c r="J23" s="57"/>
      <c r="K23" s="57"/>
      <c r="L23" s="58"/>
      <c r="M23" s="59" t="s">
        <v>21</v>
      </c>
      <c r="N23" s="60"/>
      <c r="O23" s="60"/>
      <c r="P23" s="60"/>
      <c r="Q23" s="60"/>
      <c r="R23" s="60"/>
      <c r="S23" s="60"/>
      <c r="T23" s="61"/>
      <c r="U23" s="53" t="s">
        <v>22</v>
      </c>
      <c r="V23" s="54"/>
      <c r="W23" s="54"/>
      <c r="X23" s="54"/>
      <c r="Y23" s="54"/>
      <c r="Z23" s="54"/>
      <c r="AA23" s="54"/>
      <c r="AB23" s="55"/>
      <c r="AC23" s="52" t="s">
        <v>23</v>
      </c>
      <c r="AD23" s="52" t="s">
        <v>24</v>
      </c>
      <c r="AE23" s="49" t="s">
        <v>25</v>
      </c>
      <c r="AF23" s="50" t="s">
        <v>26</v>
      </c>
      <c r="AG23" s="50" t="s">
        <v>27</v>
      </c>
      <c r="AH23" s="50" t="s">
        <v>28</v>
      </c>
      <c r="AI23" s="51" t="s">
        <v>29</v>
      </c>
      <c r="AJ23" s="48" t="s">
        <v>30</v>
      </c>
      <c r="AK23" s="48" t="s">
        <v>12</v>
      </c>
      <c r="AL23" s="48" t="s">
        <v>15</v>
      </c>
    </row>
    <row r="24" spans="3:38" ht="29" x14ac:dyDescent="0.35">
      <c r="C24" s="5" t="s">
        <v>0</v>
      </c>
      <c r="D24" s="5" t="s">
        <v>5</v>
      </c>
      <c r="E24" s="6" t="s">
        <v>6</v>
      </c>
      <c r="F24" s="6" t="s">
        <v>7</v>
      </c>
      <c r="G24" s="6" t="s">
        <v>8</v>
      </c>
      <c r="H24" s="6" t="s">
        <v>9</v>
      </c>
      <c r="I24" s="6" t="s">
        <v>10</v>
      </c>
      <c r="J24" s="6" t="s">
        <v>11</v>
      </c>
      <c r="K24" s="6" t="s">
        <v>12</v>
      </c>
      <c r="L24" s="6" t="s">
        <v>15</v>
      </c>
      <c r="M24" s="9" t="s">
        <v>6</v>
      </c>
      <c r="N24" s="9" t="s">
        <v>7</v>
      </c>
      <c r="O24" s="9" t="s">
        <v>8</v>
      </c>
      <c r="P24" s="9" t="s">
        <v>9</v>
      </c>
      <c r="Q24" s="9" t="s">
        <v>10</v>
      </c>
      <c r="R24" s="9" t="s">
        <v>11</v>
      </c>
      <c r="S24" s="9" t="s">
        <v>12</v>
      </c>
      <c r="T24" s="9" t="s">
        <v>15</v>
      </c>
      <c r="U24" s="12" t="s">
        <v>6</v>
      </c>
      <c r="V24" s="12" t="s">
        <v>7</v>
      </c>
      <c r="W24" s="12" t="s">
        <v>8</v>
      </c>
      <c r="X24" s="12" t="s">
        <v>9</v>
      </c>
      <c r="Y24" s="12" t="s">
        <v>10</v>
      </c>
      <c r="Z24" s="12" t="s">
        <v>30</v>
      </c>
      <c r="AA24" s="12" t="s">
        <v>12</v>
      </c>
      <c r="AB24" s="12" t="s">
        <v>15</v>
      </c>
      <c r="AC24" s="52"/>
      <c r="AD24" s="52"/>
      <c r="AE24" s="49"/>
      <c r="AF24" s="50"/>
      <c r="AG24" s="50"/>
      <c r="AH24" s="50"/>
      <c r="AI24" s="51"/>
      <c r="AJ24" s="48"/>
      <c r="AK24" s="48"/>
      <c r="AL24" s="48"/>
    </row>
    <row r="25" spans="3:38" x14ac:dyDescent="0.35">
      <c r="C25" s="2" t="s">
        <v>1</v>
      </c>
      <c r="D25" s="3">
        <v>1</v>
      </c>
      <c r="E25" s="7">
        <v>4362841</v>
      </c>
      <c r="F25" s="7">
        <v>366</v>
      </c>
      <c r="G25" s="7">
        <v>349057</v>
      </c>
      <c r="H25" s="8">
        <f>SUM(E25:G25)</f>
        <v>4712264</v>
      </c>
      <c r="I25" s="7">
        <f>ROUND(+H25*1.19%,0)</f>
        <v>56076</v>
      </c>
      <c r="J25" s="8">
        <f>+H25+I25</f>
        <v>4768340</v>
      </c>
      <c r="K25" s="7">
        <f>+J25*D25</f>
        <v>4768340</v>
      </c>
      <c r="L25" s="7">
        <f>ROUND(+(K25/30)*16,0)+(K25*5)</f>
        <v>26384815</v>
      </c>
      <c r="M25" s="10">
        <v>4362841</v>
      </c>
      <c r="N25" s="10">
        <v>1354</v>
      </c>
      <c r="O25" s="10">
        <v>349136</v>
      </c>
      <c r="P25" s="11">
        <f>SUM(M25:O25)</f>
        <v>4713331</v>
      </c>
      <c r="Q25" s="10">
        <f>ROUND(+P25*1.19%,0)</f>
        <v>56089</v>
      </c>
      <c r="R25" s="11">
        <f>+P25+Q25</f>
        <v>4769420</v>
      </c>
      <c r="S25" s="10">
        <f>+R25*D25</f>
        <v>4769420</v>
      </c>
      <c r="T25" s="10">
        <f>ROUND(+(S25/30)*16,0)+(S25*5)</f>
        <v>26390791</v>
      </c>
      <c r="U25" s="13">
        <v>4362841</v>
      </c>
      <c r="V25" s="13">
        <v>300</v>
      </c>
      <c r="W25" s="13">
        <v>349051</v>
      </c>
      <c r="X25" s="14">
        <f>SUM(U25:W25)</f>
        <v>4712192</v>
      </c>
      <c r="Y25" s="13">
        <f>ROUND(+X25*1.19%,0)</f>
        <v>56075</v>
      </c>
      <c r="Z25" s="14">
        <f>+X25+Y25</f>
        <v>4768267</v>
      </c>
      <c r="AA25" s="13">
        <f>+Z25*D25</f>
        <v>4768267</v>
      </c>
      <c r="AB25" s="13">
        <f>ROUND(+(AA25/30)*16,0)+(AA25*5)</f>
        <v>26384411</v>
      </c>
      <c r="AC25" s="30">
        <f>ROUND(AVERAGE(J25,R25,Z25),0)</f>
        <v>4768676</v>
      </c>
      <c r="AD25" s="30">
        <f>ROUND(MEDIAN(J25,R25,Z25),0)</f>
        <v>4768340</v>
      </c>
      <c r="AE25" s="31">
        <f>ROUND(+(TRIMMEAN((J25,R25,Z25),20%)),0)</f>
        <v>4768676</v>
      </c>
      <c r="AF25" s="32">
        <f>ROUND(STDEV(J25,R25,Z25),0)</f>
        <v>646</v>
      </c>
      <c r="AG25" s="33">
        <f>+AF25/AC25</f>
        <v>1.3546737081739251E-4</v>
      </c>
      <c r="AH25" s="33">
        <f>+AF25/AD25</f>
        <v>1.354769164950486E-4</v>
      </c>
      <c r="AI25" s="33">
        <f>+AF25/AE25</f>
        <v>1.3546737081739251E-4</v>
      </c>
      <c r="AJ25" s="34">
        <f>+AC25</f>
        <v>4768676</v>
      </c>
      <c r="AK25" s="35">
        <f>+AJ25*D25</f>
        <v>4768676</v>
      </c>
      <c r="AL25" s="34">
        <f>ROUND(+(AK25/30)*16,0)+(AK25*5)</f>
        <v>26386674</v>
      </c>
    </row>
    <row r="26" spans="3:38" x14ac:dyDescent="0.35">
      <c r="C26" s="2" t="s">
        <v>1</v>
      </c>
      <c r="D26" s="3">
        <v>1</v>
      </c>
      <c r="E26" s="7">
        <v>17876740</v>
      </c>
      <c r="F26" s="7">
        <v>1500</v>
      </c>
      <c r="G26" s="7">
        <v>1430259</v>
      </c>
      <c r="H26" s="8">
        <f t="shared" ref="H26:H29" si="41">SUM(E26:G26)</f>
        <v>19308499</v>
      </c>
      <c r="I26" s="7">
        <f>ROUND(+H26*1.19%,0)</f>
        <v>229771</v>
      </c>
      <c r="J26" s="8">
        <f t="shared" ref="J26:J29" si="42">+H26+I26</f>
        <v>19538270</v>
      </c>
      <c r="K26" s="7">
        <f t="shared" ref="K26:K29" si="43">+J26*D26</f>
        <v>19538270</v>
      </c>
      <c r="L26" s="7">
        <f>ROUND(+((K26/30)*16),0)+(K26*5)</f>
        <v>108111761</v>
      </c>
      <c r="M26" s="10">
        <v>17876740</v>
      </c>
      <c r="N26" s="10">
        <v>5550</v>
      </c>
      <c r="O26" s="10">
        <v>1430583</v>
      </c>
      <c r="P26" s="11">
        <f t="shared" ref="P26:P29" si="44">SUM(M26:O26)</f>
        <v>19312873</v>
      </c>
      <c r="Q26" s="10">
        <f>ROUND(+P26*1.19%,0)</f>
        <v>229823</v>
      </c>
      <c r="R26" s="11">
        <f t="shared" ref="R26:R29" si="45">+P26+Q26</f>
        <v>19542696</v>
      </c>
      <c r="S26" s="10">
        <f t="shared" ref="S26:S29" si="46">+R26*D26</f>
        <v>19542696</v>
      </c>
      <c r="T26" s="10">
        <f t="shared" ref="T26:T29" si="47">ROUND(+(S26/30)*16,0)+(S26*5)</f>
        <v>108136251</v>
      </c>
      <c r="U26" s="13">
        <v>17876740</v>
      </c>
      <c r="V26" s="13">
        <v>600</v>
      </c>
      <c r="W26" s="13">
        <v>1430187</v>
      </c>
      <c r="X26" s="14">
        <f t="shared" ref="X26:X29" si="48">SUM(U26:W26)</f>
        <v>19307527</v>
      </c>
      <c r="Y26" s="13">
        <f>ROUND(+X26*1.19%,0)</f>
        <v>229760</v>
      </c>
      <c r="Z26" s="14">
        <f t="shared" ref="Z26:Z29" si="49">+X26+Y26</f>
        <v>19537287</v>
      </c>
      <c r="AA26" s="13">
        <f t="shared" ref="AA26:AA29" si="50">+Z26*D26</f>
        <v>19537287</v>
      </c>
      <c r="AB26" s="13">
        <f t="shared" ref="AB26:AB29" si="51">ROUND(+(AA26/30)*16,0)+(AA26*5)</f>
        <v>108106321</v>
      </c>
      <c r="AC26" s="30">
        <f t="shared" ref="AC26:AC28" si="52">ROUND(AVERAGE(J26,R26,Z26),0)</f>
        <v>19539418</v>
      </c>
      <c r="AD26" s="30">
        <f t="shared" ref="AD26:AD29" si="53">ROUND(MEDIAN(J26,R26,Z26),0)</f>
        <v>19538270</v>
      </c>
      <c r="AE26" s="31">
        <f>ROUND(+(TRIMMEAN((J26,R26,Z26),20%)),0)</f>
        <v>19539418</v>
      </c>
      <c r="AF26" s="32">
        <f t="shared" ref="AF26:AF29" si="54">ROUND(STDEV(J26,R26,Z26),0)</f>
        <v>2881</v>
      </c>
      <c r="AG26" s="33">
        <f t="shared" ref="AG26:AG29" si="55">+AF26/AC26</f>
        <v>1.4744553804007878E-4</v>
      </c>
      <c r="AH26" s="33">
        <f t="shared" ref="AH26:AH29" si="56">+AF26/AD26</f>
        <v>1.4745420142110843E-4</v>
      </c>
      <c r="AI26" s="33">
        <f t="shared" ref="AI26:AI29" si="57">+AF26/AE26</f>
        <v>1.4744553804007878E-4</v>
      </c>
      <c r="AJ26" s="34">
        <f t="shared" ref="AJ26:AJ29" si="58">+AC26</f>
        <v>19539418</v>
      </c>
      <c r="AK26" s="35">
        <f t="shared" ref="AK26:AK29" si="59">+AJ26*D26</f>
        <v>19539418</v>
      </c>
      <c r="AL26" s="34">
        <f t="shared" ref="AL26:AL29" si="60">ROUND(+(AK26/30)*16,0)+(AK26*5)</f>
        <v>108118113</v>
      </c>
    </row>
    <row r="27" spans="3:38" x14ac:dyDescent="0.35">
      <c r="C27" s="2" t="s">
        <v>2</v>
      </c>
      <c r="D27" s="3">
        <v>1</v>
      </c>
      <c r="E27" s="7">
        <v>17876740</v>
      </c>
      <c r="F27" s="7">
        <v>1500</v>
      </c>
      <c r="G27" s="7">
        <v>1430259</v>
      </c>
      <c r="H27" s="8">
        <f t="shared" si="41"/>
        <v>19308499</v>
      </c>
      <c r="I27" s="7">
        <f>ROUND(+H27*1.19%,0)</f>
        <v>229771</v>
      </c>
      <c r="J27" s="8">
        <f t="shared" si="42"/>
        <v>19538270</v>
      </c>
      <c r="K27" s="7">
        <f t="shared" si="43"/>
        <v>19538270</v>
      </c>
      <c r="L27" s="7">
        <f>ROUND(+((K27/30)*16),0)+(K27*5)</f>
        <v>108111761</v>
      </c>
      <c r="M27" s="10">
        <v>17876740</v>
      </c>
      <c r="N27" s="10">
        <v>5550</v>
      </c>
      <c r="O27" s="10">
        <v>1430583</v>
      </c>
      <c r="P27" s="11">
        <f t="shared" si="44"/>
        <v>19312873</v>
      </c>
      <c r="Q27" s="10">
        <f>ROUND(+P27*1.19%,0)</f>
        <v>229823</v>
      </c>
      <c r="R27" s="11">
        <f t="shared" si="45"/>
        <v>19542696</v>
      </c>
      <c r="S27" s="10">
        <f t="shared" si="46"/>
        <v>19542696</v>
      </c>
      <c r="T27" s="10">
        <f t="shared" si="47"/>
        <v>108136251</v>
      </c>
      <c r="U27" s="13">
        <v>17876740</v>
      </c>
      <c r="V27" s="13">
        <v>5550</v>
      </c>
      <c r="W27" s="13">
        <v>1430583</v>
      </c>
      <c r="X27" s="14">
        <f t="shared" si="48"/>
        <v>19312873</v>
      </c>
      <c r="Y27" s="13">
        <f>ROUND(+X27*1.19%,0)</f>
        <v>229823</v>
      </c>
      <c r="Z27" s="14">
        <f t="shared" si="49"/>
        <v>19542696</v>
      </c>
      <c r="AA27" s="13">
        <f t="shared" si="50"/>
        <v>19542696</v>
      </c>
      <c r="AB27" s="13">
        <f t="shared" si="51"/>
        <v>108136251</v>
      </c>
      <c r="AC27" s="30">
        <f t="shared" si="52"/>
        <v>19541221</v>
      </c>
      <c r="AD27" s="30">
        <f t="shared" si="53"/>
        <v>19542696</v>
      </c>
      <c r="AE27" s="31">
        <f>ROUND(+(TRIMMEAN((J27,R27,Z27),20%)),0)</f>
        <v>19541221</v>
      </c>
      <c r="AF27" s="32">
        <f t="shared" si="54"/>
        <v>2555</v>
      </c>
      <c r="AG27" s="33">
        <f t="shared" si="55"/>
        <v>1.3074925052022082E-4</v>
      </c>
      <c r="AH27" s="33">
        <f t="shared" si="56"/>
        <v>1.3073938212005139E-4</v>
      </c>
      <c r="AI27" s="33">
        <f t="shared" si="57"/>
        <v>1.3074925052022082E-4</v>
      </c>
      <c r="AJ27" s="34">
        <f t="shared" si="58"/>
        <v>19541221</v>
      </c>
      <c r="AK27" s="35">
        <f t="shared" si="59"/>
        <v>19541221</v>
      </c>
      <c r="AL27" s="34">
        <f t="shared" si="60"/>
        <v>108128090</v>
      </c>
    </row>
    <row r="28" spans="3:38" x14ac:dyDescent="0.35">
      <c r="C28" s="2" t="s">
        <v>3</v>
      </c>
      <c r="D28" s="3">
        <v>1</v>
      </c>
      <c r="E28" s="7">
        <v>1680000</v>
      </c>
      <c r="F28" s="7">
        <v>167</v>
      </c>
      <c r="G28" s="7">
        <v>134413</v>
      </c>
      <c r="H28" s="8">
        <f t="shared" si="41"/>
        <v>1814580</v>
      </c>
      <c r="I28" s="7">
        <f>ROUND(+H28*1.19%,0)</f>
        <v>21594</v>
      </c>
      <c r="J28" s="8">
        <f t="shared" si="42"/>
        <v>1836174</v>
      </c>
      <c r="K28" s="7">
        <f t="shared" si="43"/>
        <v>1836174</v>
      </c>
      <c r="L28" s="7">
        <f>ROUND(((K28/30)*16),0)+(K28*5)</f>
        <v>10160163</v>
      </c>
      <c r="M28" s="10">
        <v>1680000</v>
      </c>
      <c r="N28" s="10">
        <v>617</v>
      </c>
      <c r="O28" s="10">
        <v>134449</v>
      </c>
      <c r="P28" s="11">
        <f t="shared" si="44"/>
        <v>1815066</v>
      </c>
      <c r="Q28" s="10">
        <f>ROUND(+P28*1.19%,0)</f>
        <v>21599</v>
      </c>
      <c r="R28" s="11">
        <f t="shared" si="45"/>
        <v>1836665</v>
      </c>
      <c r="S28" s="10">
        <f t="shared" si="46"/>
        <v>1836665</v>
      </c>
      <c r="T28" s="10">
        <f t="shared" si="47"/>
        <v>10162880</v>
      </c>
      <c r="U28" s="13">
        <v>1680000</v>
      </c>
      <c r="V28" s="13">
        <v>200</v>
      </c>
      <c r="W28" s="13">
        <v>134416</v>
      </c>
      <c r="X28" s="14">
        <f t="shared" si="48"/>
        <v>1814616</v>
      </c>
      <c r="Y28" s="13">
        <f>ROUND(+X28*1.19%,0)</f>
        <v>21594</v>
      </c>
      <c r="Z28" s="14">
        <f t="shared" si="49"/>
        <v>1836210</v>
      </c>
      <c r="AA28" s="13">
        <f t="shared" si="50"/>
        <v>1836210</v>
      </c>
      <c r="AB28" s="13">
        <f t="shared" si="51"/>
        <v>10160362</v>
      </c>
      <c r="AC28" s="30">
        <f t="shared" si="52"/>
        <v>1836350</v>
      </c>
      <c r="AD28" s="30">
        <f t="shared" si="53"/>
        <v>1836210</v>
      </c>
      <c r="AE28" s="31">
        <f>ROUND(+(TRIMMEAN((J28,R28,Z28),20%)),0)</f>
        <v>1836350</v>
      </c>
      <c r="AF28" s="32">
        <f t="shared" si="54"/>
        <v>274</v>
      </c>
      <c r="AG28" s="33">
        <f t="shared" si="55"/>
        <v>1.4920902877991668E-4</v>
      </c>
      <c r="AH28" s="33">
        <f t="shared" si="56"/>
        <v>1.4922040507349377E-4</v>
      </c>
      <c r="AI28" s="33">
        <f t="shared" si="57"/>
        <v>1.4920902877991668E-4</v>
      </c>
      <c r="AJ28" s="34">
        <f t="shared" si="58"/>
        <v>1836350</v>
      </c>
      <c r="AK28" s="35">
        <f t="shared" si="59"/>
        <v>1836350</v>
      </c>
      <c r="AL28" s="34">
        <f t="shared" si="60"/>
        <v>10161137</v>
      </c>
    </row>
    <row r="29" spans="3:38" x14ac:dyDescent="0.35">
      <c r="C29" s="2" t="s">
        <v>4</v>
      </c>
      <c r="D29" s="3">
        <v>1</v>
      </c>
      <c r="E29" s="7">
        <v>17876740</v>
      </c>
      <c r="F29" s="7">
        <v>1500</v>
      </c>
      <c r="G29" s="7">
        <v>1430259</v>
      </c>
      <c r="H29" s="8">
        <f t="shared" si="41"/>
        <v>19308499</v>
      </c>
      <c r="I29" s="7">
        <f>ROUND(+H29*1.19%,0)</f>
        <v>229771</v>
      </c>
      <c r="J29" s="8">
        <f t="shared" si="42"/>
        <v>19538270</v>
      </c>
      <c r="K29" s="7">
        <f t="shared" si="43"/>
        <v>19538270</v>
      </c>
      <c r="L29" s="7">
        <f>ROUND(((K29/30)*16),0)+(K29*5)</f>
        <v>108111761</v>
      </c>
      <c r="M29" s="10">
        <v>17876740</v>
      </c>
      <c r="N29" s="10">
        <v>5550</v>
      </c>
      <c r="O29" s="10">
        <v>1430583</v>
      </c>
      <c r="P29" s="11">
        <f t="shared" si="44"/>
        <v>19312873</v>
      </c>
      <c r="Q29" s="10">
        <f>ROUND(+P29*1.19%,0)</f>
        <v>229823</v>
      </c>
      <c r="R29" s="11">
        <f t="shared" si="45"/>
        <v>19542696</v>
      </c>
      <c r="S29" s="10">
        <f t="shared" si="46"/>
        <v>19542696</v>
      </c>
      <c r="T29" s="10">
        <f t="shared" si="47"/>
        <v>108136251</v>
      </c>
      <c r="U29" s="13">
        <v>17876740</v>
      </c>
      <c r="V29" s="13">
        <v>5550</v>
      </c>
      <c r="W29" s="13">
        <v>1430583</v>
      </c>
      <c r="X29" s="14">
        <f t="shared" si="48"/>
        <v>19312873</v>
      </c>
      <c r="Y29" s="13">
        <f>ROUND(+X29*1.19%,0)</f>
        <v>229823</v>
      </c>
      <c r="Z29" s="14">
        <f t="shared" si="49"/>
        <v>19542696</v>
      </c>
      <c r="AA29" s="13">
        <f t="shared" si="50"/>
        <v>19542696</v>
      </c>
      <c r="AB29" s="13">
        <f t="shared" si="51"/>
        <v>108136251</v>
      </c>
      <c r="AC29" s="30">
        <f>ROUND(AVERAGE(J29,R29,Z29),0)</f>
        <v>19541221</v>
      </c>
      <c r="AD29" s="30">
        <f t="shared" si="53"/>
        <v>19542696</v>
      </c>
      <c r="AE29" s="31">
        <f>ROUND(+(TRIMMEAN((J29,R29,Z29),20%)),0)</f>
        <v>19541221</v>
      </c>
      <c r="AF29" s="32">
        <f t="shared" si="54"/>
        <v>2555</v>
      </c>
      <c r="AG29" s="33">
        <f t="shared" si="55"/>
        <v>1.3074925052022082E-4</v>
      </c>
      <c r="AH29" s="33">
        <f t="shared" si="56"/>
        <v>1.3073938212005139E-4</v>
      </c>
      <c r="AI29" s="33">
        <f t="shared" si="57"/>
        <v>1.3074925052022082E-4</v>
      </c>
      <c r="AJ29" s="34">
        <f t="shared" si="58"/>
        <v>19541221</v>
      </c>
      <c r="AK29" s="35">
        <f t="shared" si="59"/>
        <v>19541221</v>
      </c>
      <c r="AL29" s="34">
        <f t="shared" si="60"/>
        <v>108128090</v>
      </c>
    </row>
    <row r="30" spans="3:38" x14ac:dyDescent="0.35">
      <c r="L30" s="4">
        <f>SUM(L25:L29)</f>
        <v>360880261</v>
      </c>
      <c r="T30" s="4">
        <f>SUM(T25:T29)</f>
        <v>360962424</v>
      </c>
      <c r="AB30" s="4">
        <f>SUM(AB25:AB29)</f>
        <v>360923596</v>
      </c>
      <c r="AL30" s="1">
        <f>SUM(AL25:AL29)</f>
        <v>360922104</v>
      </c>
    </row>
  </sheetData>
  <mergeCells count="39">
    <mergeCell ref="E3:L3"/>
    <mergeCell ref="E13:L13"/>
    <mergeCell ref="E23:L23"/>
    <mergeCell ref="M3:T3"/>
    <mergeCell ref="M13:T13"/>
    <mergeCell ref="M23:T23"/>
    <mergeCell ref="U3:AB3"/>
    <mergeCell ref="U13:AB13"/>
    <mergeCell ref="U23:AB23"/>
    <mergeCell ref="AC3:AC4"/>
    <mergeCell ref="AD3:AD4"/>
    <mergeCell ref="AC23:AC24"/>
    <mergeCell ref="AD23:AD24"/>
    <mergeCell ref="AF3:AF4"/>
    <mergeCell ref="AG3:AG4"/>
    <mergeCell ref="AH3:AH4"/>
    <mergeCell ref="AI3:AI4"/>
    <mergeCell ref="AC13:AC14"/>
    <mergeCell ref="AD13:AD14"/>
    <mergeCell ref="AE13:AE14"/>
    <mergeCell ref="AF13:AF14"/>
    <mergeCell ref="AG13:AG14"/>
    <mergeCell ref="AH13:AH14"/>
    <mergeCell ref="AE3:AE4"/>
    <mergeCell ref="AI13:AI14"/>
    <mergeCell ref="AE23:AE24"/>
    <mergeCell ref="AF23:AF24"/>
    <mergeCell ref="AG23:AG24"/>
    <mergeCell ref="AH23:AH24"/>
    <mergeCell ref="AI23:AI24"/>
    <mergeCell ref="AL3:AL4"/>
    <mergeCell ref="AL13:AL14"/>
    <mergeCell ref="AL23:AL24"/>
    <mergeCell ref="AJ3:AJ4"/>
    <mergeCell ref="AK3:AK4"/>
    <mergeCell ref="AJ13:AJ14"/>
    <mergeCell ref="AJ23:AJ24"/>
    <mergeCell ref="AK13:AK14"/>
    <mergeCell ref="AK23:AK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D8246-16BE-4F70-B302-708556D3FBEF}">
  <dimension ref="C2:X8"/>
  <sheetViews>
    <sheetView topLeftCell="H1" workbookViewId="0">
      <selection activeCell="S19" sqref="S19"/>
    </sheetView>
  </sheetViews>
  <sheetFormatPr baseColWidth="10" defaultRowHeight="14.5" x14ac:dyDescent="0.35"/>
  <cols>
    <col min="4" max="4" width="15.26953125" customWidth="1"/>
    <col min="5" max="5" width="13.54296875" customWidth="1"/>
    <col min="6" max="6" width="16.1796875" customWidth="1"/>
    <col min="7" max="7" width="14.54296875" customWidth="1"/>
    <col min="8" max="8" width="15" customWidth="1"/>
    <col min="9" max="9" width="11.453125" customWidth="1"/>
    <col min="10" max="10" width="13.81640625" customWidth="1"/>
    <col min="11" max="11" width="15.1796875" customWidth="1"/>
    <col min="12" max="12" width="14.7265625" customWidth="1"/>
    <col min="13" max="13" width="11.453125" customWidth="1"/>
    <col min="14" max="14" width="15.1796875" customWidth="1"/>
    <col min="15" max="15" width="14.7265625" customWidth="1"/>
    <col min="16" max="18" width="13" customWidth="1"/>
    <col min="19" max="19" width="12" customWidth="1"/>
    <col min="20" max="22" width="11.453125" customWidth="1"/>
    <col min="23" max="23" width="13" bestFit="1" customWidth="1"/>
    <col min="24" max="24" width="14.54296875" bestFit="1" customWidth="1"/>
  </cols>
  <sheetData>
    <row r="2" spans="3:24" x14ac:dyDescent="0.35">
      <c r="D2" s="62"/>
      <c r="E2" s="62"/>
      <c r="F2" s="62"/>
      <c r="G2" s="62"/>
      <c r="H2" s="62"/>
      <c r="I2" s="62"/>
      <c r="J2" s="62"/>
      <c r="K2" s="62"/>
    </row>
    <row r="3" spans="3:24" ht="29" x14ac:dyDescent="0.35">
      <c r="C3" s="5" t="s">
        <v>0</v>
      </c>
      <c r="D3" s="23" t="s">
        <v>16</v>
      </c>
      <c r="E3" s="23" t="s">
        <v>17</v>
      </c>
      <c r="F3" s="24" t="s">
        <v>18</v>
      </c>
      <c r="G3" s="23" t="s">
        <v>19</v>
      </c>
      <c r="H3" s="19" t="s">
        <v>16</v>
      </c>
      <c r="I3" s="19" t="s">
        <v>17</v>
      </c>
      <c r="J3" s="20" t="s">
        <v>18</v>
      </c>
      <c r="K3" s="19" t="s">
        <v>19</v>
      </c>
      <c r="L3" s="15" t="s">
        <v>16</v>
      </c>
      <c r="M3" s="15" t="s">
        <v>17</v>
      </c>
      <c r="N3" s="16" t="s">
        <v>18</v>
      </c>
      <c r="O3" s="15" t="s">
        <v>19</v>
      </c>
      <c r="P3" s="29" t="s">
        <v>23</v>
      </c>
      <c r="Q3" s="29" t="s">
        <v>24</v>
      </c>
      <c r="R3" s="29" t="s">
        <v>25</v>
      </c>
      <c r="S3" s="36" t="s">
        <v>26</v>
      </c>
      <c r="T3" s="37" t="s">
        <v>27</v>
      </c>
      <c r="U3" s="37" t="s">
        <v>28</v>
      </c>
      <c r="V3" s="38" t="s">
        <v>29</v>
      </c>
      <c r="W3" s="44" t="s">
        <v>31</v>
      </c>
      <c r="X3" s="44" t="s">
        <v>32</v>
      </c>
    </row>
    <row r="4" spans="3:24" x14ac:dyDescent="0.35">
      <c r="C4" s="2" t="s">
        <v>1</v>
      </c>
      <c r="D4" s="25">
        <v>147203</v>
      </c>
      <c r="E4" s="7">
        <f>ROUND(+D4*1.19%,0)</f>
        <v>1752</v>
      </c>
      <c r="F4" s="26">
        <f>+D4+E4</f>
        <v>148955</v>
      </c>
      <c r="G4" s="7">
        <f>+F4*9</f>
        <v>1340595</v>
      </c>
      <c r="H4" s="21">
        <v>196271</v>
      </c>
      <c r="I4" s="10">
        <f>ROUND(+H4*1.19%,0)</f>
        <v>2336</v>
      </c>
      <c r="J4" s="22">
        <f>+H4+I4</f>
        <v>198607</v>
      </c>
      <c r="K4" s="10">
        <f>+J4*9</f>
        <v>1787463</v>
      </c>
      <c r="L4" s="17">
        <v>189665</v>
      </c>
      <c r="M4" s="13">
        <f>ROUND(+L4*1.19%,0)</f>
        <v>2257</v>
      </c>
      <c r="N4" s="18">
        <f>+L4+M4</f>
        <v>191922</v>
      </c>
      <c r="O4" s="13">
        <f>+N4*9</f>
        <v>1727298</v>
      </c>
      <c r="P4" s="30">
        <f>ROUND(AVERAGE(F4,J4,N4),0)</f>
        <v>179828</v>
      </c>
      <c r="Q4" s="30">
        <f>ROUND(MEDIAN(F4,J4,N4),0)</f>
        <v>191922</v>
      </c>
      <c r="R4" s="31">
        <f>ROUND(+(TRIMMEAN((F4,J4,N4),20%)),0)</f>
        <v>179828</v>
      </c>
      <c r="S4" s="39">
        <f>ROUND(STDEV(F4,J4,N4),0)</f>
        <v>26945</v>
      </c>
      <c r="T4" s="40">
        <f>+S4/P4</f>
        <v>0.14983762261716752</v>
      </c>
      <c r="U4" s="40">
        <f>+S4/Q4</f>
        <v>0.14039557736997321</v>
      </c>
      <c r="V4" s="41">
        <f>+S4/R4</f>
        <v>0.14983762261716752</v>
      </c>
      <c r="W4" s="42">
        <f>+P4</f>
        <v>179828</v>
      </c>
      <c r="X4" s="43">
        <f>+W4*9</f>
        <v>1618452</v>
      </c>
    </row>
    <row r="5" spans="3:24" x14ac:dyDescent="0.35">
      <c r="C5" s="2" t="s">
        <v>2</v>
      </c>
      <c r="D5" s="25">
        <v>147203</v>
      </c>
      <c r="E5" s="7">
        <f>ROUND(+D5*1.19%,0)</f>
        <v>1752</v>
      </c>
      <c r="F5" s="26">
        <f t="shared" ref="F5:F7" si="0">+D5+E5</f>
        <v>148955</v>
      </c>
      <c r="G5" s="7">
        <f t="shared" ref="G5:G7" si="1">+F5*9</f>
        <v>1340595</v>
      </c>
      <c r="H5" s="21">
        <v>196271</v>
      </c>
      <c r="I5" s="10">
        <f>ROUND(+H5*1.19%,0)</f>
        <v>2336</v>
      </c>
      <c r="J5" s="22">
        <f t="shared" ref="J5:J7" si="2">+H5+I5</f>
        <v>198607</v>
      </c>
      <c r="K5" s="10">
        <f t="shared" ref="K5:K7" si="3">+J5*9</f>
        <v>1787463</v>
      </c>
      <c r="L5" s="17">
        <v>189665</v>
      </c>
      <c r="M5" s="13">
        <f>ROUND(+L5*1.19%,0)</f>
        <v>2257</v>
      </c>
      <c r="N5" s="18">
        <f t="shared" ref="N5:N7" si="4">+L5+M5</f>
        <v>191922</v>
      </c>
      <c r="O5" s="13">
        <f t="shared" ref="O5:O7" si="5">+N5*9</f>
        <v>1727298</v>
      </c>
      <c r="P5" s="30">
        <f t="shared" ref="P5:P7" si="6">ROUND(AVERAGE(F5,J5,N5),0)</f>
        <v>179828</v>
      </c>
      <c r="Q5" s="30">
        <f t="shared" ref="Q5:Q7" si="7">ROUND(MEDIAN(F5,J5,N5),0)</f>
        <v>191922</v>
      </c>
      <c r="R5" s="31">
        <f>ROUND(+(TRIMMEAN((F5,J5,N5),20%)),0)</f>
        <v>179828</v>
      </c>
      <c r="S5" s="39">
        <f t="shared" ref="S5:S7" si="8">ROUND(STDEV(F5,J5,N5),0)</f>
        <v>26945</v>
      </c>
      <c r="T5" s="40">
        <f t="shared" ref="T5:T7" si="9">+S5/P5</f>
        <v>0.14983762261716752</v>
      </c>
      <c r="U5" s="40">
        <f t="shared" ref="U5:U7" si="10">+S5/Q5</f>
        <v>0.14039557736997321</v>
      </c>
      <c r="V5" s="41">
        <f t="shared" ref="V5:V7" si="11">+S5/R5</f>
        <v>0.14983762261716752</v>
      </c>
      <c r="W5" s="42">
        <f t="shared" ref="W5:W7" si="12">+P5</f>
        <v>179828</v>
      </c>
      <c r="X5" s="43">
        <f t="shared" ref="X5:X7" si="13">+W5*9</f>
        <v>1618452</v>
      </c>
    </row>
    <row r="6" spans="3:24" x14ac:dyDescent="0.35">
      <c r="C6" s="2" t="s">
        <v>3</v>
      </c>
      <c r="D6" s="25">
        <v>147203</v>
      </c>
      <c r="E6" s="7">
        <f>ROUND(+D6*1.19%,0)</f>
        <v>1752</v>
      </c>
      <c r="F6" s="26">
        <f t="shared" si="0"/>
        <v>148955</v>
      </c>
      <c r="G6" s="7">
        <f t="shared" si="1"/>
        <v>1340595</v>
      </c>
      <c r="H6" s="21">
        <v>196271</v>
      </c>
      <c r="I6" s="10">
        <f>ROUND(+H6*1.19%,0)</f>
        <v>2336</v>
      </c>
      <c r="J6" s="22">
        <f t="shared" si="2"/>
        <v>198607</v>
      </c>
      <c r="K6" s="10">
        <f t="shared" si="3"/>
        <v>1787463</v>
      </c>
      <c r="L6" s="17">
        <v>189665</v>
      </c>
      <c r="M6" s="13">
        <f>ROUND(+L6*1.19%,0)</f>
        <v>2257</v>
      </c>
      <c r="N6" s="18">
        <f t="shared" si="4"/>
        <v>191922</v>
      </c>
      <c r="O6" s="13">
        <f t="shared" si="5"/>
        <v>1727298</v>
      </c>
      <c r="P6" s="30">
        <f t="shared" si="6"/>
        <v>179828</v>
      </c>
      <c r="Q6" s="30">
        <f t="shared" si="7"/>
        <v>191922</v>
      </c>
      <c r="R6" s="31">
        <f>ROUND(+(TRIMMEAN((F6,J6,N6),20%)),0)</f>
        <v>179828</v>
      </c>
      <c r="S6" s="39">
        <f t="shared" si="8"/>
        <v>26945</v>
      </c>
      <c r="T6" s="40">
        <f t="shared" si="9"/>
        <v>0.14983762261716752</v>
      </c>
      <c r="U6" s="40">
        <f t="shared" si="10"/>
        <v>0.14039557736997321</v>
      </c>
      <c r="V6" s="41">
        <f t="shared" si="11"/>
        <v>0.14983762261716752</v>
      </c>
      <c r="W6" s="42">
        <f t="shared" si="12"/>
        <v>179828</v>
      </c>
      <c r="X6" s="43">
        <f t="shared" si="13"/>
        <v>1618452</v>
      </c>
    </row>
    <row r="7" spans="3:24" x14ac:dyDescent="0.35">
      <c r="C7" s="2" t="s">
        <v>4</v>
      </c>
      <c r="D7" s="25">
        <v>147203</v>
      </c>
      <c r="E7" s="7">
        <f>ROUND(+D7*1.19%,0)</f>
        <v>1752</v>
      </c>
      <c r="F7" s="26">
        <f t="shared" si="0"/>
        <v>148955</v>
      </c>
      <c r="G7" s="7">
        <f t="shared" si="1"/>
        <v>1340595</v>
      </c>
      <c r="H7" s="21">
        <v>196271</v>
      </c>
      <c r="I7" s="10">
        <f>ROUND(+H7*1.19%,0)</f>
        <v>2336</v>
      </c>
      <c r="J7" s="22">
        <f t="shared" si="2"/>
        <v>198607</v>
      </c>
      <c r="K7" s="10">
        <f t="shared" si="3"/>
        <v>1787463</v>
      </c>
      <c r="L7" s="17">
        <v>189665</v>
      </c>
      <c r="M7" s="13">
        <f>ROUND(+L7*1.19%,0)</f>
        <v>2257</v>
      </c>
      <c r="N7" s="18">
        <f t="shared" si="4"/>
        <v>191922</v>
      </c>
      <c r="O7" s="13">
        <f t="shared" si="5"/>
        <v>1727298</v>
      </c>
      <c r="P7" s="30">
        <f t="shared" si="6"/>
        <v>179828</v>
      </c>
      <c r="Q7" s="30">
        <f t="shared" si="7"/>
        <v>191922</v>
      </c>
      <c r="R7" s="31">
        <f>ROUND(+(TRIMMEAN((F7,J7,N7),20%)),0)</f>
        <v>179828</v>
      </c>
      <c r="S7" s="39">
        <f t="shared" si="8"/>
        <v>26945</v>
      </c>
      <c r="T7" s="40">
        <f t="shared" si="9"/>
        <v>0.14983762261716752</v>
      </c>
      <c r="U7" s="40">
        <f t="shared" si="10"/>
        <v>0.14039557736997321</v>
      </c>
      <c r="V7" s="41">
        <f t="shared" si="11"/>
        <v>0.14983762261716752</v>
      </c>
      <c r="W7" s="42">
        <f t="shared" si="12"/>
        <v>179828</v>
      </c>
      <c r="X7" s="43">
        <f t="shared" si="13"/>
        <v>1618452</v>
      </c>
    </row>
    <row r="8" spans="3:24" x14ac:dyDescent="0.35">
      <c r="G8" s="4">
        <f>SUM(G4:G7)</f>
        <v>5362380</v>
      </c>
      <c r="K8" s="4">
        <f>SUM(K4:K7)</f>
        <v>7149852</v>
      </c>
      <c r="O8" s="4">
        <f>SUM(O4:O7)</f>
        <v>6909192</v>
      </c>
      <c r="X8" s="1">
        <f>SUM(X4:X7)</f>
        <v>6473808</v>
      </c>
    </row>
  </sheetData>
  <mergeCells count="2">
    <mergeCell ref="D2:G2"/>
    <mergeCell ref="H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9207-4DA9-43CB-9008-42FA74587629}">
  <dimension ref="C3:G38"/>
  <sheetViews>
    <sheetView topLeftCell="B33" workbookViewId="0">
      <selection activeCell="I31" sqref="I31"/>
    </sheetView>
  </sheetViews>
  <sheetFormatPr baseColWidth="10" defaultRowHeight="14.5" x14ac:dyDescent="0.35"/>
  <cols>
    <col min="3" max="3" width="19.7265625" bestFit="1" customWidth="1"/>
    <col min="4" max="4" width="15.81640625" bestFit="1" customWidth="1"/>
    <col min="5" max="5" width="15.54296875" bestFit="1" customWidth="1"/>
    <col min="6" max="6" width="17" customWidth="1"/>
    <col min="7" max="7" width="16.7265625" bestFit="1" customWidth="1"/>
  </cols>
  <sheetData>
    <row r="3" spans="3:7" x14ac:dyDescent="0.35">
      <c r="E3" s="48" t="s">
        <v>30</v>
      </c>
      <c r="F3" s="48" t="s">
        <v>12</v>
      </c>
      <c r="G3" s="48" t="s">
        <v>13</v>
      </c>
    </row>
    <row r="4" spans="3:7" x14ac:dyDescent="0.35">
      <c r="C4" s="5" t="s">
        <v>0</v>
      </c>
      <c r="D4" s="5" t="s">
        <v>5</v>
      </c>
      <c r="E4" s="48"/>
      <c r="F4" s="48"/>
      <c r="G4" s="48"/>
    </row>
    <row r="5" spans="3:7" x14ac:dyDescent="0.35">
      <c r="C5" s="2" t="s">
        <v>1</v>
      </c>
      <c r="D5" s="3">
        <v>1</v>
      </c>
      <c r="E5" s="34">
        <v>4563202</v>
      </c>
      <c r="F5" s="35">
        <v>4563202</v>
      </c>
      <c r="G5" s="35">
        <v>13689606</v>
      </c>
    </row>
    <row r="6" spans="3:7" x14ac:dyDescent="0.35">
      <c r="C6" s="2" t="s">
        <v>1</v>
      </c>
      <c r="D6" s="3">
        <v>1</v>
      </c>
      <c r="E6" s="34">
        <v>18697486</v>
      </c>
      <c r="F6" s="35">
        <v>18697486</v>
      </c>
      <c r="G6" s="35">
        <v>56092458</v>
      </c>
    </row>
    <row r="7" spans="3:7" x14ac:dyDescent="0.35">
      <c r="C7" s="2" t="s">
        <v>2</v>
      </c>
      <c r="D7" s="3">
        <v>1</v>
      </c>
      <c r="E7" s="34">
        <v>18699290</v>
      </c>
      <c r="F7" s="35">
        <v>18699290</v>
      </c>
      <c r="G7" s="35">
        <v>56097870</v>
      </c>
    </row>
    <row r="8" spans="3:7" x14ac:dyDescent="0.35">
      <c r="C8" s="2" t="s">
        <v>3</v>
      </c>
      <c r="D8" s="3">
        <v>1</v>
      </c>
      <c r="E8" s="34">
        <v>1836350</v>
      </c>
      <c r="F8" s="35">
        <v>1836350</v>
      </c>
      <c r="G8" s="35">
        <v>5509050</v>
      </c>
    </row>
    <row r="9" spans="3:7" x14ac:dyDescent="0.35">
      <c r="C9" s="2" t="s">
        <v>4</v>
      </c>
      <c r="D9" s="3">
        <v>1</v>
      </c>
      <c r="E9" s="34">
        <v>18699290</v>
      </c>
      <c r="F9" s="35">
        <v>18699290</v>
      </c>
      <c r="G9" s="35">
        <v>56097870</v>
      </c>
    </row>
    <row r="10" spans="3:7" x14ac:dyDescent="0.35">
      <c r="G10" s="45">
        <f>SUM(G5:G9)</f>
        <v>187486854</v>
      </c>
    </row>
    <row r="13" spans="3:7" ht="15.75" customHeight="1" x14ac:dyDescent="0.35">
      <c r="E13" s="48" t="s">
        <v>30</v>
      </c>
      <c r="F13" s="48" t="s">
        <v>12</v>
      </c>
      <c r="G13" s="48" t="s">
        <v>14</v>
      </c>
    </row>
    <row r="14" spans="3:7" x14ac:dyDescent="0.35">
      <c r="C14" s="5" t="s">
        <v>0</v>
      </c>
      <c r="D14" s="5" t="s">
        <v>5</v>
      </c>
      <c r="E14" s="48"/>
      <c r="F14" s="48"/>
      <c r="G14" s="48"/>
    </row>
    <row r="15" spans="3:7" x14ac:dyDescent="0.35">
      <c r="C15" s="2" t="s">
        <v>1</v>
      </c>
      <c r="D15" s="3">
        <v>1</v>
      </c>
      <c r="E15" s="34">
        <v>4600561</v>
      </c>
      <c r="F15" s="35">
        <v>4600561</v>
      </c>
      <c r="G15" s="35">
        <v>2146928</v>
      </c>
    </row>
    <row r="16" spans="3:7" x14ac:dyDescent="0.35">
      <c r="C16" s="2" t="s">
        <v>1</v>
      </c>
      <c r="D16" s="3">
        <v>1</v>
      </c>
      <c r="E16" s="34">
        <v>18850565</v>
      </c>
      <c r="F16" s="35">
        <v>18850565</v>
      </c>
      <c r="G16" s="35">
        <v>8796930</v>
      </c>
    </row>
    <row r="17" spans="3:7" x14ac:dyDescent="0.35">
      <c r="C17" s="2" t="s">
        <v>2</v>
      </c>
      <c r="D17" s="3">
        <v>1</v>
      </c>
      <c r="E17" s="34">
        <v>18852368</v>
      </c>
      <c r="F17" s="35">
        <v>18852368</v>
      </c>
      <c r="G17" s="35">
        <v>8797772</v>
      </c>
    </row>
    <row r="18" spans="3:7" x14ac:dyDescent="0.35">
      <c r="C18" s="2" t="s">
        <v>3</v>
      </c>
      <c r="D18" s="3">
        <v>1</v>
      </c>
      <c r="E18" s="34">
        <v>1836350</v>
      </c>
      <c r="F18" s="35">
        <v>1836350</v>
      </c>
      <c r="G18" s="35">
        <v>856963</v>
      </c>
    </row>
    <row r="19" spans="3:7" x14ac:dyDescent="0.35">
      <c r="C19" s="2" t="s">
        <v>4</v>
      </c>
      <c r="D19" s="3">
        <v>1</v>
      </c>
      <c r="E19" s="34">
        <v>18852368</v>
      </c>
      <c r="F19" s="35">
        <v>18852368</v>
      </c>
      <c r="G19" s="35">
        <v>8797772</v>
      </c>
    </row>
    <row r="20" spans="3:7" x14ac:dyDescent="0.35">
      <c r="G20" s="45">
        <f>SUM(G15:G19)</f>
        <v>29396365</v>
      </c>
    </row>
    <row r="23" spans="3:7" ht="15.75" customHeight="1" x14ac:dyDescent="0.35">
      <c r="E23" s="48" t="s">
        <v>30</v>
      </c>
      <c r="F23" s="48" t="s">
        <v>12</v>
      </c>
      <c r="G23" s="48" t="s">
        <v>15</v>
      </c>
    </row>
    <row r="24" spans="3:7" x14ac:dyDescent="0.35">
      <c r="C24" s="5" t="s">
        <v>0</v>
      </c>
      <c r="D24" s="5" t="s">
        <v>5</v>
      </c>
      <c r="E24" s="48"/>
      <c r="F24" s="48"/>
      <c r="G24" s="48"/>
    </row>
    <row r="25" spans="3:7" x14ac:dyDescent="0.35">
      <c r="C25" s="2" t="s">
        <v>1</v>
      </c>
      <c r="D25" s="3">
        <v>1</v>
      </c>
      <c r="E25" s="34">
        <v>4768676</v>
      </c>
      <c r="F25" s="35">
        <v>4768676</v>
      </c>
      <c r="G25" s="34">
        <v>26386674</v>
      </c>
    </row>
    <row r="26" spans="3:7" x14ac:dyDescent="0.35">
      <c r="C26" s="2" t="s">
        <v>1</v>
      </c>
      <c r="D26" s="3">
        <v>1</v>
      </c>
      <c r="E26" s="34">
        <v>19539418</v>
      </c>
      <c r="F26" s="35">
        <v>19539418</v>
      </c>
      <c r="G26" s="34">
        <v>108118113</v>
      </c>
    </row>
    <row r="27" spans="3:7" x14ac:dyDescent="0.35">
      <c r="C27" s="2" t="s">
        <v>2</v>
      </c>
      <c r="D27" s="3">
        <v>1</v>
      </c>
      <c r="E27" s="34">
        <v>19541221</v>
      </c>
      <c r="F27" s="35">
        <v>19541221</v>
      </c>
      <c r="G27" s="34">
        <v>108128090</v>
      </c>
    </row>
    <row r="28" spans="3:7" x14ac:dyDescent="0.35">
      <c r="C28" s="2" t="s">
        <v>3</v>
      </c>
      <c r="D28" s="3">
        <v>1</v>
      </c>
      <c r="E28" s="34">
        <v>1836350</v>
      </c>
      <c r="F28" s="35">
        <v>1836350</v>
      </c>
      <c r="G28" s="34">
        <v>10161137</v>
      </c>
    </row>
    <row r="29" spans="3:7" x14ac:dyDescent="0.35">
      <c r="C29" s="2" t="s">
        <v>4</v>
      </c>
      <c r="D29" s="3">
        <v>1</v>
      </c>
      <c r="E29" s="34">
        <v>19541221</v>
      </c>
      <c r="F29" s="35">
        <v>19541221</v>
      </c>
      <c r="G29" s="34">
        <v>108128090</v>
      </c>
    </row>
    <row r="30" spans="3:7" x14ac:dyDescent="0.35">
      <c r="G30" s="45">
        <f>SUM(G25:G29)</f>
        <v>360922104</v>
      </c>
    </row>
    <row r="33" spans="3:5" x14ac:dyDescent="0.35">
      <c r="C33" s="5" t="s">
        <v>0</v>
      </c>
      <c r="D33" s="44" t="s">
        <v>31</v>
      </c>
      <c r="E33" s="44" t="s">
        <v>32</v>
      </c>
    </row>
    <row r="34" spans="3:5" x14ac:dyDescent="0.35">
      <c r="C34" s="2" t="s">
        <v>1</v>
      </c>
      <c r="D34" s="42">
        <v>179828</v>
      </c>
      <c r="E34" s="43">
        <f>+D34*9</f>
        <v>1618452</v>
      </c>
    </row>
    <row r="35" spans="3:5" x14ac:dyDescent="0.35">
      <c r="C35" s="2" t="s">
        <v>2</v>
      </c>
      <c r="D35" s="42">
        <v>179828</v>
      </c>
      <c r="E35" s="43">
        <f t="shared" ref="E35:E37" si="0">+D35*9</f>
        <v>1618452</v>
      </c>
    </row>
    <row r="36" spans="3:5" x14ac:dyDescent="0.35">
      <c r="C36" s="2" t="s">
        <v>3</v>
      </c>
      <c r="D36" s="42">
        <v>179828</v>
      </c>
      <c r="E36" s="43">
        <f t="shared" si="0"/>
        <v>1618452</v>
      </c>
    </row>
    <row r="37" spans="3:5" x14ac:dyDescent="0.35">
      <c r="C37" s="2" t="s">
        <v>4</v>
      </c>
      <c r="D37" s="42">
        <v>179828</v>
      </c>
      <c r="E37" s="43">
        <f t="shared" si="0"/>
        <v>1618452</v>
      </c>
    </row>
    <row r="38" spans="3:5" x14ac:dyDescent="0.35">
      <c r="E38" s="46">
        <f>SUM(E34:E37)</f>
        <v>6473808</v>
      </c>
    </row>
  </sheetData>
  <mergeCells count="9">
    <mergeCell ref="G3:G4"/>
    <mergeCell ref="E3:E4"/>
    <mergeCell ref="F3:F4"/>
    <mergeCell ref="G23:G24"/>
    <mergeCell ref="E23:E24"/>
    <mergeCell ref="F23:F24"/>
    <mergeCell ref="E13:E14"/>
    <mergeCell ref="F13:F14"/>
    <mergeCell ref="G13:G1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847BF-518C-43A8-833E-47B66966AC15}">
  <dimension ref="C3:N38"/>
  <sheetViews>
    <sheetView tabSelected="1" topLeftCell="A7" workbookViewId="0">
      <selection activeCell="E38" sqref="E38"/>
    </sheetView>
  </sheetViews>
  <sheetFormatPr baseColWidth="10" defaultRowHeight="14.5" x14ac:dyDescent="0.35"/>
  <cols>
    <col min="3" max="3" width="19.7265625" bestFit="1" customWidth="1"/>
    <col min="4" max="4" width="15.81640625" bestFit="1" customWidth="1"/>
    <col min="5" max="5" width="15.54296875" bestFit="1" customWidth="1"/>
    <col min="6" max="6" width="17" customWidth="1"/>
    <col min="7" max="7" width="16.7265625" bestFit="1" customWidth="1"/>
    <col min="8" max="8" width="16.54296875" customWidth="1"/>
    <col min="9" max="9" width="16.26953125" customWidth="1"/>
    <col min="10" max="10" width="16" customWidth="1"/>
    <col min="11" max="11" width="15.26953125" customWidth="1"/>
    <col min="12" max="12" width="16" customWidth="1"/>
    <col min="13" max="13" width="17.453125" customWidth="1"/>
    <col min="14" max="14" width="17" customWidth="1"/>
  </cols>
  <sheetData>
    <row r="3" spans="3:14" x14ac:dyDescent="0.35">
      <c r="E3" s="48" t="s">
        <v>30</v>
      </c>
      <c r="F3" s="48" t="s">
        <v>12</v>
      </c>
      <c r="G3" s="48" t="s">
        <v>13</v>
      </c>
      <c r="H3" s="48" t="s">
        <v>30</v>
      </c>
      <c r="I3" s="48" t="s">
        <v>12</v>
      </c>
      <c r="J3" s="48" t="s">
        <v>14</v>
      </c>
      <c r="K3" s="48" t="s">
        <v>30</v>
      </c>
      <c r="L3" s="48" t="s">
        <v>12</v>
      </c>
      <c r="M3" s="63" t="s">
        <v>15</v>
      </c>
      <c r="N3" s="64" t="s">
        <v>33</v>
      </c>
    </row>
    <row r="4" spans="3:14" x14ac:dyDescent="0.35">
      <c r="C4" s="5" t="s">
        <v>0</v>
      </c>
      <c r="D4" s="5" t="s">
        <v>5</v>
      </c>
      <c r="E4" s="48"/>
      <c r="F4" s="48"/>
      <c r="G4" s="48"/>
      <c r="H4" s="48"/>
      <c r="I4" s="48"/>
      <c r="J4" s="48"/>
      <c r="K4" s="48"/>
      <c r="L4" s="48"/>
      <c r="M4" s="63"/>
      <c r="N4" s="64"/>
    </row>
    <row r="5" spans="3:14" x14ac:dyDescent="0.35">
      <c r="C5" s="2" t="s">
        <v>1</v>
      </c>
      <c r="D5" s="3">
        <v>1</v>
      </c>
      <c r="E5" s="34">
        <v>4563202</v>
      </c>
      <c r="F5" s="35">
        <v>4563202</v>
      </c>
      <c r="G5" s="35">
        <v>13689606</v>
      </c>
      <c r="H5" s="34">
        <v>4600561</v>
      </c>
      <c r="I5" s="35">
        <v>4600561</v>
      </c>
      <c r="J5" s="35">
        <v>2146928</v>
      </c>
      <c r="K5" s="34">
        <v>4768676</v>
      </c>
      <c r="L5" s="35">
        <v>4768676</v>
      </c>
      <c r="M5" s="34">
        <v>26386674</v>
      </c>
      <c r="N5" s="47">
        <f>+G5+J5+M5</f>
        <v>42223208</v>
      </c>
    </row>
    <row r="6" spans="3:14" x14ac:dyDescent="0.35">
      <c r="C6" s="2" t="s">
        <v>1</v>
      </c>
      <c r="D6" s="3">
        <v>1</v>
      </c>
      <c r="E6" s="34">
        <v>18697486</v>
      </c>
      <c r="F6" s="35">
        <v>18697486</v>
      </c>
      <c r="G6" s="35">
        <v>56092458</v>
      </c>
      <c r="H6" s="34">
        <v>18850565</v>
      </c>
      <c r="I6" s="35">
        <v>18850565</v>
      </c>
      <c r="J6" s="35">
        <v>8796930</v>
      </c>
      <c r="K6" s="34">
        <v>19539418</v>
      </c>
      <c r="L6" s="35">
        <v>19539418</v>
      </c>
      <c r="M6" s="34">
        <v>108118113</v>
      </c>
      <c r="N6" s="47">
        <f t="shared" ref="N6:N9" si="0">+G6+J6+M6</f>
        <v>173007501</v>
      </c>
    </row>
    <row r="7" spans="3:14" x14ac:dyDescent="0.35">
      <c r="C7" s="2" t="s">
        <v>2</v>
      </c>
      <c r="D7" s="3">
        <v>1</v>
      </c>
      <c r="E7" s="34">
        <v>18699290</v>
      </c>
      <c r="F7" s="35">
        <v>18699290</v>
      </c>
      <c r="G7" s="35">
        <v>56097870</v>
      </c>
      <c r="H7" s="34">
        <v>18852368</v>
      </c>
      <c r="I7" s="35">
        <v>18852368</v>
      </c>
      <c r="J7" s="35">
        <v>8797772</v>
      </c>
      <c r="K7" s="34">
        <v>19541221</v>
      </c>
      <c r="L7" s="35">
        <v>19541221</v>
      </c>
      <c r="M7" s="34">
        <v>108128090</v>
      </c>
      <c r="N7" s="47">
        <f t="shared" si="0"/>
        <v>173023732</v>
      </c>
    </row>
    <row r="8" spans="3:14" x14ac:dyDescent="0.35">
      <c r="C8" s="2" t="s">
        <v>3</v>
      </c>
      <c r="D8" s="3">
        <v>1</v>
      </c>
      <c r="E8" s="34">
        <v>1836350</v>
      </c>
      <c r="F8" s="35">
        <v>1836350</v>
      </c>
      <c r="G8" s="35">
        <v>5509050</v>
      </c>
      <c r="H8" s="34">
        <v>1836350</v>
      </c>
      <c r="I8" s="35">
        <v>1836350</v>
      </c>
      <c r="J8" s="35">
        <v>856963</v>
      </c>
      <c r="K8" s="34">
        <v>1836350</v>
      </c>
      <c r="L8" s="35">
        <v>1836350</v>
      </c>
      <c r="M8" s="34">
        <v>10161137</v>
      </c>
      <c r="N8" s="47">
        <f t="shared" si="0"/>
        <v>16527150</v>
      </c>
    </row>
    <row r="9" spans="3:14" x14ac:dyDescent="0.35">
      <c r="C9" s="2" t="s">
        <v>4</v>
      </c>
      <c r="D9" s="3">
        <v>1</v>
      </c>
      <c r="E9" s="34">
        <v>18699290</v>
      </c>
      <c r="F9" s="35">
        <v>18699290</v>
      </c>
      <c r="G9" s="35">
        <v>56097870</v>
      </c>
      <c r="H9" s="34">
        <v>18852368</v>
      </c>
      <c r="I9" s="35">
        <v>18852368</v>
      </c>
      <c r="J9" s="35">
        <v>8797772</v>
      </c>
      <c r="K9" s="34">
        <v>19541221</v>
      </c>
      <c r="L9" s="35">
        <v>19541221</v>
      </c>
      <c r="M9" s="34">
        <v>108128090</v>
      </c>
      <c r="N9" s="47">
        <f t="shared" si="0"/>
        <v>173023732</v>
      </c>
    </row>
    <row r="10" spans="3:14" x14ac:dyDescent="0.35">
      <c r="G10" s="45">
        <v>187486854</v>
      </c>
      <c r="J10" s="45">
        <v>29396365</v>
      </c>
      <c r="M10" s="45">
        <v>360922104</v>
      </c>
      <c r="N10" s="47">
        <f>SUM(N5:N9)</f>
        <v>577805323</v>
      </c>
    </row>
    <row r="12" spans="3:14" hidden="1" x14ac:dyDescent="0.35"/>
    <row r="13" spans="3:14" ht="15.75" hidden="1" customHeight="1" x14ac:dyDescent="0.35"/>
    <row r="14" spans="3:14" hidden="1" x14ac:dyDescent="0.35">
      <c r="C14" s="5" t="s">
        <v>0</v>
      </c>
      <c r="D14" s="5" t="s">
        <v>5</v>
      </c>
    </row>
    <row r="15" spans="3:14" hidden="1" x14ac:dyDescent="0.35">
      <c r="C15" s="2" t="s">
        <v>1</v>
      </c>
      <c r="D15" s="3">
        <v>1</v>
      </c>
    </row>
    <row r="16" spans="3:14" hidden="1" x14ac:dyDescent="0.35">
      <c r="C16" s="2" t="s">
        <v>1</v>
      </c>
      <c r="D16" s="3">
        <v>1</v>
      </c>
    </row>
    <row r="17" spans="3:4" hidden="1" x14ac:dyDescent="0.35">
      <c r="C17" s="2" t="s">
        <v>2</v>
      </c>
      <c r="D17" s="3">
        <v>1</v>
      </c>
    </row>
    <row r="18" spans="3:4" hidden="1" x14ac:dyDescent="0.35">
      <c r="C18" s="2" t="s">
        <v>3</v>
      </c>
      <c r="D18" s="3">
        <v>1</v>
      </c>
    </row>
    <row r="19" spans="3:4" hidden="1" x14ac:dyDescent="0.35">
      <c r="C19" s="2" t="s">
        <v>4</v>
      </c>
      <c r="D19" s="3">
        <v>1</v>
      </c>
    </row>
    <row r="20" spans="3:4" hidden="1" x14ac:dyDescent="0.35"/>
    <row r="21" spans="3:4" hidden="1" x14ac:dyDescent="0.35"/>
    <row r="22" spans="3:4" hidden="1" x14ac:dyDescent="0.35"/>
    <row r="23" spans="3:4" ht="15.75" hidden="1" customHeight="1" x14ac:dyDescent="0.35"/>
    <row r="24" spans="3:4" hidden="1" x14ac:dyDescent="0.35">
      <c r="C24" s="5" t="s">
        <v>0</v>
      </c>
      <c r="D24" s="5" t="s">
        <v>5</v>
      </c>
    </row>
    <row r="25" spans="3:4" hidden="1" x14ac:dyDescent="0.35">
      <c r="C25" s="2" t="s">
        <v>1</v>
      </c>
      <c r="D25" s="3">
        <v>1</v>
      </c>
    </row>
    <row r="26" spans="3:4" hidden="1" x14ac:dyDescent="0.35">
      <c r="C26" s="2" t="s">
        <v>1</v>
      </c>
      <c r="D26" s="3">
        <v>1</v>
      </c>
    </row>
    <row r="27" spans="3:4" hidden="1" x14ac:dyDescent="0.35">
      <c r="C27" s="2" t="s">
        <v>2</v>
      </c>
      <c r="D27" s="3">
        <v>1</v>
      </c>
    </row>
    <row r="28" spans="3:4" hidden="1" x14ac:dyDescent="0.35">
      <c r="C28" s="2" t="s">
        <v>3</v>
      </c>
      <c r="D28" s="3">
        <v>1</v>
      </c>
    </row>
    <row r="29" spans="3:4" hidden="1" x14ac:dyDescent="0.35">
      <c r="C29" s="2" t="s">
        <v>4</v>
      </c>
      <c r="D29" s="3">
        <v>1</v>
      </c>
    </row>
    <row r="30" spans="3:4" hidden="1" x14ac:dyDescent="0.35"/>
    <row r="31" spans="3:4" hidden="1" x14ac:dyDescent="0.35"/>
    <row r="33" spans="3:14" x14ac:dyDescent="0.35">
      <c r="C33" s="5" t="s">
        <v>0</v>
      </c>
      <c r="D33" s="44" t="s">
        <v>31</v>
      </c>
      <c r="E33" s="44" t="s">
        <v>32</v>
      </c>
      <c r="K33" s="65" t="s">
        <v>32</v>
      </c>
      <c r="L33" s="65"/>
      <c r="M33" s="65"/>
      <c r="N33" s="4">
        <f>+N10+E38</f>
        <v>584279131</v>
      </c>
    </row>
    <row r="34" spans="3:14" x14ac:dyDescent="0.35">
      <c r="C34" s="2" t="s">
        <v>1</v>
      </c>
      <c r="D34" s="42">
        <v>179828</v>
      </c>
      <c r="E34" s="43">
        <v>1618452</v>
      </c>
    </row>
    <row r="35" spans="3:14" x14ac:dyDescent="0.35">
      <c r="C35" s="2" t="s">
        <v>2</v>
      </c>
      <c r="D35" s="42">
        <v>179828</v>
      </c>
      <c r="E35" s="43">
        <v>1618452</v>
      </c>
      <c r="N35" s="4">
        <v>584279131</v>
      </c>
    </row>
    <row r="36" spans="3:14" x14ac:dyDescent="0.35">
      <c r="C36" s="2" t="s">
        <v>3</v>
      </c>
      <c r="D36" s="42">
        <v>179828</v>
      </c>
      <c r="E36" s="43">
        <v>1618452</v>
      </c>
    </row>
    <row r="37" spans="3:14" x14ac:dyDescent="0.35">
      <c r="C37" s="2" t="s">
        <v>4</v>
      </c>
      <c r="D37" s="42">
        <v>179828</v>
      </c>
      <c r="E37" s="43">
        <v>1618452</v>
      </c>
    </row>
    <row r="38" spans="3:14" x14ac:dyDescent="0.35">
      <c r="E38" s="46">
        <v>6473808</v>
      </c>
    </row>
  </sheetData>
  <mergeCells count="11">
    <mergeCell ref="J3:J4"/>
    <mergeCell ref="E3:E4"/>
    <mergeCell ref="F3:F4"/>
    <mergeCell ref="G3:G4"/>
    <mergeCell ref="H3:H4"/>
    <mergeCell ref="I3:I4"/>
    <mergeCell ref="K3:K4"/>
    <mergeCell ref="L3:L4"/>
    <mergeCell ref="M3:M4"/>
    <mergeCell ref="N3:N4"/>
    <mergeCell ref="K33:M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Vigilancia</vt:lpstr>
      <vt:lpstr>Alarmas</vt:lpstr>
      <vt:lpstr>Presupuesto Periodos</vt:lpstr>
      <vt:lpstr>Presupuesto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Vaca Fajardo</dc:creator>
  <cp:lastModifiedBy>Sandra Patricia Lizarazo Diaz</cp:lastModifiedBy>
  <dcterms:created xsi:type="dcterms:W3CDTF">2026-02-23T02:01:08Z</dcterms:created>
  <dcterms:modified xsi:type="dcterms:W3CDTF">2026-02-23T23:47:48Z</dcterms:modified>
</cp:coreProperties>
</file>