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HSJD\PROYECTOS\ADECUACIONES\EQUIPOS BIOMÉDICOS\Actas\"/>
    </mc:Choice>
  </mc:AlternateContent>
  <xr:revisionPtr revIDLastSave="0" documentId="8_{0FE3E13E-12E5-4057-BFE6-7CF8B8D95CE9}" xr6:coauthVersionLast="47" xr6:coauthVersionMax="47" xr10:uidLastSave="{00000000-0000-0000-0000-000000000000}"/>
  <bookViews>
    <workbookView xWindow="-120" yWindow="-120" windowWidth="20730" windowHeight="11040" xr2:uid="{E46C95F5-F08B-4C7C-A308-C52A82D7B565}"/>
  </bookViews>
  <sheets>
    <sheet name="ACTA FINAL" sheetId="1" r:id="rId1"/>
    <sheet name="RESUMEN" sheetId="2" r:id="rId2"/>
    <sheet name="APU NP" sheetId="3" r:id="rId3"/>
  </sheets>
  <externalReferences>
    <externalReference r:id="rId4"/>
    <externalReference r:id="rId5"/>
  </externalReferences>
  <definedNames>
    <definedName name="___1Sin_nombre" localSheetId="2">#REF!</definedName>
    <definedName name="___1Sin_nombre">#REF!</definedName>
    <definedName name="__1Sin_nombre" localSheetId="2">#REF!</definedName>
    <definedName name="__1Sin_nombre">#REF!</definedName>
    <definedName name="_1Sin_nombre" localSheetId="2">#REF!</definedName>
    <definedName name="_1Sin_nombre">#REF!</definedName>
    <definedName name="_C65580">#REF!</definedName>
    <definedName name="_Fill">#REF!</definedName>
    <definedName name="_xlnm._FilterDatabase" localSheetId="0" hidden="1">'ACTA FINAL'!$M$4:$Q$189</definedName>
    <definedName name="_MON1" localSheetId="2">#REF!</definedName>
    <definedName name="_MON1">#REF!</definedName>
    <definedName name="_MON2">#REF!</definedName>
    <definedName name="_Parse_Out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A">#REF!</definedName>
    <definedName name="A_impresión_IM">#REF!</definedName>
    <definedName name="ACAT22">#REF!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#REF!</definedName>
    <definedName name="ANDINO">#REF!</definedName>
    <definedName name="Angebotsdatum">#REF!</definedName>
    <definedName name="Angulo_de_platina__1_x1_x1_8">#REF!</definedName>
    <definedName name="ANTBNK">#REF!</definedName>
    <definedName name="apu">#REF!</definedName>
    <definedName name="APUS">#REF!</definedName>
    <definedName name="_xlnm.Print_Area" localSheetId="0">'ACTA FINAL'!$A$1:$N$195</definedName>
    <definedName name="_xlnm.Print_Area" localSheetId="2">'APU NP'!$A$1:$F$883</definedName>
    <definedName name="asddsad" localSheetId="2">#REF!</definedName>
    <definedName name="asddsad">#REF!</definedName>
    <definedName name="AUFTRAG" localSheetId="2">#REF!</definedName>
    <definedName name="AUFTRAG">#REF!</definedName>
    <definedName name="AUFTRAGTIT" localSheetId="2">#REF!</definedName>
    <definedName name="AUFTRAGTIT">#REF!</definedName>
    <definedName name="B">#REF!</definedName>
    <definedName name="BASE">#REF!</definedName>
    <definedName name="BASEDATOSMATERIALES">#REF!</definedName>
    <definedName name="bloquefin1">#REF!</definedName>
    <definedName name="bloquefin2">#REF!</definedName>
    <definedName name="BOLIVAR">#REF!</definedName>
    <definedName name="BOLIVAX">#REF!</definedName>
    <definedName name="BOLIVBC">#REF!</definedName>
    <definedName name="Breaker_Indus.Merlin_G.3x150A">#REF!</definedName>
    <definedName name="Brilladora">#REF!</definedName>
    <definedName name="BuiltIn_Print_Area">#REF!</definedName>
    <definedName name="BuiltIn_Print_Area___0___0">#REF!</definedName>
    <definedName name="BuiltIn_Print_Titles">#REF!</definedName>
    <definedName name="CANADA">#REF!</definedName>
    <definedName name="causa">#REF!</definedName>
    <definedName name="Cera_para_pisos">#REF!</definedName>
    <definedName name="CIF">#REF!</definedName>
    <definedName name="CIFUS">#REF!</definedName>
    <definedName name="Ciudades">#REF!</definedName>
    <definedName name="clase">#REF!</definedName>
    <definedName name="COCIF">#REF!</definedName>
    <definedName name="COCIF105">#REF!</definedName>
    <definedName name="COCIF106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igos">#REF!</definedName>
    <definedName name="Codos_PVC_3">#REF!</definedName>
    <definedName name="COGA101">#REF!</definedName>
    <definedName name="COGA102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0">#REF!</definedName>
    <definedName name="COGA11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19">#REF!</definedName>
    <definedName name="COGA229">#REF!</definedName>
    <definedName name="COGA261">#REF!</definedName>
    <definedName name="COGA29">#REF!</definedName>
    <definedName name="COGA3">#REF!</definedName>
    <definedName name="COGA61">#REF!</definedName>
    <definedName name="COGA71">#REF!</definedName>
    <definedName name="COGA72">#REF!</definedName>
    <definedName name="COGA81">#REF!</definedName>
    <definedName name="COGAS">#REF!</definedName>
    <definedName name="COL">#REF!</definedName>
    <definedName name="COLP">#REF!</definedName>
    <definedName name="COLUS">#REF!</definedName>
    <definedName name="COMPROBANTE_DE_PAGO">#REF!</definedName>
    <definedName name="CONDUIT">#REF!</definedName>
    <definedName name="CONTROL1">#REF!</definedName>
    <definedName name="CORDREN">#REF!</definedName>
    <definedName name="CORSUE">#REF!</definedName>
    <definedName name="COSBNK">#REF!</definedName>
    <definedName name="COSTES">#REF!</definedName>
    <definedName name="COSTMONEOR">#REF!</definedName>
    <definedName name="Costo">#REF!</definedName>
    <definedName name="costo1">#REF!</definedName>
    <definedName name="costo2">#REF!</definedName>
    <definedName name="COSTO3US">#REF!</definedName>
    <definedName name="COSTOSUS">#REF!</definedName>
    <definedName name="COSTOT">#REF!</definedName>
    <definedName name="COSTOT1">#REF!</definedName>
    <definedName name="COSTOTUS">#REF!</definedName>
    <definedName name="CPVC_SOLD">#REF!</definedName>
    <definedName name="credito_completa">#REF!</definedName>
    <definedName name="Ctd">#REF!</definedName>
    <definedName name="CuadroIntermedio">#REF!</definedName>
    <definedName name="CuadroIntermedio1">#REF!</definedName>
    <definedName name="ddjf">#REF!</definedName>
    <definedName name="Desc_F">#REF!</definedName>
    <definedName name="Desc_F_Acc">#REF!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M">#REF!</definedName>
    <definedName name="dolar">#REF!</definedName>
    <definedName name="dólar">#REF!</definedName>
    <definedName name="dolartyco">#REF!</definedName>
    <definedName name="DOLCAN">#REF!</definedName>
    <definedName name="DUCTO">#REF!</definedName>
    <definedName name="e">#REF!</definedName>
    <definedName name="EQUIPO">#REF!</definedName>
    <definedName name="EQUIPOTIT">#REF!</definedName>
    <definedName name="EVW">#REF!</definedName>
    <definedName name="Excel_BuiltIn_Print_Area_1_1">#REF!</definedName>
    <definedName name="Excel_BuiltIn_Print_Area_4_1_1">#REF!</definedName>
    <definedName name="Excel_BuiltIn_Print_Area_5_1">#REF!</definedName>
    <definedName name="FACN">#REF!</definedName>
    <definedName name="factor">#REF!</definedName>
    <definedName name="Factor_NAL">#REF!</definedName>
    <definedName name="Factor_Sonic">#REF!</definedName>
    <definedName name="FGHJGHGF">#REF!</definedName>
    <definedName name="fi">#REF!</definedName>
    <definedName name="Final">#REF!</definedName>
    <definedName name="FINANC">#REF!</definedName>
    <definedName name="Finequipo">#REF!</definedName>
    <definedName name="FinequipoPrecios">#REF!</definedName>
    <definedName name="FinEVW">#REF!</definedName>
    <definedName name="Finitems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rmato">#REF!</definedName>
    <definedName name="FRANCIA">#REF!</definedName>
    <definedName name="FRANCO">#REF!</definedName>
    <definedName name="FS">#REF!</definedName>
    <definedName name="G._Importación">#REF!</definedName>
    <definedName name="GENERAL">#REF!</definedName>
    <definedName name="GGGGGGGGGGGGGGGGGGG">#REF!</definedName>
    <definedName name="HOJACALCULO">#REF!</definedName>
    <definedName name="horat">#REF!</definedName>
    <definedName name="imagenaltavoces1">#REF!</definedName>
    <definedName name="imagenaltavoces2">#REF!</definedName>
    <definedName name="imagenaltavocesemp">#REF!</definedName>
    <definedName name="imagencam">#REF!</definedName>
    <definedName name="IMAGENDVR">#REF!</definedName>
    <definedName name="imagenfuentes">#REF!</definedName>
    <definedName name="imagenreceivers">#REF!</definedName>
    <definedName name="imagenreproductores">#REF!</definedName>
    <definedName name="imagensubwooferac">#REF!</definedName>
    <definedName name="IMP">#REF!</definedName>
    <definedName name="IMPOR">#REF!</definedName>
    <definedName name="inf">#REF!</definedName>
    <definedName name="informe">#REF!</definedName>
    <definedName name="Instalacion">#REF!</definedName>
    <definedName name="Instalación_TM_incluye15Breake">#REF!</definedName>
    <definedName name="Interruptor_de_presencia___WattStopper">#REF!</definedName>
    <definedName name="IVA">#REF!</definedName>
    <definedName name="JAMO2">#REF!</definedName>
    <definedName name="JAMOC">#REF!</definedName>
    <definedName name="JAMOL">#REF!</definedName>
    <definedName name="JAPON">#REF!</definedName>
    <definedName name="jjjjjjjjjjjjjjjjjjjjjjjjjjjjjjjjjjj">#REF!</definedName>
    <definedName name="KFOBUS">#REF!</definedName>
    <definedName name="LE">#REF!</definedName>
    <definedName name="LICITACION_PUBLICA">#REF!</definedName>
    <definedName name="listaaccaud">#REF!</definedName>
    <definedName name="listaaccesorioshai">#REF!</definedName>
    <definedName name="listaacop">#REF!</definedName>
    <definedName name="listaadicionalescamaras">#REF!</definedName>
    <definedName name="listaadseg">#REF!</definedName>
    <definedName name="listaaltavoces1">#REF!</definedName>
    <definedName name="listaaltavoces2">#REF!</definedName>
    <definedName name="listaaltavocesemp">#REF!</definedName>
    <definedName name="Listaasesores">#REF!</definedName>
    <definedName name="listabaterias">#REF!</definedName>
    <definedName name="listacableado">#REF!</definedName>
    <definedName name="listacajas">#REF!</definedName>
    <definedName name="listacamaras">#REF!</definedName>
    <definedName name="Listacerebros">#REF!</definedName>
    <definedName name="listacerseg">#REF!</definedName>
    <definedName name="listaconesc">#REF!</definedName>
    <definedName name="listaconmutai">#REF!</definedName>
    <definedName name="listacontrol4">#REF!</definedName>
    <definedName name="listadimmers">#REF!</definedName>
    <definedName name="listaDVR">#REF!</definedName>
    <definedName name="listafuentes">#REF!</definedName>
    <definedName name="listagabinetes">#REF!</definedName>
    <definedName name="listailumi">#REF!</definedName>
    <definedName name="listainfrarrojos">#REF!</definedName>
    <definedName name="listainterfaces">#REF!</definedName>
    <definedName name="listaintpre">#REF!</definedName>
    <definedName name="listakitauddis">#REF!</definedName>
    <definedName name="listamagneticos">#REF!</definedName>
    <definedName name="listaonoff">#REF!</definedName>
    <definedName name="listaplapot">#REF!</definedName>
    <definedName name="Listapromo">#REF!</definedName>
    <definedName name="listapulsador">#REF!</definedName>
    <definedName name="listareceivers">#REF!</definedName>
    <definedName name="listareles">#REF!</definedName>
    <definedName name="listareproductores">#REF!</definedName>
    <definedName name="listasensores">#REF!</definedName>
    <definedName name="listasisina">#REF!</definedName>
    <definedName name="listasubpas">#REF!</definedName>
    <definedName name="listasubwooferac">#REF!</definedName>
    <definedName name="listasuiches">#REF!</definedName>
    <definedName name="listasuichesvarios">#REF!</definedName>
    <definedName name="listatapasdeco">#REF!</definedName>
    <definedName name="listatecaud">#REF!</definedName>
    <definedName name="listatomamesa">#REF!</definedName>
    <definedName name="listatomas">#REF!</definedName>
    <definedName name="listatomasgfci">#REF!</definedName>
    <definedName name="listatomatelefono">#REF!</definedName>
    <definedName name="listatomatv">#REF!</definedName>
    <definedName name="listatransfor">#REF!</definedName>
    <definedName name="LosPrecios">#REF!</definedName>
    <definedName name="LosPreciosTit">#REF!</definedName>
    <definedName name="Makro1">#REF!</definedName>
    <definedName name="MARCOS">#REF!</definedName>
    <definedName name="margen">#REF!</definedName>
    <definedName name="Márgen">#REF!</definedName>
    <definedName name="margentyco">#REF!</definedName>
    <definedName name="MAT.CANT">#REF!</definedName>
    <definedName name="MLFB">#REF!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VENE">#REF!</definedName>
    <definedName name="MONYEN">#REF!</definedName>
    <definedName name="NACI">#REF!</definedName>
    <definedName name="NACIONAL">#REF!</definedName>
    <definedName name="nacionalizacion">#REF!</definedName>
    <definedName name="nacionalizaciontyco">#REF!</definedName>
    <definedName name="nombre">#REF!</definedName>
    <definedName name="novafort">#REF!</definedName>
    <definedName name="º">#REF!</definedName>
    <definedName name="Orden">#REF!</definedName>
    <definedName name="Otrosi">#REF!</definedName>
    <definedName name="PAIS1">#REF!</definedName>
    <definedName name="PAIS2">#REF!</definedName>
    <definedName name="PEDIDO">#REF!</definedName>
    <definedName name="Pegante_PVC">#REF!</definedName>
    <definedName name="PERU">#REF!</definedName>
    <definedName name="PESETA">#REF!</definedName>
    <definedName name="Placas_.9x.9_Azul_labrador">#REF!</definedName>
    <definedName name="POZOS">#REF!</definedName>
    <definedName name="PR">#REF!</definedName>
    <definedName name="PRES.AGRI">#REF!</definedName>
    <definedName name="PRESION">#REF!</definedName>
    <definedName name="PRIMERO">#REF!</definedName>
    <definedName name="PRINT_AREA">#REF!</definedName>
    <definedName name="PRINT_AREA_MI">#REF!</definedName>
    <definedName name="Print_Area1">#REF!</definedName>
    <definedName name="PRINT_TITLES">#REF!</definedName>
    <definedName name="PRINT_TITLES_MI">#REF!</definedName>
    <definedName name="PTA">#REF!</definedName>
    <definedName name="puer">#REF!</definedName>
    <definedName name="Pulidora">#REF!</definedName>
    <definedName name="QUIPO">#REF!</definedName>
    <definedName name="QUIPOTIT">#REF!</definedName>
    <definedName name="RangoSAP">#REF!</definedName>
    <definedName name="Red">#REF!</definedName>
    <definedName name="REDES">#REF!</definedName>
    <definedName name="S">#REF!</definedName>
    <definedName name="sanit">#REF!</definedName>
    <definedName name="SANITARIA">#REF!</definedName>
    <definedName name="SEGUNDO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2">#REF!</definedName>
    <definedName name="SHARED_FORMULA_21">#REF!</definedName>
    <definedName name="SHARED_FORMULA_3">#REF!</definedName>
    <definedName name="SHARED_FORMULA_4">#REF!</definedName>
    <definedName name="SHARED_FORMULA_5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OL">#REF!</definedName>
    <definedName name="SUCRE">#REF!</definedName>
    <definedName name="SUECIA">#REF!</definedName>
    <definedName name="TABLA1.2.2">#REF!</definedName>
    <definedName name="Tablero_trifásico_12_circuitos">#REF!</definedName>
    <definedName name="Tec_Adesivo">#REF!</definedName>
    <definedName name="TESA">#REF!</definedName>
    <definedName name="tipov">#REF!</definedName>
    <definedName name="TITLE">#REF!</definedName>
    <definedName name="Titulo">#REF!</definedName>
    <definedName name="Titulo2">#REF!</definedName>
    <definedName name="_xlnm.Print_Titles" localSheetId="0">'ACTA FINAL'!$4:$5</definedName>
    <definedName name="TODOEQUIPO" localSheetId="2">#REF!</definedName>
    <definedName name="TODOEQUIPO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SBNK">#REF!</definedName>
    <definedName name="trmc">#REF!</definedName>
    <definedName name="trmspk">#REF!</definedName>
    <definedName name="U_Z">#REF!</definedName>
    <definedName name="UNION_Z">#REF!</definedName>
    <definedName name="UNIT">#REF!</definedName>
    <definedName name="US">#REF!</definedName>
    <definedName name="UTIL">#REF!</definedName>
    <definedName name="utilidad">#REF!</definedName>
    <definedName name="Validez">#REF!</definedName>
    <definedName name="VENEZ">#REF!</definedName>
    <definedName name="vent">#REF!</definedName>
    <definedName name="vidri">#REF!</definedName>
    <definedName name="villa">#REF!</definedName>
    <definedName name="VSP">#REF!</definedName>
    <definedName name="wrn.items.">#REF!</definedName>
    <definedName name="wrn1.items">#REF!</definedName>
    <definedName name="YE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81" i="3" l="1"/>
  <c r="F879" i="3"/>
  <c r="F876" i="3"/>
  <c r="F875" i="3"/>
  <c r="F873" i="3"/>
  <c r="F869" i="3"/>
  <c r="F868" i="3"/>
  <c r="B865" i="3"/>
  <c r="B868" i="3" s="1"/>
  <c r="A865" i="3"/>
  <c r="F860" i="3"/>
  <c r="F857" i="3"/>
  <c r="F856" i="3"/>
  <c r="F854" i="3"/>
  <c r="F849" i="3"/>
  <c r="B849" i="3"/>
  <c r="B846" i="3"/>
  <c r="A846" i="3"/>
  <c r="F841" i="3"/>
  <c r="F838" i="3"/>
  <c r="F837" i="3"/>
  <c r="F835" i="3"/>
  <c r="F831" i="3"/>
  <c r="F830" i="3"/>
  <c r="F843" i="3" s="1"/>
  <c r="B830" i="3"/>
  <c r="B827" i="3"/>
  <c r="A827" i="3"/>
  <c r="F823" i="3"/>
  <c r="F820" i="3"/>
  <c r="F819" i="3"/>
  <c r="F817" i="3"/>
  <c r="F813" i="3"/>
  <c r="F812" i="3"/>
  <c r="F825" i="3" s="1"/>
  <c r="B809" i="3"/>
  <c r="B812" i="3" s="1"/>
  <c r="A809" i="3"/>
  <c r="F805" i="3"/>
  <c r="F802" i="3"/>
  <c r="F801" i="3"/>
  <c r="F799" i="3"/>
  <c r="F794" i="3"/>
  <c r="F795" i="3" s="1"/>
  <c r="F807" i="3" s="1"/>
  <c r="B791" i="3"/>
  <c r="B794" i="3" s="1"/>
  <c r="A791" i="3"/>
  <c r="F787" i="3"/>
  <c r="F784" i="3"/>
  <c r="F783" i="3"/>
  <c r="F781" i="3"/>
  <c r="F776" i="3"/>
  <c r="B776" i="3"/>
  <c r="B773" i="3"/>
  <c r="A773" i="3"/>
  <c r="F769" i="3"/>
  <c r="F766" i="3"/>
  <c r="F765" i="3"/>
  <c r="F763" i="3"/>
  <c r="F759" i="3"/>
  <c r="F758" i="3"/>
  <c r="F771" i="3" s="1"/>
  <c r="B758" i="3"/>
  <c r="B755" i="3"/>
  <c r="A755" i="3"/>
  <c r="F750" i="3"/>
  <c r="F747" i="3"/>
  <c r="F746" i="3"/>
  <c r="F741" i="3"/>
  <c r="F740" i="3"/>
  <c r="F752" i="3" s="1"/>
  <c r="B740" i="3"/>
  <c r="B737" i="3"/>
  <c r="A737" i="3"/>
  <c r="F732" i="3"/>
  <c r="F729" i="3"/>
  <c r="F728" i="3"/>
  <c r="F726" i="3"/>
  <c r="F722" i="3"/>
  <c r="F721" i="3"/>
  <c r="F734" i="3" s="1"/>
  <c r="B721" i="3"/>
  <c r="B718" i="3"/>
  <c r="A718" i="3"/>
  <c r="F715" i="3"/>
  <c r="F713" i="3"/>
  <c r="F710" i="3"/>
  <c r="F709" i="3"/>
  <c r="F707" i="3"/>
  <c r="F703" i="3"/>
  <c r="F702" i="3"/>
  <c r="B702" i="3"/>
  <c r="B699" i="3"/>
  <c r="A699" i="3"/>
  <c r="F694" i="3"/>
  <c r="F690" i="3"/>
  <c r="F691" i="3" s="1"/>
  <c r="F688" i="3"/>
  <c r="F683" i="3"/>
  <c r="F682" i="3"/>
  <c r="F696" i="3" s="1"/>
  <c r="B682" i="3"/>
  <c r="B679" i="3"/>
  <c r="A679" i="3"/>
  <c r="F675" i="3"/>
  <c r="F671" i="3"/>
  <c r="F672" i="3" s="1"/>
  <c r="F669" i="3"/>
  <c r="F665" i="3"/>
  <c r="F664" i="3"/>
  <c r="F677" i="3" s="1"/>
  <c r="B664" i="3"/>
  <c r="B661" i="3"/>
  <c r="A661" i="3"/>
  <c r="F656" i="3"/>
  <c r="F655" i="3"/>
  <c r="E648" i="3" s="1"/>
  <c r="F648" i="3" s="1"/>
  <c r="F650" i="3" s="1"/>
  <c r="F653" i="3"/>
  <c r="F652" i="3"/>
  <c r="F645" i="3"/>
  <c r="B645" i="3"/>
  <c r="B642" i="3"/>
  <c r="A642" i="3"/>
  <c r="F637" i="3"/>
  <c r="E630" i="3" s="1"/>
  <c r="F630" i="3" s="1"/>
  <c r="F632" i="3" s="1"/>
  <c r="F634" i="3"/>
  <c r="F635" i="3" s="1"/>
  <c r="F628" i="3"/>
  <c r="B624" i="3"/>
  <c r="A624" i="3"/>
  <c r="F619" i="3"/>
  <c r="F618" i="3"/>
  <c r="F616" i="3"/>
  <c r="F615" i="3"/>
  <c r="E610" i="3"/>
  <c r="F610" i="3" s="1"/>
  <c r="F613" i="3" s="1"/>
  <c r="F607" i="3"/>
  <c r="B604" i="3"/>
  <c r="A604" i="3"/>
  <c r="E598" i="3"/>
  <c r="F598" i="3" s="1"/>
  <c r="F595" i="3"/>
  <c r="F596" i="3" s="1"/>
  <c r="F589" i="3"/>
  <c r="F588" i="3"/>
  <c r="B585" i="3"/>
  <c r="A585" i="3"/>
  <c r="F581" i="3"/>
  <c r="F580" i="3"/>
  <c r="F577" i="3"/>
  <c r="F578" i="3" s="1"/>
  <c r="E572" i="3" s="1"/>
  <c r="F572" i="3" s="1"/>
  <c r="F575" i="3" s="1"/>
  <c r="F574" i="3"/>
  <c r="F573" i="3"/>
  <c r="F569" i="3"/>
  <c r="F568" i="3"/>
  <c r="F567" i="3"/>
  <c r="B564" i="3"/>
  <c r="A564" i="3"/>
  <c r="F560" i="3"/>
  <c r="F559" i="3"/>
  <c r="F556" i="3"/>
  <c r="F555" i="3"/>
  <c r="F557" i="3" s="1"/>
  <c r="F553" i="3"/>
  <c r="F552" i="3"/>
  <c r="F551" i="3"/>
  <c r="E551" i="3"/>
  <c r="F548" i="3"/>
  <c r="F547" i="3"/>
  <c r="B544" i="3"/>
  <c r="A544" i="3"/>
  <c r="F540" i="3"/>
  <c r="F539" i="3"/>
  <c r="F536" i="3"/>
  <c r="F535" i="3"/>
  <c r="F537" i="3" s="1"/>
  <c r="F532" i="3"/>
  <c r="E531" i="3"/>
  <c r="F531" i="3" s="1"/>
  <c r="F533" i="3" s="1"/>
  <c r="F528" i="3"/>
  <c r="F527" i="3"/>
  <c r="F526" i="3"/>
  <c r="F525" i="3"/>
  <c r="F529" i="3" s="1"/>
  <c r="B522" i="3"/>
  <c r="A522" i="3"/>
  <c r="F518" i="3"/>
  <c r="F517" i="3"/>
  <c r="F514" i="3"/>
  <c r="F513" i="3"/>
  <c r="F515" i="3" s="1"/>
  <c r="F511" i="3"/>
  <c r="F510" i="3"/>
  <c r="F509" i="3"/>
  <c r="E509" i="3"/>
  <c r="F506" i="3"/>
  <c r="F505" i="3"/>
  <c r="F504" i="3"/>
  <c r="F503" i="3"/>
  <c r="B500" i="3"/>
  <c r="A500" i="3"/>
  <c r="F496" i="3"/>
  <c r="F495" i="3"/>
  <c r="F493" i="3"/>
  <c r="F492" i="3"/>
  <c r="F491" i="3"/>
  <c r="F488" i="3"/>
  <c r="F487" i="3"/>
  <c r="F489" i="3" s="1"/>
  <c r="E487" i="3"/>
  <c r="F484" i="3"/>
  <c r="F483" i="3"/>
  <c r="F482" i="3"/>
  <c r="F481" i="3"/>
  <c r="F485" i="3" s="1"/>
  <c r="B478" i="3"/>
  <c r="A478" i="3"/>
  <c r="F473" i="3"/>
  <c r="E465" i="3" s="1"/>
  <c r="F465" i="3" s="1"/>
  <c r="F468" i="3" s="1"/>
  <c r="F470" i="3"/>
  <c r="F471" i="3" s="1"/>
  <c r="F463" i="3"/>
  <c r="F462" i="3"/>
  <c r="B459" i="3"/>
  <c r="A459" i="3"/>
  <c r="F453" i="3"/>
  <c r="F454" i="3" s="1"/>
  <c r="F451" i="3"/>
  <c r="E445" i="3" s="1"/>
  <c r="F445" i="3" s="1"/>
  <c r="F450" i="3"/>
  <c r="F447" i="3"/>
  <c r="F446" i="3"/>
  <c r="F443" i="3"/>
  <c r="F442" i="3"/>
  <c r="F441" i="3"/>
  <c r="F440" i="3"/>
  <c r="B437" i="3"/>
  <c r="A437" i="3"/>
  <c r="F432" i="3"/>
  <c r="F433" i="3" s="1"/>
  <c r="F429" i="3"/>
  <c r="F428" i="3"/>
  <c r="F427" i="3"/>
  <c r="F430" i="3" s="1"/>
  <c r="F422" i="3"/>
  <c r="F421" i="3"/>
  <c r="F420" i="3"/>
  <c r="F419" i="3"/>
  <c r="B416" i="3"/>
  <c r="A416" i="3"/>
  <c r="F411" i="3"/>
  <c r="F412" i="3" s="1"/>
  <c r="F409" i="3"/>
  <c r="F408" i="3"/>
  <c r="F407" i="3"/>
  <c r="F404" i="3"/>
  <c r="F403" i="3"/>
  <c r="D403" i="3"/>
  <c r="F402" i="3"/>
  <c r="D402" i="3"/>
  <c r="F401" i="3"/>
  <c r="D401" i="3"/>
  <c r="F400" i="3"/>
  <c r="F405" i="3" s="1"/>
  <c r="D400" i="3"/>
  <c r="F399" i="3"/>
  <c r="D399" i="3"/>
  <c r="F398" i="3"/>
  <c r="F397" i="3"/>
  <c r="F394" i="3"/>
  <c r="F393" i="3"/>
  <c r="F392" i="3"/>
  <c r="F391" i="3"/>
  <c r="F390" i="3"/>
  <c r="F389" i="3"/>
  <c r="F388" i="3"/>
  <c r="F387" i="3"/>
  <c r="F395" i="3" s="1"/>
  <c r="B384" i="3"/>
  <c r="A384" i="3"/>
  <c r="F380" i="3"/>
  <c r="F379" i="3"/>
  <c r="F377" i="3"/>
  <c r="F376" i="3"/>
  <c r="F375" i="3"/>
  <c r="F371" i="3"/>
  <c r="F373" i="3" s="1"/>
  <c r="E371" i="3"/>
  <c r="F368" i="3"/>
  <c r="F367" i="3"/>
  <c r="F366" i="3"/>
  <c r="F365" i="3"/>
  <c r="F364" i="3"/>
  <c r="F363" i="3"/>
  <c r="B360" i="3"/>
  <c r="A360" i="3"/>
  <c r="F356" i="3"/>
  <c r="F355" i="3"/>
  <c r="F353" i="3"/>
  <c r="F349" i="3"/>
  <c r="F350" i="3" s="1"/>
  <c r="E349" i="3"/>
  <c r="F347" i="3"/>
  <c r="F346" i="3"/>
  <c r="F345" i="3"/>
  <c r="F344" i="3"/>
  <c r="F358" i="3" s="1"/>
  <c r="B341" i="3"/>
  <c r="A341" i="3"/>
  <c r="F336" i="3"/>
  <c r="E330" i="3" s="1"/>
  <c r="F330" i="3" s="1"/>
  <c r="F331" i="3" s="1"/>
  <c r="F334" i="3"/>
  <c r="F327" i="3"/>
  <c r="F326" i="3"/>
  <c r="F325" i="3"/>
  <c r="F328" i="3" s="1"/>
  <c r="B322" i="3"/>
  <c r="A322" i="3"/>
  <c r="F318" i="3"/>
  <c r="F317" i="3"/>
  <c r="F315" i="3"/>
  <c r="F311" i="3"/>
  <c r="F312" i="3" s="1"/>
  <c r="E311" i="3"/>
  <c r="F309" i="3"/>
  <c r="F307" i="3"/>
  <c r="B304" i="3"/>
  <c r="A304" i="3"/>
  <c r="F299" i="3"/>
  <c r="E292" i="3" s="1"/>
  <c r="F292" i="3" s="1"/>
  <c r="F296" i="3"/>
  <c r="F295" i="3"/>
  <c r="F297" i="3" s="1"/>
  <c r="F290" i="3"/>
  <c r="F289" i="3"/>
  <c r="B286" i="3"/>
  <c r="A286" i="3"/>
  <c r="F280" i="3"/>
  <c r="F281" i="3" s="1"/>
  <c r="F279" i="3"/>
  <c r="F277" i="3"/>
  <c r="F276" i="3"/>
  <c r="F272" i="3"/>
  <c r="F271" i="3"/>
  <c r="F270" i="3"/>
  <c r="F269" i="3"/>
  <c r="F268" i="3"/>
  <c r="F267" i="3"/>
  <c r="F266" i="3"/>
  <c r="F265" i="3"/>
  <c r="F274" i="3" s="1"/>
  <c r="F262" i="3"/>
  <c r="F261" i="3"/>
  <c r="F260" i="3"/>
  <c r="F259" i="3"/>
  <c r="F258" i="3"/>
  <c r="F257" i="3"/>
  <c r="F256" i="3"/>
  <c r="F255" i="3"/>
  <c r="F254" i="3"/>
  <c r="F283" i="3" s="1"/>
  <c r="F253" i="3"/>
  <c r="F252" i="3"/>
  <c r="F263" i="3" s="1"/>
  <c r="B249" i="3"/>
  <c r="A249" i="3"/>
  <c r="E244" i="3"/>
  <c r="F244" i="3" s="1"/>
  <c r="F245" i="3" s="1"/>
  <c r="F241" i="3"/>
  <c r="F242" i="3" s="1"/>
  <c r="F239" i="3"/>
  <c r="F232" i="3"/>
  <c r="F247" i="3" s="1"/>
  <c r="B228" i="3"/>
  <c r="A228" i="3"/>
  <c r="F223" i="3"/>
  <c r="F222" i="3"/>
  <c r="F220" i="3"/>
  <c r="F217" i="3"/>
  <c r="F214" i="3"/>
  <c r="F225" i="3" s="1"/>
  <c r="B210" i="3"/>
  <c r="A210" i="3"/>
  <c r="E204" i="3"/>
  <c r="F204" i="3" s="1"/>
  <c r="F205" i="3" s="1"/>
  <c r="F202" i="3"/>
  <c r="F199" i="3"/>
  <c r="F196" i="3"/>
  <c r="B192" i="3"/>
  <c r="A192" i="3"/>
  <c r="F186" i="3"/>
  <c r="F187" i="3" s="1"/>
  <c r="F183" i="3"/>
  <c r="F184" i="3" s="1"/>
  <c r="F180" i="3"/>
  <c r="E179" i="3"/>
  <c r="F179" i="3" s="1"/>
  <c r="F181" i="3" s="1"/>
  <c r="F176" i="3"/>
  <c r="F177" i="3" s="1"/>
  <c r="B173" i="3"/>
  <c r="A173" i="3"/>
  <c r="F169" i="3"/>
  <c r="F168" i="3"/>
  <c r="F166" i="3"/>
  <c r="F165" i="3"/>
  <c r="E162" i="3"/>
  <c r="F162" i="3" s="1"/>
  <c r="B157" i="3"/>
  <c r="A157" i="3"/>
  <c r="F153" i="3"/>
  <c r="F152" i="3"/>
  <c r="F150" i="3"/>
  <c r="F149" i="3"/>
  <c r="F147" i="3"/>
  <c r="F143" i="3"/>
  <c r="F144" i="3" s="1"/>
  <c r="B140" i="3"/>
  <c r="A140" i="3"/>
  <c r="F135" i="3"/>
  <c r="F134" i="3"/>
  <c r="F132" i="3"/>
  <c r="F129" i="3"/>
  <c r="F126" i="3"/>
  <c r="F137" i="3" s="1"/>
  <c r="B122" i="3"/>
  <c r="A122" i="3"/>
  <c r="F117" i="3"/>
  <c r="F119" i="3" s="1"/>
  <c r="F116" i="3"/>
  <c r="B107" i="3"/>
  <c r="A107" i="3"/>
  <c r="F101" i="3"/>
  <c r="E96" i="3" s="1"/>
  <c r="F96" i="3" s="1"/>
  <c r="B91" i="3"/>
  <c r="A91" i="3"/>
  <c r="F87" i="3"/>
  <c r="F88" i="3" s="1"/>
  <c r="E87" i="3"/>
  <c r="F85" i="3"/>
  <c r="F84" i="3"/>
  <c r="E80" i="3"/>
  <c r="F80" i="3" s="1"/>
  <c r="F78" i="3"/>
  <c r="B74" i="3"/>
  <c r="A74" i="3"/>
  <c r="F69" i="3"/>
  <c r="E62" i="3" s="1"/>
  <c r="F62" i="3" s="1"/>
  <c r="F64" i="3" s="1"/>
  <c r="E69" i="3"/>
  <c r="F67" i="3"/>
  <c r="F66" i="3"/>
  <c r="F61" i="3"/>
  <c r="F59" i="3"/>
  <c r="B55" i="3"/>
  <c r="A55" i="3"/>
  <c r="E50" i="3"/>
  <c r="F50" i="3" s="1"/>
  <c r="F47" i="3"/>
  <c r="F48" i="3" s="1"/>
  <c r="F42" i="3"/>
  <c r="F40" i="3"/>
  <c r="B36" i="3"/>
  <c r="A36" i="3"/>
  <c r="F31" i="3"/>
  <c r="F32" i="3" s="1"/>
  <c r="F28" i="3"/>
  <c r="F29" i="3" s="1"/>
  <c r="F24" i="3"/>
  <c r="F23" i="3"/>
  <c r="F22" i="3"/>
  <c r="F21" i="3"/>
  <c r="F20" i="3"/>
  <c r="F19" i="3"/>
  <c r="F18" i="3"/>
  <c r="F17" i="3"/>
  <c r="F26" i="3" s="1"/>
  <c r="F14" i="3"/>
  <c r="F13" i="3"/>
  <c r="F12" i="3"/>
  <c r="F11" i="3"/>
  <c r="F10" i="3"/>
  <c r="F9" i="3"/>
  <c r="F8" i="3"/>
  <c r="F7" i="3"/>
  <c r="F6" i="3"/>
  <c r="F5" i="3"/>
  <c r="B2" i="3"/>
  <c r="A2" i="3"/>
  <c r="F82" i="3" l="1"/>
  <c r="F90" i="3"/>
  <c r="F621" i="3"/>
  <c r="F207" i="3"/>
  <c r="F640" i="3"/>
  <c r="F51" i="3"/>
  <c r="E43" i="3"/>
  <c r="F43" i="3" s="1"/>
  <c r="F45" i="3" s="1"/>
  <c r="F189" i="3"/>
  <c r="F414" i="3"/>
  <c r="F448" i="3"/>
  <c r="F456" i="3" s="1"/>
  <c r="F789" i="3"/>
  <c r="F862" i="3"/>
  <c r="F163" i="3"/>
  <c r="F171" i="3"/>
  <c r="F320" i="3"/>
  <c r="F97" i="3"/>
  <c r="F498" i="3"/>
  <c r="E591" i="3"/>
  <c r="F591" i="3" s="1"/>
  <c r="F599" i="3"/>
  <c r="F476" i="3"/>
  <c r="F102" i="3"/>
  <c r="F104" i="3" s="1"/>
  <c r="F155" i="3"/>
  <c r="E424" i="3"/>
  <c r="F424" i="3" s="1"/>
  <c r="F542" i="3"/>
  <c r="F608" i="3"/>
  <c r="F646" i="3"/>
  <c r="F658" i="3" s="1"/>
  <c r="F777" i="3"/>
  <c r="F850" i="3"/>
  <c r="F369" i="3"/>
  <c r="F382" i="3" s="1"/>
  <c r="F300" i="3"/>
  <c r="F302" i="3" s="1"/>
  <c r="F337" i="3"/>
  <c r="F339" i="3" s="1"/>
  <c r="F638" i="3"/>
  <c r="F70" i="3"/>
  <c r="F72" i="3" s="1"/>
  <c r="F474" i="3"/>
  <c r="F15" i="3"/>
  <c r="F34" i="3" s="1"/>
  <c r="F507" i="3"/>
  <c r="F520" i="3" s="1"/>
  <c r="F549" i="3"/>
  <c r="F562" i="3" s="1"/>
  <c r="F570" i="3"/>
  <c r="F583" i="3" s="1"/>
  <c r="F425" i="3" l="1"/>
  <c r="F435" i="3"/>
  <c r="F53" i="3"/>
  <c r="F593" i="3"/>
  <c r="F601" i="3" s="1"/>
  <c r="P92" i="1" l="1"/>
  <c r="N45" i="1"/>
  <c r="F56" i="1"/>
  <c r="O136" i="1"/>
  <c r="O118" i="1"/>
  <c r="O117" i="1"/>
  <c r="M185" i="1" l="1"/>
  <c r="L185" i="1"/>
  <c r="M184" i="1"/>
  <c r="P184" i="1" s="1"/>
  <c r="Q184" i="1" s="1"/>
  <c r="L184" i="1"/>
  <c r="M183" i="1"/>
  <c r="L183" i="1"/>
  <c r="M182" i="1"/>
  <c r="P182" i="1" s="1"/>
  <c r="Q182" i="1" s="1"/>
  <c r="L182" i="1"/>
  <c r="M181" i="1"/>
  <c r="L181" i="1"/>
  <c r="M180" i="1"/>
  <c r="P180" i="1" s="1"/>
  <c r="Q180" i="1" s="1"/>
  <c r="L180" i="1"/>
  <c r="M179" i="1"/>
  <c r="L179" i="1"/>
  <c r="M178" i="1"/>
  <c r="L178" i="1"/>
  <c r="M177" i="1"/>
  <c r="L177" i="1"/>
  <c r="M176" i="1"/>
  <c r="L176" i="1"/>
  <c r="M175" i="1"/>
  <c r="L175" i="1"/>
  <c r="M174" i="1"/>
  <c r="P174" i="1" s="1"/>
  <c r="Q174" i="1" s="1"/>
  <c r="L174" i="1"/>
  <c r="K173" i="1"/>
  <c r="M172" i="1"/>
  <c r="L172" i="1"/>
  <c r="M171" i="1"/>
  <c r="L171" i="1"/>
  <c r="K170" i="1"/>
  <c r="L170" i="1" s="1"/>
  <c r="M169" i="1"/>
  <c r="L169" i="1"/>
  <c r="M168" i="1"/>
  <c r="P168" i="1" s="1"/>
  <c r="Q168" i="1" s="1"/>
  <c r="L168" i="1"/>
  <c r="M167" i="1"/>
  <c r="L167" i="1"/>
  <c r="M166" i="1"/>
  <c r="P166" i="1" s="1"/>
  <c r="Q166" i="1" s="1"/>
  <c r="L166" i="1"/>
  <c r="M165" i="1"/>
  <c r="L165" i="1"/>
  <c r="M164" i="1"/>
  <c r="P164" i="1" s="1"/>
  <c r="Q164" i="1" s="1"/>
  <c r="L164" i="1"/>
  <c r="M163" i="1"/>
  <c r="L163" i="1"/>
  <c r="M162" i="1"/>
  <c r="L162" i="1"/>
  <c r="M161" i="1"/>
  <c r="L161" i="1"/>
  <c r="M160" i="1"/>
  <c r="L160" i="1"/>
  <c r="M159" i="1"/>
  <c r="L159" i="1"/>
  <c r="K158" i="1"/>
  <c r="L158" i="1" s="1"/>
  <c r="M157" i="1"/>
  <c r="P157" i="1" s="1"/>
  <c r="Q157" i="1" s="1"/>
  <c r="L157" i="1"/>
  <c r="M156" i="1"/>
  <c r="P156" i="1" s="1"/>
  <c r="Q156" i="1" s="1"/>
  <c r="L156" i="1"/>
  <c r="M155" i="1"/>
  <c r="P155" i="1" s="1"/>
  <c r="Q155" i="1" s="1"/>
  <c r="L155" i="1"/>
  <c r="M154" i="1"/>
  <c r="P154" i="1" s="1"/>
  <c r="Q154" i="1" s="1"/>
  <c r="L154" i="1"/>
  <c r="M153" i="1"/>
  <c r="P153" i="1" s="1"/>
  <c r="Q153" i="1" s="1"/>
  <c r="L153" i="1"/>
  <c r="M152" i="1"/>
  <c r="P152" i="1" s="1"/>
  <c r="Q152" i="1" s="1"/>
  <c r="L152" i="1"/>
  <c r="K151" i="1"/>
  <c r="L151" i="1" s="1"/>
  <c r="K150" i="1"/>
  <c r="M150" i="1" s="1"/>
  <c r="M149" i="1"/>
  <c r="P149" i="1" s="1"/>
  <c r="Q149" i="1" s="1"/>
  <c r="L149" i="1"/>
  <c r="M148" i="1"/>
  <c r="L148" i="1"/>
  <c r="M147" i="1"/>
  <c r="P147" i="1" s="1"/>
  <c r="Q147" i="1" s="1"/>
  <c r="L147" i="1"/>
  <c r="M146" i="1"/>
  <c r="L146" i="1"/>
  <c r="M145" i="1"/>
  <c r="L145" i="1"/>
  <c r="M144" i="1"/>
  <c r="L144" i="1"/>
  <c r="M143" i="1"/>
  <c r="L143" i="1"/>
  <c r="M142" i="1"/>
  <c r="L142" i="1"/>
  <c r="L140" i="1"/>
  <c r="I140" i="1"/>
  <c r="J140" i="1" s="1"/>
  <c r="H140" i="1"/>
  <c r="F140" i="1"/>
  <c r="F139" i="1" s="1"/>
  <c r="M138" i="1"/>
  <c r="L138" i="1"/>
  <c r="J138" i="1"/>
  <c r="H138" i="1"/>
  <c r="F138" i="1"/>
  <c r="F137" i="1" s="1"/>
  <c r="M135" i="1"/>
  <c r="L135" i="1"/>
  <c r="J135" i="1"/>
  <c r="H135" i="1"/>
  <c r="F135" i="1"/>
  <c r="F134" i="1" s="1"/>
  <c r="M133" i="1"/>
  <c r="L133" i="1"/>
  <c r="J133" i="1"/>
  <c r="H133" i="1"/>
  <c r="F133" i="1"/>
  <c r="M132" i="1"/>
  <c r="L132" i="1"/>
  <c r="J132" i="1"/>
  <c r="H132" i="1"/>
  <c r="F132" i="1"/>
  <c r="M131" i="1"/>
  <c r="L131" i="1"/>
  <c r="J131" i="1"/>
  <c r="H131" i="1"/>
  <c r="F131" i="1"/>
  <c r="L130" i="1"/>
  <c r="I130" i="1"/>
  <c r="M130" i="1" s="1"/>
  <c r="P130" i="1" s="1"/>
  <c r="Q130" i="1" s="1"/>
  <c r="H130" i="1"/>
  <c r="F130" i="1"/>
  <c r="M128" i="1"/>
  <c r="L128" i="1"/>
  <c r="J128" i="1"/>
  <c r="H128" i="1"/>
  <c r="F128" i="1"/>
  <c r="M127" i="1"/>
  <c r="P127" i="1" s="1"/>
  <c r="Q127" i="1" s="1"/>
  <c r="L127" i="1"/>
  <c r="J127" i="1"/>
  <c r="H127" i="1"/>
  <c r="F127" i="1"/>
  <c r="M125" i="1"/>
  <c r="L125" i="1"/>
  <c r="J125" i="1"/>
  <c r="H125" i="1"/>
  <c r="F125" i="1"/>
  <c r="M124" i="1"/>
  <c r="L124" i="1"/>
  <c r="J124" i="1"/>
  <c r="H124" i="1"/>
  <c r="F124" i="1"/>
  <c r="M123" i="1"/>
  <c r="L123" i="1"/>
  <c r="J123" i="1"/>
  <c r="H123" i="1"/>
  <c r="F123" i="1"/>
  <c r="M122" i="1"/>
  <c r="P122" i="1" s="1"/>
  <c r="Q122" i="1" s="1"/>
  <c r="L122" i="1"/>
  <c r="J122" i="1"/>
  <c r="H122" i="1"/>
  <c r="F122" i="1"/>
  <c r="M120" i="1"/>
  <c r="L120" i="1"/>
  <c r="J120" i="1"/>
  <c r="H120" i="1"/>
  <c r="F120" i="1"/>
  <c r="F119" i="1" s="1"/>
  <c r="M116" i="1"/>
  <c r="L116" i="1"/>
  <c r="J116" i="1"/>
  <c r="H116" i="1"/>
  <c r="F116" i="1"/>
  <c r="M115" i="1"/>
  <c r="L115" i="1"/>
  <c r="J115" i="1"/>
  <c r="H115" i="1"/>
  <c r="F115" i="1"/>
  <c r="M114" i="1"/>
  <c r="P114" i="1" s="1"/>
  <c r="Q114" i="1" s="1"/>
  <c r="L114" i="1"/>
  <c r="J114" i="1"/>
  <c r="H114" i="1"/>
  <c r="F114" i="1"/>
  <c r="M113" i="1"/>
  <c r="L113" i="1"/>
  <c r="J113" i="1"/>
  <c r="H113" i="1"/>
  <c r="F113" i="1"/>
  <c r="M110" i="1"/>
  <c r="L110" i="1"/>
  <c r="J110" i="1"/>
  <c r="H110" i="1"/>
  <c r="F110" i="1"/>
  <c r="L109" i="1"/>
  <c r="I109" i="1"/>
  <c r="J109" i="1" s="1"/>
  <c r="H109" i="1"/>
  <c r="F109" i="1"/>
  <c r="M107" i="1"/>
  <c r="L107" i="1"/>
  <c r="J107" i="1"/>
  <c r="H107" i="1"/>
  <c r="F107" i="1"/>
  <c r="M106" i="1"/>
  <c r="L106" i="1"/>
  <c r="J106" i="1"/>
  <c r="H106" i="1"/>
  <c r="F106" i="1"/>
  <c r="M104" i="1"/>
  <c r="L104" i="1"/>
  <c r="J104" i="1"/>
  <c r="H104" i="1"/>
  <c r="F104" i="1"/>
  <c r="F103" i="1" s="1"/>
  <c r="M102" i="1"/>
  <c r="L102" i="1"/>
  <c r="J102" i="1"/>
  <c r="H102" i="1"/>
  <c r="F102" i="1"/>
  <c r="M101" i="1"/>
  <c r="L101" i="1"/>
  <c r="J101" i="1"/>
  <c r="H101" i="1"/>
  <c r="F101" i="1"/>
  <c r="M99" i="1"/>
  <c r="L99" i="1"/>
  <c r="J99" i="1"/>
  <c r="H99" i="1"/>
  <c r="E99" i="1"/>
  <c r="F99" i="1" s="1"/>
  <c r="M98" i="1"/>
  <c r="P98" i="1" s="1"/>
  <c r="Q98" i="1" s="1"/>
  <c r="L98" i="1"/>
  <c r="J98" i="1"/>
  <c r="H98" i="1"/>
  <c r="F98" i="1"/>
  <c r="M95" i="1"/>
  <c r="P95" i="1" s="1"/>
  <c r="Q95" i="1" s="1"/>
  <c r="L95" i="1"/>
  <c r="J95" i="1"/>
  <c r="H95" i="1"/>
  <c r="F95" i="1"/>
  <c r="M94" i="1"/>
  <c r="L94" i="1"/>
  <c r="J94" i="1"/>
  <c r="H94" i="1"/>
  <c r="F94" i="1"/>
  <c r="M93" i="1"/>
  <c r="N93" i="1" s="1"/>
  <c r="L93" i="1"/>
  <c r="J93" i="1"/>
  <c r="H93" i="1"/>
  <c r="F93" i="1"/>
  <c r="M92" i="1"/>
  <c r="Q92" i="1" s="1"/>
  <c r="L92" i="1"/>
  <c r="J92" i="1"/>
  <c r="H92" i="1"/>
  <c r="F92" i="1"/>
  <c r="M91" i="1"/>
  <c r="P91" i="1" s="1"/>
  <c r="Q91" i="1" s="1"/>
  <c r="L91" i="1"/>
  <c r="J91" i="1"/>
  <c r="H91" i="1"/>
  <c r="F91" i="1"/>
  <c r="M90" i="1"/>
  <c r="L90" i="1"/>
  <c r="J90" i="1"/>
  <c r="H90" i="1"/>
  <c r="F90" i="1"/>
  <c r="M89" i="1"/>
  <c r="N89" i="1" s="1"/>
  <c r="L89" i="1"/>
  <c r="J89" i="1"/>
  <c r="H89" i="1"/>
  <c r="F89" i="1"/>
  <c r="M88" i="1"/>
  <c r="L88" i="1"/>
  <c r="J88" i="1"/>
  <c r="H88" i="1"/>
  <c r="F88" i="1"/>
  <c r="M87" i="1"/>
  <c r="P87" i="1" s="1"/>
  <c r="Q87" i="1" s="1"/>
  <c r="L87" i="1"/>
  <c r="J87" i="1"/>
  <c r="H87" i="1"/>
  <c r="F87" i="1"/>
  <c r="M86" i="1"/>
  <c r="L86" i="1"/>
  <c r="J86" i="1"/>
  <c r="H86" i="1"/>
  <c r="F86" i="1"/>
  <c r="M85" i="1"/>
  <c r="L85" i="1"/>
  <c r="J85" i="1"/>
  <c r="H85" i="1"/>
  <c r="F85" i="1"/>
  <c r="M84" i="1"/>
  <c r="L84" i="1"/>
  <c r="J84" i="1"/>
  <c r="H84" i="1"/>
  <c r="F84" i="1"/>
  <c r="M83" i="1"/>
  <c r="P83" i="1" s="1"/>
  <c r="Q83" i="1" s="1"/>
  <c r="L83" i="1"/>
  <c r="J83" i="1"/>
  <c r="H83" i="1"/>
  <c r="F83" i="1"/>
  <c r="M82" i="1"/>
  <c r="L82" i="1"/>
  <c r="J82" i="1"/>
  <c r="H82" i="1"/>
  <c r="F82" i="1"/>
  <c r="M81" i="1"/>
  <c r="L81" i="1"/>
  <c r="J81" i="1"/>
  <c r="H81" i="1"/>
  <c r="F81" i="1"/>
  <c r="M80" i="1"/>
  <c r="L80" i="1"/>
  <c r="J80" i="1"/>
  <c r="H80" i="1"/>
  <c r="F80" i="1"/>
  <c r="M78" i="1"/>
  <c r="P78" i="1" s="1"/>
  <c r="Q78" i="1" s="1"/>
  <c r="L78" i="1"/>
  <c r="J78" i="1"/>
  <c r="H78" i="1"/>
  <c r="F78" i="1"/>
  <c r="M77" i="1"/>
  <c r="L77" i="1"/>
  <c r="J77" i="1"/>
  <c r="H77" i="1"/>
  <c r="F77" i="1"/>
  <c r="M76" i="1"/>
  <c r="L76" i="1"/>
  <c r="J76" i="1"/>
  <c r="H76" i="1"/>
  <c r="F76" i="1"/>
  <c r="M75" i="1"/>
  <c r="L75" i="1"/>
  <c r="J75" i="1"/>
  <c r="H75" i="1"/>
  <c r="F75" i="1"/>
  <c r="M74" i="1"/>
  <c r="P74" i="1" s="1"/>
  <c r="Q74" i="1" s="1"/>
  <c r="L74" i="1"/>
  <c r="J74" i="1"/>
  <c r="H74" i="1"/>
  <c r="F74" i="1"/>
  <c r="M73" i="1"/>
  <c r="L73" i="1"/>
  <c r="J73" i="1"/>
  <c r="H73" i="1"/>
  <c r="F73" i="1"/>
  <c r="M72" i="1"/>
  <c r="L72" i="1"/>
  <c r="J72" i="1"/>
  <c r="H72" i="1"/>
  <c r="F72" i="1"/>
  <c r="M71" i="1"/>
  <c r="L71" i="1"/>
  <c r="J71" i="1"/>
  <c r="H71" i="1"/>
  <c r="F71" i="1"/>
  <c r="M70" i="1"/>
  <c r="P70" i="1" s="1"/>
  <c r="Q70" i="1" s="1"/>
  <c r="L70" i="1"/>
  <c r="J70" i="1"/>
  <c r="H70" i="1"/>
  <c r="F70" i="1"/>
  <c r="M69" i="1"/>
  <c r="L69" i="1"/>
  <c r="J69" i="1"/>
  <c r="H69" i="1"/>
  <c r="F69" i="1"/>
  <c r="M68" i="1"/>
  <c r="L68" i="1"/>
  <c r="J68" i="1"/>
  <c r="H68" i="1"/>
  <c r="F68" i="1"/>
  <c r="M66" i="1"/>
  <c r="L66" i="1"/>
  <c r="J66" i="1"/>
  <c r="H66" i="1"/>
  <c r="F66" i="1"/>
  <c r="M65" i="1"/>
  <c r="P65" i="1" s="1"/>
  <c r="Q65" i="1" s="1"/>
  <c r="L65" i="1"/>
  <c r="J65" i="1"/>
  <c r="H65" i="1"/>
  <c r="F65" i="1"/>
  <c r="M64" i="1"/>
  <c r="L64" i="1"/>
  <c r="J64" i="1"/>
  <c r="H64" i="1"/>
  <c r="F64" i="1"/>
  <c r="M63" i="1"/>
  <c r="N63" i="1" s="1"/>
  <c r="L63" i="1"/>
  <c r="J63" i="1"/>
  <c r="H63" i="1"/>
  <c r="F63" i="1"/>
  <c r="M62" i="1"/>
  <c r="P62" i="1" s="1"/>
  <c r="Q62" i="1" s="1"/>
  <c r="L62" i="1"/>
  <c r="J62" i="1"/>
  <c r="H62" i="1"/>
  <c r="F62" i="1"/>
  <c r="M61" i="1"/>
  <c r="P61" i="1" s="1"/>
  <c r="Q61" i="1" s="1"/>
  <c r="L61" i="1"/>
  <c r="J61" i="1"/>
  <c r="H61" i="1"/>
  <c r="F61" i="1"/>
  <c r="M60" i="1"/>
  <c r="L60" i="1"/>
  <c r="J60" i="1"/>
  <c r="H60" i="1"/>
  <c r="F60" i="1"/>
  <c r="M59" i="1"/>
  <c r="N59" i="1" s="1"/>
  <c r="L59" i="1"/>
  <c r="J59" i="1"/>
  <c r="H59" i="1"/>
  <c r="F59" i="1"/>
  <c r="M58" i="1"/>
  <c r="P58" i="1" s="1"/>
  <c r="Q58" i="1" s="1"/>
  <c r="L58" i="1"/>
  <c r="J58" i="1"/>
  <c r="H58" i="1"/>
  <c r="F58" i="1"/>
  <c r="M57" i="1"/>
  <c r="P57" i="1" s="1"/>
  <c r="Q57" i="1" s="1"/>
  <c r="L57" i="1"/>
  <c r="J57" i="1"/>
  <c r="H57" i="1"/>
  <c r="F57" i="1"/>
  <c r="M56" i="1"/>
  <c r="L56" i="1"/>
  <c r="J56" i="1"/>
  <c r="H56" i="1"/>
  <c r="M55" i="1"/>
  <c r="L55" i="1"/>
  <c r="J55" i="1"/>
  <c r="H55" i="1"/>
  <c r="F55" i="1"/>
  <c r="M54" i="1"/>
  <c r="N54" i="1" s="1"/>
  <c r="L54" i="1"/>
  <c r="J54" i="1"/>
  <c r="H54" i="1"/>
  <c r="F54" i="1"/>
  <c r="M53" i="1"/>
  <c r="P53" i="1" s="1"/>
  <c r="Q53" i="1" s="1"/>
  <c r="L53" i="1"/>
  <c r="J53" i="1"/>
  <c r="H53" i="1"/>
  <c r="F53" i="1"/>
  <c r="M52" i="1"/>
  <c r="L52" i="1"/>
  <c r="J52" i="1"/>
  <c r="H52" i="1"/>
  <c r="F52" i="1"/>
  <c r="M50" i="1"/>
  <c r="L50" i="1"/>
  <c r="J50" i="1"/>
  <c r="H50" i="1"/>
  <c r="F50" i="1"/>
  <c r="M49" i="1"/>
  <c r="L49" i="1"/>
  <c r="J49" i="1"/>
  <c r="H49" i="1"/>
  <c r="F49" i="1"/>
  <c r="M48" i="1"/>
  <c r="P48" i="1" s="1"/>
  <c r="Q48" i="1" s="1"/>
  <c r="L48" i="1"/>
  <c r="J48" i="1"/>
  <c r="H48" i="1"/>
  <c r="F48" i="1"/>
  <c r="M46" i="1"/>
  <c r="L46" i="1"/>
  <c r="J46" i="1"/>
  <c r="H46" i="1"/>
  <c r="F46" i="1"/>
  <c r="M45" i="1"/>
  <c r="L45" i="1"/>
  <c r="J45" i="1"/>
  <c r="H45" i="1"/>
  <c r="F45" i="1"/>
  <c r="M44" i="1"/>
  <c r="L44" i="1"/>
  <c r="J44" i="1"/>
  <c r="H44" i="1"/>
  <c r="F44" i="1"/>
  <c r="M43" i="1"/>
  <c r="P43" i="1" s="1"/>
  <c r="Q43" i="1" s="1"/>
  <c r="L43" i="1"/>
  <c r="J43" i="1"/>
  <c r="H43" i="1"/>
  <c r="F43" i="1"/>
  <c r="M41" i="1"/>
  <c r="L41" i="1"/>
  <c r="J41" i="1"/>
  <c r="H41" i="1"/>
  <c r="F41" i="1"/>
  <c r="M40" i="1"/>
  <c r="L40" i="1"/>
  <c r="J40" i="1"/>
  <c r="H40" i="1"/>
  <c r="F40" i="1"/>
  <c r="M38" i="1"/>
  <c r="L38" i="1"/>
  <c r="J38" i="1"/>
  <c r="H38" i="1"/>
  <c r="F38" i="1"/>
  <c r="L37" i="1"/>
  <c r="I37" i="1"/>
  <c r="M37" i="1" s="1"/>
  <c r="P37" i="1" s="1"/>
  <c r="Q37" i="1" s="1"/>
  <c r="H37" i="1"/>
  <c r="F37" i="1"/>
  <c r="M36" i="1"/>
  <c r="L36" i="1"/>
  <c r="J36" i="1"/>
  <c r="H36" i="1"/>
  <c r="F36" i="1"/>
  <c r="M35" i="1"/>
  <c r="L35" i="1"/>
  <c r="J35" i="1"/>
  <c r="H35" i="1"/>
  <c r="F35" i="1"/>
  <c r="M34" i="1"/>
  <c r="P34" i="1" s="1"/>
  <c r="Q34" i="1" s="1"/>
  <c r="L34" i="1"/>
  <c r="J34" i="1"/>
  <c r="H34" i="1"/>
  <c r="F34" i="1"/>
  <c r="M33" i="1"/>
  <c r="L33" i="1"/>
  <c r="J33" i="1"/>
  <c r="H33" i="1"/>
  <c r="F33" i="1"/>
  <c r="M32" i="1"/>
  <c r="L32" i="1"/>
  <c r="J32" i="1"/>
  <c r="H32" i="1"/>
  <c r="F32" i="1"/>
  <c r="M31" i="1"/>
  <c r="L31" i="1"/>
  <c r="J31" i="1"/>
  <c r="H31" i="1"/>
  <c r="F31" i="1"/>
  <c r="M30" i="1"/>
  <c r="L30" i="1"/>
  <c r="J30" i="1"/>
  <c r="H30" i="1"/>
  <c r="F30" i="1"/>
  <c r="L28" i="1"/>
  <c r="I28" i="1"/>
  <c r="M28" i="1" s="1"/>
  <c r="H28" i="1"/>
  <c r="F28" i="1"/>
  <c r="L27" i="1"/>
  <c r="I27" i="1"/>
  <c r="M27" i="1" s="1"/>
  <c r="P27" i="1" s="1"/>
  <c r="Q27" i="1" s="1"/>
  <c r="H27" i="1"/>
  <c r="F27" i="1"/>
  <c r="M26" i="1"/>
  <c r="L26" i="1"/>
  <c r="J26" i="1"/>
  <c r="H26" i="1"/>
  <c r="F26" i="1"/>
  <c r="M25" i="1"/>
  <c r="L25" i="1"/>
  <c r="J25" i="1"/>
  <c r="H25" i="1"/>
  <c r="F25" i="1"/>
  <c r="M24" i="1"/>
  <c r="N24" i="1" s="1"/>
  <c r="L24" i="1"/>
  <c r="J24" i="1"/>
  <c r="H24" i="1"/>
  <c r="F24" i="1"/>
  <c r="M23" i="1"/>
  <c r="P23" i="1" s="1"/>
  <c r="Q23" i="1" s="1"/>
  <c r="L23" i="1"/>
  <c r="J23" i="1"/>
  <c r="H23" i="1"/>
  <c r="F23" i="1"/>
  <c r="M22" i="1"/>
  <c r="L22" i="1"/>
  <c r="J22" i="1"/>
  <c r="H22" i="1"/>
  <c r="F22" i="1"/>
  <c r="M21" i="1"/>
  <c r="L21" i="1"/>
  <c r="J21" i="1"/>
  <c r="H21" i="1"/>
  <c r="F21" i="1"/>
  <c r="M20" i="1"/>
  <c r="L20" i="1"/>
  <c r="J20" i="1"/>
  <c r="H20" i="1"/>
  <c r="F20" i="1"/>
  <c r="M19" i="1"/>
  <c r="P19" i="1" s="1"/>
  <c r="Q19" i="1" s="1"/>
  <c r="L19" i="1"/>
  <c r="J19" i="1"/>
  <c r="H19" i="1"/>
  <c r="F19" i="1"/>
  <c r="M18" i="1"/>
  <c r="L18" i="1"/>
  <c r="J18" i="1"/>
  <c r="H18" i="1"/>
  <c r="F18" i="1"/>
  <c r="M17" i="1"/>
  <c r="L17" i="1"/>
  <c r="J17" i="1"/>
  <c r="H17" i="1"/>
  <c r="F17" i="1"/>
  <c r="M16" i="1"/>
  <c r="L16" i="1"/>
  <c r="J16" i="1"/>
  <c r="H16" i="1"/>
  <c r="F16" i="1"/>
  <c r="M15" i="1"/>
  <c r="L15" i="1"/>
  <c r="J15" i="1"/>
  <c r="H15" i="1"/>
  <c r="F15" i="1"/>
  <c r="M14" i="1"/>
  <c r="L14" i="1"/>
  <c r="J14" i="1"/>
  <c r="H14" i="1"/>
  <c r="F14" i="1"/>
  <c r="M13" i="1"/>
  <c r="L13" i="1"/>
  <c r="J13" i="1"/>
  <c r="H13" i="1"/>
  <c r="F13" i="1"/>
  <c r="M11" i="1"/>
  <c r="L11" i="1"/>
  <c r="J11" i="1"/>
  <c r="H11" i="1"/>
  <c r="F11" i="1"/>
  <c r="M10" i="1"/>
  <c r="L10" i="1"/>
  <c r="J10" i="1"/>
  <c r="H10" i="1"/>
  <c r="F10" i="1"/>
  <c r="M9" i="1"/>
  <c r="L9" i="1"/>
  <c r="J9" i="1"/>
  <c r="H9" i="1"/>
  <c r="F9" i="1"/>
  <c r="M8" i="1"/>
  <c r="L8" i="1"/>
  <c r="J8" i="1"/>
  <c r="H8" i="1"/>
  <c r="F8" i="1"/>
  <c r="B2" i="2" l="1"/>
  <c r="O54" i="1"/>
  <c r="O59" i="1"/>
  <c r="O93" i="1"/>
  <c r="O24" i="1"/>
  <c r="O63" i="1"/>
  <c r="O89" i="1"/>
  <c r="N53" i="1"/>
  <c r="O53" i="1" s="1"/>
  <c r="F100" i="1"/>
  <c r="N23" i="1"/>
  <c r="O23" i="1" s="1"/>
  <c r="N92" i="1"/>
  <c r="O92" i="1" s="1"/>
  <c r="N154" i="1"/>
  <c r="O154" i="1" s="1"/>
  <c r="M170" i="1"/>
  <c r="P170" i="1" s="1"/>
  <c r="Q170" i="1" s="1"/>
  <c r="N95" i="1"/>
  <c r="O95" i="1" s="1"/>
  <c r="J130" i="1"/>
  <c r="N184" i="1"/>
  <c r="O184" i="1" s="1"/>
  <c r="N166" i="1"/>
  <c r="O166" i="1" s="1"/>
  <c r="N174" i="1"/>
  <c r="O174" i="1" s="1"/>
  <c r="F39" i="1"/>
  <c r="N58" i="1"/>
  <c r="O58" i="1" s="1"/>
  <c r="N91" i="1"/>
  <c r="O91" i="1" s="1"/>
  <c r="F126" i="1"/>
  <c r="N157" i="1"/>
  <c r="O157" i="1" s="1"/>
  <c r="F12" i="1"/>
  <c r="N65" i="1"/>
  <c r="O65" i="1" s="1"/>
  <c r="N87" i="1"/>
  <c r="O87" i="1" s="1"/>
  <c r="N98" i="1"/>
  <c r="O98" i="1" s="1"/>
  <c r="F105" i="1"/>
  <c r="N48" i="1"/>
  <c r="O48" i="1" s="1"/>
  <c r="N34" i="1"/>
  <c r="O34" i="1" s="1"/>
  <c r="J37" i="1"/>
  <c r="N156" i="1"/>
  <c r="O156" i="1" s="1"/>
  <c r="N37" i="1"/>
  <c r="O37" i="1" s="1"/>
  <c r="F42" i="1"/>
  <c r="N74" i="1"/>
  <c r="O74" i="1" s="1"/>
  <c r="N78" i="1"/>
  <c r="O78" i="1" s="1"/>
  <c r="N122" i="1"/>
  <c r="O122" i="1" s="1"/>
  <c r="N149" i="1"/>
  <c r="O149" i="1" s="1"/>
  <c r="N152" i="1"/>
  <c r="O152" i="1" s="1"/>
  <c r="N180" i="1"/>
  <c r="O180" i="1" s="1"/>
  <c r="N9" i="1"/>
  <c r="O9" i="1" s="1"/>
  <c r="P9" i="1"/>
  <c r="Q9" i="1" s="1"/>
  <c r="P14" i="1"/>
  <c r="Q14" i="1" s="1"/>
  <c r="P35" i="1"/>
  <c r="Q35" i="1" s="1"/>
  <c r="P40" i="1"/>
  <c r="Q40" i="1" s="1"/>
  <c r="P88" i="1"/>
  <c r="Q88" i="1" s="1"/>
  <c r="N102" i="1"/>
  <c r="O102" i="1" s="1"/>
  <c r="P102" i="1"/>
  <c r="Q102" i="1" s="1"/>
  <c r="N128" i="1"/>
  <c r="O128" i="1" s="1"/>
  <c r="P128" i="1"/>
  <c r="Q128" i="1" s="1"/>
  <c r="Q126" i="1" s="1"/>
  <c r="N143" i="1"/>
  <c r="O143" i="1" s="1"/>
  <c r="P143" i="1"/>
  <c r="Q143" i="1" s="1"/>
  <c r="N148" i="1"/>
  <c r="O148" i="1" s="1"/>
  <c r="P148" i="1"/>
  <c r="Q148" i="1" s="1"/>
  <c r="N183" i="1"/>
  <c r="O183" i="1" s="1"/>
  <c r="P183" i="1"/>
  <c r="Q183" i="1" s="1"/>
  <c r="P18" i="1"/>
  <c r="Q18" i="1" s="1"/>
  <c r="N25" i="1"/>
  <c r="O25" i="1" s="1"/>
  <c r="P25" i="1"/>
  <c r="Q25" i="1" s="1"/>
  <c r="N26" i="1"/>
  <c r="O26" i="1" s="1"/>
  <c r="P26" i="1"/>
  <c r="Q26" i="1" s="1"/>
  <c r="N33" i="1"/>
  <c r="O33" i="1" s="1"/>
  <c r="P33" i="1"/>
  <c r="Q33" i="1" s="1"/>
  <c r="N52" i="1"/>
  <c r="O52" i="1" s="1"/>
  <c r="P52" i="1"/>
  <c r="Q52" i="1" s="1"/>
  <c r="N57" i="1"/>
  <c r="O57" i="1" s="1"/>
  <c r="N62" i="1"/>
  <c r="O62" i="1" s="1"/>
  <c r="N73" i="1"/>
  <c r="O73" i="1" s="1"/>
  <c r="P73" i="1"/>
  <c r="Q73" i="1" s="1"/>
  <c r="N77" i="1"/>
  <c r="O77" i="1" s="1"/>
  <c r="P77" i="1"/>
  <c r="Q77" i="1" s="1"/>
  <c r="N88" i="1"/>
  <c r="O88" i="1" s="1"/>
  <c r="P99" i="1"/>
  <c r="Q99" i="1" s="1"/>
  <c r="Q97" i="1" s="1"/>
  <c r="N113" i="1"/>
  <c r="O113" i="1" s="1"/>
  <c r="P113" i="1"/>
  <c r="Q113" i="1" s="1"/>
  <c r="N114" i="1"/>
  <c r="O114" i="1" s="1"/>
  <c r="P124" i="1"/>
  <c r="Q124" i="1" s="1"/>
  <c r="N127" i="1"/>
  <c r="O127" i="1" s="1"/>
  <c r="F129" i="1"/>
  <c r="P132" i="1"/>
  <c r="Q132" i="1" s="1"/>
  <c r="M140" i="1"/>
  <c r="N146" i="1"/>
  <c r="O146" i="1" s="1"/>
  <c r="P146" i="1"/>
  <c r="Q146" i="1" s="1"/>
  <c r="M151" i="1"/>
  <c r="N159" i="1"/>
  <c r="O159" i="1" s="1"/>
  <c r="P159" i="1"/>
  <c r="Q159" i="1" s="1"/>
  <c r="N164" i="1"/>
  <c r="O164" i="1" s="1"/>
  <c r="N176" i="1"/>
  <c r="O176" i="1" s="1"/>
  <c r="P176" i="1"/>
  <c r="Q176" i="1" s="1"/>
  <c r="N181" i="1"/>
  <c r="O181" i="1" s="1"/>
  <c r="P181" i="1"/>
  <c r="Q181" i="1" s="1"/>
  <c r="P16" i="1"/>
  <c r="Q16" i="1" s="1"/>
  <c r="P30" i="1"/>
  <c r="Q30" i="1" s="1"/>
  <c r="N19" i="1"/>
  <c r="O19" i="1" s="1"/>
  <c r="P63" i="1"/>
  <c r="Q63" i="1" s="1"/>
  <c r="N8" i="1"/>
  <c r="P8" i="1"/>
  <c r="Q8" i="1" s="1"/>
  <c r="P24" i="1"/>
  <c r="Q24" i="1" s="1"/>
  <c r="F29" i="1"/>
  <c r="P32" i="1"/>
  <c r="Q32" i="1" s="1"/>
  <c r="N46" i="1"/>
  <c r="O46" i="1" s="1"/>
  <c r="P46" i="1"/>
  <c r="Q46" i="1" s="1"/>
  <c r="P50" i="1"/>
  <c r="Q50" i="1" s="1"/>
  <c r="N56" i="1"/>
  <c r="O56" i="1" s="1"/>
  <c r="P56" i="1"/>
  <c r="Q56" i="1" s="1"/>
  <c r="P59" i="1"/>
  <c r="Q59" i="1" s="1"/>
  <c r="N60" i="1"/>
  <c r="O60" i="1" s="1"/>
  <c r="P60" i="1"/>
  <c r="Q60" i="1" s="1"/>
  <c r="N61" i="1"/>
  <c r="O61" i="1" s="1"/>
  <c r="N69" i="1"/>
  <c r="O69" i="1" s="1"/>
  <c r="P69" i="1"/>
  <c r="Q69" i="1" s="1"/>
  <c r="N70" i="1"/>
  <c r="O70" i="1" s="1"/>
  <c r="N80" i="1"/>
  <c r="O80" i="1" s="1"/>
  <c r="P80" i="1"/>
  <c r="Q80" i="1" s="1"/>
  <c r="N99" i="1"/>
  <c r="O99" i="1" s="1"/>
  <c r="N101" i="1"/>
  <c r="O101" i="1" s="1"/>
  <c r="P101" i="1"/>
  <c r="Q101" i="1" s="1"/>
  <c r="P106" i="1"/>
  <c r="Q106" i="1" s="1"/>
  <c r="N107" i="1"/>
  <c r="O107" i="1" s="1"/>
  <c r="P107" i="1"/>
  <c r="Q107" i="1" s="1"/>
  <c r="N120" i="1"/>
  <c r="P120" i="1"/>
  <c r="Q120" i="1" s="1"/>
  <c r="Q119" i="1" s="1"/>
  <c r="N132" i="1"/>
  <c r="O132" i="1" s="1"/>
  <c r="N153" i="1"/>
  <c r="O153" i="1" s="1"/>
  <c r="N155" i="1"/>
  <c r="O155" i="1" s="1"/>
  <c r="N162" i="1"/>
  <c r="O162" i="1" s="1"/>
  <c r="P162" i="1"/>
  <c r="Q162" i="1" s="1"/>
  <c r="N169" i="1"/>
  <c r="O169" i="1" s="1"/>
  <c r="P169" i="1"/>
  <c r="Q169" i="1" s="1"/>
  <c r="N171" i="1"/>
  <c r="O171" i="1" s="1"/>
  <c r="P171" i="1"/>
  <c r="Q171" i="1" s="1"/>
  <c r="N179" i="1"/>
  <c r="O179" i="1" s="1"/>
  <c r="P179" i="1"/>
  <c r="Q179" i="1" s="1"/>
  <c r="N17" i="1"/>
  <c r="P17" i="1"/>
  <c r="Q17" i="1" s="1"/>
  <c r="N28" i="1"/>
  <c r="O28" i="1" s="1"/>
  <c r="P28" i="1"/>
  <c r="Q28" i="1" s="1"/>
  <c r="F7" i="1"/>
  <c r="P11" i="1"/>
  <c r="Q11" i="1" s="1"/>
  <c r="N13" i="1"/>
  <c r="O13" i="1" s="1"/>
  <c r="P13" i="1"/>
  <c r="Q13" i="1" s="1"/>
  <c r="P38" i="1"/>
  <c r="Q38" i="1" s="1"/>
  <c r="F47" i="1"/>
  <c r="N49" i="1"/>
  <c r="O49" i="1" s="1"/>
  <c r="P49" i="1"/>
  <c r="Q49" i="1" s="1"/>
  <c r="F51" i="1"/>
  <c r="F108" i="1"/>
  <c r="F121" i="1"/>
  <c r="N123" i="1"/>
  <c r="O123" i="1" s="1"/>
  <c r="P123" i="1"/>
  <c r="Q123" i="1" s="1"/>
  <c r="N144" i="1"/>
  <c r="O144" i="1" s="1"/>
  <c r="P144" i="1"/>
  <c r="Q144" i="1" s="1"/>
  <c r="N167" i="1"/>
  <c r="O167" i="1" s="1"/>
  <c r="P167" i="1"/>
  <c r="Q167" i="1" s="1"/>
  <c r="P31" i="1"/>
  <c r="Q31" i="1" s="1"/>
  <c r="P45" i="1"/>
  <c r="Q45" i="1" s="1"/>
  <c r="P55" i="1"/>
  <c r="Q55" i="1" s="1"/>
  <c r="P68" i="1"/>
  <c r="Q68" i="1" s="1"/>
  <c r="P72" i="1"/>
  <c r="Q72" i="1" s="1"/>
  <c r="P76" i="1"/>
  <c r="Q76" i="1" s="1"/>
  <c r="F79" i="1"/>
  <c r="N86" i="1"/>
  <c r="O86" i="1" s="1"/>
  <c r="P86" i="1"/>
  <c r="Q86" i="1" s="1"/>
  <c r="P110" i="1"/>
  <c r="Q110" i="1" s="1"/>
  <c r="P116" i="1"/>
  <c r="Q116" i="1" s="1"/>
  <c r="N131" i="1"/>
  <c r="O131" i="1" s="1"/>
  <c r="P131" i="1"/>
  <c r="Q131" i="1" s="1"/>
  <c r="N138" i="1"/>
  <c r="P138" i="1"/>
  <c r="Q138" i="1" s="1"/>
  <c r="Q137" i="1" s="1"/>
  <c r="N160" i="1"/>
  <c r="O160" i="1" s="1"/>
  <c r="P160" i="1"/>
  <c r="Q160" i="1" s="1"/>
  <c r="N165" i="1"/>
  <c r="O165" i="1" s="1"/>
  <c r="P165" i="1"/>
  <c r="Q165" i="1" s="1"/>
  <c r="N177" i="1"/>
  <c r="O177" i="1" s="1"/>
  <c r="P177" i="1"/>
  <c r="Q177" i="1" s="1"/>
  <c r="P10" i="1"/>
  <c r="Q10" i="1" s="1"/>
  <c r="N21" i="1"/>
  <c r="O21" i="1" s="1"/>
  <c r="P21" i="1"/>
  <c r="Q21" i="1" s="1"/>
  <c r="P36" i="1"/>
  <c r="Q36" i="1" s="1"/>
  <c r="N41" i="1"/>
  <c r="O41" i="1" s="1"/>
  <c r="P41" i="1"/>
  <c r="Q41" i="1" s="1"/>
  <c r="P54" i="1"/>
  <c r="Q54" i="1" s="1"/>
  <c r="N55" i="1"/>
  <c r="O55" i="1" s="1"/>
  <c r="N82" i="1"/>
  <c r="O82" i="1" s="1"/>
  <c r="P82" i="1"/>
  <c r="Q82" i="1" s="1"/>
  <c r="P85" i="1"/>
  <c r="Q85" i="1" s="1"/>
  <c r="N90" i="1"/>
  <c r="O90" i="1" s="1"/>
  <c r="P90" i="1"/>
  <c r="Q90" i="1" s="1"/>
  <c r="P93" i="1"/>
  <c r="Q93" i="1" s="1"/>
  <c r="N94" i="1"/>
  <c r="O94" i="1" s="1"/>
  <c r="P94" i="1"/>
  <c r="Q94" i="1" s="1"/>
  <c r="F97" i="1"/>
  <c r="P104" i="1"/>
  <c r="Q104" i="1" s="1"/>
  <c r="Q103" i="1" s="1"/>
  <c r="F112" i="1"/>
  <c r="N116" i="1"/>
  <c r="O116" i="1" s="1"/>
  <c r="P135" i="1"/>
  <c r="Q135" i="1" s="1"/>
  <c r="Q134" i="1" s="1"/>
  <c r="N142" i="1"/>
  <c r="P142" i="1"/>
  <c r="Q142" i="1" s="1"/>
  <c r="N147" i="1"/>
  <c r="O147" i="1" s="1"/>
  <c r="M158" i="1"/>
  <c r="N163" i="1"/>
  <c r="O163" i="1" s="1"/>
  <c r="P163" i="1"/>
  <c r="Q163" i="1" s="1"/>
  <c r="N172" i="1"/>
  <c r="O172" i="1" s="1"/>
  <c r="P172" i="1"/>
  <c r="Q172" i="1" s="1"/>
  <c r="N182" i="1"/>
  <c r="O182" i="1" s="1"/>
  <c r="P20" i="1"/>
  <c r="Q20" i="1" s="1"/>
  <c r="N44" i="1"/>
  <c r="O44" i="1" s="1"/>
  <c r="P44" i="1"/>
  <c r="Q44" i="1" s="1"/>
  <c r="N66" i="1"/>
  <c r="O66" i="1" s="1"/>
  <c r="P66" i="1"/>
  <c r="Q66" i="1" s="1"/>
  <c r="N84" i="1"/>
  <c r="O84" i="1" s="1"/>
  <c r="P84" i="1"/>
  <c r="Q84" i="1" s="1"/>
  <c r="P115" i="1"/>
  <c r="Q115" i="1" s="1"/>
  <c r="N145" i="1"/>
  <c r="O145" i="1" s="1"/>
  <c r="P145" i="1"/>
  <c r="Q145" i="1" s="1"/>
  <c r="N150" i="1"/>
  <c r="O150" i="1" s="1"/>
  <c r="P150" i="1"/>
  <c r="Q150" i="1" s="1"/>
  <c r="N175" i="1"/>
  <c r="O175" i="1" s="1"/>
  <c r="P175" i="1"/>
  <c r="Q175" i="1" s="1"/>
  <c r="N22" i="1"/>
  <c r="O22" i="1" s="1"/>
  <c r="P22" i="1"/>
  <c r="Q22" i="1" s="1"/>
  <c r="N15" i="1"/>
  <c r="O15" i="1" s="1"/>
  <c r="P15" i="1"/>
  <c r="Q15" i="1" s="1"/>
  <c r="N20" i="1"/>
  <c r="O20" i="1" s="1"/>
  <c r="N30" i="1"/>
  <c r="O30" i="1" s="1"/>
  <c r="N43" i="1"/>
  <c r="O43" i="1" s="1"/>
  <c r="N64" i="1"/>
  <c r="O64" i="1" s="1"/>
  <c r="P64" i="1"/>
  <c r="Q64" i="1" s="1"/>
  <c r="F67" i="1"/>
  <c r="P71" i="1"/>
  <c r="Q71" i="1" s="1"/>
  <c r="P75" i="1"/>
  <c r="Q75" i="1" s="1"/>
  <c r="P81" i="1"/>
  <c r="Q81" i="1" s="1"/>
  <c r="N83" i="1"/>
  <c r="O83" i="1" s="1"/>
  <c r="P89" i="1"/>
  <c r="Q89" i="1" s="1"/>
  <c r="M109" i="1"/>
  <c r="N115" i="1"/>
  <c r="O115" i="1" s="1"/>
  <c r="N125" i="1"/>
  <c r="O125" i="1" s="1"/>
  <c r="P125" i="1"/>
  <c r="Q125" i="1" s="1"/>
  <c r="N133" i="1"/>
  <c r="O133" i="1" s="1"/>
  <c r="P133" i="1"/>
  <c r="Q133" i="1" s="1"/>
  <c r="N161" i="1"/>
  <c r="O161" i="1" s="1"/>
  <c r="P161" i="1"/>
  <c r="Q161" i="1" s="1"/>
  <c r="N168" i="1"/>
  <c r="O168" i="1" s="1"/>
  <c r="N178" i="1"/>
  <c r="O178" i="1" s="1"/>
  <c r="P178" i="1"/>
  <c r="Q178" i="1" s="1"/>
  <c r="N185" i="1"/>
  <c r="O185" i="1" s="1"/>
  <c r="P185" i="1"/>
  <c r="Q185" i="1" s="1"/>
  <c r="N27" i="1"/>
  <c r="O27" i="1" s="1"/>
  <c r="N130" i="1"/>
  <c r="O130" i="1" s="1"/>
  <c r="N31" i="1"/>
  <c r="O31" i="1" s="1"/>
  <c r="N32" i="1"/>
  <c r="O32" i="1" s="1"/>
  <c r="N68" i="1"/>
  <c r="O68" i="1" s="1"/>
  <c r="N10" i="1"/>
  <c r="N11" i="1"/>
  <c r="O11" i="1" s="1"/>
  <c r="O45" i="1"/>
  <c r="N81" i="1"/>
  <c r="O81" i="1" s="1"/>
  <c r="N104" i="1"/>
  <c r="N103" i="1" s="1"/>
  <c r="O103" i="1" s="1"/>
  <c r="N106" i="1"/>
  <c r="O106" i="1" s="1"/>
  <c r="N124" i="1"/>
  <c r="O124" i="1" s="1"/>
  <c r="L150" i="1"/>
  <c r="H186" i="1"/>
  <c r="N14" i="1"/>
  <c r="O14" i="1" s="1"/>
  <c r="J27" i="1"/>
  <c r="N36" i="1"/>
  <c r="O36" i="1" s="1"/>
  <c r="N71" i="1"/>
  <c r="O71" i="1" s="1"/>
  <c r="N110" i="1"/>
  <c r="O110" i="1" s="1"/>
  <c r="N35" i="1"/>
  <c r="O35" i="1" s="1"/>
  <c r="N72" i="1"/>
  <c r="O72" i="1" s="1"/>
  <c r="N16" i="1"/>
  <c r="O16" i="1" s="1"/>
  <c r="J28" i="1"/>
  <c r="N50" i="1"/>
  <c r="O50" i="1" s="1"/>
  <c r="N85" i="1"/>
  <c r="O85" i="1" s="1"/>
  <c r="N18" i="1"/>
  <c r="O18" i="1" s="1"/>
  <c r="N38" i="1"/>
  <c r="O38" i="1" s="1"/>
  <c r="N40" i="1"/>
  <c r="N75" i="1"/>
  <c r="O75" i="1" s="1"/>
  <c r="N76" i="1"/>
  <c r="O76" i="1" s="1"/>
  <c r="M173" i="1"/>
  <c r="L173" i="1"/>
  <c r="N135" i="1"/>
  <c r="B3" i="2" l="1"/>
  <c r="Q47" i="1"/>
  <c r="O10" i="1"/>
  <c r="O17" i="1"/>
  <c r="O142" i="1"/>
  <c r="Q42" i="1"/>
  <c r="Q129" i="1"/>
  <c r="Q29" i="1"/>
  <c r="Q39" i="1"/>
  <c r="Q121" i="1"/>
  <c r="Q51" i="1"/>
  <c r="Q7" i="1"/>
  <c r="Q67" i="1"/>
  <c r="O8" i="1"/>
  <c r="N7" i="1"/>
  <c r="O7" i="1" s="1"/>
  <c r="Q12" i="1"/>
  <c r="Q141" i="1" s="1"/>
  <c r="Q79" i="1"/>
  <c r="Q112" i="1"/>
  <c r="N134" i="1"/>
  <c r="O134" i="1" s="1"/>
  <c r="O135" i="1"/>
  <c r="N119" i="1"/>
  <c r="O119" i="1" s="1"/>
  <c r="O120" i="1"/>
  <c r="O104" i="1"/>
  <c r="N137" i="1"/>
  <c r="O137" i="1" s="1"/>
  <c r="O138" i="1"/>
  <c r="N39" i="1"/>
  <c r="O39" i="1" s="1"/>
  <c r="O40" i="1"/>
  <c r="N170" i="1"/>
  <c r="O170" i="1" s="1"/>
  <c r="F96" i="1"/>
  <c r="F186" i="1" s="1"/>
  <c r="J186" i="1"/>
  <c r="J187" i="1" s="1"/>
  <c r="N121" i="1"/>
  <c r="O121" i="1" s="1"/>
  <c r="N97" i="1"/>
  <c r="N47" i="1"/>
  <c r="O47" i="1" s="1"/>
  <c r="N105" i="1"/>
  <c r="O105" i="1" s="1"/>
  <c r="L186" i="1"/>
  <c r="L187" i="1" s="1"/>
  <c r="N129" i="1"/>
  <c r="O129" i="1" s="1"/>
  <c r="Q100" i="1"/>
  <c r="N100" i="1"/>
  <c r="O100" i="1" s="1"/>
  <c r="N42" i="1"/>
  <c r="O42" i="1" s="1"/>
  <c r="P109" i="1"/>
  <c r="Q109" i="1" s="1"/>
  <c r="Q108" i="1" s="1"/>
  <c r="N51" i="1"/>
  <c r="O51" i="1" s="1"/>
  <c r="N67" i="1"/>
  <c r="O67" i="1" s="1"/>
  <c r="P140" i="1"/>
  <c r="Q140" i="1" s="1"/>
  <c r="Q139" i="1" s="1"/>
  <c r="N140" i="1"/>
  <c r="B4" i="2" s="1"/>
  <c r="N79" i="1"/>
  <c r="O79" i="1" s="1"/>
  <c r="N112" i="1"/>
  <c r="O112" i="1" s="1"/>
  <c r="N29" i="1"/>
  <c r="O29" i="1" s="1"/>
  <c r="Q105" i="1"/>
  <c r="N109" i="1"/>
  <c r="B5" i="2" s="1"/>
  <c r="P158" i="1"/>
  <c r="Q158" i="1" s="1"/>
  <c r="N158" i="1"/>
  <c r="O158" i="1" s="1"/>
  <c r="N12" i="1"/>
  <c r="O12" i="1" s="1"/>
  <c r="N173" i="1"/>
  <c r="O173" i="1" s="1"/>
  <c r="P173" i="1"/>
  <c r="Q173" i="1" s="1"/>
  <c r="N126" i="1"/>
  <c r="O126" i="1" s="1"/>
  <c r="P151" i="1"/>
  <c r="Q151" i="1" s="1"/>
  <c r="N151" i="1"/>
  <c r="O151" i="1" s="1"/>
  <c r="H187" i="1"/>
  <c r="H188" i="1"/>
  <c r="N141" i="1" l="1"/>
  <c r="B6" i="2" s="1"/>
  <c r="B8" i="2" s="1"/>
  <c r="Q96" i="1"/>
  <c r="F187" i="1"/>
  <c r="J188" i="1"/>
  <c r="J189" i="1" s="1"/>
  <c r="N108" i="1"/>
  <c r="O108" i="1" s="1"/>
  <c r="O109" i="1"/>
  <c r="N139" i="1"/>
  <c r="O139" i="1" s="1"/>
  <c r="O140" i="1"/>
  <c r="N96" i="1"/>
  <c r="O96" i="1" s="1"/>
  <c r="O97" i="1"/>
  <c r="L188" i="1"/>
  <c r="L189" i="1" s="1"/>
  <c r="F188" i="1"/>
  <c r="H189" i="1"/>
  <c r="B10" i="2" l="1"/>
  <c r="B9" i="2"/>
  <c r="B11" i="2" s="1"/>
  <c r="F189" i="1"/>
  <c r="N186" i="1"/>
  <c r="N188" i="1" s="1"/>
  <c r="N187" i="1" l="1"/>
  <c r="N189" i="1" s="1"/>
</calcChain>
</file>

<file path=xl/sharedStrings.xml><?xml version="1.0" encoding="utf-8"?>
<sst xmlns="http://schemas.openxmlformats.org/spreadsheetml/2006/main" count="1573" uniqueCount="436">
  <si>
    <t>CANTIDAD TOTAL EJECUTADA</t>
  </si>
  <si>
    <t>VALOR TOTAL EJECUTADO</t>
  </si>
  <si>
    <t>ADECUACIONES AREA DE IMAGENOLOGÍA</t>
  </si>
  <si>
    <t>PRELIMINARES</t>
  </si>
  <si>
    <t>1.1</t>
  </si>
  <si>
    <t>Proteccion con plastico del area a intervenir</t>
  </si>
  <si>
    <t>gl</t>
  </si>
  <si>
    <t>1.2</t>
  </si>
  <si>
    <t>Proteccion con carton</t>
  </si>
  <si>
    <t>1.3</t>
  </si>
  <si>
    <t>Empaque de escombros y transporte interno</t>
  </si>
  <si>
    <t>saco</t>
  </si>
  <si>
    <t>1.4</t>
  </si>
  <si>
    <t>Retiro y botada de escombros y/o basura , en caso de ser requerido en otra actividad no estipulada.</t>
  </si>
  <si>
    <t>Viajes</t>
  </si>
  <si>
    <t xml:space="preserve">DESMONTES Y DEMOLICIONES </t>
  </si>
  <si>
    <t>2.1</t>
  </si>
  <si>
    <t>Corte con pulidora en pisos y muros</t>
  </si>
  <si>
    <t>ml</t>
  </si>
  <si>
    <t>2.2</t>
  </si>
  <si>
    <t>Desmonte de cielo en drywall</t>
  </si>
  <si>
    <t>m2</t>
  </si>
  <si>
    <t>2.3</t>
  </si>
  <si>
    <t xml:space="preserve">Demolicion de piso </t>
  </si>
  <si>
    <t>2.4</t>
  </si>
  <si>
    <t>Demolicion de mamposteria en areas a intervenir (altura estimada de 2,60)</t>
  </si>
  <si>
    <t>2.5</t>
  </si>
  <si>
    <t>Desmonte de puertas y marcos en madera</t>
  </si>
  <si>
    <t>un</t>
  </si>
  <si>
    <t>2.6</t>
  </si>
  <si>
    <t>Desmonte de puerta y marcos en madera (Puertas doble ala)</t>
  </si>
  <si>
    <t>2.7</t>
  </si>
  <si>
    <t>Desmonte de ventanas</t>
  </si>
  <si>
    <t>2.8</t>
  </si>
  <si>
    <t xml:space="preserve">Demolicion de enchape </t>
  </si>
  <si>
    <t>2.9</t>
  </si>
  <si>
    <t>Desmonte de sanitario</t>
  </si>
  <si>
    <t>2.10</t>
  </si>
  <si>
    <t>Desmonte de lavamanos</t>
  </si>
  <si>
    <t>2.11</t>
  </si>
  <si>
    <t>Desmonte de sistema electrico en areas a intervenir</t>
  </si>
  <si>
    <t>2.12</t>
  </si>
  <si>
    <t>Desmonte de espejos</t>
  </si>
  <si>
    <t>2.13</t>
  </si>
  <si>
    <t>Desmonte de griferia</t>
  </si>
  <si>
    <t>2.14</t>
  </si>
  <si>
    <t xml:space="preserve">Desmonte de accesorios </t>
  </si>
  <si>
    <t>2.15</t>
  </si>
  <si>
    <t>Anulacion de salidas de abastos</t>
  </si>
  <si>
    <t>2.16</t>
  </si>
  <si>
    <t>Anulacion de salidas sanitarias</t>
  </si>
  <si>
    <t>MAMPOSTERIA</t>
  </si>
  <si>
    <t>3.1</t>
  </si>
  <si>
    <t>Resane de mamposteria</t>
  </si>
  <si>
    <t>3.2</t>
  </si>
  <si>
    <t>Construccion de Muro en Drywall Dos caras en placa de yeso e: 12 cms. Estructura interior lamina galvanizada y todos los elementos necesarios para su correcta instalacion y funcionamiento, incluye fondeado  (Altura estimada 2,60)</t>
  </si>
  <si>
    <t>3.3</t>
  </si>
  <si>
    <t>Construccion de FAJAS en Drywall. Estructura interior lamina galvanizada, y todos los elementos necesarios para su correcta instalacion y funcionamiento.</t>
  </si>
  <si>
    <t>3.4</t>
  </si>
  <si>
    <t>Suministro e instalacion de lana mineral tipo frescasa</t>
  </si>
  <si>
    <t>3.5</t>
  </si>
  <si>
    <t>Perfil esquinero en pvc</t>
  </si>
  <si>
    <t>3.6</t>
  </si>
  <si>
    <t xml:space="preserve">Refuerzo en madera plastica </t>
  </si>
  <si>
    <t>3.7</t>
  </si>
  <si>
    <t>Construccion de muro en bloque e=20 cm + grouting</t>
  </si>
  <si>
    <t>3.8</t>
  </si>
  <si>
    <t>Revoque en muros</t>
  </si>
  <si>
    <t>3.9</t>
  </si>
  <si>
    <t>Estuco en muros</t>
  </si>
  <si>
    <t>m3</t>
  </si>
  <si>
    <t>PINTURA Y ENCHAPES</t>
  </si>
  <si>
    <t>4.1</t>
  </si>
  <si>
    <t>Aplicación de PINTURA EN VINILO de primera calidad sobre muros, tres manos o las necesarias hasta obtener una superficie pareja y homogénea. Incluye suministro y transporte de los materiales</t>
  </si>
  <si>
    <t>4.2</t>
  </si>
  <si>
    <t>Sellos con elastica</t>
  </si>
  <si>
    <t>CIELOS RASOS</t>
  </si>
  <si>
    <t>5.1</t>
  </si>
  <si>
    <t xml:space="preserve">Suministro e instalación de cielo falso en drywall e=1/2" a junta perdida </t>
  </si>
  <si>
    <t>5.2</t>
  </si>
  <si>
    <t>Registros desmontables 60 x 60</t>
  </si>
  <si>
    <t>5.3</t>
  </si>
  <si>
    <t>5.4</t>
  </si>
  <si>
    <t>Media caña en cielos y muros en PVC</t>
  </si>
  <si>
    <t>PISOS Y ZOCALOS</t>
  </si>
  <si>
    <t>6.1</t>
  </si>
  <si>
    <t>Resane de piso en grano en zonas afectadas, incluye mortero, se contempla un desarrollo de 30 cm de ancho.</t>
  </si>
  <si>
    <t>6.2</t>
  </si>
  <si>
    <t>Zocalo media caña en fibra de vidrio</t>
  </si>
  <si>
    <t>6.3</t>
  </si>
  <si>
    <t>Repulida y brillada de piso</t>
  </si>
  <si>
    <t>CARPINTERIA METALICA, MADERA Y PVC</t>
  </si>
  <si>
    <t>7.1</t>
  </si>
  <si>
    <t>Suministro e instalacion de superficies flotadas sala de lectura, Incluye soportes (no incluye sillas)</t>
  </si>
  <si>
    <t>7.2</t>
  </si>
  <si>
    <t>Suministro e instalacion de mueble punto de atencion (no incluye sillas)</t>
  </si>
  <si>
    <t>7.3</t>
  </si>
  <si>
    <t>Suministro e instalacion de mueble en acero inoxidable de 2m con pozuelo, incluye pie amigo</t>
  </si>
  <si>
    <t>7.4</t>
  </si>
  <si>
    <t>Suministro e instalacion de mueble en acero inoxidable de 1,80m con pozuelo, incluye pie amigo</t>
  </si>
  <si>
    <t>7.5</t>
  </si>
  <si>
    <t>Suministro e instalacion de puerta blindada, de 1,25x2,4m</t>
  </si>
  <si>
    <t>7.6</t>
  </si>
  <si>
    <t>Suministro e instalacion de puerta batiente doble ala, de 1,70x2,4m</t>
  </si>
  <si>
    <t>7.7</t>
  </si>
  <si>
    <t>Suministro e instalacion de puerta batiente de 1,10x2,40m</t>
  </si>
  <si>
    <t>7.8</t>
  </si>
  <si>
    <t>Suministro e instalacion de puerta batiente blindada, de 1,10x2,40m</t>
  </si>
  <si>
    <t>7.9</t>
  </si>
  <si>
    <t>Suministro e instalacion de puerta batiente hasta 1x2,40m</t>
  </si>
  <si>
    <t>7.10</t>
  </si>
  <si>
    <t xml:space="preserve">Suministro e instalacion de puerta vidriera batiente, de 0,85x2,40m </t>
  </si>
  <si>
    <t>7.11</t>
  </si>
  <si>
    <t>Suministro e instalacion de divisorio en vidrio templado</t>
  </si>
  <si>
    <t>7.12</t>
  </si>
  <si>
    <t>Suministro e instalacion de puertas corredizas blindadas, de 1,60x2,40m</t>
  </si>
  <si>
    <t>7.13</t>
  </si>
  <si>
    <t>Suministro e instalacion de ventanas blindadas de 0,40 x 1 m</t>
  </si>
  <si>
    <t>7.14</t>
  </si>
  <si>
    <t>Suministro e instalacion de lavaescobas</t>
  </si>
  <si>
    <t>7.15</t>
  </si>
  <si>
    <t>Suministro e instalacion de espejos flotantes</t>
  </si>
  <si>
    <t>APARATOS SANITARIOS Y GRIFERIAS</t>
  </si>
  <si>
    <t>8.1</t>
  </si>
  <si>
    <t>Griferia lavamanos de sensor</t>
  </si>
  <si>
    <t>8.2</t>
  </si>
  <si>
    <t xml:space="preserve">Lavamanos de movilidad reducida  LAV0010 + Brazos BRA002 </t>
  </si>
  <si>
    <t>8.3</t>
  </si>
  <si>
    <t>Grifo sensor sanitario incrustado electrico</t>
  </si>
  <si>
    <t>8.4</t>
  </si>
  <si>
    <t>Porcelana sanitaria alongada deluxe mov reducida</t>
  </si>
  <si>
    <t>8.5</t>
  </si>
  <si>
    <t>Suministro e instalacion de barra abatible</t>
  </si>
  <si>
    <t>8.6</t>
  </si>
  <si>
    <t>Combo sanitario y lavamanos Acuacer Plus con pedestal</t>
  </si>
  <si>
    <t>8.7</t>
  </si>
  <si>
    <t>Suministro e instalacion de lavamanos con pedestal y griferia monocontrol.</t>
  </si>
  <si>
    <t>8.8</t>
  </si>
  <si>
    <t>Grifo cuello de cisne operado por sensor.</t>
  </si>
  <si>
    <t>8.9</t>
  </si>
  <si>
    <t xml:space="preserve">Suministro, transporte e instalacion de rejillas de piso </t>
  </si>
  <si>
    <t>8.10</t>
  </si>
  <si>
    <t>Suministro e instalacion de llaves boca manguera</t>
  </si>
  <si>
    <t>8.11</t>
  </si>
  <si>
    <t>Suministro e instalacion de llaves de regulacion y acoples marca grival o equivalente para sanitarios, lavamanos y pozuelos</t>
  </si>
  <si>
    <t>INSTALACIONES HIDRAULICAS Y SANITARIAS</t>
  </si>
  <si>
    <t>9.1</t>
  </si>
  <si>
    <t>SUMINISTRO, TRANSPORTE E INSTALACIÓN DE TUBERÍA P.V.C. PRESIÓN DIAM. 1 1/2" RDE. 21.  INCLUYE ACCESORIOS, SOLDADURA PVC, LIMPIADOR, CUELGAS Y TODO LO NECESARIO PARA SU CORRECTA INSTALACIÓN Y FUNCIONAMIENTO</t>
  </si>
  <si>
    <t>9.2</t>
  </si>
  <si>
    <t>SUMINISTRO, TRANSPORTE E INSTALACIÓN DE TUBERÍA P.V.C. PRESIÓN DIAM. 1" RDE.21.  INCLUYE ACCESORIOS, SOLDADURA PVC, LIMPIADOR, CUELGAS Y TODO LO NECESARIO PARA SU CORRECTA INSTALACIÓN Y FUNCIONAMIENTO</t>
  </si>
  <si>
    <t>9.3</t>
  </si>
  <si>
    <t>SUMINISTRO, TRANSPORTE E INSTALACIÓN DE TUBERÍA P.V.C. PRESIÓN DIAM. 1/2" RDE. 9.  INCLUYE ACCESORIOS, SOLDADURA PVC, LIMPIADOR, CUELGAS Y TODO LO NECESARIO PARA SU CORRECTA INSTALACIÓN Y FUNCIONAMIENTO</t>
  </si>
  <si>
    <t>9.4</t>
  </si>
  <si>
    <t xml:space="preserve">SALIDA A. FRÍA DIAM 1/2" PARA POZUELOS, LAVAMANOS, DUCHAS, LAVADEROS, ORINALES, SANITARIOS DE TANQUE. INCLUYE EL SUMINISTRO, TRANSPORTE E INSTALACIÓN DE TUBERÍA PVC-P DIÁM. 1/2" HASTA 3 METROS Y ACCESORIOS DIÁM. 1/2" EN PVC, CÁMARA DE AIRE, TERMINALES EN PVC, SOLDAURA PVC, LIMPIADOR PVC Y TODO LO NECESARIO PARA SU CORRECTA INSTALACIÓN. </t>
  </si>
  <si>
    <t>9.5</t>
  </si>
  <si>
    <t xml:space="preserve">SALIDA A. FRÍA DIAM 1" PARA SANITARIOS DE FLUXÓMETRO. INCLUYE EL SUMINISTRO, TRANSPORTE E INSTALACIÓN DE TUBERÍA PVC-P DIÁM. 1" HASTA 3 METROS Y ACCESORIOS DIÁM. 1" EN PVC, CÁMARA DE AIRE, TERMINALES EN PVC, SOLDAURA PVC, LIMPIADOR PVC Y TODO LO NECESARIO PARA SU CORRECTA INSTALACIÓN. </t>
  </si>
  <si>
    <t>9.6</t>
  </si>
  <si>
    <t>SUMINISTRO E INSTALACIÓN DE VÁLVULA D = 1/2" TIPO RED WHITE O SIMILAR</t>
  </si>
  <si>
    <t>9.7</t>
  </si>
  <si>
    <t>SUMINISTRO E INSTALACIÓN DE VÁLVULA D = 1" TIPO RED WHITE O SIMILAR</t>
  </si>
  <si>
    <t>9.8</t>
  </si>
  <si>
    <t>SUMINISTRO E INSTALACIÓN DE TUBERÍA SANITARIA EN PVC, DIÁMETRO 4"</t>
  </si>
  <si>
    <t>9.9</t>
  </si>
  <si>
    <t>SUMINISTRO E INSTALACIÓN DE TUBERÍA DE SANITARIA EN PVC, DIÁMETRO DE 2"</t>
  </si>
  <si>
    <t>9.10</t>
  </si>
  <si>
    <t>SUMINISTRO E INSTALACIÓN DE TUBERÍA DE VENTILACIÓN PVC D= 2"</t>
  </si>
  <si>
    <t>9.11</t>
  </si>
  <si>
    <t>SALIDA P.V.C.  SANITARIA SIFÓN DIÁM. 2" PARA DUCHAS Y/O DESAGÜES DE PISO; INCLUYE SUMINISTRO, TRANSPORTE E INSTALACIÓN DE TUBERÍA PVC DIAM 2" (MÁXIMO 2 METROS HASTA ALCANZAR EL RAMAL HORIZONTAL PRINCIPAL), TODOS LOS ACCESORIOS REQUERIDOS, CUELGAS, SOLDADURA, LIMPIADOR Y  TODO LO NECESARIO PARA SU CORRECTA INSTALACIÓN Y FUNCIONAMIENTO.</t>
  </si>
  <si>
    <t>9.12</t>
  </si>
  <si>
    <t>SALIDA SENCILLA P.V.C.  SANITARIA DIÁM. 2" Y ACCESORIOS DIÁM. 2" PARA LAVAMANOS, POZUELOS, ORINALES; INCLUYE SUMINISTRO, TRANSPORTE E INSTALACIÓN DE TUBERÍA PVC DIAM 2" (MÁXIMO 2 METROS HASTA ALCANZAR EL RAMAL HORIZONTAL PRINCIPAL), TODOS LOS ACCESORIOS REQUERIDOS, CUELGAS, SOLDADURA, LIMPIADOR Y  TODO LO NECESARIO PARA SU CORRECTA INSTALACIÓN Y FUNCIONAMIENTO.</t>
  </si>
  <si>
    <t>9.13</t>
  </si>
  <si>
    <t>SALIDA P.V.C.  SANITARIA DIÁM. 4" PARA SANITARIOS; INCLUYE SUMINISTRO, TRANSPORTE E INSTALACIÓN DE TUBERÍA PVC DIAM 4" (MÁXIMO 2 METROS HASTA ALCANZAR EL RAMAL HORIZONTAL PRINCIPAL), TODOS LOS ACCESORIOS REQUERIDOS, CUELGAS, SOLDADURA, LIMPIADOR Y  TODO LO NECESARIO PARA SU CORRECTA INSTALACIÓN Y FUNCIONAMIENTO.</t>
  </si>
  <si>
    <t>9.14</t>
  </si>
  <si>
    <t>PUNTOS DE CONEXION SALIDA DE VENTILACION PVC SANITARIA D=2".</t>
  </si>
  <si>
    <t>9.15</t>
  </si>
  <si>
    <t>CONEXIÓN Y/O DESVÍO DE BAJANTES SANITARIOS DE 2" A 6"</t>
  </si>
  <si>
    <t>9.16</t>
  </si>
  <si>
    <t>AJUSTE DE DISEÑO</t>
  </si>
  <si>
    <t>GASES MEDICINALES</t>
  </si>
  <si>
    <t>10.1</t>
  </si>
  <si>
    <t>RED DE TUBERIA</t>
  </si>
  <si>
    <t>10.1.1</t>
  </si>
  <si>
    <t>Tuberia cobre tipo L 1/2, incluye soportes, señalizacion y accesorios</t>
  </si>
  <si>
    <t>10.1.2</t>
  </si>
  <si>
    <t>Tuberia cobre tipo L 3-4, incluye soportes, señalizacion y accesorios</t>
  </si>
  <si>
    <t>10.2</t>
  </si>
  <si>
    <t>TOMAS DE PARED, PANELES DE CABECERA Y CIELITICAS COD. CHEMETRON</t>
  </si>
  <si>
    <t>10.2.1</t>
  </si>
  <si>
    <t>Suministro toma QC Oxigeno</t>
  </si>
  <si>
    <t>10.2.2</t>
  </si>
  <si>
    <t>Suministro toma QC vacio</t>
  </si>
  <si>
    <t>10.3</t>
  </si>
  <si>
    <t>CAJA DE CONTROL ZONAL VALVULA SOLDAD 4 TORNILLOS</t>
  </si>
  <si>
    <t>10.3.1</t>
  </si>
  <si>
    <t>Caja de control 2 gases</t>
  </si>
  <si>
    <t>10.4</t>
  </si>
  <si>
    <t>OTROS</t>
  </si>
  <si>
    <t>10.4.1</t>
  </si>
  <si>
    <t>SSGTI y transporte</t>
  </si>
  <si>
    <t>10.4.2</t>
  </si>
  <si>
    <t>Ajuste de diseño</t>
  </si>
  <si>
    <t>ASEO</t>
  </si>
  <si>
    <t>11.1</t>
  </si>
  <si>
    <t xml:space="preserve">Aseo durante la obra </t>
  </si>
  <si>
    <t>hr</t>
  </si>
  <si>
    <t>11.2</t>
  </si>
  <si>
    <t xml:space="preserve">Aseo final </t>
  </si>
  <si>
    <t>ADECUACIONES AREA DE RESONADOR</t>
  </si>
  <si>
    <t>Aplicación de PINTURA ANTIBACTERIAL de primera calidad las manos necesarias hasta obtener una superficie pareja y homogénea. Incluye suministro y transporte de los materiales</t>
  </si>
  <si>
    <t>Suministro e instalación de cielo falso en placa de yeso RH junta perdida con estructura en aluminio</t>
  </si>
  <si>
    <t>Escotilla de servicio</t>
  </si>
  <si>
    <t>Media caña para remates de muros y cielos</t>
  </si>
  <si>
    <t>Piso en vinilo homogeneo</t>
  </si>
  <si>
    <t>Mediacaña piso vinilico con postformado y perfil mediacaña</t>
  </si>
  <si>
    <t>CARPINTERIA Y CERRAJERIA</t>
  </si>
  <si>
    <t>Construccion de enchape interior en madecor laminado (incluye posformados) y placas de yeso RH, con detalles, según diseño  (Altura estimada 2,50)</t>
  </si>
  <si>
    <t>Detalle para filterplate</t>
  </si>
  <si>
    <t>Suministro e instalación de plomo de 2mm de acuerdo con estudio de blindaje</t>
  </si>
  <si>
    <t>Fabricación, transporte  e instalación de tubo Quench con una longitud aproximada de 15m2 (incluye 2 codos, cambio de diametro y difusor de salida, fabricado en tuberia de acero inoxidable 304 de 4´y 6´, según especificaciones tecnicas de SIEMENS.</t>
  </si>
  <si>
    <t>INSTALACIONES ELECTRICAS</t>
  </si>
  <si>
    <t>Botonera tipo Hongo para apagado (1 un), lamparas de iluminación incluyendo fuentes y cintas led, tuberia PVC y alambrado (aprox. 100m), tomas electricos (4 un) e interruptor doble (1 un).</t>
  </si>
  <si>
    <t>Suministro toma QC Oxigeno, aire y vacio con acople Diss, Manguera conductiva de neopreno, incluyendo acoples.</t>
  </si>
  <si>
    <t>OBRAS NO PREVISTAS</t>
  </si>
  <si>
    <t>NP 1.1</t>
  </si>
  <si>
    <t>Construccion de Muro en Drywall una cara en placa de yeso e:12 cms, para cerramientos temporales, estructura en lamina galvanizada y todos los elementos necesarios para su correcta instalacion, sin acabado.</t>
  </si>
  <si>
    <t>NP 2.1</t>
  </si>
  <si>
    <t>Demolición de muro en bloque de concreto macizo de 20cm de espesor</t>
  </si>
  <si>
    <t>NP 2.2</t>
  </si>
  <si>
    <t>Desmonte de muros existentes en sistema Drywall</t>
  </si>
  <si>
    <t>NP 2.3</t>
  </si>
  <si>
    <t>Demolición de zocalo en grano</t>
  </si>
  <si>
    <t>NP 2.4</t>
  </si>
  <si>
    <t>Desmonte y reinstalacion de puerta vidriera doble ala y modulos fijos laterales, en 10mm</t>
  </si>
  <si>
    <t>NP 2.5</t>
  </si>
  <si>
    <t>Desmonte de extractores en área de flouroscopio</t>
  </si>
  <si>
    <t>NP 2.6</t>
  </si>
  <si>
    <t>Desmonte de cielo raso en PVC para paso de redes tecnicas</t>
  </si>
  <si>
    <t>NP 2.7</t>
  </si>
  <si>
    <t>Desmonte de meson en acero</t>
  </si>
  <si>
    <t>NP 2.8</t>
  </si>
  <si>
    <t>Excavación  Manual de material heterogeneo 0-2 m (rocas 0.35m3) bajo cualquier grado de humedad. Incluye acarreo desde el sitio de excavación hasta el sitio de cargue.</t>
  </si>
  <si>
    <t>NP 2.9</t>
  </si>
  <si>
    <t>NP 3.1</t>
  </si>
  <si>
    <t xml:space="preserve">Impermeabilización de muros en zonas afectadas por humedad, incluye preparación de superficie e imprimación </t>
  </si>
  <si>
    <t>NP 3.2</t>
  </si>
  <si>
    <t>Regatas en mamposteria de bloque para ductos tecnicos, incluye canchada y resanada</t>
  </si>
  <si>
    <t>NP 3.3</t>
  </si>
  <si>
    <t>Apertura en mamposteria para pases de ducteria tecnica en plenum</t>
  </si>
  <si>
    <t>NP 3.4</t>
  </si>
  <si>
    <t xml:space="preserve">Construccion de Muro mixto en Drywall. Estructura interior lamina galvanizada y todos los elementos necesarios para su correcta instalacion y funcionamiento, incluye fondeado </t>
  </si>
  <si>
    <t>NP 3.5</t>
  </si>
  <si>
    <t>Revoque seco en placa de yeso e:12mm</t>
  </si>
  <si>
    <t>NP 3.6</t>
  </si>
  <si>
    <t>Fajas de revoque</t>
  </si>
  <si>
    <t>NP 3.7</t>
  </si>
  <si>
    <t>Lineales de estuco</t>
  </si>
  <si>
    <t>NP 3.8</t>
  </si>
  <si>
    <t>Construcción de dinteles en concreto reforzado; incluye formaleta y todos los elementos necesarios para su correcta ejecución.</t>
  </si>
  <si>
    <t>NP 4.1</t>
  </si>
  <si>
    <t>Suministro e instalación de enchape cerámico</t>
  </si>
  <si>
    <t>NP 5.1</t>
  </si>
  <si>
    <t>Suministro e instalación de cielo raso en PVC</t>
  </si>
  <si>
    <t>NP 6.1</t>
  </si>
  <si>
    <t>Construcción de base para carcamos técnicos de los equipos de flouroscopia y mamografía; incluye malla de refuerzo, excavación, conformación de brecha, formaleteado y vaciado de concreto en sitio</t>
  </si>
  <si>
    <t>NP 6.2</t>
  </si>
  <si>
    <t>Suministro e instalación de zocalo recto</t>
  </si>
  <si>
    <t>NP 6.3</t>
  </si>
  <si>
    <t>Suministro, transporte y colocación de concreto de 12MPA para solado (sin refuerzo).  Incluye limpieza de superficie y todos los elementos necesarios para su correcta instalación y funcionamiento</t>
  </si>
  <si>
    <t>NP 6.4</t>
  </si>
  <si>
    <t>Suministro, transporte y colocación de concreto de 21MPA para losa de contrapiso de espesor de 0,10m.  Incluye suministro, transporte e instalación del concreto. No incluye refuerzo.</t>
  </si>
  <si>
    <t>NP 6.5</t>
  </si>
  <si>
    <t>Suministro, transporte y colocación de concreto de 28MPA para losa de contrapiso de 10cm.  Incluye suministro, transporte e instalación del concreto. No incluye refuerzo.</t>
  </si>
  <si>
    <t>NP 6.6</t>
  </si>
  <si>
    <t>Suministro, transporte y colocación de concreto de 28MPA para losa de contrapiso de 25cm.  Incluye conformación, formaleta, suministro, transporte e instalación del concreto. No incluye refuerzo.</t>
  </si>
  <si>
    <t>NP 6.7</t>
  </si>
  <si>
    <t>Suministro, transporte y colocación de concreto de 21MPA para viga de fundación de 20x20cm.  Incluye limpieza de superficie y todos los elementos necesarios para su correcta instalación y funcionamiento</t>
  </si>
  <si>
    <t>NP 6.8</t>
  </si>
  <si>
    <t>Suministro e instalación de piso en porcelanato de 60x60; incluye adhesivo cementoso con latex, lechada y todo lo necesario para su correcta instalación</t>
  </si>
  <si>
    <t>NP 6.9</t>
  </si>
  <si>
    <t>Suministro, transporte, corte, figuración, colocación y amarre de malla electrosoldada XX-084 para losa, incluye alambre y todos los elementos necesarios para su correcta instalación.</t>
  </si>
  <si>
    <t>NP 6.10</t>
  </si>
  <si>
    <t>Suministro, figuración e instalacion de acero de refuerzo figurado Fy=420.</t>
  </si>
  <si>
    <t>Kg</t>
  </si>
  <si>
    <t>NP 7.1</t>
  </si>
  <si>
    <t>Reinstalacion de mueble en acero inoxidable</t>
  </si>
  <si>
    <t>NP 7.2</t>
  </si>
  <si>
    <t>Suministro e instalación de bandeja metalica en acero inoxidable, incluyendo tramos de tapa de registro desmontable, en acero.</t>
  </si>
  <si>
    <t>NP 7.3</t>
  </si>
  <si>
    <t>Readeacuación, restauración e instalacion de puerta blindada corrediza de 1,20x2,10m,  incluyendo contramarcos, cenefas, manijas en acero inoxidable y todo para su instalación adecuada</t>
  </si>
  <si>
    <t>NP 7.4</t>
  </si>
  <si>
    <t>Suministro e instalacion de puerta batiente blindada de 0,85x2,10m</t>
  </si>
  <si>
    <t>NP 7.5</t>
  </si>
  <si>
    <t>Suministro e instalacion de puerta vidriera batiente de 1,20x2,50m, incluye bisagra de piso.</t>
  </si>
  <si>
    <t>NP 7.6</t>
  </si>
  <si>
    <t>Suministro e instalacion de ventana de tres cuerpos fijos, con perfileria en aluminio, vidrio laminado 3+3mm incoloro.</t>
  </si>
  <si>
    <t>NP 7.7</t>
  </si>
  <si>
    <t>Suministro e instalacion de marco plomado para reutilización de ventana blindada en área de control de flouroscopia.</t>
  </si>
  <si>
    <t>NP 7.8</t>
  </si>
  <si>
    <t>Suministro e instalacion de puerta batiente con marco, acabado en poliuretano blanco, incluyendo cerradura, contramarco y monstante, donde sea necesario, con ancho variable entre 0,85 y 1,10, y altura variable entre 2,10 y 2,50.</t>
  </si>
  <si>
    <t>NP 7.9</t>
  </si>
  <si>
    <t>Suministro, transporte  e instalacion de marco en en madecor laminado, acolillado, color sagano, según diseño, para ventana de cuarto de monitoreo del resonador magnético.</t>
  </si>
  <si>
    <t>NP 7.10</t>
  </si>
  <si>
    <t>Suministro, transporte  e instalacion de marco en en madecor laminado, acolillado, color sagano, según diseño, para puerta de acceso al resonador magnético.</t>
  </si>
  <si>
    <t>NP 7.11</t>
  </si>
  <si>
    <t>Suministro, transporte e instalacion de boca puerta de piso en roble macizo para puerta de acceso al resonador magnético.</t>
  </si>
  <si>
    <t>NP 10.1</t>
  </si>
  <si>
    <t>Caja de control zonal de 3 gases</t>
  </si>
  <si>
    <t>NP 10.2</t>
  </si>
  <si>
    <t>Tubería flexible 5/8" para ingreso a cajas de control</t>
  </si>
  <si>
    <t>NP 10.3</t>
  </si>
  <si>
    <t>Valvulas de sensor de 1/2"</t>
  </si>
  <si>
    <t>SUBTOTAL COSTOS DIRECTOS</t>
  </si>
  <si>
    <t>SUBTOTAL</t>
  </si>
  <si>
    <t>Admon 25%</t>
  </si>
  <si>
    <t>Utilidad 5%</t>
  </si>
  <si>
    <t>TOTAL</t>
  </si>
  <si>
    <t>E.S.E. HOSPITAL SAN JUAN DE DIOS DE RIONEGRO</t>
  </si>
  <si>
    <t>LINARQ S.A.S.</t>
  </si>
  <si>
    <t>Representante Legal</t>
  </si>
  <si>
    <t>ÍTEM</t>
  </si>
  <si>
    <t>DESCRIPCIÓN</t>
  </si>
  <si>
    <t>UNIDAD</t>
  </si>
  <si>
    <t>VALOR UNITARIO</t>
  </si>
  <si>
    <t>CANTIDAD CONTRACTUAL</t>
  </si>
  <si>
    <t>VALOR TOTAL</t>
  </si>
  <si>
    <t xml:space="preserve">VALOR TOTAL </t>
  </si>
  <si>
    <r>
      <t xml:space="preserve">OBJETO: </t>
    </r>
    <r>
      <rPr>
        <sz val="11"/>
        <color theme="1"/>
        <rFont val="Calibri"/>
        <family val="2"/>
        <scheme val="minor"/>
      </rPr>
      <t>ADECUACION DE LA INFRAESTRUCTURA HOSPITALARIA EN EL AREA DE IMAGENOLOGÍA DEL HOSPITAL SAN JUAN DE DIOS ESE RIONEGRO</t>
    </r>
  </si>
  <si>
    <r>
      <t xml:space="preserve">CONTRATANTE: </t>
    </r>
    <r>
      <rPr>
        <sz val="11"/>
        <color theme="1"/>
        <rFont val="Calibri"/>
        <family val="2"/>
        <scheme val="minor"/>
      </rPr>
      <t>HOSPITAL SAN JUAN DE DIOS ESE RIONEGRO</t>
    </r>
  </si>
  <si>
    <r>
      <t xml:space="preserve">CONTRATISTA: </t>
    </r>
    <r>
      <rPr>
        <sz val="11"/>
        <color theme="1"/>
        <rFont val="Calibri"/>
        <family val="2"/>
        <scheme val="minor"/>
      </rPr>
      <t>LINARQ SAS</t>
    </r>
  </si>
  <si>
    <r>
      <t xml:space="preserve">CONTRATO DE OBRA: </t>
    </r>
    <r>
      <rPr>
        <sz val="11"/>
        <color theme="1"/>
        <rFont val="Calibri"/>
        <family val="2"/>
        <scheme val="minor"/>
      </rPr>
      <t>240-2025</t>
    </r>
  </si>
  <si>
    <t>PORCENTAJE TOTAL EJECUTADO</t>
  </si>
  <si>
    <t>RESUMEN DE ACTIVIDADES</t>
  </si>
  <si>
    <t>Actividades contractuales ejecutadas de más</t>
  </si>
  <si>
    <t>Actividades contractuales ejecutadas de menos</t>
  </si>
  <si>
    <t>Actividades contractuales no ejecutadas</t>
  </si>
  <si>
    <t>Actividades contractuales ejecutadas al 100%</t>
  </si>
  <si>
    <t>CANTIDAD TOTAL</t>
  </si>
  <si>
    <t>Actividades no previstas ejecutadas al 100%</t>
  </si>
  <si>
    <t xml:space="preserve">TOTAL DE ACTIVIDADES EJECUTADAS </t>
  </si>
  <si>
    <t>Lleno en Material proveniente de la Excavacion (Areno-limoso) y material de prestamo de acuerdo a necesidad, compactados mecánicamente. Incluye transporte interno.</t>
  </si>
  <si>
    <t>ACTA 1</t>
  </si>
  <si>
    <t>ACTA 2</t>
  </si>
  <si>
    <t>ACTA 3</t>
  </si>
  <si>
    <t>VALOR EJECUTADO</t>
  </si>
  <si>
    <t>A (25%)</t>
  </si>
  <si>
    <t>U (5%)</t>
  </si>
  <si>
    <t>Administración (25%)</t>
  </si>
  <si>
    <t>Utilidad (5%)</t>
  </si>
  <si>
    <t>JORGE ALBERTO VÁSQUEZ GONZÁLEZ</t>
  </si>
  <si>
    <t>Supervisor Técnico</t>
  </si>
  <si>
    <t>SANTIAGO ALBERTO VELÁSQUEZ ROLDÁN</t>
  </si>
  <si>
    <t>MAYORES Y MENORES</t>
  </si>
  <si>
    <t>ANALISIS DE PRECIOS UNITARIOS</t>
  </si>
  <si>
    <t>UNIDAD: m2</t>
  </si>
  <si>
    <t>CANT/ REND</t>
  </si>
  <si>
    <t>PRECIO UNITARIO</t>
  </si>
  <si>
    <t>VR PARCIAL</t>
  </si>
  <si>
    <t>MATERIALES:</t>
  </si>
  <si>
    <t>DRYWALL 1.22 m x 2.44 m x 1/2"</t>
  </si>
  <si>
    <t>CANAL 90 0.43 mm x 2.44 m</t>
  </si>
  <si>
    <t>PARAL 89 0.43 mm x 2.44 m</t>
  </si>
  <si>
    <t>TORNILLO SUPERBOARD AVELLANADO PUNTA AGUDA 6x7/8"</t>
  </si>
  <si>
    <t>TORNILLO ESTRCUTURA PUNTA AGUDA CABEZA PLANA  8x1/2"</t>
  </si>
  <si>
    <t>MALLA FIBRA DE VIDRIO FLEXIBLE ANTIALCALIS a=25cm, 90g/m2</t>
  </si>
  <si>
    <t>SIKAFLEX UNIVERSAL (sellador elastico de poliuretano) x 300</t>
  </si>
  <si>
    <t>MASILLA PANEL-TEC</t>
  </si>
  <si>
    <t>LIJA DE AGUA</t>
  </si>
  <si>
    <t>PINTURA PARA INTERIOR FONDEO</t>
  </si>
  <si>
    <t>Subtotal =</t>
  </si>
  <si>
    <t>EQUIPO y HERRAMIENTAS:</t>
  </si>
  <si>
    <t>ANDAMIO TUBULAR CON TIJERA 1.50x1.50 m</t>
  </si>
  <si>
    <t>Día</t>
  </si>
  <si>
    <t>RUEDA GIRATORIA PARA ANDAMIO</t>
  </si>
  <si>
    <t>SIERRA CIRCULAR 7 1/4"</t>
  </si>
  <si>
    <t>DISCO SIERRA CIRCULAR 7 1/4"</t>
  </si>
  <si>
    <t>EXTENSION ELECTRICA ENCAUCHETADA 3x12x10m</t>
  </si>
  <si>
    <t>ATORNILLADOR ELECTRICO</t>
  </si>
  <si>
    <t>LLANA METALICA LISA MANGO MADERA 11" x 5"</t>
  </si>
  <si>
    <t xml:space="preserve">RODILLO 9" </t>
  </si>
  <si>
    <t>TRANSPORTES:</t>
  </si>
  <si>
    <t>CAMION 350</t>
  </si>
  <si>
    <t>MANO de OBRA:</t>
  </si>
  <si>
    <t>CUADRILLA 1 OF + 1 AY</t>
  </si>
  <si>
    <t>VR COSTO DIRECTO =</t>
  </si>
  <si>
    <t>UNIDAD:m2</t>
  </si>
  <si>
    <t>HERRAMIENTA MENOR</t>
  </si>
  <si>
    <t>%Mo</t>
  </si>
  <si>
    <t>CUADRILLA 2 AYUDANTES</t>
  </si>
  <si>
    <t>UNIDAD:ml</t>
  </si>
  <si>
    <t>1 AYUDANTE</t>
  </si>
  <si>
    <t>UNIDAD: un</t>
  </si>
  <si>
    <t>CUADRILLA 1 OF VIDRIERO + 1 AY</t>
  </si>
  <si>
    <t>UNIDAD: gl</t>
  </si>
  <si>
    <t>UNIDAD: m3</t>
  </si>
  <si>
    <t>TRANSPORTE INTERNO</t>
  </si>
  <si>
    <t>Transporte Material seleccionado para relleno (Suelo - Recebo)</t>
  </si>
  <si>
    <t>Compactador manual con motor de 6hp (rana)</t>
  </si>
  <si>
    <t>UNIDAD:un</t>
  </si>
  <si>
    <t>UNIDAD:gl</t>
  </si>
  <si>
    <t>DRYWALL  RH 1.22 m x 2.44 m x 1/2"</t>
  </si>
  <si>
    <t xml:space="preserve">MASILLA TEXJOINT </t>
  </si>
  <si>
    <t>CUADRILLA PINTURA</t>
  </si>
  <si>
    <t>REVOQUE SECO GYPLAC</t>
  </si>
  <si>
    <t>kg</t>
  </si>
  <si>
    <t>UNIDAD: ml</t>
  </si>
  <si>
    <t>MORTERO 1:4</t>
  </si>
  <si>
    <t>CONCRETO</t>
  </si>
  <si>
    <t>VARILLA DE 3/8</t>
  </si>
  <si>
    <t>TABLA COMUN</t>
  </si>
  <si>
    <t>und</t>
  </si>
  <si>
    <t>PARED  BLANCO 60 X 30</t>
  </si>
  <si>
    <t>PEGACOR MAX  X 25 KG</t>
  </si>
  <si>
    <t xml:space="preserve">ESTOPA </t>
  </si>
  <si>
    <t>BINDA BOQUILLA</t>
  </si>
  <si>
    <t>CRUCETAS</t>
  </si>
  <si>
    <t>CARNASA</t>
  </si>
  <si>
    <t>CIELO RASO EN PVC</t>
  </si>
  <si>
    <t>OMEGA</t>
  </si>
  <si>
    <t>VIGUETA</t>
  </si>
  <si>
    <t>ANGULO</t>
  </si>
  <si>
    <t>CARGA VERDE</t>
  </si>
  <si>
    <t xml:space="preserve">CLAVOS </t>
  </si>
  <si>
    <t>PISTOLA DE FIJACION</t>
  </si>
  <si>
    <t>CONCRETO 3000 PSI</t>
  </si>
  <si>
    <t>MALLA ELECTROSOLDADA</t>
  </si>
  <si>
    <t xml:space="preserve">BALDOSA </t>
  </si>
  <si>
    <t>PEGACOR</t>
  </si>
  <si>
    <t>CONCRETO 12 MPA</t>
  </si>
  <si>
    <t>Alambre Recocido</t>
  </si>
  <si>
    <t>Separol o equivalente</t>
  </si>
  <si>
    <t>VIBRADOR</t>
  </si>
  <si>
    <t>dia</t>
  </si>
  <si>
    <t>CONCRETO 4000 PSI</t>
  </si>
  <si>
    <t>BALDOSA DE GRANO</t>
  </si>
  <si>
    <t>UNIDAD:kg</t>
  </si>
  <si>
    <t>ACERO DE REFUERZO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</si>
</sst>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"/>
    <numFmt numFmtId="166" formatCode="[$$-240A]\ #,##0.00"/>
    <numFmt numFmtId="167" formatCode="&quot;$&quot;\ #,##0.00000"/>
    <numFmt numFmtId="168" formatCode="[$$-240A]\ #,##0"/>
    <numFmt numFmtId="169" formatCode="&quot;$&quot;\ #,##0.00"/>
    <numFmt numFmtId="170" formatCode="_-[$$-240A]\ * #,##0.00_-;\-[$$-240A]\ * #,##0.00_-;_-[$$-240A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40808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rgb="FF9CC2E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rgb="FFD8D8D8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63">
    <xf numFmtId="0" fontId="0" fillId="0" borderId="0" xfId="0"/>
    <xf numFmtId="49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vertical="center"/>
    </xf>
    <xf numFmtId="164" fontId="0" fillId="2" borderId="0" xfId="2" applyNumberFormat="1" applyFont="1" applyFill="1" applyAlignment="1">
      <alignment vertical="center"/>
    </xf>
    <xf numFmtId="4" fontId="0" fillId="2" borderId="0" xfId="0" applyNumberFormat="1" applyFill="1" applyAlignment="1">
      <alignment horizontal="center" vertical="center"/>
    </xf>
    <xf numFmtId="164" fontId="0" fillId="2" borderId="0" xfId="2" applyNumberFormat="1" applyFont="1" applyFill="1" applyAlignment="1">
      <alignment horizontal="center" vertical="center"/>
    </xf>
    <xf numFmtId="165" fontId="0" fillId="2" borderId="0" xfId="2" applyNumberFormat="1" applyFont="1" applyFill="1" applyAlignment="1">
      <alignment vertical="center"/>
    </xf>
    <xf numFmtId="165" fontId="0" fillId="2" borderId="0" xfId="2" applyNumberFormat="1" applyFont="1" applyFill="1" applyBorder="1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36" xfId="4" applyFont="1" applyBorder="1" applyAlignment="1">
      <alignment horizontal="center" vertical="center"/>
    </xf>
    <xf numFmtId="0" fontId="0" fillId="0" borderId="37" xfId="4" applyFont="1" applyBorder="1" applyAlignment="1">
      <alignment vertical="center" wrapText="1"/>
    </xf>
    <xf numFmtId="0" fontId="0" fillId="0" borderId="37" xfId="4" applyFont="1" applyBorder="1" applyAlignment="1">
      <alignment horizontal="center" vertical="center"/>
    </xf>
    <xf numFmtId="164" fontId="6" fillId="0" borderId="37" xfId="2" applyNumberFormat="1" applyFont="1" applyFill="1" applyBorder="1" applyAlignment="1">
      <alignment vertical="center"/>
    </xf>
    <xf numFmtId="2" fontId="0" fillId="0" borderId="37" xfId="4" applyNumberFormat="1" applyFont="1" applyBorder="1" applyAlignment="1">
      <alignment horizontal="center" vertical="center"/>
    </xf>
    <xf numFmtId="164" fontId="6" fillId="0" borderId="38" xfId="2" applyNumberFormat="1" applyFont="1" applyFill="1" applyBorder="1" applyAlignment="1">
      <alignment horizontal="center" vertical="center"/>
    </xf>
    <xf numFmtId="4" fontId="6" fillId="0" borderId="36" xfId="1" applyNumberFormat="1" applyFont="1" applyFill="1" applyBorder="1" applyAlignment="1">
      <alignment horizontal="center" vertical="center"/>
    </xf>
    <xf numFmtId="165" fontId="0" fillId="2" borderId="38" xfId="2" applyNumberFormat="1" applyFont="1" applyFill="1" applyBorder="1" applyAlignment="1">
      <alignment vertical="center"/>
    </xf>
    <xf numFmtId="165" fontId="0" fillId="0" borderId="38" xfId="2" applyNumberFormat="1" applyFont="1" applyFill="1" applyBorder="1" applyAlignment="1">
      <alignment vertical="center"/>
    </xf>
    <xf numFmtId="0" fontId="0" fillId="0" borderId="37" xfId="4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4" fontId="0" fillId="0" borderId="36" xfId="1" applyNumberFormat="1" applyFont="1" applyFill="1" applyBorder="1" applyAlignment="1">
      <alignment horizontal="center" vertical="center"/>
    </xf>
    <xf numFmtId="3" fontId="0" fillId="0" borderId="37" xfId="4" applyNumberFormat="1" applyFont="1" applyBorder="1" applyAlignment="1">
      <alignment horizontal="center" vertical="center"/>
    </xf>
    <xf numFmtId="0" fontId="0" fillId="0" borderId="36" xfId="4" applyFont="1" applyBorder="1" applyAlignment="1">
      <alignment horizontal="center" vertical="center" wrapText="1"/>
    </xf>
    <xf numFmtId="3" fontId="0" fillId="0" borderId="37" xfId="4" applyNumberFormat="1" applyFont="1" applyBorder="1" applyAlignment="1">
      <alignment horizontal="center" vertical="center" wrapText="1"/>
    </xf>
    <xf numFmtId="2" fontId="0" fillId="0" borderId="37" xfId="4" applyNumberFormat="1" applyFont="1" applyBorder="1" applyAlignment="1">
      <alignment horizontal="center" vertical="center" wrapText="1"/>
    </xf>
    <xf numFmtId="164" fontId="0" fillId="0" borderId="37" xfId="2" applyNumberFormat="1" applyFont="1" applyFill="1" applyBorder="1" applyAlignment="1">
      <alignment vertical="center"/>
    </xf>
    <xf numFmtId="0" fontId="0" fillId="0" borderId="37" xfId="4" applyFont="1" applyBorder="1" applyAlignment="1">
      <alignment horizontal="left" vertical="center"/>
    </xf>
    <xf numFmtId="49" fontId="0" fillId="0" borderId="37" xfId="4" applyNumberFormat="1" applyFont="1" applyBorder="1" applyAlignment="1">
      <alignment vertical="center" wrapText="1"/>
    </xf>
    <xf numFmtId="49" fontId="0" fillId="0" borderId="37" xfId="4" applyNumberFormat="1" applyFont="1" applyBorder="1" applyAlignment="1">
      <alignment horizontal="center" vertical="center" wrapText="1"/>
    </xf>
    <xf numFmtId="4" fontId="0" fillId="0" borderId="37" xfId="4" applyNumberFormat="1" applyFont="1" applyBorder="1" applyAlignment="1">
      <alignment horizontal="center" vertical="center" wrapText="1"/>
    </xf>
    <xf numFmtId="0" fontId="0" fillId="0" borderId="37" xfId="4" applyFont="1" applyBorder="1" applyAlignment="1">
      <alignment horizontal="center" vertical="center" wrapText="1"/>
    </xf>
    <xf numFmtId="0" fontId="6" fillId="0" borderId="37" xfId="4" applyFont="1" applyBorder="1" applyAlignment="1">
      <alignment horizontal="justify" vertical="center" wrapText="1"/>
    </xf>
    <xf numFmtId="0" fontId="6" fillId="0" borderId="37" xfId="4" applyFont="1" applyBorder="1" applyAlignment="1">
      <alignment horizontal="center" vertical="center"/>
    </xf>
    <xf numFmtId="2" fontId="6" fillId="0" borderId="37" xfId="4" applyNumberFormat="1" applyFont="1" applyBorder="1" applyAlignment="1">
      <alignment horizontal="center" vertical="center"/>
    </xf>
    <xf numFmtId="164" fontId="0" fillId="0" borderId="0" xfId="2" applyNumberFormat="1" applyFont="1" applyFill="1" applyAlignment="1">
      <alignment vertical="center"/>
    </xf>
    <xf numFmtId="0" fontId="3" fillId="3" borderId="36" xfId="4" applyFont="1" applyFill="1" applyBorder="1" applyAlignment="1">
      <alignment horizontal="center" vertical="center"/>
    </xf>
    <xf numFmtId="0" fontId="3" fillId="3" borderId="37" xfId="4" applyFont="1" applyFill="1" applyBorder="1" applyAlignment="1">
      <alignment vertical="center" wrapText="1"/>
    </xf>
    <xf numFmtId="0" fontId="3" fillId="3" borderId="37" xfId="4" applyFont="1" applyFill="1" applyBorder="1" applyAlignment="1">
      <alignment horizontal="center" vertical="center"/>
    </xf>
    <xf numFmtId="164" fontId="0" fillId="3" borderId="37" xfId="2" applyNumberFormat="1" applyFont="1" applyFill="1" applyBorder="1" applyAlignment="1">
      <alignment vertical="center"/>
    </xf>
    <xf numFmtId="2" fontId="3" fillId="3" borderId="37" xfId="4" applyNumberFormat="1" applyFont="1" applyFill="1" applyBorder="1" applyAlignment="1">
      <alignment horizontal="center" vertical="center"/>
    </xf>
    <xf numFmtId="4" fontId="0" fillId="3" borderId="36" xfId="1" applyNumberFormat="1" applyFont="1" applyFill="1" applyBorder="1" applyAlignment="1">
      <alignment horizontal="center" vertical="center"/>
    </xf>
    <xf numFmtId="165" fontId="0" fillId="3" borderId="38" xfId="2" applyNumberFormat="1" applyFont="1" applyFill="1" applyBorder="1" applyAlignment="1">
      <alignment vertical="center"/>
    </xf>
    <xf numFmtId="4" fontId="6" fillId="3" borderId="36" xfId="1" applyNumberFormat="1" applyFont="1" applyFill="1" applyBorder="1" applyAlignment="1">
      <alignment horizontal="center" vertical="center"/>
    </xf>
    <xf numFmtId="0" fontId="0" fillId="0" borderId="25" xfId="4" applyFont="1" applyBorder="1" applyAlignment="1">
      <alignment horizontal="center" vertical="center"/>
    </xf>
    <xf numFmtId="0" fontId="0" fillId="0" borderId="26" xfId="4" applyFont="1" applyBorder="1" applyAlignment="1">
      <alignment vertical="center" wrapText="1"/>
    </xf>
    <xf numFmtId="0" fontId="0" fillId="0" borderId="26" xfId="4" applyFont="1" applyBorder="1" applyAlignment="1">
      <alignment horizontal="center" vertical="center"/>
    </xf>
    <xf numFmtId="164" fontId="0" fillId="0" borderId="26" xfId="2" applyNumberFormat="1" applyFont="1" applyFill="1" applyBorder="1" applyAlignment="1">
      <alignment vertical="center"/>
    </xf>
    <xf numFmtId="2" fontId="0" fillId="0" borderId="26" xfId="4" applyNumberFormat="1" applyFont="1" applyBorder="1" applyAlignment="1">
      <alignment horizontal="center" vertical="center"/>
    </xf>
    <xf numFmtId="164" fontId="6" fillId="0" borderId="27" xfId="2" applyNumberFormat="1" applyFont="1" applyFill="1" applyBorder="1" applyAlignment="1">
      <alignment horizontal="center" vertical="center"/>
    </xf>
    <xf numFmtId="4" fontId="6" fillId="0" borderId="25" xfId="1" applyNumberFormat="1" applyFont="1" applyFill="1" applyBorder="1" applyAlignment="1">
      <alignment horizontal="center" vertical="center"/>
    </xf>
    <xf numFmtId="165" fontId="0" fillId="2" borderId="27" xfId="2" applyNumberFormat="1" applyFont="1" applyFill="1" applyBorder="1" applyAlignment="1">
      <alignment vertical="center"/>
    </xf>
    <xf numFmtId="4" fontId="0" fillId="0" borderId="25" xfId="1" applyNumberFormat="1" applyFont="1" applyFill="1" applyBorder="1" applyAlignment="1">
      <alignment horizontal="center" vertical="center"/>
    </xf>
    <xf numFmtId="165" fontId="0" fillId="0" borderId="27" xfId="2" applyNumberFormat="1" applyFont="1" applyFill="1" applyBorder="1" applyAlignment="1">
      <alignment vertical="center"/>
    </xf>
    <xf numFmtId="164" fontId="0" fillId="0" borderId="37" xfId="2" applyNumberFormat="1" applyFont="1" applyBorder="1" applyAlignment="1">
      <alignment horizontal="right" vertical="center"/>
    </xf>
    <xf numFmtId="165" fontId="0" fillId="0" borderId="7" xfId="4" applyNumberFormat="1" applyFont="1" applyBorder="1" applyAlignment="1">
      <alignment horizontal="right" vertical="center"/>
    </xf>
    <xf numFmtId="164" fontId="0" fillId="0" borderId="37" xfId="2" applyNumberFormat="1" applyFont="1" applyBorder="1" applyAlignment="1">
      <alignment horizontal="right" vertical="center" wrapText="1"/>
    </xf>
    <xf numFmtId="165" fontId="0" fillId="0" borderId="7" xfId="4" applyNumberFormat="1" applyFont="1" applyBorder="1" applyAlignment="1">
      <alignment horizontal="right" vertical="center" wrapText="1"/>
    </xf>
    <xf numFmtId="0" fontId="0" fillId="0" borderId="37" xfId="0" applyBorder="1" applyAlignment="1">
      <alignment vertical="center" wrapText="1"/>
    </xf>
    <xf numFmtId="0" fontId="0" fillId="0" borderId="37" xfId="0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164" fontId="0" fillId="0" borderId="26" xfId="2" applyNumberFormat="1" applyFont="1" applyBorder="1" applyAlignment="1">
      <alignment horizontal="right" vertical="center"/>
    </xf>
    <xf numFmtId="165" fontId="0" fillId="0" borderId="13" xfId="4" applyNumberFormat="1" applyFont="1" applyBorder="1" applyAlignment="1">
      <alignment horizontal="right" vertical="center"/>
    </xf>
    <xf numFmtId="164" fontId="0" fillId="0" borderId="37" xfId="2" applyNumberFormat="1" applyFont="1" applyFill="1" applyBorder="1" applyAlignment="1">
      <alignment horizontal="right" vertical="center"/>
    </xf>
    <xf numFmtId="44" fontId="6" fillId="0" borderId="37" xfId="2" applyFont="1" applyFill="1" applyBorder="1" applyAlignment="1">
      <alignment vertical="center"/>
    </xf>
    <xf numFmtId="9" fontId="0" fillId="2" borderId="0" xfId="3" applyFont="1" applyFill="1" applyAlignment="1">
      <alignment horizontal="center" vertical="center"/>
    </xf>
    <xf numFmtId="0" fontId="0" fillId="2" borderId="0" xfId="3" applyNumberFormat="1" applyFont="1" applyFill="1" applyAlignment="1">
      <alignment horizontal="center" vertical="center"/>
    </xf>
    <xf numFmtId="166" fontId="3" fillId="2" borderId="0" xfId="0" applyNumberFormat="1" applyFont="1" applyFill="1" applyAlignment="1">
      <alignment vertical="center"/>
    </xf>
    <xf numFmtId="167" fontId="7" fillId="2" borderId="0" xfId="3" applyNumberFormat="1" applyFont="1" applyFill="1" applyAlignment="1">
      <alignment horizontal="center" vertical="center"/>
    </xf>
    <xf numFmtId="166" fontId="8" fillId="2" borderId="0" xfId="0" applyNumberFormat="1" applyFont="1" applyFill="1" applyAlignment="1">
      <alignment vertical="center"/>
    </xf>
    <xf numFmtId="164" fontId="8" fillId="2" borderId="0" xfId="2" applyNumberFormat="1" applyFont="1" applyFill="1" applyBorder="1" applyAlignment="1">
      <alignment vertical="center"/>
    </xf>
    <xf numFmtId="164" fontId="8" fillId="2" borderId="0" xfId="2" applyNumberFormat="1" applyFont="1" applyFill="1" applyAlignment="1">
      <alignment vertical="center"/>
    </xf>
    <xf numFmtId="165" fontId="8" fillId="2" borderId="0" xfId="0" applyNumberFormat="1" applyFont="1" applyFill="1" applyAlignment="1">
      <alignment horizontal="right" vertical="center"/>
    </xf>
    <xf numFmtId="168" fontId="3" fillId="2" borderId="0" xfId="0" applyNumberFormat="1" applyFont="1" applyFill="1" applyAlignment="1">
      <alignment vertical="center"/>
    </xf>
    <xf numFmtId="164" fontId="3" fillId="2" borderId="0" xfId="2" applyNumberFormat="1" applyFont="1" applyFill="1" applyBorder="1" applyAlignment="1">
      <alignment vertical="center"/>
    </xf>
    <xf numFmtId="165" fontId="3" fillId="2" borderId="0" xfId="0" applyNumberFormat="1" applyFont="1" applyFill="1" applyAlignment="1">
      <alignment horizontal="right" vertical="center"/>
    </xf>
    <xf numFmtId="166" fontId="3" fillId="2" borderId="12" xfId="0" applyNumberFormat="1" applyFont="1" applyFill="1" applyBorder="1" applyAlignment="1">
      <alignment horizontal="center" vertical="center"/>
    </xf>
    <xf numFmtId="164" fontId="3" fillId="2" borderId="12" xfId="2" applyNumberFormat="1" applyFont="1" applyFill="1" applyBorder="1" applyAlignment="1">
      <alignment horizontal="center" vertical="center"/>
    </xf>
    <xf numFmtId="165" fontId="3" fillId="2" borderId="12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4" applyFont="1" applyAlignment="1">
      <alignment vertical="center" readingOrder="1"/>
    </xf>
    <xf numFmtId="165" fontId="9" fillId="0" borderId="0" xfId="0" applyNumberFormat="1" applyFont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164" fontId="0" fillId="2" borderId="0" xfId="2" applyNumberFormat="1" applyFont="1" applyFill="1" applyBorder="1" applyAlignment="1">
      <alignment horizontal="center" vertical="center"/>
    </xf>
    <xf numFmtId="164" fontId="0" fillId="2" borderId="0" xfId="2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0" fillId="2" borderId="3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5" fontId="0" fillId="2" borderId="7" xfId="2" applyNumberFormat="1" applyFont="1" applyFill="1" applyBorder="1" applyAlignment="1">
      <alignment vertical="center"/>
    </xf>
    <xf numFmtId="165" fontId="0" fillId="0" borderId="7" xfId="2" applyNumberFormat="1" applyFont="1" applyFill="1" applyBorder="1" applyAlignment="1">
      <alignment vertical="center"/>
    </xf>
    <xf numFmtId="165" fontId="0" fillId="3" borderId="7" xfId="2" applyNumberFormat="1" applyFont="1" applyFill="1" applyBorder="1" applyAlignment="1">
      <alignment vertical="center"/>
    </xf>
    <xf numFmtId="165" fontId="0" fillId="2" borderId="13" xfId="2" applyNumberFormat="1" applyFont="1" applyFill="1" applyBorder="1" applyAlignment="1">
      <alignment vertical="center"/>
    </xf>
    <xf numFmtId="2" fontId="0" fillId="2" borderId="6" xfId="0" applyNumberFormat="1" applyFill="1" applyBorder="1" applyAlignment="1">
      <alignment horizontal="center" vertical="center"/>
    </xf>
    <xf numFmtId="4" fontId="6" fillId="3" borderId="6" xfId="1" applyNumberFormat="1" applyFont="1" applyFill="1" applyBorder="1" applyAlignment="1">
      <alignment horizontal="center" vertical="center"/>
    </xf>
    <xf numFmtId="2" fontId="0" fillId="2" borderId="40" xfId="0" applyNumberFormat="1" applyFill="1" applyBorder="1" applyAlignment="1">
      <alignment horizontal="center" vertical="center"/>
    </xf>
    <xf numFmtId="9" fontId="0" fillId="2" borderId="39" xfId="3" applyFont="1" applyFill="1" applyBorder="1" applyAlignment="1">
      <alignment horizontal="center" vertical="center"/>
    </xf>
    <xf numFmtId="9" fontId="0" fillId="2" borderId="41" xfId="3" applyFont="1" applyFill="1" applyBorder="1" applyAlignment="1">
      <alignment horizontal="center" vertical="center"/>
    </xf>
    <xf numFmtId="9" fontId="0" fillId="3" borderId="39" xfId="3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" fontId="6" fillId="0" borderId="46" xfId="1" applyNumberFormat="1" applyFont="1" applyFill="1" applyBorder="1" applyAlignment="1">
      <alignment horizontal="center" vertical="center"/>
    </xf>
    <xf numFmtId="9" fontId="0" fillId="2" borderId="48" xfId="3" applyFont="1" applyFill="1" applyBorder="1" applyAlignment="1">
      <alignment horizontal="center" vertical="center"/>
    </xf>
    <xf numFmtId="2" fontId="0" fillId="2" borderId="49" xfId="0" applyNumberFormat="1" applyFill="1" applyBorder="1" applyAlignment="1">
      <alignment horizontal="center" vertical="center"/>
    </xf>
    <xf numFmtId="164" fontId="0" fillId="2" borderId="50" xfId="0" applyNumberFormat="1" applyFill="1" applyBorder="1" applyAlignment="1">
      <alignment horizontal="center" vertical="center"/>
    </xf>
    <xf numFmtId="4" fontId="6" fillId="0" borderId="31" xfId="1" applyNumberFormat="1" applyFont="1" applyFill="1" applyBorder="1" applyAlignment="1">
      <alignment horizontal="center" vertical="center"/>
    </xf>
    <xf numFmtId="165" fontId="0" fillId="2" borderId="45" xfId="2" applyNumberFormat="1" applyFont="1" applyFill="1" applyBorder="1" applyAlignment="1">
      <alignment vertical="center"/>
    </xf>
    <xf numFmtId="9" fontId="0" fillId="2" borderId="35" xfId="3" applyFont="1" applyFill="1" applyBorder="1" applyAlignment="1">
      <alignment horizontal="center" vertical="center"/>
    </xf>
    <xf numFmtId="2" fontId="0" fillId="2" borderId="34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37" xfId="0" applyBorder="1" applyAlignment="1">
      <alignment horizontal="left" vertical="center"/>
    </xf>
    <xf numFmtId="164" fontId="0" fillId="0" borderId="37" xfId="2" applyNumberFormat="1" applyFont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10" fontId="0" fillId="2" borderId="39" xfId="3" applyNumberFormat="1" applyFont="1" applyFill="1" applyBorder="1" applyAlignment="1">
      <alignment horizontal="center" vertical="center"/>
    </xf>
    <xf numFmtId="165" fontId="15" fillId="0" borderId="7" xfId="2" applyNumberFormat="1" applyFont="1" applyFill="1" applyBorder="1" applyAlignment="1">
      <alignment vertical="center"/>
    </xf>
    <xf numFmtId="0" fontId="2" fillId="6" borderId="31" xfId="4" applyFont="1" applyFill="1" applyBorder="1" applyAlignment="1">
      <alignment horizontal="center" vertical="center"/>
    </xf>
    <xf numFmtId="0" fontId="2" fillId="6" borderId="32" xfId="4" applyFont="1" applyFill="1" applyBorder="1" applyAlignment="1">
      <alignment vertical="center" wrapText="1"/>
    </xf>
    <xf numFmtId="0" fontId="2" fillId="6" borderId="32" xfId="4" applyFont="1" applyFill="1" applyBorder="1" applyAlignment="1">
      <alignment horizontal="center" vertical="center"/>
    </xf>
    <xf numFmtId="164" fontId="2" fillId="6" borderId="32" xfId="2" applyNumberFormat="1" applyFont="1" applyFill="1" applyBorder="1" applyAlignment="1">
      <alignment horizontal="center" vertical="center"/>
    </xf>
    <xf numFmtId="165" fontId="2" fillId="6" borderId="33" xfId="4" applyNumberFormat="1" applyFont="1" applyFill="1" applyBorder="1" applyAlignment="1">
      <alignment horizontal="center" vertical="center"/>
    </xf>
    <xf numFmtId="0" fontId="2" fillId="6" borderId="33" xfId="4" applyFont="1" applyFill="1" applyBorder="1" applyAlignment="1">
      <alignment horizontal="center" vertical="center"/>
    </xf>
    <xf numFmtId="165" fontId="2" fillId="6" borderId="45" xfId="4" applyNumberFormat="1" applyFont="1" applyFill="1" applyBorder="1" applyAlignment="1">
      <alignment horizontal="center" vertical="center"/>
    </xf>
    <xf numFmtId="9" fontId="2" fillId="7" borderId="43" xfId="3" applyFont="1" applyFill="1" applyBorder="1" applyAlignment="1">
      <alignment horizontal="center" vertical="center"/>
    </xf>
    <xf numFmtId="0" fontId="2" fillId="6" borderId="42" xfId="4" applyFont="1" applyFill="1" applyBorder="1" applyAlignment="1">
      <alignment horizontal="center" vertical="center"/>
    </xf>
    <xf numFmtId="165" fontId="2" fillId="6" borderId="21" xfId="4" applyNumberFormat="1" applyFont="1" applyFill="1" applyBorder="1" applyAlignment="1">
      <alignment horizontal="center" vertical="center"/>
    </xf>
    <xf numFmtId="9" fontId="2" fillId="7" borderId="39" xfId="3" applyFont="1" applyFill="1" applyBorder="1" applyAlignment="1">
      <alignment horizontal="center" vertical="center"/>
    </xf>
    <xf numFmtId="0" fontId="2" fillId="6" borderId="6" xfId="4" applyFont="1" applyFill="1" applyBorder="1" applyAlignment="1">
      <alignment horizontal="center" vertical="center"/>
    </xf>
    <xf numFmtId="165" fontId="2" fillId="6" borderId="38" xfId="4" applyNumberFormat="1" applyFont="1" applyFill="1" applyBorder="1" applyAlignment="1">
      <alignment horizontal="center" vertical="center"/>
    </xf>
    <xf numFmtId="2" fontId="5" fillId="8" borderId="28" xfId="0" applyNumberFormat="1" applyFont="1" applyFill="1" applyBorder="1" applyAlignment="1">
      <alignment horizontal="center" vertical="center" wrapText="1"/>
    </xf>
    <xf numFmtId="0" fontId="5" fillId="8" borderId="29" xfId="0" applyFont="1" applyFill="1" applyBorder="1" applyAlignment="1">
      <alignment horizontal="center" vertical="center" wrapText="1"/>
    </xf>
    <xf numFmtId="164" fontId="5" fillId="8" borderId="29" xfId="2" applyNumberFormat="1" applyFont="1" applyFill="1" applyBorder="1" applyAlignment="1">
      <alignment horizontal="center" vertical="center" wrapText="1"/>
    </xf>
    <xf numFmtId="4" fontId="5" fillId="8" borderId="29" xfId="0" applyNumberFormat="1" applyFont="1" applyFill="1" applyBorder="1" applyAlignment="1">
      <alignment horizontal="center" vertical="center" wrapText="1"/>
    </xf>
    <xf numFmtId="165" fontId="5" fillId="8" borderId="30" xfId="2" applyNumberFormat="1" applyFont="1" applyFill="1" applyBorder="1" applyAlignment="1">
      <alignment horizontal="center" vertical="center" wrapText="1"/>
    </xf>
    <xf numFmtId="4" fontId="5" fillId="8" borderId="28" xfId="0" applyNumberFormat="1" applyFont="1" applyFill="1" applyBorder="1" applyAlignment="1">
      <alignment horizontal="center" vertical="center" wrapText="1"/>
    </xf>
    <xf numFmtId="165" fontId="5" fillId="8" borderId="29" xfId="2" applyNumberFormat="1" applyFont="1" applyFill="1" applyBorder="1" applyAlignment="1">
      <alignment horizontal="center" vertical="center" wrapText="1"/>
    </xf>
    <xf numFmtId="4" fontId="5" fillId="8" borderId="30" xfId="0" applyNumberFormat="1" applyFont="1" applyFill="1" applyBorder="1" applyAlignment="1">
      <alignment horizontal="center" vertical="center" wrapText="1"/>
    </xf>
    <xf numFmtId="165" fontId="13" fillId="8" borderId="30" xfId="2" applyNumberFormat="1" applyFont="1" applyFill="1" applyBorder="1" applyAlignment="1">
      <alignment horizontal="center" vertical="center" wrapText="1"/>
    </xf>
    <xf numFmtId="2" fontId="4" fillId="9" borderId="37" xfId="4" applyNumberFormat="1" applyFont="1" applyFill="1" applyBorder="1" applyAlignment="1">
      <alignment horizontal="center" vertical="center"/>
    </xf>
    <xf numFmtId="164" fontId="4" fillId="9" borderId="38" xfId="2" applyNumberFormat="1" applyFont="1" applyFill="1" applyBorder="1" applyAlignment="1">
      <alignment horizontal="center" vertical="center"/>
    </xf>
    <xf numFmtId="0" fontId="2" fillId="6" borderId="36" xfId="4" applyFont="1" applyFill="1" applyBorder="1" applyAlignment="1">
      <alignment horizontal="center" vertical="center"/>
    </xf>
    <xf numFmtId="0" fontId="2" fillId="6" borderId="37" xfId="4" applyFont="1" applyFill="1" applyBorder="1" applyAlignment="1">
      <alignment vertical="center" wrapText="1"/>
    </xf>
    <xf numFmtId="0" fontId="2" fillId="6" borderId="37" xfId="4" applyFont="1" applyFill="1" applyBorder="1" applyAlignment="1">
      <alignment horizontal="center" vertical="center"/>
    </xf>
    <xf numFmtId="164" fontId="2" fillId="6" borderId="37" xfId="2" applyNumberFormat="1" applyFont="1" applyFill="1" applyBorder="1" applyAlignment="1">
      <alignment horizontal="right" vertical="center"/>
    </xf>
    <xf numFmtId="2" fontId="2" fillId="6" borderId="37" xfId="4" applyNumberFormat="1" applyFont="1" applyFill="1" applyBorder="1" applyAlignment="1">
      <alignment horizontal="center" vertical="center"/>
    </xf>
    <xf numFmtId="0" fontId="14" fillId="8" borderId="29" xfId="0" applyFont="1" applyFill="1" applyBorder="1" applyAlignment="1">
      <alignment horizontal="center" vertical="center" wrapText="1"/>
    </xf>
    <xf numFmtId="165" fontId="14" fillId="10" borderId="3" xfId="4" applyNumberFormat="1" applyFont="1" applyFill="1" applyBorder="1" applyAlignment="1">
      <alignment horizontal="right" vertical="center"/>
    </xf>
    <xf numFmtId="0" fontId="14" fillId="11" borderId="19" xfId="4" applyFont="1" applyFill="1" applyBorder="1" applyAlignment="1">
      <alignment horizontal="center" vertical="center" wrapText="1"/>
    </xf>
    <xf numFmtId="165" fontId="14" fillId="11" borderId="21" xfId="4" applyNumberFormat="1" applyFont="1" applyFill="1" applyBorder="1" applyAlignment="1">
      <alignment horizontal="right" vertical="center"/>
    </xf>
    <xf numFmtId="165" fontId="14" fillId="10" borderId="8" xfId="4" applyNumberFormat="1" applyFont="1" applyFill="1" applyBorder="1" applyAlignment="1">
      <alignment horizontal="right" vertical="center"/>
    </xf>
    <xf numFmtId="0" fontId="14" fillId="11" borderId="36" xfId="4" applyFont="1" applyFill="1" applyBorder="1" applyAlignment="1">
      <alignment horizontal="center" vertical="center" wrapText="1"/>
    </xf>
    <xf numFmtId="165" fontId="14" fillId="11" borderId="38" xfId="4" applyNumberFormat="1" applyFont="1" applyFill="1" applyBorder="1" applyAlignment="1">
      <alignment horizontal="right" vertical="center"/>
    </xf>
    <xf numFmtId="165" fontId="14" fillId="10" borderId="14" xfId="4" applyNumberFormat="1" applyFont="1" applyFill="1" applyBorder="1" applyAlignment="1">
      <alignment horizontal="right" vertical="center"/>
    </xf>
    <xf numFmtId="0" fontId="14" fillId="11" borderId="25" xfId="4" applyFont="1" applyFill="1" applyBorder="1" applyAlignment="1">
      <alignment horizontal="center" vertical="center" wrapText="1"/>
    </xf>
    <xf numFmtId="165" fontId="14" fillId="11" borderId="27" xfId="4" applyNumberFormat="1" applyFont="1" applyFill="1" applyBorder="1" applyAlignment="1">
      <alignment horizontal="right" vertical="center"/>
    </xf>
    <xf numFmtId="0" fontId="0" fillId="2" borderId="12" xfId="0" applyFill="1" applyBorder="1" applyAlignment="1">
      <alignment horizontal="center" vertical="center"/>
    </xf>
    <xf numFmtId="9" fontId="0" fillId="0" borderId="39" xfId="3" applyFont="1" applyFill="1" applyBorder="1" applyAlignment="1">
      <alignment horizontal="center" vertical="center"/>
    </xf>
    <xf numFmtId="164" fontId="0" fillId="0" borderId="0" xfId="0" applyNumberFormat="1"/>
    <xf numFmtId="165" fontId="6" fillId="0" borderId="7" xfId="2" applyNumberFormat="1" applyFont="1" applyFill="1" applyBorder="1" applyAlignment="1">
      <alignment vertical="center"/>
    </xf>
    <xf numFmtId="165" fontId="6" fillId="0" borderId="13" xfId="2" applyNumberFormat="1" applyFont="1" applyFill="1" applyBorder="1" applyAlignment="1">
      <alignment vertical="center"/>
    </xf>
    <xf numFmtId="165" fontId="6" fillId="0" borderId="47" xfId="2" applyNumberFormat="1" applyFont="1" applyFill="1" applyBorder="1" applyAlignment="1">
      <alignment vertical="center"/>
    </xf>
    <xf numFmtId="164" fontId="0" fillId="0" borderId="37" xfId="0" applyNumberFormat="1" applyBorder="1" applyAlignment="1">
      <alignment horizontal="center" vertical="center"/>
    </xf>
    <xf numFmtId="164" fontId="3" fillId="8" borderId="37" xfId="0" applyNumberFormat="1" applyFont="1" applyFill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5" fontId="14" fillId="8" borderId="29" xfId="2" applyNumberFormat="1" applyFont="1" applyFill="1" applyBorder="1" applyAlignment="1">
      <alignment horizontal="center" vertical="center" wrapText="1"/>
    </xf>
    <xf numFmtId="166" fontId="3" fillId="2" borderId="0" xfId="0" applyNumberFormat="1" applyFont="1" applyFill="1" applyAlignment="1">
      <alignment horizontal="center" vertical="center"/>
    </xf>
    <xf numFmtId="164" fontId="3" fillId="0" borderId="0" xfId="2" applyNumberFormat="1" applyFont="1" applyFill="1" applyBorder="1" applyAlignment="1">
      <alignment horizontal="center" vertical="center"/>
    </xf>
    <xf numFmtId="164" fontId="0" fillId="13" borderId="37" xfId="2" applyNumberFormat="1" applyFont="1" applyFill="1" applyBorder="1" applyAlignment="1">
      <alignment horizontal="center" vertical="center"/>
    </xf>
    <xf numFmtId="164" fontId="3" fillId="13" borderId="37" xfId="0" applyNumberFormat="1" applyFont="1" applyFill="1" applyBorder="1" applyAlignment="1">
      <alignment horizontal="center" vertical="center"/>
    </xf>
    <xf numFmtId="0" fontId="0" fillId="2" borderId="0" xfId="0" applyFill="1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justify" vertical="center" wrapText="1"/>
    </xf>
    <xf numFmtId="0" fontId="0" fillId="13" borderId="0" xfId="0" applyFill="1" applyAlignment="1">
      <alignment horizontal="center" vertical="center"/>
    </xf>
    <xf numFmtId="169" fontId="0" fillId="13" borderId="0" xfId="0" applyNumberForma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169" fontId="0" fillId="2" borderId="0" xfId="0" applyNumberFormat="1" applyFill="1" applyAlignment="1">
      <alignment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8" fontId="0" fillId="2" borderId="0" xfId="0" applyNumberFormat="1" applyFill="1" applyAlignment="1">
      <alignment vertical="center"/>
    </xf>
    <xf numFmtId="0" fontId="0" fillId="2" borderId="0" xfId="0" applyFill="1" applyAlignment="1">
      <alignment horizontal="left" vertical="center" wrapText="1"/>
    </xf>
    <xf numFmtId="0" fontId="16" fillId="2" borderId="0" xfId="0" applyFont="1" applyFill="1" applyAlignment="1">
      <alignment horizontal="right" vertical="center"/>
    </xf>
    <xf numFmtId="169" fontId="16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169" fontId="3" fillId="2" borderId="0" xfId="0" applyNumberFormat="1" applyFont="1" applyFill="1" applyAlignment="1">
      <alignment vertical="center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/>
    </xf>
    <xf numFmtId="170" fontId="0" fillId="2" borderId="0" xfId="0" applyNumberFormat="1" applyFill="1" applyAlignment="1">
      <alignment vertical="center"/>
    </xf>
    <xf numFmtId="0" fontId="3" fillId="3" borderId="0" xfId="0" applyFont="1" applyFill="1" applyAlignment="1">
      <alignment horizontal="justify" vertical="center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9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6" fillId="0" borderId="0" xfId="0" applyFont="1" applyAlignment="1">
      <alignment horizontal="right" vertical="center"/>
    </xf>
    <xf numFmtId="169" fontId="16" fillId="0" borderId="0" xfId="0" applyNumberFormat="1" applyFont="1" applyAlignment="1">
      <alignment vertical="center"/>
    </xf>
    <xf numFmtId="170" fontId="0" fillId="0" borderId="0" xfId="0" applyNumberFormat="1" applyAlignment="1">
      <alignment vertical="center"/>
    </xf>
    <xf numFmtId="8" fontId="0" fillId="0" borderId="0" xfId="0" applyNumberFormat="1" applyAlignment="1">
      <alignment vertical="center"/>
    </xf>
    <xf numFmtId="0" fontId="3" fillId="0" borderId="0" xfId="0" applyFont="1" applyAlignment="1">
      <alignment horizontal="right" vertical="center"/>
    </xf>
    <xf numFmtId="169" fontId="3" fillId="0" borderId="0" xfId="0" applyNumberFormat="1" applyFont="1" applyAlignment="1">
      <alignment vertical="center"/>
    </xf>
    <xf numFmtId="0" fontId="1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5" fontId="3" fillId="2" borderId="1" xfId="2" applyNumberFormat="1" applyFont="1" applyFill="1" applyBorder="1" applyAlignment="1">
      <alignment horizontal="center" vertical="center" wrapText="1"/>
    </xf>
    <xf numFmtId="165" fontId="3" fillId="2" borderId="2" xfId="2" applyNumberFormat="1" applyFont="1" applyFill="1" applyBorder="1" applyAlignment="1">
      <alignment horizontal="center" vertical="center" wrapText="1"/>
    </xf>
    <xf numFmtId="165" fontId="3" fillId="2" borderId="4" xfId="2" applyNumberFormat="1" applyFont="1" applyFill="1" applyBorder="1" applyAlignment="1">
      <alignment horizontal="center" vertical="center" wrapText="1"/>
    </xf>
    <xf numFmtId="165" fontId="3" fillId="2" borderId="9" xfId="2" applyNumberFormat="1" applyFont="1" applyFill="1" applyBorder="1" applyAlignment="1">
      <alignment horizontal="center" vertical="center" wrapText="1"/>
    </xf>
    <xf numFmtId="165" fontId="3" fillId="2" borderId="0" xfId="2" applyNumberFormat="1" applyFont="1" applyFill="1" applyBorder="1" applyAlignment="1">
      <alignment horizontal="center" vertical="center" wrapText="1"/>
    </xf>
    <xf numFmtId="165" fontId="3" fillId="2" borderId="10" xfId="2" applyNumberFormat="1" applyFont="1" applyFill="1" applyBorder="1" applyAlignment="1">
      <alignment horizontal="center" vertical="center" wrapText="1"/>
    </xf>
    <xf numFmtId="165" fontId="3" fillId="2" borderId="11" xfId="2" applyNumberFormat="1" applyFont="1" applyFill="1" applyBorder="1" applyAlignment="1">
      <alignment horizontal="center" vertical="center" wrapText="1"/>
    </xf>
    <xf numFmtId="165" fontId="3" fillId="2" borderId="12" xfId="2" applyNumberFormat="1" applyFont="1" applyFill="1" applyBorder="1" applyAlignment="1">
      <alignment horizontal="center" vertical="center" wrapText="1"/>
    </xf>
    <xf numFmtId="165" fontId="3" fillId="2" borderId="15" xfId="2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2" fontId="3" fillId="5" borderId="16" xfId="0" applyNumberFormat="1" applyFont="1" applyFill="1" applyBorder="1" applyAlignment="1">
      <alignment horizontal="center" vertical="center" wrapText="1"/>
    </xf>
    <xf numFmtId="2" fontId="3" fillId="5" borderId="22" xfId="0" applyNumberFormat="1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164" fontId="14" fillId="5" borderId="17" xfId="2" applyNumberFormat="1" applyFont="1" applyFill="1" applyBorder="1" applyAlignment="1">
      <alignment horizontal="center" vertical="center" wrapText="1"/>
    </xf>
    <xf numFmtId="164" fontId="14" fillId="5" borderId="23" xfId="2" applyNumberFormat="1" applyFont="1" applyFill="1" applyBorder="1" applyAlignment="1">
      <alignment horizontal="center" vertical="center" wrapText="1"/>
    </xf>
    <xf numFmtId="4" fontId="14" fillId="5" borderId="17" xfId="0" applyNumberFormat="1" applyFont="1" applyFill="1" applyBorder="1" applyAlignment="1">
      <alignment horizontal="center" vertical="center" wrapText="1"/>
    </xf>
    <xf numFmtId="4" fontId="14" fillId="5" borderId="23" xfId="0" applyNumberFormat="1" applyFont="1" applyFill="1" applyBorder="1" applyAlignment="1">
      <alignment horizontal="center" vertical="center" wrapText="1"/>
    </xf>
    <xf numFmtId="164" fontId="14" fillId="5" borderId="18" xfId="2" applyNumberFormat="1" applyFont="1" applyFill="1" applyBorder="1" applyAlignment="1">
      <alignment horizontal="center" vertical="center" wrapText="1"/>
    </xf>
    <xf numFmtId="164" fontId="14" fillId="5" borderId="24" xfId="2" applyNumberFormat="1" applyFont="1" applyFill="1" applyBorder="1" applyAlignment="1">
      <alignment horizontal="center" vertical="center" wrapText="1"/>
    </xf>
    <xf numFmtId="165" fontId="14" fillId="5" borderId="51" xfId="2" applyNumberFormat="1" applyFont="1" applyFill="1" applyBorder="1" applyAlignment="1">
      <alignment horizontal="center" vertical="center" wrapText="1"/>
    </xf>
    <xf numFmtId="165" fontId="14" fillId="5" borderId="24" xfId="2" applyNumberFormat="1" applyFont="1" applyFill="1" applyBorder="1" applyAlignment="1">
      <alignment horizontal="center" vertical="center" wrapText="1"/>
    </xf>
    <xf numFmtId="0" fontId="14" fillId="10" borderId="36" xfId="4" applyFont="1" applyFill="1" applyBorder="1" applyAlignment="1">
      <alignment horizontal="left" vertical="center" wrapText="1"/>
    </xf>
    <xf numFmtId="0" fontId="14" fillId="10" borderId="37" xfId="4" applyFont="1" applyFill="1" applyBorder="1" applyAlignment="1">
      <alignment horizontal="left" vertical="center" wrapText="1"/>
    </xf>
    <xf numFmtId="0" fontId="14" fillId="10" borderId="38" xfId="4" applyFont="1" applyFill="1" applyBorder="1" applyAlignment="1">
      <alignment horizontal="left" vertical="center" wrapText="1"/>
    </xf>
    <xf numFmtId="0" fontId="14" fillId="10" borderId="25" xfId="4" applyFont="1" applyFill="1" applyBorder="1" applyAlignment="1">
      <alignment horizontal="left" vertical="center" wrapText="1"/>
    </xf>
    <xf numFmtId="0" fontId="14" fillId="10" borderId="26" xfId="4" applyFont="1" applyFill="1" applyBorder="1" applyAlignment="1">
      <alignment horizontal="left" vertical="center" wrapText="1"/>
    </xf>
    <xf numFmtId="0" fontId="14" fillId="10" borderId="27" xfId="4" applyFont="1" applyFill="1" applyBorder="1" applyAlignment="1">
      <alignment horizontal="left" vertical="center" wrapText="1"/>
    </xf>
    <xf numFmtId="0" fontId="14" fillId="10" borderId="19" xfId="4" applyFont="1" applyFill="1" applyBorder="1" applyAlignment="1">
      <alignment horizontal="left" vertical="center" wrapText="1"/>
    </xf>
    <xf numFmtId="0" fontId="14" fillId="10" borderId="20" xfId="4" applyFont="1" applyFill="1" applyBorder="1" applyAlignment="1">
      <alignment horizontal="left" vertical="center" wrapText="1"/>
    </xf>
    <xf numFmtId="0" fontId="14" fillId="10" borderId="21" xfId="4" applyFont="1" applyFill="1" applyBorder="1" applyAlignment="1">
      <alignment horizontal="left" vertical="center" wrapText="1"/>
    </xf>
    <xf numFmtId="4" fontId="14" fillId="5" borderId="52" xfId="0" applyNumberFormat="1" applyFont="1" applyFill="1" applyBorder="1" applyAlignment="1">
      <alignment horizontal="center" vertical="center" wrapText="1"/>
    </xf>
    <xf numFmtId="4" fontId="14" fillId="5" borderId="22" xfId="0" applyNumberFormat="1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  <xf numFmtId="4" fontId="0" fillId="2" borderId="4" xfId="0" applyNumberFormat="1" applyFill="1" applyBorder="1" applyAlignment="1">
      <alignment horizontal="center" vertical="center"/>
    </xf>
    <xf numFmtId="4" fontId="0" fillId="2" borderId="9" xfId="0" applyNumberFormat="1" applyFill="1" applyBorder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4" fontId="0" fillId="2" borderId="10" xfId="0" applyNumberFormat="1" applyFill="1" applyBorder="1" applyAlignment="1">
      <alignment horizontal="center" vertical="center"/>
    </xf>
    <xf numFmtId="4" fontId="0" fillId="2" borderId="11" xfId="0" applyNumberFormat="1" applyFill="1" applyBorder="1" applyAlignment="1">
      <alignment horizontal="center" vertical="center"/>
    </xf>
    <xf numFmtId="4" fontId="0" fillId="2" borderId="12" xfId="0" applyNumberFormat="1" applyFill="1" applyBorder="1" applyAlignment="1">
      <alignment horizontal="center" vertical="center"/>
    </xf>
    <xf numFmtId="4" fontId="0" fillId="2" borderId="15" xfId="0" applyNumberFormat="1" applyFill="1" applyBorder="1" applyAlignment="1">
      <alignment horizontal="center" vertical="center"/>
    </xf>
    <xf numFmtId="0" fontId="12" fillId="0" borderId="0" xfId="4" applyFont="1" applyAlignment="1">
      <alignment horizontal="center" vertical="center" readingOrder="1"/>
    </xf>
    <xf numFmtId="4" fontId="14" fillId="8" borderId="2" xfId="0" applyNumberFormat="1" applyFont="1" applyFill="1" applyBorder="1" applyAlignment="1">
      <alignment horizontal="center" vertical="center" wrapText="1"/>
    </xf>
    <xf numFmtId="4" fontId="14" fillId="8" borderId="4" xfId="0" applyNumberFormat="1" applyFont="1" applyFill="1" applyBorder="1" applyAlignment="1">
      <alignment horizontal="center" vertical="center" wrapText="1"/>
    </xf>
    <xf numFmtId="165" fontId="2" fillId="12" borderId="51" xfId="2" applyNumberFormat="1" applyFont="1" applyFill="1" applyBorder="1" applyAlignment="1">
      <alignment horizontal="center" vertical="center" wrapText="1"/>
    </xf>
    <xf numFmtId="165" fontId="2" fillId="12" borderId="24" xfId="2" applyNumberFormat="1" applyFont="1" applyFill="1" applyBorder="1" applyAlignment="1">
      <alignment horizontal="center" vertical="center" wrapText="1"/>
    </xf>
    <xf numFmtId="4" fontId="5" fillId="8" borderId="28" xfId="0" applyNumberFormat="1" applyFont="1" applyFill="1" applyBorder="1" applyAlignment="1">
      <alignment horizontal="center" vertical="center" wrapText="1"/>
    </xf>
    <xf numFmtId="4" fontId="5" fillId="8" borderId="29" xfId="0" applyNumberFormat="1" applyFont="1" applyFill="1" applyBorder="1" applyAlignment="1">
      <alignment horizontal="center" vertical="center" wrapText="1"/>
    </xf>
    <xf numFmtId="4" fontId="5" fillId="8" borderId="4" xfId="0" applyNumberFormat="1" applyFont="1" applyFill="1" applyBorder="1" applyAlignment="1">
      <alignment horizontal="center" vertical="center" wrapText="1"/>
    </xf>
    <xf numFmtId="4" fontId="2" fillId="12" borderId="52" xfId="0" applyNumberFormat="1" applyFont="1" applyFill="1" applyBorder="1" applyAlignment="1">
      <alignment horizontal="center" vertical="center" wrapText="1"/>
    </xf>
    <xf numFmtId="4" fontId="2" fillId="12" borderId="22" xfId="0" applyNumberFormat="1" applyFont="1" applyFill="1" applyBorder="1" applyAlignment="1">
      <alignment horizontal="center" vertical="center" wrapText="1"/>
    </xf>
    <xf numFmtId="169" fontId="3" fillId="3" borderId="0" xfId="0" applyNumberFormat="1" applyFont="1" applyFill="1" applyAlignment="1">
      <alignment horizontal="right" vertical="center"/>
    </xf>
    <xf numFmtId="0" fontId="14" fillId="14" borderId="0" xfId="0" applyFont="1" applyFill="1" applyAlignment="1">
      <alignment horizontal="center"/>
    </xf>
    <xf numFmtId="0" fontId="0" fillId="13" borderId="0" xfId="0" applyFill="1" applyAlignment="1">
      <alignment horizontal="center" vertical="center" wrapText="1"/>
    </xf>
  </cellXfs>
  <cellStyles count="5">
    <cellStyle name="Millares" xfId="1" builtinId="3"/>
    <cellStyle name="Moneda" xfId="2" builtinId="4"/>
    <cellStyle name="Normal" xfId="0" builtinId="0"/>
    <cellStyle name="Normal 3 2" xfId="4" xr:uid="{517A7A3F-06BD-4CF8-8804-1CC7DD400732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952501</xdr:colOff>
      <xdr:row>0</xdr:row>
      <xdr:rowOff>152401</xdr:rowOff>
    </xdr:from>
    <xdr:to>
      <xdr:col>16</xdr:col>
      <xdr:colOff>1399777</xdr:colOff>
      <xdr:row>2</xdr:row>
      <xdr:rowOff>277090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2AE3BE-FC74-404D-8069-6CD0C041C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23572" y="152401"/>
          <a:ext cx="2746884" cy="941118"/>
        </a:xfrm>
        <a:prstGeom prst="rect">
          <a:avLst/>
        </a:prstGeom>
      </xdr:spPr>
    </xdr:pic>
    <xdr:clientData/>
  </xdr:twoCellAnchor>
  <xdr:twoCellAnchor editAs="oneCell">
    <xdr:from>
      <xdr:col>12</xdr:col>
      <xdr:colOff>81642</xdr:colOff>
      <xdr:row>0</xdr:row>
      <xdr:rowOff>70017</xdr:rowOff>
    </xdr:from>
    <xdr:to>
      <xdr:col>12</xdr:col>
      <xdr:colOff>1027159</xdr:colOff>
      <xdr:row>2</xdr:row>
      <xdr:rowOff>207143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A823E48F-24EB-4516-8DFA-D8701009E71A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0831285" y="70017"/>
          <a:ext cx="945517" cy="953555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</xdr:col>
      <xdr:colOff>625928</xdr:colOff>
      <xdr:row>189</xdr:row>
      <xdr:rowOff>122465</xdr:rowOff>
    </xdr:from>
    <xdr:to>
      <xdr:col>4</xdr:col>
      <xdr:colOff>517071</xdr:colOff>
      <xdr:row>191</xdr:row>
      <xdr:rowOff>136496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4E205F-59CF-B152-D38C-1FBAF3F36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7642" y="57231644"/>
          <a:ext cx="2299608" cy="830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598714</xdr:colOff>
      <xdr:row>186</xdr:row>
      <xdr:rowOff>216846</xdr:rowOff>
    </xdr:from>
    <xdr:to>
      <xdr:col>14</xdr:col>
      <xdr:colOff>449036</xdr:colOff>
      <xdr:row>197</xdr:row>
      <xdr:rowOff>163285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864C66B-8DDF-8B04-4BF4-2655F7DB4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48357" y="56468775"/>
          <a:ext cx="2571750" cy="27767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entin/Documents/__MATIZ/__RIONEGRO/__ESE%20HOSPITAL/07___APOYO%20DIAGNOSTICO/13_LIQUIDACION/__ACTA%202/MEMORIAS/__MEMORIAS%20ACTA%2002%20FINALE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ocuments\HSJD\PROYECTOS\ADECUACIONES\EQUIPOS%20BIOM&#201;DICOS\Actas\ACTAS-02-y-03_R-03.xlsx" TargetMode="External"/><Relationship Id="rId1" Type="http://schemas.openxmlformats.org/officeDocument/2006/relationships/externalLinkPath" Target="ACTAS-02-y-03_R-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2.3"/>
      <sheetName val="BASE"/>
      <sheetName val="2.1"/>
      <sheetName val="2.4"/>
      <sheetName val="2.8"/>
      <sheetName val="2.15"/>
      <sheetName val="2.16"/>
      <sheetName val="3.8"/>
      <sheetName val="7.1"/>
      <sheetName val="7.15"/>
      <sheetName val="8.10"/>
      <sheetName val="10.1.1"/>
      <sheetName val="10.1.2"/>
      <sheetName val="10.2.1"/>
      <sheetName val="RES 1.1"/>
      <sheetName val="RES 1.2"/>
      <sheetName val="RES 5.2"/>
      <sheetName val="RES 7.2"/>
      <sheetName val="RES 7.4"/>
      <sheetName val="RES 8.1"/>
      <sheetName val="RES 10.1"/>
      <sheetName val="NP 2.4"/>
      <sheetName val="NP 2.5"/>
      <sheetName val="NP2.6"/>
    </sheetNames>
    <sheetDataSet>
      <sheetData sheetId="0"/>
      <sheetData sheetId="1"/>
      <sheetData sheetId="2"/>
      <sheetData sheetId="3">
        <row r="43">
          <cell r="K43">
            <v>104.95</v>
          </cell>
        </row>
      </sheetData>
      <sheetData sheetId="4"/>
      <sheetData sheetId="5">
        <row r="26">
          <cell r="K26">
            <v>17</v>
          </cell>
        </row>
      </sheetData>
      <sheetData sheetId="6">
        <row r="25">
          <cell r="K25">
            <v>16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TO CONTRACTUAL1"/>
      <sheetName val="ACTA 1"/>
      <sheetName val="ACTA 2"/>
      <sheetName val="ACTA 3"/>
      <sheetName val="APU NP"/>
    </sheetNames>
    <sheetDataSet>
      <sheetData sheetId="0" refreshError="1"/>
      <sheetData sheetId="1" refreshError="1"/>
      <sheetData sheetId="2" refreshError="1"/>
      <sheetData sheetId="3">
        <row r="146">
          <cell r="A146" t="str">
            <v>NP 1.1</v>
          </cell>
          <cell r="B146" t="str">
            <v>Construccion de Muro en Drywall una cara en placa de yeso e:12 cms, para cerramientos temporales, estructura en lamina galvanizada y todos los elementos necesarios para su correcta instalacion, sin acabado.</v>
          </cell>
        </row>
        <row r="147">
          <cell r="A147" t="str">
            <v>NP 2.1</v>
          </cell>
          <cell r="B147" t="str">
            <v>Demolición de muro en bloque de concreto macizo de 20cm de espesor</v>
          </cell>
        </row>
        <row r="148">
          <cell r="A148" t="str">
            <v>NP 2.2</v>
          </cell>
          <cell r="B148" t="str">
            <v>Desmonte de muros existentes en sistema Drywall</v>
          </cell>
        </row>
        <row r="149">
          <cell r="A149" t="str">
            <v>NP 2.3</v>
          </cell>
          <cell r="B149" t="str">
            <v>Demolición de zocalo en grano</v>
          </cell>
        </row>
        <row r="150">
          <cell r="A150" t="str">
            <v>NP 2.4</v>
          </cell>
          <cell r="B150" t="str">
            <v>Desmonte y reinstalacion de puerta vidriera doble ala y modulos fijos laterales, en 10mm</v>
          </cell>
        </row>
        <row r="151">
          <cell r="A151" t="str">
            <v>NP 2.5</v>
          </cell>
          <cell r="B151" t="str">
            <v>Desmonte de extractores en área de flouroscopio</v>
          </cell>
        </row>
        <row r="152">
          <cell r="A152" t="str">
            <v>NP 2.6</v>
          </cell>
          <cell r="B152" t="str">
            <v>Desmonte de cielo raso en PVC para paso de redes tecnicas</v>
          </cell>
        </row>
        <row r="153">
          <cell r="A153" t="str">
            <v>NP 2.7</v>
          </cell>
          <cell r="B153" t="str">
            <v>Desmonte de meson en acero</v>
          </cell>
        </row>
        <row r="154">
          <cell r="A154" t="str">
            <v>NP 2.8</v>
          </cell>
          <cell r="B154" t="str">
            <v>Excavación  Manual de material heterogeneo 0-2 m (rocas 0.35m3) bajo cualquier grado de humedad. Incluye acarreo desde el sitio de excavación hasta el sitio de cargue.</v>
          </cell>
        </row>
        <row r="155">
          <cell r="A155" t="str">
            <v>NP 2.9</v>
          </cell>
          <cell r="B155" t="str">
            <v>Lleno en Material proveniente de la Excavacion (Areno-limoso) y material de prestamo de acuerdo a necesidad, compactados mecánicamente. Incluye transporte interno.</v>
          </cell>
        </row>
        <row r="156">
          <cell r="A156" t="str">
            <v>NP 3.1</v>
          </cell>
          <cell r="B156" t="str">
            <v xml:space="preserve">Impermeabilización de muros en zonas afectadas por humedad, incluye preparación de superficie e imprimación </v>
          </cell>
        </row>
        <row r="157">
          <cell r="A157" t="str">
            <v>NP 3.2</v>
          </cell>
          <cell r="B157" t="str">
            <v>Regatas en mamposteria de bloque para ductos tecnicos, incluye canchada y resanada</v>
          </cell>
        </row>
        <row r="158">
          <cell r="A158" t="str">
            <v>NP 3.3</v>
          </cell>
          <cell r="B158" t="str">
            <v>Apertura en mamposteria para pases de ducteria tecnica en plenum</v>
          </cell>
        </row>
        <row r="159">
          <cell r="A159" t="str">
            <v>NP 3.4</v>
          </cell>
          <cell r="B159" t="str">
            <v xml:space="preserve">Construccion de Muro mixto en Drywall. Estructura interior lamina galvanizada y todos los elementos necesarios para su correcta instalacion y funcionamiento, incluye fondeado </v>
          </cell>
        </row>
        <row r="160">
          <cell r="A160" t="str">
            <v>NP 3.5</v>
          </cell>
          <cell r="B160" t="str">
            <v>Revoque seco en placa de yeso e:12mm</v>
          </cell>
        </row>
        <row r="161">
          <cell r="A161" t="str">
            <v>NP 3.6</v>
          </cell>
          <cell r="B161" t="str">
            <v>Fajas de revoque</v>
          </cell>
        </row>
        <row r="162">
          <cell r="A162" t="str">
            <v>NP 3.7</v>
          </cell>
          <cell r="B162" t="str">
            <v>Lineales de estuco</v>
          </cell>
        </row>
        <row r="163">
          <cell r="A163" t="str">
            <v>NP 3.8</v>
          </cell>
          <cell r="B163" t="str">
            <v>Construcción de dinteles en concreto reforzado; incluye formaleta y todos los elementos necesarios para su correcta ejecución.</v>
          </cell>
        </row>
        <row r="164">
          <cell r="A164" t="str">
            <v>NP 4.1</v>
          </cell>
          <cell r="B164" t="str">
            <v>Suministro e instalación de enchape cerámico</v>
          </cell>
        </row>
        <row r="165">
          <cell r="A165" t="str">
            <v>NP 5.1</v>
          </cell>
          <cell r="B165" t="str">
            <v>Suministro e instalación de cielo raso en PVC</v>
          </cell>
        </row>
        <row r="166">
          <cell r="A166" t="str">
            <v>NP 6.1</v>
          </cell>
          <cell r="B166" t="str">
            <v>Construcción de base para carcamos técnicos de los equipos de flouroscopia y mamografía; incluye malla de refuerzo, excavación, conformación de brecha, formaleteado y vaciado de concreto en sitio</v>
          </cell>
        </row>
        <row r="167">
          <cell r="A167" t="str">
            <v>NP 6.2</v>
          </cell>
          <cell r="B167" t="str">
            <v>Suministro e instalación de zocalo recto</v>
          </cell>
        </row>
        <row r="168">
          <cell r="A168" t="str">
            <v>NP 6.3</v>
          </cell>
          <cell r="B168" t="str">
            <v>Suministro, transporte y colocación de concreto de 12MPA para solado (sin refuerzo).  Incluye limpieza de superficie y todos los elementos necesarios para su correcta instalación y funcionamiento</v>
          </cell>
        </row>
        <row r="169">
          <cell r="A169" t="str">
            <v>NP 6.4</v>
          </cell>
          <cell r="B169" t="str">
            <v>Suministro, transporte y colocación de concreto de 21MPA para losa de contrapiso de espesor de 0,10m.  Incluye suministro, transporte e instalación del concreto. No incluye refuerzo.</v>
          </cell>
        </row>
        <row r="170">
          <cell r="A170" t="str">
            <v>NP 6.5</v>
          </cell>
          <cell r="B170" t="str">
            <v>Suministro, transporte y colocación de concreto de 28MPA para losa de contrapiso de 10cm.  Incluye suministro, transporte e instalación del concreto. No incluye refuerzo.</v>
          </cell>
        </row>
        <row r="171">
          <cell r="A171" t="str">
            <v>NP 6.6</v>
          </cell>
          <cell r="B171" t="str">
            <v>Suministro, transporte y colocación de concreto de 28MPA para losa de contrapiso de 25cm.  Incluye conformación, formaleta, suministro, transporte e instalación del concreto. No incluye refuerzo.</v>
          </cell>
        </row>
        <row r="172">
          <cell r="A172" t="str">
            <v>NP 6.7</v>
          </cell>
          <cell r="B172" t="str">
            <v>Suministro, transporte y colocación de concreto de 21MPA para viga de fundación de 20x20cm.  Incluye limpieza de superficie y todos los elementos necesarios para su correcta instalación y funcionamiento</v>
          </cell>
        </row>
        <row r="173">
          <cell r="A173" t="str">
            <v>NP 6.8</v>
          </cell>
          <cell r="B173" t="str">
            <v>Suministro e instalación de piso en porcelanato de 60x60; incluye adhesivo cementoso con latex, lechada y todo lo necesario para su correcta instalación</v>
          </cell>
        </row>
        <row r="174">
          <cell r="A174" t="str">
            <v>NP 6.9</v>
          </cell>
          <cell r="B174" t="str">
            <v>Suministro, transporte, corte, figuración, colocación y amarre de malla electrosoldada XX-084 para losa, incluye alambre y todos los elementos necesarios para su correcta instalación.</v>
          </cell>
        </row>
        <row r="175">
          <cell r="A175" t="str">
            <v>NP 6.10</v>
          </cell>
          <cell r="B175" t="str">
            <v>Suministro, figuración e instalacion de acero de refuerzo figurado Fy=420.</v>
          </cell>
        </row>
        <row r="176">
          <cell r="A176" t="str">
            <v>NP 7.1</v>
          </cell>
          <cell r="B176" t="str">
            <v>Reinstalacion de mueble en acero inoxidable</v>
          </cell>
        </row>
        <row r="177">
          <cell r="A177" t="str">
            <v>NP 7.2</v>
          </cell>
          <cell r="B177" t="str">
            <v>Suministro e instalación de bandeja metalica en acero inoxidable, incluyendo tramos de tapa de registro desmontable, en acero.</v>
          </cell>
        </row>
        <row r="178">
          <cell r="A178" t="str">
            <v>NP 7.3</v>
          </cell>
          <cell r="B178" t="str">
            <v>Readeacuación, restauración e instalacion de puerta blindada corrediza de 1,20x2,10m,  incluyendo contramarcos, cenefas, manijas en acero inoxidable y todo para su instalación adecuada</v>
          </cell>
        </row>
        <row r="179">
          <cell r="A179" t="str">
            <v>NP 7.4</v>
          </cell>
          <cell r="B179" t="str">
            <v>Suministro e instalacion de puerta batiente blindada de 0,85x2,10m</v>
          </cell>
        </row>
        <row r="180">
          <cell r="A180" t="str">
            <v>NP 7.5</v>
          </cell>
          <cell r="B180" t="str">
            <v>Suministro e instalacion de puerta vidriera batiente de 1,20x2,50m, incluye bisagra de piso.</v>
          </cell>
        </row>
        <row r="181">
          <cell r="A181" t="str">
            <v>NP 7.6</v>
          </cell>
          <cell r="B181" t="str">
            <v>Suministro e instalacion de ventana de tres cuerpos fijos, con perfileria en aluminio, vidrio laminado 3+3mm incoloro.</v>
          </cell>
        </row>
        <row r="182">
          <cell r="A182" t="str">
            <v>NP 7.7</v>
          </cell>
          <cell r="B182" t="str">
            <v>Suministro e instalacion de marco plomado para reutilización de ventana blindada en área de control de flouroscopia.</v>
          </cell>
        </row>
        <row r="183">
          <cell r="A183" t="str">
            <v>NP 7.8</v>
          </cell>
          <cell r="B183" t="str">
            <v>Suministro e instalacion de puerta batiente con marco, acabado en poliuretano blanco, incluyendo cerradura, contramarco y monstante, donde sea necesario, con ancho variable entre 0,85 y 1,10, y altura variable entre 2,10 y 2,50.</v>
          </cell>
        </row>
        <row r="184">
          <cell r="A184" t="str">
            <v>NP 7.9</v>
          </cell>
          <cell r="B184" t="str">
            <v>Suministro, transporte  e instalacion de marco en en madecor laminado, acolillado, color sagano, según diseño, para ventana de cuarto de monitoreo del resonador magnético.</v>
          </cell>
        </row>
        <row r="185">
          <cell r="A185" t="str">
            <v>NP 7.10</v>
          </cell>
          <cell r="B185" t="str">
            <v>Suministro, transporte  e instalacion de marco en en madecor laminado, acolillado, color sagano, según diseño, para puerta de acceso al resonador magnético.</v>
          </cell>
        </row>
        <row r="186">
          <cell r="A186" t="str">
            <v>NP 7.11</v>
          </cell>
          <cell r="B186" t="str">
            <v>Suministro, transporte e instalacion de boca puerta de piso en roble macizo para puerta de acceso al resonador magnético.</v>
          </cell>
        </row>
        <row r="187">
          <cell r="A187" t="str">
            <v>NP 10.1</v>
          </cell>
          <cell r="B187" t="str">
            <v>Caja de control zonal de 3 gases</v>
          </cell>
        </row>
        <row r="188">
          <cell r="A188" t="str">
            <v>NP 10.2</v>
          </cell>
          <cell r="B188" t="str">
            <v>Tubería flexible 5/8" para ingreso a cajas de control</v>
          </cell>
        </row>
        <row r="189">
          <cell r="A189" t="str">
            <v>NP 10.3</v>
          </cell>
          <cell r="B189" t="str">
            <v>Valvulas de sensor de 1/2"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7A0B5-4C9F-4E4D-9FBF-16CCD0717A09}">
  <sheetPr>
    <tabColor rgb="FF002060"/>
    <pageSetUpPr fitToPage="1"/>
  </sheetPr>
  <dimension ref="A1:U203"/>
  <sheetViews>
    <sheetView showGridLines="0" tabSelected="1" topLeftCell="A179" zoomScale="70" zoomScaleNormal="70" zoomScaleSheetLayoutView="85" workbookViewId="0">
      <selection activeCell="S173" sqref="S173"/>
    </sheetView>
  </sheetViews>
  <sheetFormatPr baseColWidth="10" defaultColWidth="11.42578125" defaultRowHeight="15" x14ac:dyDescent="0.25"/>
  <cols>
    <col min="1" max="1" width="8.85546875" style="1" customWidth="1"/>
    <col min="2" max="2" width="74.5703125" style="2" customWidth="1"/>
    <col min="3" max="3" width="13.42578125" style="2" customWidth="1"/>
    <col min="4" max="4" width="22.7109375" style="3" customWidth="1"/>
    <col min="5" max="5" width="19.140625" style="4" customWidth="1"/>
    <col min="6" max="6" width="22.7109375" style="5" customWidth="1"/>
    <col min="7" max="7" width="19.140625" style="4" hidden="1" customWidth="1"/>
    <col min="8" max="8" width="21.7109375" style="6" hidden="1" customWidth="1"/>
    <col min="9" max="9" width="19.140625" style="4" hidden="1" customWidth="1"/>
    <col min="10" max="10" width="21.7109375" style="6" hidden="1" customWidth="1"/>
    <col min="11" max="11" width="19.140625" style="4" hidden="1" customWidth="1"/>
    <col min="12" max="12" width="21.7109375" style="6" hidden="1" customWidth="1"/>
    <col min="13" max="13" width="19.140625" style="4" customWidth="1"/>
    <col min="14" max="14" width="21.7109375" style="6" customWidth="1"/>
    <col min="15" max="15" width="19" style="86" customWidth="1"/>
    <col min="16" max="16" width="15.42578125" style="86" customWidth="1"/>
    <col min="17" max="17" width="24.85546875" style="86" bestFit="1" customWidth="1"/>
    <col min="18" max="16384" width="11.42578125" style="2"/>
  </cols>
  <sheetData>
    <row r="1" spans="1:17" ht="32.450000000000003" customHeight="1" x14ac:dyDescent="0.25">
      <c r="A1" s="203" t="s">
        <v>329</v>
      </c>
      <c r="B1" s="204"/>
      <c r="C1" s="205" t="s">
        <v>326</v>
      </c>
      <c r="D1" s="206"/>
      <c r="E1" s="206"/>
      <c r="F1" s="207"/>
      <c r="G1" s="241"/>
      <c r="H1" s="242"/>
      <c r="I1" s="242"/>
      <c r="J1" s="242"/>
      <c r="K1" s="242"/>
      <c r="L1" s="242"/>
      <c r="M1" s="242"/>
      <c r="N1" s="242"/>
      <c r="O1" s="242"/>
      <c r="P1" s="242"/>
      <c r="Q1" s="243"/>
    </row>
    <row r="2" spans="1:17" ht="32.450000000000003" customHeight="1" x14ac:dyDescent="0.25">
      <c r="A2" s="214" t="s">
        <v>327</v>
      </c>
      <c r="B2" s="215"/>
      <c r="C2" s="208"/>
      <c r="D2" s="209"/>
      <c r="E2" s="209"/>
      <c r="F2" s="210"/>
      <c r="G2" s="244"/>
      <c r="H2" s="245"/>
      <c r="I2" s="245"/>
      <c r="J2" s="245"/>
      <c r="K2" s="245"/>
      <c r="L2" s="245"/>
      <c r="M2" s="245"/>
      <c r="N2" s="245"/>
      <c r="O2" s="245"/>
      <c r="P2" s="245"/>
      <c r="Q2" s="246"/>
    </row>
    <row r="3" spans="1:17" ht="32.450000000000003" customHeight="1" thickBot="1" x14ac:dyDescent="0.3">
      <c r="A3" s="216" t="s">
        <v>328</v>
      </c>
      <c r="B3" s="217"/>
      <c r="C3" s="211"/>
      <c r="D3" s="212"/>
      <c r="E3" s="212"/>
      <c r="F3" s="213"/>
      <c r="G3" s="247"/>
      <c r="H3" s="248"/>
      <c r="I3" s="248"/>
      <c r="J3" s="248"/>
      <c r="K3" s="248"/>
      <c r="L3" s="248"/>
      <c r="M3" s="248"/>
      <c r="N3" s="248"/>
      <c r="O3" s="248"/>
      <c r="P3" s="248"/>
      <c r="Q3" s="249"/>
    </row>
    <row r="4" spans="1:17" s="8" customFormat="1" ht="27.6" customHeight="1" x14ac:dyDescent="0.25">
      <c r="A4" s="218" t="s">
        <v>319</v>
      </c>
      <c r="B4" s="220" t="s">
        <v>320</v>
      </c>
      <c r="C4" s="220" t="s">
        <v>321</v>
      </c>
      <c r="D4" s="222" t="s">
        <v>322</v>
      </c>
      <c r="E4" s="224" t="s">
        <v>323</v>
      </c>
      <c r="F4" s="226" t="s">
        <v>324</v>
      </c>
      <c r="G4" s="239" t="s">
        <v>340</v>
      </c>
      <c r="H4" s="228" t="s">
        <v>343</v>
      </c>
      <c r="I4" s="239" t="s">
        <v>341</v>
      </c>
      <c r="J4" s="228" t="s">
        <v>343</v>
      </c>
      <c r="K4" s="239" t="s">
        <v>342</v>
      </c>
      <c r="L4" s="228" t="s">
        <v>343</v>
      </c>
      <c r="M4" s="258" t="s">
        <v>0</v>
      </c>
      <c r="N4" s="253" t="s">
        <v>1</v>
      </c>
      <c r="O4" s="253" t="s">
        <v>330</v>
      </c>
      <c r="P4" s="239" t="s">
        <v>336</v>
      </c>
      <c r="Q4" s="228" t="s">
        <v>325</v>
      </c>
    </row>
    <row r="5" spans="1:17" s="8" customFormat="1" ht="27.6" customHeight="1" thickBot="1" x14ac:dyDescent="0.3">
      <c r="A5" s="219"/>
      <c r="B5" s="221"/>
      <c r="C5" s="221"/>
      <c r="D5" s="223"/>
      <c r="E5" s="225"/>
      <c r="F5" s="227"/>
      <c r="G5" s="240"/>
      <c r="H5" s="229"/>
      <c r="I5" s="240"/>
      <c r="J5" s="229"/>
      <c r="K5" s="240"/>
      <c r="L5" s="229"/>
      <c r="M5" s="259"/>
      <c r="N5" s="254"/>
      <c r="O5" s="254"/>
      <c r="P5" s="240"/>
      <c r="Q5" s="229"/>
    </row>
    <row r="6" spans="1:17" s="8" customFormat="1" ht="30.6" customHeight="1" thickBot="1" x14ac:dyDescent="0.3">
      <c r="A6" s="133"/>
      <c r="B6" s="149" t="s">
        <v>2</v>
      </c>
      <c r="C6" s="134"/>
      <c r="D6" s="135"/>
      <c r="E6" s="136"/>
      <c r="F6" s="135"/>
      <c r="G6" s="138"/>
      <c r="H6" s="137"/>
      <c r="I6" s="138"/>
      <c r="J6" s="137"/>
      <c r="K6" s="138"/>
      <c r="L6" s="137"/>
      <c r="M6" s="255"/>
      <c r="N6" s="256"/>
      <c r="O6" s="257"/>
      <c r="P6" s="251" t="s">
        <v>351</v>
      </c>
      <c r="Q6" s="252"/>
    </row>
    <row r="7" spans="1:17" x14ac:dyDescent="0.25">
      <c r="A7" s="120">
        <v>1</v>
      </c>
      <c r="B7" s="121" t="s">
        <v>3</v>
      </c>
      <c r="C7" s="122"/>
      <c r="D7" s="123"/>
      <c r="E7" s="122"/>
      <c r="F7" s="124">
        <f>SUM(F8:F11)</f>
        <v>8730875</v>
      </c>
      <c r="G7" s="120"/>
      <c r="H7" s="125"/>
      <c r="I7" s="120"/>
      <c r="J7" s="125"/>
      <c r="K7" s="120"/>
      <c r="L7" s="125"/>
      <c r="M7" s="120"/>
      <c r="N7" s="126">
        <f>SUM(N8:N11)</f>
        <v>12247335</v>
      </c>
      <c r="O7" s="127">
        <f t="shared" ref="O7:O38" si="0">+N7/F7</f>
        <v>1.4027614643434936</v>
      </c>
      <c r="P7" s="128"/>
      <c r="Q7" s="129">
        <f>SUM(Q8:Q11)</f>
        <v>3516460</v>
      </c>
    </row>
    <row r="8" spans="1:17" x14ac:dyDescent="0.25">
      <c r="A8" s="9" t="s">
        <v>4</v>
      </c>
      <c r="B8" s="10" t="s">
        <v>5</v>
      </c>
      <c r="C8" s="11" t="s">
        <v>6</v>
      </c>
      <c r="D8" s="12">
        <v>500000</v>
      </c>
      <c r="E8" s="13">
        <v>1</v>
      </c>
      <c r="F8" s="14">
        <f>+D8*E8</f>
        <v>500000</v>
      </c>
      <c r="G8" s="15">
        <v>1</v>
      </c>
      <c r="H8" s="16">
        <f>+$D8*G8</f>
        <v>500000</v>
      </c>
      <c r="I8" s="15">
        <v>0</v>
      </c>
      <c r="J8" s="17">
        <f>+$D8*I8</f>
        <v>0</v>
      </c>
      <c r="K8" s="15">
        <v>0</v>
      </c>
      <c r="L8" s="16">
        <f>+$D8*K8</f>
        <v>0</v>
      </c>
      <c r="M8" s="15">
        <f>+G8+I8</f>
        <v>1</v>
      </c>
      <c r="N8" s="162">
        <f>+D8*M8</f>
        <v>500000</v>
      </c>
      <c r="O8" s="102">
        <f t="shared" si="0"/>
        <v>1</v>
      </c>
      <c r="P8" s="99">
        <f>+M8-E8</f>
        <v>0</v>
      </c>
      <c r="Q8" s="93">
        <f>+P8*D8</f>
        <v>0</v>
      </c>
    </row>
    <row r="9" spans="1:17" x14ac:dyDescent="0.25">
      <c r="A9" s="9" t="s">
        <v>7</v>
      </c>
      <c r="B9" s="10" t="s">
        <v>8</v>
      </c>
      <c r="C9" s="11" t="s">
        <v>6</v>
      </c>
      <c r="D9" s="12">
        <v>500000</v>
      </c>
      <c r="E9" s="13">
        <v>1</v>
      </c>
      <c r="F9" s="14">
        <f t="shared" ref="F9:F72" si="1">+D9*E9</f>
        <v>500000</v>
      </c>
      <c r="G9" s="15">
        <v>1</v>
      </c>
      <c r="H9" s="16">
        <f t="shared" ref="H9:H72" si="2">+$D9*G9</f>
        <v>500000</v>
      </c>
      <c r="I9" s="15">
        <v>0</v>
      </c>
      <c r="J9" s="17">
        <f t="shared" ref="J9:J72" si="3">+$D9*I9</f>
        <v>0</v>
      </c>
      <c r="K9" s="15">
        <v>0</v>
      </c>
      <c r="L9" s="16">
        <f t="shared" ref="L9:L11" si="4">+$D9*K9</f>
        <v>0</v>
      </c>
      <c r="M9" s="15">
        <f>+G9+I9</f>
        <v>1</v>
      </c>
      <c r="N9" s="162">
        <f>+D9*M9</f>
        <v>500000</v>
      </c>
      <c r="O9" s="102">
        <f t="shared" si="0"/>
        <v>1</v>
      </c>
      <c r="P9" s="99">
        <f>+M9-E9</f>
        <v>0</v>
      </c>
      <c r="Q9" s="93">
        <f>+P9*D9</f>
        <v>0</v>
      </c>
    </row>
    <row r="10" spans="1:17" x14ac:dyDescent="0.25">
      <c r="A10" s="9" t="s">
        <v>9</v>
      </c>
      <c r="B10" s="10" t="s">
        <v>10</v>
      </c>
      <c r="C10" s="11" t="s">
        <v>11</v>
      </c>
      <c r="D10" s="12">
        <v>5065</v>
      </c>
      <c r="E10" s="13">
        <v>650</v>
      </c>
      <c r="F10" s="14">
        <f t="shared" si="1"/>
        <v>3292250</v>
      </c>
      <c r="G10" s="15">
        <v>1169</v>
      </c>
      <c r="H10" s="16">
        <f t="shared" si="2"/>
        <v>5920985</v>
      </c>
      <c r="I10" s="15">
        <v>0</v>
      </c>
      <c r="J10" s="17">
        <f t="shared" si="3"/>
        <v>0</v>
      </c>
      <c r="K10" s="15">
        <v>0</v>
      </c>
      <c r="L10" s="16">
        <f t="shared" si="4"/>
        <v>0</v>
      </c>
      <c r="M10" s="15">
        <f>+G10+I10</f>
        <v>1169</v>
      </c>
      <c r="N10" s="162">
        <f>+D10*M10</f>
        <v>5920985</v>
      </c>
      <c r="O10" s="102">
        <f t="shared" si="0"/>
        <v>1.7984615384615386</v>
      </c>
      <c r="P10" s="99">
        <f>+M10-E10</f>
        <v>519</v>
      </c>
      <c r="Q10" s="93">
        <f>+P10*D10</f>
        <v>2628735</v>
      </c>
    </row>
    <row r="11" spans="1:17" ht="30" x14ac:dyDescent="0.25">
      <c r="A11" s="9" t="s">
        <v>12</v>
      </c>
      <c r="B11" s="10" t="s">
        <v>13</v>
      </c>
      <c r="C11" s="11" t="s">
        <v>14</v>
      </c>
      <c r="D11" s="12">
        <v>887725</v>
      </c>
      <c r="E11" s="13">
        <v>5</v>
      </c>
      <c r="F11" s="14">
        <f t="shared" si="1"/>
        <v>4438625</v>
      </c>
      <c r="G11" s="15">
        <v>6</v>
      </c>
      <c r="H11" s="16">
        <f t="shared" si="2"/>
        <v>5326350</v>
      </c>
      <c r="I11" s="15">
        <v>0</v>
      </c>
      <c r="J11" s="17">
        <f t="shared" si="3"/>
        <v>0</v>
      </c>
      <c r="K11" s="15">
        <v>0</v>
      </c>
      <c r="L11" s="16">
        <f t="shared" si="4"/>
        <v>0</v>
      </c>
      <c r="M11" s="15">
        <f>+G11+I11</f>
        <v>6</v>
      </c>
      <c r="N11" s="162">
        <f>+D11*M11</f>
        <v>5326350</v>
      </c>
      <c r="O11" s="102">
        <f t="shared" si="0"/>
        <v>1.2</v>
      </c>
      <c r="P11" s="99">
        <f>+M11-E11</f>
        <v>1</v>
      </c>
      <c r="Q11" s="93">
        <f>+P11*D11</f>
        <v>887725</v>
      </c>
    </row>
    <row r="12" spans="1:17" x14ac:dyDescent="0.25">
      <c r="A12" s="120">
        <v>2</v>
      </c>
      <c r="B12" s="121" t="s">
        <v>15</v>
      </c>
      <c r="C12" s="122"/>
      <c r="D12" s="123"/>
      <c r="E12" s="122"/>
      <c r="F12" s="124">
        <f>SUM(F13:F28)</f>
        <v>14627138.210000001</v>
      </c>
      <c r="G12" s="120"/>
      <c r="H12" s="125"/>
      <c r="I12" s="120"/>
      <c r="J12" s="125"/>
      <c r="K12" s="120"/>
      <c r="L12" s="125"/>
      <c r="M12" s="120"/>
      <c r="N12" s="126">
        <f>SUM(N13:N28)</f>
        <v>12086992.850000001</v>
      </c>
      <c r="O12" s="130">
        <f t="shared" si="0"/>
        <v>0.82634023665248468</v>
      </c>
      <c r="P12" s="131"/>
      <c r="Q12" s="132">
        <f>SUM(Q13:Q28)</f>
        <v>-2540145.3600000003</v>
      </c>
    </row>
    <row r="13" spans="1:17" x14ac:dyDescent="0.25">
      <c r="A13" s="9" t="s">
        <v>16</v>
      </c>
      <c r="B13" s="18" t="s">
        <v>17</v>
      </c>
      <c r="C13" s="11" t="s">
        <v>18</v>
      </c>
      <c r="D13" s="12">
        <v>20880</v>
      </c>
      <c r="E13" s="13">
        <v>98</v>
      </c>
      <c r="F13" s="14">
        <f t="shared" si="1"/>
        <v>2046240</v>
      </c>
      <c r="G13" s="15">
        <v>0</v>
      </c>
      <c r="H13" s="16">
        <f t="shared" si="2"/>
        <v>0</v>
      </c>
      <c r="I13" s="15">
        <v>160.88999999999999</v>
      </c>
      <c r="J13" s="17">
        <f t="shared" si="3"/>
        <v>3359383.1999999997</v>
      </c>
      <c r="K13" s="15">
        <v>0</v>
      </c>
      <c r="L13" s="16">
        <f t="shared" ref="L13:L26" si="5">+$D13*K13</f>
        <v>0</v>
      </c>
      <c r="M13" s="15">
        <f t="shared" ref="M13:M28" si="6">+G13+I13</f>
        <v>160.88999999999999</v>
      </c>
      <c r="N13" s="162">
        <f t="shared" ref="N13:N28" si="7">+D13*M13</f>
        <v>3359383.1999999997</v>
      </c>
      <c r="O13" s="102">
        <f t="shared" si="0"/>
        <v>1.6417346938775508</v>
      </c>
      <c r="P13" s="99">
        <f t="shared" ref="P13:P28" si="8">+M13-E13</f>
        <v>62.889999999999986</v>
      </c>
      <c r="Q13" s="93">
        <f t="shared" ref="Q13:Q28" si="9">+P13*D13</f>
        <v>1313143.1999999997</v>
      </c>
    </row>
    <row r="14" spans="1:17" x14ac:dyDescent="0.25">
      <c r="A14" s="9" t="s">
        <v>19</v>
      </c>
      <c r="B14" s="18" t="s">
        <v>20</v>
      </c>
      <c r="C14" s="11" t="s">
        <v>21</v>
      </c>
      <c r="D14" s="12">
        <v>9072</v>
      </c>
      <c r="E14" s="13">
        <v>316.48</v>
      </c>
      <c r="F14" s="14">
        <f t="shared" si="1"/>
        <v>2871106.56</v>
      </c>
      <c r="G14" s="15">
        <v>0</v>
      </c>
      <c r="H14" s="16">
        <f t="shared" si="2"/>
        <v>0</v>
      </c>
      <c r="I14" s="15">
        <v>0</v>
      </c>
      <c r="J14" s="17">
        <f t="shared" si="3"/>
        <v>0</v>
      </c>
      <c r="K14" s="15">
        <v>0</v>
      </c>
      <c r="L14" s="16">
        <f t="shared" si="5"/>
        <v>0</v>
      </c>
      <c r="M14" s="15">
        <f t="shared" si="6"/>
        <v>0</v>
      </c>
      <c r="N14" s="162">
        <f t="shared" si="7"/>
        <v>0</v>
      </c>
      <c r="O14" s="102">
        <f t="shared" si="0"/>
        <v>0</v>
      </c>
      <c r="P14" s="99">
        <f t="shared" si="8"/>
        <v>-316.48</v>
      </c>
      <c r="Q14" s="93">
        <f t="shared" si="9"/>
        <v>-2871106.56</v>
      </c>
    </row>
    <row r="15" spans="1:17" x14ac:dyDescent="0.25">
      <c r="A15" s="9" t="s">
        <v>22</v>
      </c>
      <c r="B15" s="18" t="s">
        <v>23</v>
      </c>
      <c r="C15" s="11" t="s">
        <v>6</v>
      </c>
      <c r="D15" s="12">
        <v>603725</v>
      </c>
      <c r="E15" s="13">
        <v>1</v>
      </c>
      <c r="F15" s="14">
        <f t="shared" si="1"/>
        <v>603725</v>
      </c>
      <c r="G15" s="15">
        <v>1</v>
      </c>
      <c r="H15" s="16">
        <f t="shared" si="2"/>
        <v>603725</v>
      </c>
      <c r="I15" s="15">
        <v>0</v>
      </c>
      <c r="J15" s="17">
        <f t="shared" si="3"/>
        <v>0</v>
      </c>
      <c r="K15" s="15">
        <v>0</v>
      </c>
      <c r="L15" s="16">
        <f t="shared" si="5"/>
        <v>0</v>
      </c>
      <c r="M15" s="15">
        <f t="shared" si="6"/>
        <v>1</v>
      </c>
      <c r="N15" s="162">
        <f t="shared" si="7"/>
        <v>603725</v>
      </c>
      <c r="O15" s="102">
        <f t="shared" si="0"/>
        <v>1</v>
      </c>
      <c r="P15" s="99">
        <f t="shared" si="8"/>
        <v>0</v>
      </c>
      <c r="Q15" s="93">
        <f t="shared" si="9"/>
        <v>0</v>
      </c>
    </row>
    <row r="16" spans="1:17" x14ac:dyDescent="0.25">
      <c r="A16" s="9" t="s">
        <v>24</v>
      </c>
      <c r="B16" s="10" t="s">
        <v>25</v>
      </c>
      <c r="C16" s="11" t="s">
        <v>21</v>
      </c>
      <c r="D16" s="12">
        <v>30973</v>
      </c>
      <c r="E16" s="13">
        <v>115.05</v>
      </c>
      <c r="F16" s="14">
        <f t="shared" si="1"/>
        <v>3563443.65</v>
      </c>
      <c r="G16" s="15">
        <v>0</v>
      </c>
      <c r="H16" s="16">
        <f t="shared" si="2"/>
        <v>0</v>
      </c>
      <c r="I16" s="15">
        <v>115.03</v>
      </c>
      <c r="J16" s="17">
        <f t="shared" si="3"/>
        <v>3562824.19</v>
      </c>
      <c r="K16" s="15">
        <v>0</v>
      </c>
      <c r="L16" s="16">
        <f t="shared" si="5"/>
        <v>0</v>
      </c>
      <c r="M16" s="15">
        <f t="shared" si="6"/>
        <v>115.03</v>
      </c>
      <c r="N16" s="162">
        <f t="shared" si="7"/>
        <v>3562824.19</v>
      </c>
      <c r="O16" s="118">
        <f t="shared" si="0"/>
        <v>0.99982616253802692</v>
      </c>
      <c r="P16" s="99">
        <f t="shared" si="8"/>
        <v>-1.9999999999996021E-2</v>
      </c>
      <c r="Q16" s="93">
        <f t="shared" si="9"/>
        <v>-619.4599999998768</v>
      </c>
    </row>
    <row r="17" spans="1:17" x14ac:dyDescent="0.25">
      <c r="A17" s="9" t="s">
        <v>26</v>
      </c>
      <c r="B17" s="10" t="s">
        <v>27</v>
      </c>
      <c r="C17" s="11" t="s">
        <v>28</v>
      </c>
      <c r="D17" s="12">
        <v>70402</v>
      </c>
      <c r="E17" s="13">
        <v>20</v>
      </c>
      <c r="F17" s="14">
        <f t="shared" si="1"/>
        <v>1408040</v>
      </c>
      <c r="G17" s="15">
        <v>11</v>
      </c>
      <c r="H17" s="16">
        <f t="shared" si="2"/>
        <v>774422</v>
      </c>
      <c r="I17" s="15">
        <v>0</v>
      </c>
      <c r="J17" s="17">
        <f t="shared" si="3"/>
        <v>0</v>
      </c>
      <c r="K17" s="15">
        <v>0</v>
      </c>
      <c r="L17" s="16">
        <f t="shared" si="5"/>
        <v>0</v>
      </c>
      <c r="M17" s="15">
        <f t="shared" si="6"/>
        <v>11</v>
      </c>
      <c r="N17" s="162">
        <f t="shared" si="7"/>
        <v>774422</v>
      </c>
      <c r="O17" s="102">
        <f t="shared" si="0"/>
        <v>0.55000000000000004</v>
      </c>
      <c r="P17" s="99">
        <f t="shared" si="8"/>
        <v>-9</v>
      </c>
      <c r="Q17" s="93">
        <f t="shared" si="9"/>
        <v>-633618</v>
      </c>
    </row>
    <row r="18" spans="1:17" x14ac:dyDescent="0.25">
      <c r="A18" s="9" t="s">
        <v>29</v>
      </c>
      <c r="B18" s="10" t="s">
        <v>30</v>
      </c>
      <c r="C18" s="11" t="s">
        <v>28</v>
      </c>
      <c r="D18" s="12">
        <v>116812</v>
      </c>
      <c r="E18" s="13">
        <v>5</v>
      </c>
      <c r="F18" s="14">
        <f t="shared" si="1"/>
        <v>584060</v>
      </c>
      <c r="G18" s="15">
        <v>3</v>
      </c>
      <c r="H18" s="16">
        <f t="shared" si="2"/>
        <v>350436</v>
      </c>
      <c r="I18" s="15">
        <v>0</v>
      </c>
      <c r="J18" s="17">
        <f t="shared" si="3"/>
        <v>0</v>
      </c>
      <c r="K18" s="15">
        <v>0</v>
      </c>
      <c r="L18" s="16">
        <f t="shared" si="5"/>
        <v>0</v>
      </c>
      <c r="M18" s="15">
        <f t="shared" si="6"/>
        <v>3</v>
      </c>
      <c r="N18" s="162">
        <f t="shared" si="7"/>
        <v>350436</v>
      </c>
      <c r="O18" s="102">
        <f t="shared" si="0"/>
        <v>0.6</v>
      </c>
      <c r="P18" s="99">
        <f t="shared" si="8"/>
        <v>-2</v>
      </c>
      <c r="Q18" s="93">
        <f t="shared" si="9"/>
        <v>-233624</v>
      </c>
    </row>
    <row r="19" spans="1:17" x14ac:dyDescent="0.25">
      <c r="A19" s="9" t="s">
        <v>31</v>
      </c>
      <c r="B19" s="10" t="s">
        <v>32</v>
      </c>
      <c r="C19" s="11" t="s">
        <v>28</v>
      </c>
      <c r="D19" s="12">
        <v>44614</v>
      </c>
      <c r="E19" s="13">
        <v>9</v>
      </c>
      <c r="F19" s="14">
        <f t="shared" si="1"/>
        <v>401526</v>
      </c>
      <c r="G19" s="15">
        <v>9</v>
      </c>
      <c r="H19" s="16">
        <f t="shared" si="2"/>
        <v>401526</v>
      </c>
      <c r="I19" s="15">
        <v>5</v>
      </c>
      <c r="J19" s="17">
        <f t="shared" si="3"/>
        <v>223070</v>
      </c>
      <c r="K19" s="15">
        <v>0</v>
      </c>
      <c r="L19" s="16">
        <f t="shared" si="5"/>
        <v>0</v>
      </c>
      <c r="M19" s="15">
        <f t="shared" si="6"/>
        <v>14</v>
      </c>
      <c r="N19" s="162">
        <f t="shared" si="7"/>
        <v>624596</v>
      </c>
      <c r="O19" s="102">
        <f t="shared" si="0"/>
        <v>1.5555555555555556</v>
      </c>
      <c r="P19" s="99">
        <f t="shared" si="8"/>
        <v>5</v>
      </c>
      <c r="Q19" s="93">
        <f t="shared" si="9"/>
        <v>223070</v>
      </c>
    </row>
    <row r="20" spans="1:17" x14ac:dyDescent="0.25">
      <c r="A20" s="9" t="s">
        <v>33</v>
      </c>
      <c r="B20" s="10" t="s">
        <v>34</v>
      </c>
      <c r="C20" s="11" t="s">
        <v>21</v>
      </c>
      <c r="D20" s="12">
        <v>19338</v>
      </c>
      <c r="E20" s="13">
        <v>8.5</v>
      </c>
      <c r="F20" s="14">
        <f t="shared" si="1"/>
        <v>164373</v>
      </c>
      <c r="G20" s="15">
        <v>0</v>
      </c>
      <c r="H20" s="16">
        <f t="shared" si="2"/>
        <v>0</v>
      </c>
      <c r="I20" s="15">
        <v>5.67</v>
      </c>
      <c r="J20" s="17">
        <f t="shared" si="3"/>
        <v>109646.45999999999</v>
      </c>
      <c r="K20" s="15">
        <v>0</v>
      </c>
      <c r="L20" s="16">
        <f t="shared" si="5"/>
        <v>0</v>
      </c>
      <c r="M20" s="15">
        <f t="shared" si="6"/>
        <v>5.67</v>
      </c>
      <c r="N20" s="162">
        <f t="shared" si="7"/>
        <v>109646.45999999999</v>
      </c>
      <c r="O20" s="102">
        <f t="shared" si="0"/>
        <v>0.6670588235294117</v>
      </c>
      <c r="P20" s="99">
        <f t="shared" si="8"/>
        <v>-2.83</v>
      </c>
      <c r="Q20" s="93">
        <f t="shared" si="9"/>
        <v>-54726.54</v>
      </c>
    </row>
    <row r="21" spans="1:17" x14ac:dyDescent="0.25">
      <c r="A21" s="9" t="s">
        <v>35</v>
      </c>
      <c r="B21" s="10" t="s">
        <v>36</v>
      </c>
      <c r="C21" s="11" t="s">
        <v>28</v>
      </c>
      <c r="D21" s="12">
        <v>57153</v>
      </c>
      <c r="E21" s="13">
        <v>7</v>
      </c>
      <c r="F21" s="14">
        <f t="shared" si="1"/>
        <v>400071</v>
      </c>
      <c r="G21" s="15">
        <v>3</v>
      </c>
      <c r="H21" s="16">
        <f t="shared" si="2"/>
        <v>171459</v>
      </c>
      <c r="I21" s="15">
        <v>0</v>
      </c>
      <c r="J21" s="17">
        <f t="shared" si="3"/>
        <v>0</v>
      </c>
      <c r="K21" s="15">
        <v>0</v>
      </c>
      <c r="L21" s="16">
        <f t="shared" si="5"/>
        <v>0</v>
      </c>
      <c r="M21" s="15">
        <f t="shared" si="6"/>
        <v>3</v>
      </c>
      <c r="N21" s="162">
        <f t="shared" si="7"/>
        <v>171459</v>
      </c>
      <c r="O21" s="102">
        <f t="shared" si="0"/>
        <v>0.42857142857142855</v>
      </c>
      <c r="P21" s="99">
        <f t="shared" si="8"/>
        <v>-4</v>
      </c>
      <c r="Q21" s="93">
        <f t="shared" si="9"/>
        <v>-228612</v>
      </c>
    </row>
    <row r="22" spans="1:17" x14ac:dyDescent="0.25">
      <c r="A22" s="9" t="s">
        <v>37</v>
      </c>
      <c r="B22" s="10" t="s">
        <v>38</v>
      </c>
      <c r="C22" s="11" t="s">
        <v>28</v>
      </c>
      <c r="D22" s="12">
        <v>57153</v>
      </c>
      <c r="E22" s="13">
        <v>4</v>
      </c>
      <c r="F22" s="14">
        <f t="shared" si="1"/>
        <v>228612</v>
      </c>
      <c r="G22" s="15">
        <v>5</v>
      </c>
      <c r="H22" s="16">
        <f t="shared" si="2"/>
        <v>285765</v>
      </c>
      <c r="I22" s="15">
        <v>0</v>
      </c>
      <c r="J22" s="17">
        <f t="shared" si="3"/>
        <v>0</v>
      </c>
      <c r="K22" s="15">
        <v>0</v>
      </c>
      <c r="L22" s="16">
        <f t="shared" si="5"/>
        <v>0</v>
      </c>
      <c r="M22" s="15">
        <f t="shared" si="6"/>
        <v>5</v>
      </c>
      <c r="N22" s="162">
        <f t="shared" si="7"/>
        <v>285765</v>
      </c>
      <c r="O22" s="102">
        <f t="shared" si="0"/>
        <v>1.25</v>
      </c>
      <c r="P22" s="99">
        <f t="shared" si="8"/>
        <v>1</v>
      </c>
      <c r="Q22" s="93">
        <f t="shared" si="9"/>
        <v>57153</v>
      </c>
    </row>
    <row r="23" spans="1:17" x14ac:dyDescent="0.25">
      <c r="A23" s="9" t="s">
        <v>39</v>
      </c>
      <c r="B23" s="10" t="s">
        <v>40</v>
      </c>
      <c r="C23" s="11" t="s">
        <v>6</v>
      </c>
      <c r="D23" s="12">
        <v>1180453</v>
      </c>
      <c r="E23" s="13">
        <v>1</v>
      </c>
      <c r="F23" s="14">
        <f t="shared" si="1"/>
        <v>1180453</v>
      </c>
      <c r="G23" s="15">
        <v>1</v>
      </c>
      <c r="H23" s="16">
        <f t="shared" si="2"/>
        <v>1180453</v>
      </c>
      <c r="I23" s="15">
        <v>0</v>
      </c>
      <c r="J23" s="17">
        <f t="shared" si="3"/>
        <v>0</v>
      </c>
      <c r="K23" s="15">
        <v>0</v>
      </c>
      <c r="L23" s="16">
        <f t="shared" si="5"/>
        <v>0</v>
      </c>
      <c r="M23" s="15">
        <f t="shared" si="6"/>
        <v>1</v>
      </c>
      <c r="N23" s="162">
        <f t="shared" si="7"/>
        <v>1180453</v>
      </c>
      <c r="O23" s="102">
        <f t="shared" si="0"/>
        <v>1</v>
      </c>
      <c r="P23" s="99">
        <f t="shared" si="8"/>
        <v>0</v>
      </c>
      <c r="Q23" s="93">
        <f t="shared" si="9"/>
        <v>0</v>
      </c>
    </row>
    <row r="24" spans="1:17" x14ac:dyDescent="0.25">
      <c r="A24" s="9" t="s">
        <v>41</v>
      </c>
      <c r="B24" s="10" t="s">
        <v>42</v>
      </c>
      <c r="C24" s="11" t="s">
        <v>28</v>
      </c>
      <c r="D24" s="12">
        <v>23583</v>
      </c>
      <c r="E24" s="13">
        <v>4</v>
      </c>
      <c r="F24" s="14">
        <f t="shared" si="1"/>
        <v>94332</v>
      </c>
      <c r="G24" s="15">
        <v>1</v>
      </c>
      <c r="H24" s="16">
        <f t="shared" si="2"/>
        <v>23583</v>
      </c>
      <c r="I24" s="15">
        <v>0</v>
      </c>
      <c r="J24" s="17">
        <f t="shared" si="3"/>
        <v>0</v>
      </c>
      <c r="K24" s="15">
        <v>0</v>
      </c>
      <c r="L24" s="16">
        <f t="shared" si="5"/>
        <v>0</v>
      </c>
      <c r="M24" s="15">
        <f t="shared" si="6"/>
        <v>1</v>
      </c>
      <c r="N24" s="162">
        <f t="shared" si="7"/>
        <v>23583</v>
      </c>
      <c r="O24" s="102">
        <f t="shared" si="0"/>
        <v>0.25</v>
      </c>
      <c r="P24" s="99">
        <f t="shared" si="8"/>
        <v>-3</v>
      </c>
      <c r="Q24" s="93">
        <f t="shared" si="9"/>
        <v>-70749</v>
      </c>
    </row>
    <row r="25" spans="1:17" x14ac:dyDescent="0.25">
      <c r="A25" s="9" t="s">
        <v>43</v>
      </c>
      <c r="B25" s="10" t="s">
        <v>44</v>
      </c>
      <c r="C25" s="11" t="s">
        <v>28</v>
      </c>
      <c r="D25" s="12">
        <v>23412</v>
      </c>
      <c r="E25" s="13">
        <v>13</v>
      </c>
      <c r="F25" s="14">
        <f t="shared" si="1"/>
        <v>304356</v>
      </c>
      <c r="G25" s="15">
        <v>5</v>
      </c>
      <c r="H25" s="16">
        <f t="shared" si="2"/>
        <v>117060</v>
      </c>
      <c r="I25" s="15">
        <v>0</v>
      </c>
      <c r="J25" s="17">
        <f t="shared" si="3"/>
        <v>0</v>
      </c>
      <c r="K25" s="15">
        <v>0</v>
      </c>
      <c r="L25" s="16">
        <f t="shared" si="5"/>
        <v>0</v>
      </c>
      <c r="M25" s="15">
        <f t="shared" si="6"/>
        <v>5</v>
      </c>
      <c r="N25" s="162">
        <f t="shared" si="7"/>
        <v>117060</v>
      </c>
      <c r="O25" s="102">
        <f t="shared" si="0"/>
        <v>0.38461538461538464</v>
      </c>
      <c r="P25" s="99">
        <f t="shared" si="8"/>
        <v>-8</v>
      </c>
      <c r="Q25" s="93">
        <f t="shared" si="9"/>
        <v>-187296</v>
      </c>
    </row>
    <row r="26" spans="1:17" x14ac:dyDescent="0.25">
      <c r="A26" s="9" t="s">
        <v>45</v>
      </c>
      <c r="B26" s="10" t="s">
        <v>46</v>
      </c>
      <c r="C26" s="11" t="s">
        <v>28</v>
      </c>
      <c r="D26" s="12">
        <v>11320</v>
      </c>
      <c r="E26" s="13">
        <v>30</v>
      </c>
      <c r="F26" s="14">
        <f t="shared" si="1"/>
        <v>339600</v>
      </c>
      <c r="G26" s="15">
        <v>18</v>
      </c>
      <c r="H26" s="16">
        <f t="shared" si="2"/>
        <v>203760</v>
      </c>
      <c r="I26" s="15">
        <v>0</v>
      </c>
      <c r="J26" s="17">
        <f t="shared" si="3"/>
        <v>0</v>
      </c>
      <c r="K26" s="15">
        <v>0</v>
      </c>
      <c r="L26" s="16">
        <f t="shared" si="5"/>
        <v>0</v>
      </c>
      <c r="M26" s="15">
        <f t="shared" si="6"/>
        <v>18</v>
      </c>
      <c r="N26" s="162">
        <f t="shared" si="7"/>
        <v>203760</v>
      </c>
      <c r="O26" s="102">
        <f t="shared" si="0"/>
        <v>0.6</v>
      </c>
      <c r="P26" s="99">
        <f t="shared" si="8"/>
        <v>-12</v>
      </c>
      <c r="Q26" s="93">
        <f t="shared" si="9"/>
        <v>-135840</v>
      </c>
    </row>
    <row r="27" spans="1:17" x14ac:dyDescent="0.25">
      <c r="A27" s="9" t="s">
        <v>47</v>
      </c>
      <c r="B27" s="10" t="s">
        <v>48</v>
      </c>
      <c r="C27" s="11" t="s">
        <v>28</v>
      </c>
      <c r="D27" s="12">
        <v>20360</v>
      </c>
      <c r="E27" s="13">
        <v>10</v>
      </c>
      <c r="F27" s="14">
        <f t="shared" si="1"/>
        <v>203600</v>
      </c>
      <c r="G27" s="15">
        <v>0</v>
      </c>
      <c r="H27" s="16">
        <f>+$D27*G27</f>
        <v>0</v>
      </c>
      <c r="I27" s="15">
        <f>+'[1]2.15'!$K$26</f>
        <v>17</v>
      </c>
      <c r="J27" s="17">
        <f>+$D27*I27</f>
        <v>346120</v>
      </c>
      <c r="K27" s="15">
        <v>0</v>
      </c>
      <c r="L27" s="16">
        <f>+$D27*K27</f>
        <v>0</v>
      </c>
      <c r="M27" s="15">
        <f t="shared" si="6"/>
        <v>17</v>
      </c>
      <c r="N27" s="162">
        <f t="shared" si="7"/>
        <v>346120</v>
      </c>
      <c r="O27" s="102">
        <f t="shared" si="0"/>
        <v>1.7</v>
      </c>
      <c r="P27" s="99">
        <f t="shared" si="8"/>
        <v>7</v>
      </c>
      <c r="Q27" s="93">
        <f t="shared" si="9"/>
        <v>142520</v>
      </c>
    </row>
    <row r="28" spans="1:17" x14ac:dyDescent="0.25">
      <c r="A28" s="9" t="s">
        <v>49</v>
      </c>
      <c r="B28" s="10" t="s">
        <v>50</v>
      </c>
      <c r="C28" s="11" t="s">
        <v>28</v>
      </c>
      <c r="D28" s="12">
        <v>23360</v>
      </c>
      <c r="E28" s="13">
        <v>10</v>
      </c>
      <c r="F28" s="14">
        <f t="shared" si="1"/>
        <v>233600</v>
      </c>
      <c r="G28" s="15">
        <v>0</v>
      </c>
      <c r="H28" s="16">
        <f>+$D28*G28</f>
        <v>0</v>
      </c>
      <c r="I28" s="15">
        <f>+'[1]2.16'!$K$25</f>
        <v>16</v>
      </c>
      <c r="J28" s="17">
        <f>+$D28*I28</f>
        <v>373760</v>
      </c>
      <c r="K28" s="15">
        <v>0</v>
      </c>
      <c r="L28" s="16">
        <f>+$D28*K28</f>
        <v>0</v>
      </c>
      <c r="M28" s="15">
        <f t="shared" si="6"/>
        <v>16</v>
      </c>
      <c r="N28" s="162">
        <f t="shared" si="7"/>
        <v>373760</v>
      </c>
      <c r="O28" s="102">
        <f t="shared" si="0"/>
        <v>1.6</v>
      </c>
      <c r="P28" s="99">
        <f t="shared" si="8"/>
        <v>6</v>
      </c>
      <c r="Q28" s="93">
        <f t="shared" si="9"/>
        <v>140160</v>
      </c>
    </row>
    <row r="29" spans="1:17" x14ac:dyDescent="0.25">
      <c r="A29" s="120">
        <v>3</v>
      </c>
      <c r="B29" s="121" t="s">
        <v>51</v>
      </c>
      <c r="C29" s="122"/>
      <c r="D29" s="123"/>
      <c r="E29" s="122"/>
      <c r="F29" s="124">
        <f>SUM(F30:F38)</f>
        <v>41896792.799999997</v>
      </c>
      <c r="G29" s="120"/>
      <c r="H29" s="125"/>
      <c r="I29" s="120"/>
      <c r="J29" s="125"/>
      <c r="K29" s="120"/>
      <c r="L29" s="125"/>
      <c r="M29" s="120"/>
      <c r="N29" s="126">
        <f>SUM(N30:N38)</f>
        <v>32514553.239999998</v>
      </c>
      <c r="O29" s="130">
        <f t="shared" si="0"/>
        <v>0.77606306036866857</v>
      </c>
      <c r="P29" s="131"/>
      <c r="Q29" s="132">
        <f>SUM(Q30:Q38)</f>
        <v>-9382239.5600000005</v>
      </c>
    </row>
    <row r="30" spans="1:17" s="19" customFormat="1" x14ac:dyDescent="0.25">
      <c r="A30" s="9" t="s">
        <v>52</v>
      </c>
      <c r="B30" s="10" t="s">
        <v>53</v>
      </c>
      <c r="C30" s="11" t="s">
        <v>6</v>
      </c>
      <c r="D30" s="12">
        <v>600000</v>
      </c>
      <c r="E30" s="13">
        <v>1</v>
      </c>
      <c r="F30" s="14">
        <f t="shared" si="1"/>
        <v>600000</v>
      </c>
      <c r="G30" s="15">
        <v>1</v>
      </c>
      <c r="H30" s="16">
        <f t="shared" si="2"/>
        <v>600000</v>
      </c>
      <c r="I30" s="15">
        <v>0</v>
      </c>
      <c r="J30" s="17">
        <f t="shared" si="3"/>
        <v>0</v>
      </c>
      <c r="K30" s="15">
        <v>0</v>
      </c>
      <c r="L30" s="16">
        <f t="shared" ref="L30:L38" si="10">+$D30*K30</f>
        <v>0</v>
      </c>
      <c r="M30" s="15">
        <f t="shared" ref="M30:M38" si="11">+G30+I30</f>
        <v>1</v>
      </c>
      <c r="N30" s="162">
        <f t="shared" ref="N30:N38" si="12">+D30*M30</f>
        <v>600000</v>
      </c>
      <c r="O30" s="102">
        <f t="shared" si="0"/>
        <v>1</v>
      </c>
      <c r="P30" s="99">
        <f t="shared" ref="P30:P38" si="13">+M30-E30</f>
        <v>0</v>
      </c>
      <c r="Q30" s="93">
        <f t="shared" ref="Q30:Q38" si="14">+P30*D30</f>
        <v>0</v>
      </c>
    </row>
    <row r="31" spans="1:17" s="19" customFormat="1" ht="45" x14ac:dyDescent="0.25">
      <c r="A31" s="9" t="s">
        <v>54</v>
      </c>
      <c r="B31" s="10" t="s">
        <v>55</v>
      </c>
      <c r="C31" s="11" t="s">
        <v>21</v>
      </c>
      <c r="D31" s="12">
        <v>159984</v>
      </c>
      <c r="E31" s="13">
        <v>78.05</v>
      </c>
      <c r="F31" s="14">
        <f t="shared" si="1"/>
        <v>12486751.199999999</v>
      </c>
      <c r="G31" s="15">
        <v>0</v>
      </c>
      <c r="H31" s="16">
        <f t="shared" si="2"/>
        <v>0</v>
      </c>
      <c r="I31" s="20">
        <v>38.1</v>
      </c>
      <c r="J31" s="17">
        <f t="shared" si="3"/>
        <v>6095390.4000000004</v>
      </c>
      <c r="K31" s="15">
        <v>0</v>
      </c>
      <c r="L31" s="16">
        <f t="shared" si="10"/>
        <v>0</v>
      </c>
      <c r="M31" s="15">
        <f t="shared" si="11"/>
        <v>38.1</v>
      </c>
      <c r="N31" s="162">
        <f t="shared" si="12"/>
        <v>6095390.4000000004</v>
      </c>
      <c r="O31" s="102">
        <f t="shared" si="0"/>
        <v>0.4881486226777707</v>
      </c>
      <c r="P31" s="99">
        <f t="shared" si="13"/>
        <v>-39.949999999999996</v>
      </c>
      <c r="Q31" s="93">
        <f t="shared" si="14"/>
        <v>-6391360.7999999989</v>
      </c>
    </row>
    <row r="32" spans="1:17" s="19" customFormat="1" ht="30" x14ac:dyDescent="0.25">
      <c r="A32" s="9" t="s">
        <v>56</v>
      </c>
      <c r="B32" s="10" t="s">
        <v>57</v>
      </c>
      <c r="C32" s="11" t="s">
        <v>18</v>
      </c>
      <c r="D32" s="12">
        <v>73503</v>
      </c>
      <c r="E32" s="13">
        <v>72.8</v>
      </c>
      <c r="F32" s="14">
        <f t="shared" si="1"/>
        <v>5351018.3999999994</v>
      </c>
      <c r="G32" s="15">
        <v>0</v>
      </c>
      <c r="H32" s="16">
        <f t="shared" si="2"/>
        <v>0</v>
      </c>
      <c r="I32" s="20">
        <v>85.76</v>
      </c>
      <c r="J32" s="17">
        <f t="shared" si="3"/>
        <v>6303617.2800000003</v>
      </c>
      <c r="K32" s="15">
        <v>0</v>
      </c>
      <c r="L32" s="16">
        <f t="shared" si="10"/>
        <v>0</v>
      </c>
      <c r="M32" s="15">
        <f t="shared" si="11"/>
        <v>85.76</v>
      </c>
      <c r="N32" s="162">
        <f t="shared" si="12"/>
        <v>6303617.2800000003</v>
      </c>
      <c r="O32" s="102">
        <f t="shared" si="0"/>
        <v>1.1780219780219783</v>
      </c>
      <c r="P32" s="99">
        <f t="shared" si="13"/>
        <v>12.960000000000008</v>
      </c>
      <c r="Q32" s="93">
        <f t="shared" si="14"/>
        <v>952598.88000000059</v>
      </c>
    </row>
    <row r="33" spans="1:17" s="19" customFormat="1" x14ac:dyDescent="0.25">
      <c r="A33" s="9" t="s">
        <v>58</v>
      </c>
      <c r="B33" s="10" t="s">
        <v>59</v>
      </c>
      <c r="C33" s="11" t="s">
        <v>21</v>
      </c>
      <c r="D33" s="12">
        <v>51275</v>
      </c>
      <c r="E33" s="13">
        <v>106.05</v>
      </c>
      <c r="F33" s="14">
        <f t="shared" si="1"/>
        <v>5437713.75</v>
      </c>
      <c r="G33" s="15">
        <v>0</v>
      </c>
      <c r="H33" s="16">
        <f t="shared" si="2"/>
        <v>0</v>
      </c>
      <c r="I33" s="20">
        <v>58.84</v>
      </c>
      <c r="J33" s="17">
        <f t="shared" si="3"/>
        <v>3017021</v>
      </c>
      <c r="K33" s="15">
        <v>0</v>
      </c>
      <c r="L33" s="16">
        <f t="shared" si="10"/>
        <v>0</v>
      </c>
      <c r="M33" s="15">
        <f t="shared" si="11"/>
        <v>58.84</v>
      </c>
      <c r="N33" s="162">
        <f t="shared" si="12"/>
        <v>3017021</v>
      </c>
      <c r="O33" s="102">
        <f t="shared" si="0"/>
        <v>0.55483262611975481</v>
      </c>
      <c r="P33" s="99">
        <f t="shared" si="13"/>
        <v>-47.209999999999994</v>
      </c>
      <c r="Q33" s="93">
        <f t="shared" si="14"/>
        <v>-2420692.7499999995</v>
      </c>
    </row>
    <row r="34" spans="1:17" s="19" customFormat="1" x14ac:dyDescent="0.25">
      <c r="A34" s="9" t="s">
        <v>60</v>
      </c>
      <c r="B34" s="10" t="s">
        <v>61</v>
      </c>
      <c r="C34" s="11" t="s">
        <v>18</v>
      </c>
      <c r="D34" s="12">
        <v>22764</v>
      </c>
      <c r="E34" s="13">
        <v>163.80000000000001</v>
      </c>
      <c r="F34" s="14">
        <f t="shared" si="1"/>
        <v>3728743.2</v>
      </c>
      <c r="G34" s="15">
        <v>0</v>
      </c>
      <c r="H34" s="16">
        <f t="shared" si="2"/>
        <v>0</v>
      </c>
      <c r="I34" s="20">
        <v>75.22</v>
      </c>
      <c r="J34" s="17">
        <f t="shared" si="3"/>
        <v>1712308.08</v>
      </c>
      <c r="K34" s="15">
        <v>0</v>
      </c>
      <c r="L34" s="16">
        <f t="shared" si="10"/>
        <v>0</v>
      </c>
      <c r="M34" s="15">
        <f t="shared" si="11"/>
        <v>75.22</v>
      </c>
      <c r="N34" s="162">
        <f t="shared" si="12"/>
        <v>1712308.08</v>
      </c>
      <c r="O34" s="102">
        <f t="shared" si="0"/>
        <v>0.4592185592185592</v>
      </c>
      <c r="P34" s="99">
        <f t="shared" si="13"/>
        <v>-88.580000000000013</v>
      </c>
      <c r="Q34" s="93">
        <f t="shared" si="14"/>
        <v>-2016435.1200000003</v>
      </c>
    </row>
    <row r="35" spans="1:17" s="19" customFormat="1" x14ac:dyDescent="0.25">
      <c r="A35" s="9" t="s">
        <v>62</v>
      </c>
      <c r="B35" s="10" t="s">
        <v>63</v>
      </c>
      <c r="C35" s="11" t="s">
        <v>18</v>
      </c>
      <c r="D35" s="12">
        <v>57341</v>
      </c>
      <c r="E35" s="13">
        <v>80.8</v>
      </c>
      <c r="F35" s="14">
        <f t="shared" si="1"/>
        <v>4633152.8</v>
      </c>
      <c r="G35" s="15">
        <v>0</v>
      </c>
      <c r="H35" s="16">
        <f t="shared" si="2"/>
        <v>0</v>
      </c>
      <c r="I35" s="20">
        <v>31.15</v>
      </c>
      <c r="J35" s="17">
        <f t="shared" si="3"/>
        <v>1786172.15</v>
      </c>
      <c r="K35" s="15">
        <v>0</v>
      </c>
      <c r="L35" s="16">
        <f t="shared" si="10"/>
        <v>0</v>
      </c>
      <c r="M35" s="15">
        <f t="shared" si="11"/>
        <v>31.15</v>
      </c>
      <c r="N35" s="162">
        <f t="shared" si="12"/>
        <v>1786172.15</v>
      </c>
      <c r="O35" s="102">
        <f t="shared" si="0"/>
        <v>0.38551980198019803</v>
      </c>
      <c r="P35" s="99">
        <f t="shared" si="13"/>
        <v>-49.65</v>
      </c>
      <c r="Q35" s="93">
        <f t="shared" si="14"/>
        <v>-2846980.65</v>
      </c>
    </row>
    <row r="36" spans="1:17" s="19" customFormat="1" x14ac:dyDescent="0.25">
      <c r="A36" s="9" t="s">
        <v>64</v>
      </c>
      <c r="B36" s="10" t="s">
        <v>65</v>
      </c>
      <c r="C36" s="11" t="s">
        <v>21</v>
      </c>
      <c r="D36" s="12">
        <v>234811</v>
      </c>
      <c r="E36" s="13">
        <v>27.47</v>
      </c>
      <c r="F36" s="14">
        <f t="shared" si="1"/>
        <v>6450258.1699999999</v>
      </c>
      <c r="G36" s="15">
        <v>0</v>
      </c>
      <c r="H36" s="16">
        <f t="shared" si="2"/>
        <v>0</v>
      </c>
      <c r="I36" s="20">
        <v>29.07</v>
      </c>
      <c r="J36" s="17">
        <f t="shared" si="3"/>
        <v>6825955.7700000005</v>
      </c>
      <c r="K36" s="15">
        <v>0</v>
      </c>
      <c r="L36" s="16">
        <f t="shared" si="10"/>
        <v>0</v>
      </c>
      <c r="M36" s="15">
        <f t="shared" si="11"/>
        <v>29.07</v>
      </c>
      <c r="N36" s="162">
        <f t="shared" si="12"/>
        <v>6825955.7700000005</v>
      </c>
      <c r="O36" s="102">
        <f t="shared" si="0"/>
        <v>1.0582453585729887</v>
      </c>
      <c r="P36" s="99">
        <f t="shared" si="13"/>
        <v>1.6000000000000014</v>
      </c>
      <c r="Q36" s="93">
        <f t="shared" si="14"/>
        <v>375697.60000000033</v>
      </c>
    </row>
    <row r="37" spans="1:17" s="19" customFormat="1" x14ac:dyDescent="0.25">
      <c r="A37" s="9" t="s">
        <v>66</v>
      </c>
      <c r="B37" s="10" t="s">
        <v>67</v>
      </c>
      <c r="C37" s="11" t="s">
        <v>21</v>
      </c>
      <c r="D37" s="12">
        <v>35996</v>
      </c>
      <c r="E37" s="13">
        <v>54.94</v>
      </c>
      <c r="F37" s="14">
        <f t="shared" si="1"/>
        <v>1977620.24</v>
      </c>
      <c r="G37" s="15">
        <v>0</v>
      </c>
      <c r="H37" s="16">
        <f t="shared" si="2"/>
        <v>0</v>
      </c>
      <c r="I37" s="20">
        <f>+I36*2</f>
        <v>58.14</v>
      </c>
      <c r="J37" s="17">
        <f t="shared" si="3"/>
        <v>2092807.44</v>
      </c>
      <c r="K37" s="15">
        <v>0</v>
      </c>
      <c r="L37" s="16">
        <f t="shared" si="10"/>
        <v>0</v>
      </c>
      <c r="M37" s="15">
        <f t="shared" si="11"/>
        <v>58.14</v>
      </c>
      <c r="N37" s="162">
        <f t="shared" si="12"/>
        <v>2092807.44</v>
      </c>
      <c r="O37" s="102">
        <f t="shared" si="0"/>
        <v>1.0582453585729887</v>
      </c>
      <c r="P37" s="99">
        <f t="shared" si="13"/>
        <v>3.2000000000000028</v>
      </c>
      <c r="Q37" s="93">
        <f t="shared" si="14"/>
        <v>115187.2000000001</v>
      </c>
    </row>
    <row r="38" spans="1:17" s="19" customFormat="1" x14ac:dyDescent="0.25">
      <c r="A38" s="9" t="s">
        <v>68</v>
      </c>
      <c r="B38" s="10" t="s">
        <v>69</v>
      </c>
      <c r="C38" s="11" t="s">
        <v>70</v>
      </c>
      <c r="D38" s="12">
        <v>22416</v>
      </c>
      <c r="E38" s="13">
        <v>54.94</v>
      </c>
      <c r="F38" s="14">
        <f t="shared" si="1"/>
        <v>1231535.04</v>
      </c>
      <c r="G38" s="15">
        <v>0</v>
      </c>
      <c r="H38" s="16">
        <f t="shared" si="2"/>
        <v>0</v>
      </c>
      <c r="I38" s="20">
        <v>182.07</v>
      </c>
      <c r="J38" s="17">
        <f t="shared" si="3"/>
        <v>4081281.1199999996</v>
      </c>
      <c r="K38" s="15">
        <v>0</v>
      </c>
      <c r="L38" s="16">
        <f t="shared" si="10"/>
        <v>0</v>
      </c>
      <c r="M38" s="15">
        <f t="shared" si="11"/>
        <v>182.07</v>
      </c>
      <c r="N38" s="162">
        <f t="shared" si="12"/>
        <v>4081281.1199999996</v>
      </c>
      <c r="O38" s="102">
        <f t="shared" si="0"/>
        <v>3.3139788860575168</v>
      </c>
      <c r="P38" s="99">
        <f t="shared" si="13"/>
        <v>127.13</v>
      </c>
      <c r="Q38" s="93">
        <f t="shared" si="14"/>
        <v>2849746.08</v>
      </c>
    </row>
    <row r="39" spans="1:17" x14ac:dyDescent="0.25">
      <c r="A39" s="120">
        <v>4</v>
      </c>
      <c r="B39" s="121" t="s">
        <v>71</v>
      </c>
      <c r="C39" s="122"/>
      <c r="D39" s="123"/>
      <c r="E39" s="122"/>
      <c r="F39" s="124">
        <f>SUM(F40:F41)</f>
        <v>17167734.300000001</v>
      </c>
      <c r="G39" s="120"/>
      <c r="H39" s="125"/>
      <c r="I39" s="120"/>
      <c r="J39" s="125"/>
      <c r="K39" s="120"/>
      <c r="L39" s="125"/>
      <c r="M39" s="120"/>
      <c r="N39" s="126">
        <f>SUM(N40:N41)</f>
        <v>14291166.629999999</v>
      </c>
      <c r="O39" s="130">
        <f t="shared" ref="O39:O70" si="15">+N39/F39</f>
        <v>0.83244337198298779</v>
      </c>
      <c r="P39" s="131"/>
      <c r="Q39" s="132">
        <f>SUM(Q40:Q41)</f>
        <v>-2876567.6700000004</v>
      </c>
    </row>
    <row r="40" spans="1:17" ht="45" x14ac:dyDescent="0.25">
      <c r="A40" s="9" t="s">
        <v>72</v>
      </c>
      <c r="B40" s="10" t="s">
        <v>73</v>
      </c>
      <c r="C40" s="21" t="s">
        <v>21</v>
      </c>
      <c r="D40" s="12">
        <v>20166</v>
      </c>
      <c r="E40" s="13">
        <v>591.65</v>
      </c>
      <c r="F40" s="14">
        <f t="shared" si="1"/>
        <v>11931213.9</v>
      </c>
      <c r="G40" s="15">
        <v>0</v>
      </c>
      <c r="H40" s="16">
        <f t="shared" si="2"/>
        <v>0</v>
      </c>
      <c r="I40" s="20">
        <v>608.54</v>
      </c>
      <c r="J40" s="17">
        <f t="shared" si="3"/>
        <v>12271817.639999999</v>
      </c>
      <c r="K40" s="15">
        <v>0</v>
      </c>
      <c r="L40" s="16">
        <f t="shared" ref="L40:L41" si="16">+$D40*K40</f>
        <v>0</v>
      </c>
      <c r="M40" s="15">
        <f>+G40+I40</f>
        <v>608.54</v>
      </c>
      <c r="N40" s="162">
        <f>+D40*M40</f>
        <v>12271817.639999999</v>
      </c>
      <c r="O40" s="102">
        <f t="shared" si="15"/>
        <v>1.0285472830220568</v>
      </c>
      <c r="P40" s="99">
        <f>+M40-E40</f>
        <v>16.889999999999986</v>
      </c>
      <c r="Q40" s="93">
        <f>+P40*D40</f>
        <v>340603.7399999997</v>
      </c>
    </row>
    <row r="41" spans="1:17" x14ac:dyDescent="0.25">
      <c r="A41" s="9" t="s">
        <v>74</v>
      </c>
      <c r="B41" s="10" t="s">
        <v>75</v>
      </c>
      <c r="C41" s="21" t="s">
        <v>18</v>
      </c>
      <c r="D41" s="12">
        <v>21081</v>
      </c>
      <c r="E41" s="13">
        <v>248.4</v>
      </c>
      <c r="F41" s="14">
        <f t="shared" si="1"/>
        <v>5236520.4000000004</v>
      </c>
      <c r="G41" s="15">
        <v>0</v>
      </c>
      <c r="H41" s="16">
        <f t="shared" si="2"/>
        <v>0</v>
      </c>
      <c r="I41" s="20">
        <v>95.79</v>
      </c>
      <c r="J41" s="17">
        <f t="shared" si="3"/>
        <v>2019348.9900000002</v>
      </c>
      <c r="K41" s="15">
        <v>0</v>
      </c>
      <c r="L41" s="16">
        <f t="shared" si="16"/>
        <v>0</v>
      </c>
      <c r="M41" s="15">
        <f>+G41+I41</f>
        <v>95.79</v>
      </c>
      <c r="N41" s="162">
        <f>+D41*M41</f>
        <v>2019348.9900000002</v>
      </c>
      <c r="O41" s="102">
        <f t="shared" si="15"/>
        <v>0.38562801932367152</v>
      </c>
      <c r="P41" s="99">
        <f>+M41-E41</f>
        <v>-152.61000000000001</v>
      </c>
      <c r="Q41" s="93">
        <f>+P41*D41</f>
        <v>-3217171.41</v>
      </c>
    </row>
    <row r="42" spans="1:17" x14ac:dyDescent="0.25">
      <c r="A42" s="120">
        <v>5</v>
      </c>
      <c r="B42" s="121" t="s">
        <v>76</v>
      </c>
      <c r="C42" s="122"/>
      <c r="D42" s="123"/>
      <c r="E42" s="122"/>
      <c r="F42" s="124">
        <f>SUM(F43:F46)</f>
        <v>58533641</v>
      </c>
      <c r="G42" s="120"/>
      <c r="H42" s="125"/>
      <c r="I42" s="120"/>
      <c r="J42" s="125"/>
      <c r="K42" s="120"/>
      <c r="L42" s="125"/>
      <c r="M42" s="120"/>
      <c r="N42" s="126">
        <f>SUM(N43:N46)</f>
        <v>20613430.699999999</v>
      </c>
      <c r="O42" s="130">
        <f t="shared" si="15"/>
        <v>0.35216382148515241</v>
      </c>
      <c r="P42" s="131"/>
      <c r="Q42" s="132">
        <f>SUM(Q43:Q46)</f>
        <v>-37920210.299999997</v>
      </c>
    </row>
    <row r="43" spans="1:17" x14ac:dyDescent="0.25">
      <c r="A43" s="22" t="s">
        <v>77</v>
      </c>
      <c r="B43" s="10" t="s">
        <v>78</v>
      </c>
      <c r="C43" s="23" t="s">
        <v>21</v>
      </c>
      <c r="D43" s="12">
        <v>125025</v>
      </c>
      <c r="E43" s="24">
        <v>316.48</v>
      </c>
      <c r="F43" s="14">
        <f t="shared" si="1"/>
        <v>39567912</v>
      </c>
      <c r="G43" s="15">
        <v>0</v>
      </c>
      <c r="H43" s="16">
        <f t="shared" si="2"/>
        <v>0</v>
      </c>
      <c r="I43" s="20">
        <v>144.34</v>
      </c>
      <c r="J43" s="17">
        <f t="shared" si="3"/>
        <v>18046108.5</v>
      </c>
      <c r="K43" s="15">
        <v>0</v>
      </c>
      <c r="L43" s="16">
        <f t="shared" ref="L43:L46" si="17">+$D43*K43</f>
        <v>0</v>
      </c>
      <c r="M43" s="15">
        <f>+G43+I43</f>
        <v>144.34</v>
      </c>
      <c r="N43" s="162">
        <f>+D43*M43</f>
        <v>18046108.5</v>
      </c>
      <c r="O43" s="102">
        <f t="shared" si="15"/>
        <v>0.45607937310414559</v>
      </c>
      <c r="P43" s="99">
        <f>+M43-E43</f>
        <v>-172.14000000000001</v>
      </c>
      <c r="Q43" s="93">
        <f>+P43*D43</f>
        <v>-21521803.5</v>
      </c>
    </row>
    <row r="44" spans="1:17" s="19" customFormat="1" x14ac:dyDescent="0.25">
      <c r="A44" s="22" t="s">
        <v>79</v>
      </c>
      <c r="B44" s="10" t="s">
        <v>80</v>
      </c>
      <c r="C44" s="23" t="s">
        <v>28</v>
      </c>
      <c r="D44" s="12">
        <v>137224</v>
      </c>
      <c r="E44" s="24">
        <v>8</v>
      </c>
      <c r="F44" s="14">
        <f t="shared" si="1"/>
        <v>1097792</v>
      </c>
      <c r="G44" s="15">
        <v>0</v>
      </c>
      <c r="H44" s="16">
        <f t="shared" si="2"/>
        <v>0</v>
      </c>
      <c r="I44" s="20">
        <v>2</v>
      </c>
      <c r="J44" s="17">
        <f t="shared" si="3"/>
        <v>274448</v>
      </c>
      <c r="K44" s="15">
        <v>0</v>
      </c>
      <c r="L44" s="16">
        <f t="shared" si="17"/>
        <v>0</v>
      </c>
      <c r="M44" s="15">
        <f>+G44+I44</f>
        <v>2</v>
      </c>
      <c r="N44" s="162">
        <f>+D44*M44</f>
        <v>274448</v>
      </c>
      <c r="O44" s="102">
        <f t="shared" si="15"/>
        <v>0.25</v>
      </c>
      <c r="P44" s="99">
        <f>+M44-E44</f>
        <v>-6</v>
      </c>
      <c r="Q44" s="93">
        <f>+P44*D44</f>
        <v>-823344</v>
      </c>
    </row>
    <row r="45" spans="1:17" ht="45" x14ac:dyDescent="0.25">
      <c r="A45" s="22" t="s">
        <v>81</v>
      </c>
      <c r="B45" s="10" t="s">
        <v>73</v>
      </c>
      <c r="C45" s="23" t="s">
        <v>28</v>
      </c>
      <c r="D45" s="12">
        <v>20166</v>
      </c>
      <c r="E45" s="24">
        <v>0</v>
      </c>
      <c r="F45" s="14">
        <f t="shared" si="1"/>
        <v>0</v>
      </c>
      <c r="G45" s="15">
        <v>0</v>
      </c>
      <c r="H45" s="16">
        <f t="shared" si="2"/>
        <v>0</v>
      </c>
      <c r="I45" s="20">
        <v>113.7</v>
      </c>
      <c r="J45" s="17">
        <f t="shared" si="3"/>
        <v>2292874.2000000002</v>
      </c>
      <c r="K45" s="15">
        <v>0</v>
      </c>
      <c r="L45" s="16">
        <f t="shared" si="17"/>
        <v>0</v>
      </c>
      <c r="M45" s="15">
        <f>+G45+I45</f>
        <v>113.7</v>
      </c>
      <c r="N45" s="162">
        <f>+D45*M45</f>
        <v>2292874.2000000002</v>
      </c>
      <c r="O45" s="160" t="e">
        <f t="shared" si="15"/>
        <v>#DIV/0!</v>
      </c>
      <c r="P45" s="99">
        <f>+M45-E45</f>
        <v>113.7</v>
      </c>
      <c r="Q45" s="167">
        <f>+P45*D45</f>
        <v>2292874.2000000002</v>
      </c>
    </row>
    <row r="46" spans="1:17" x14ac:dyDescent="0.25">
      <c r="A46" s="9" t="s">
        <v>82</v>
      </c>
      <c r="B46" s="10" t="s">
        <v>83</v>
      </c>
      <c r="C46" s="21" t="s">
        <v>18</v>
      </c>
      <c r="D46" s="12">
        <v>45933</v>
      </c>
      <c r="E46" s="13">
        <v>389</v>
      </c>
      <c r="F46" s="14">
        <f t="shared" si="1"/>
        <v>17867937</v>
      </c>
      <c r="G46" s="15">
        <v>0</v>
      </c>
      <c r="H46" s="16">
        <f t="shared" si="2"/>
        <v>0</v>
      </c>
      <c r="I46" s="15">
        <v>0</v>
      </c>
      <c r="J46" s="17">
        <f t="shared" si="3"/>
        <v>0</v>
      </c>
      <c r="K46" s="15">
        <v>0</v>
      </c>
      <c r="L46" s="16">
        <f t="shared" si="17"/>
        <v>0</v>
      </c>
      <c r="M46" s="15">
        <f>+G46+I46</f>
        <v>0</v>
      </c>
      <c r="N46" s="95">
        <f>+D46*M46</f>
        <v>0</v>
      </c>
      <c r="O46" s="102">
        <f t="shared" si="15"/>
        <v>0</v>
      </c>
      <c r="P46" s="99">
        <f>+M46-E46</f>
        <v>-389</v>
      </c>
      <c r="Q46" s="93">
        <f>+P46*D46</f>
        <v>-17867937</v>
      </c>
    </row>
    <row r="47" spans="1:17" x14ac:dyDescent="0.25">
      <c r="A47" s="120">
        <v>6</v>
      </c>
      <c r="B47" s="121" t="s">
        <v>84</v>
      </c>
      <c r="C47" s="122"/>
      <c r="D47" s="123"/>
      <c r="E47" s="122"/>
      <c r="F47" s="124">
        <f>SUM(F48:F50)</f>
        <v>18811308.780000001</v>
      </c>
      <c r="G47" s="120"/>
      <c r="H47" s="125"/>
      <c r="I47" s="120"/>
      <c r="J47" s="125"/>
      <c r="K47" s="120"/>
      <c r="L47" s="125"/>
      <c r="M47" s="120"/>
      <c r="N47" s="126">
        <f>SUM(N48:N50)</f>
        <v>2722744.0999999996</v>
      </c>
      <c r="O47" s="130">
        <f t="shared" si="15"/>
        <v>0.14473974840574594</v>
      </c>
      <c r="P47" s="131"/>
      <c r="Q47" s="132">
        <f>SUM(Q48:Q50)</f>
        <v>-16088564.68</v>
      </c>
    </row>
    <row r="48" spans="1:17" ht="30" x14ac:dyDescent="0.25">
      <c r="A48" s="22" t="s">
        <v>85</v>
      </c>
      <c r="B48" s="10" t="s">
        <v>86</v>
      </c>
      <c r="C48" s="11" t="s">
        <v>18</v>
      </c>
      <c r="D48" s="12">
        <v>95211</v>
      </c>
      <c r="E48" s="13">
        <v>34.5</v>
      </c>
      <c r="F48" s="14">
        <f t="shared" si="1"/>
        <v>3284779.5</v>
      </c>
      <c r="G48" s="15">
        <v>0</v>
      </c>
      <c r="H48" s="16">
        <f t="shared" si="2"/>
        <v>0</v>
      </c>
      <c r="I48" s="20">
        <v>12.6</v>
      </c>
      <c r="J48" s="17">
        <f t="shared" si="3"/>
        <v>1199658.5999999999</v>
      </c>
      <c r="K48" s="15">
        <v>0</v>
      </c>
      <c r="L48" s="16">
        <f t="shared" ref="L48:L50" si="18">+$D48*K48</f>
        <v>0</v>
      </c>
      <c r="M48" s="15">
        <f>+G48+I48</f>
        <v>12.6</v>
      </c>
      <c r="N48" s="162">
        <f>+D48*M48</f>
        <v>1199658.5999999999</v>
      </c>
      <c r="O48" s="102">
        <f t="shared" si="15"/>
        <v>0.36521739130434777</v>
      </c>
      <c r="P48" s="99">
        <f>+M48-E48</f>
        <v>-21.9</v>
      </c>
      <c r="Q48" s="93">
        <f>+P48*D48</f>
        <v>-2085120.9</v>
      </c>
    </row>
    <row r="49" spans="1:17" x14ac:dyDescent="0.25">
      <c r="A49" s="22" t="s">
        <v>87</v>
      </c>
      <c r="B49" s="10" t="s">
        <v>88</v>
      </c>
      <c r="C49" s="11" t="s">
        <v>18</v>
      </c>
      <c r="D49" s="12">
        <v>92488</v>
      </c>
      <c r="E49" s="13">
        <v>81.56</v>
      </c>
      <c r="F49" s="14">
        <f t="shared" si="1"/>
        <v>7543321.2800000003</v>
      </c>
      <c r="G49" s="15">
        <v>0</v>
      </c>
      <c r="H49" s="16">
        <f t="shared" si="2"/>
        <v>0</v>
      </c>
      <c r="I49" s="15">
        <v>0</v>
      </c>
      <c r="J49" s="17">
        <f t="shared" si="3"/>
        <v>0</v>
      </c>
      <c r="K49" s="15">
        <v>0</v>
      </c>
      <c r="L49" s="16">
        <f t="shared" si="18"/>
        <v>0</v>
      </c>
      <c r="M49" s="15">
        <f>+G49+I49</f>
        <v>0</v>
      </c>
      <c r="N49" s="95">
        <f>+D49*M49</f>
        <v>0</v>
      </c>
      <c r="O49" s="102">
        <f t="shared" si="15"/>
        <v>0</v>
      </c>
      <c r="P49" s="99">
        <f>+M49-E49</f>
        <v>-81.56</v>
      </c>
      <c r="Q49" s="93">
        <f>+P49*D49</f>
        <v>-7543321.2800000003</v>
      </c>
    </row>
    <row r="50" spans="1:17" s="19" customFormat="1" x14ac:dyDescent="0.25">
      <c r="A50" s="22" t="s">
        <v>89</v>
      </c>
      <c r="B50" s="10" t="s">
        <v>90</v>
      </c>
      <c r="C50" s="11" t="s">
        <v>21</v>
      </c>
      <c r="D50" s="12">
        <v>25225</v>
      </c>
      <c r="E50" s="13">
        <v>316.48</v>
      </c>
      <c r="F50" s="14">
        <f t="shared" si="1"/>
        <v>7983208</v>
      </c>
      <c r="G50" s="15">
        <v>0</v>
      </c>
      <c r="H50" s="16">
        <f t="shared" si="2"/>
        <v>0</v>
      </c>
      <c r="I50" s="20">
        <v>60.38</v>
      </c>
      <c r="J50" s="17">
        <f t="shared" si="3"/>
        <v>1523085.5</v>
      </c>
      <c r="K50" s="15">
        <v>0</v>
      </c>
      <c r="L50" s="16">
        <f t="shared" si="18"/>
        <v>0</v>
      </c>
      <c r="M50" s="15">
        <f>+G50+I50</f>
        <v>60.38</v>
      </c>
      <c r="N50" s="162">
        <f>+D50*M50</f>
        <v>1523085.5</v>
      </c>
      <c r="O50" s="102">
        <f t="shared" si="15"/>
        <v>0.19078614762386248</v>
      </c>
      <c r="P50" s="99">
        <f>+M50-E50</f>
        <v>-256.10000000000002</v>
      </c>
      <c r="Q50" s="93">
        <f>+P50*D50</f>
        <v>-6460122.5000000009</v>
      </c>
    </row>
    <row r="51" spans="1:17" x14ac:dyDescent="0.25">
      <c r="A51" s="120">
        <v>7</v>
      </c>
      <c r="B51" s="121" t="s">
        <v>91</v>
      </c>
      <c r="C51" s="122"/>
      <c r="D51" s="123"/>
      <c r="E51" s="122"/>
      <c r="F51" s="124">
        <f>SUM(F52:F66)</f>
        <v>143851058.07999998</v>
      </c>
      <c r="G51" s="120"/>
      <c r="H51" s="125"/>
      <c r="I51" s="120"/>
      <c r="J51" s="125"/>
      <c r="K51" s="120"/>
      <c r="L51" s="125"/>
      <c r="M51" s="120"/>
      <c r="N51" s="126">
        <f>SUM(N52:N66)</f>
        <v>21984725.780000001</v>
      </c>
      <c r="O51" s="130">
        <f t="shared" si="15"/>
        <v>0.1528297815353824</v>
      </c>
      <c r="P51" s="131"/>
      <c r="Q51" s="132">
        <f>SUM(Q52:Q66)</f>
        <v>-121866332.3</v>
      </c>
    </row>
    <row r="52" spans="1:17" ht="30" x14ac:dyDescent="0.25">
      <c r="A52" s="9" t="s">
        <v>92</v>
      </c>
      <c r="B52" s="18" t="s">
        <v>93</v>
      </c>
      <c r="C52" s="11" t="s">
        <v>18</v>
      </c>
      <c r="D52" s="12">
        <v>664084</v>
      </c>
      <c r="E52" s="13">
        <v>5.0999999999999996</v>
      </c>
      <c r="F52" s="14">
        <f t="shared" si="1"/>
        <v>3386828.4</v>
      </c>
      <c r="G52" s="15">
        <v>0</v>
      </c>
      <c r="H52" s="16">
        <f t="shared" si="2"/>
        <v>0</v>
      </c>
      <c r="I52" s="20">
        <v>2.36</v>
      </c>
      <c r="J52" s="17">
        <f t="shared" si="3"/>
        <v>1567238.24</v>
      </c>
      <c r="K52" s="15">
        <v>0</v>
      </c>
      <c r="L52" s="16">
        <f t="shared" ref="L52:L66" si="19">+$D52*K52</f>
        <v>0</v>
      </c>
      <c r="M52" s="15">
        <f t="shared" ref="M52:M66" si="20">+G52+I52</f>
        <v>2.36</v>
      </c>
      <c r="N52" s="162">
        <f t="shared" ref="N52:N66" si="21">+D52*M52</f>
        <v>1567238.24</v>
      </c>
      <c r="O52" s="102">
        <f t="shared" si="15"/>
        <v>0.46274509803921571</v>
      </c>
      <c r="P52" s="99">
        <f t="shared" ref="P52:P66" si="22">+M52-E52</f>
        <v>-2.7399999999999998</v>
      </c>
      <c r="Q52" s="93">
        <f t="shared" ref="Q52:Q66" si="23">+P52*D52</f>
        <v>-1819590.16</v>
      </c>
    </row>
    <row r="53" spans="1:17" x14ac:dyDescent="0.25">
      <c r="A53" s="9" t="s">
        <v>94</v>
      </c>
      <c r="B53" s="10" t="s">
        <v>95</v>
      </c>
      <c r="C53" s="21" t="s">
        <v>18</v>
      </c>
      <c r="D53" s="12">
        <v>1781610</v>
      </c>
      <c r="E53" s="13">
        <v>4.2</v>
      </c>
      <c r="F53" s="14">
        <f t="shared" si="1"/>
        <v>7482762</v>
      </c>
      <c r="G53" s="15">
        <v>3.95</v>
      </c>
      <c r="H53" s="16">
        <f t="shared" si="2"/>
        <v>7037359.5</v>
      </c>
      <c r="I53" s="15">
        <v>0</v>
      </c>
      <c r="J53" s="17">
        <f t="shared" si="3"/>
        <v>0</v>
      </c>
      <c r="K53" s="15">
        <v>0</v>
      </c>
      <c r="L53" s="16">
        <f t="shared" si="19"/>
        <v>0</v>
      </c>
      <c r="M53" s="15">
        <f t="shared" si="20"/>
        <v>3.95</v>
      </c>
      <c r="N53" s="162">
        <f t="shared" si="21"/>
        <v>7037359.5</v>
      </c>
      <c r="O53" s="102">
        <f t="shared" si="15"/>
        <v>0.94047619047619047</v>
      </c>
      <c r="P53" s="99">
        <f t="shared" si="22"/>
        <v>-0.25</v>
      </c>
      <c r="Q53" s="93">
        <f t="shared" si="23"/>
        <v>-445402.5</v>
      </c>
    </row>
    <row r="54" spans="1:17" ht="30" x14ac:dyDescent="0.25">
      <c r="A54" s="9" t="s">
        <v>96</v>
      </c>
      <c r="B54" s="18" t="s">
        <v>97</v>
      </c>
      <c r="C54" s="11" t="s">
        <v>28</v>
      </c>
      <c r="D54" s="25">
        <v>1019193</v>
      </c>
      <c r="E54" s="13">
        <v>1</v>
      </c>
      <c r="F54" s="14">
        <f t="shared" si="1"/>
        <v>1019193</v>
      </c>
      <c r="G54" s="15">
        <v>0</v>
      </c>
      <c r="H54" s="16">
        <f t="shared" si="2"/>
        <v>0</v>
      </c>
      <c r="I54" s="15">
        <v>0</v>
      </c>
      <c r="J54" s="17">
        <f t="shared" si="3"/>
        <v>0</v>
      </c>
      <c r="K54" s="15">
        <v>0</v>
      </c>
      <c r="L54" s="16">
        <f t="shared" si="19"/>
        <v>0</v>
      </c>
      <c r="M54" s="15">
        <f t="shared" si="20"/>
        <v>0</v>
      </c>
      <c r="N54" s="95">
        <f t="shared" si="21"/>
        <v>0</v>
      </c>
      <c r="O54" s="102">
        <f t="shared" si="15"/>
        <v>0</v>
      </c>
      <c r="P54" s="99">
        <f t="shared" si="22"/>
        <v>-1</v>
      </c>
      <c r="Q54" s="93">
        <f t="shared" si="23"/>
        <v>-1019193</v>
      </c>
    </row>
    <row r="55" spans="1:17" ht="30" x14ac:dyDescent="0.25">
      <c r="A55" s="9" t="s">
        <v>98</v>
      </c>
      <c r="B55" s="18" t="s">
        <v>99</v>
      </c>
      <c r="C55" s="11" t="s">
        <v>28</v>
      </c>
      <c r="D55" s="25">
        <v>874194</v>
      </c>
      <c r="E55" s="13">
        <v>1</v>
      </c>
      <c r="F55" s="14">
        <f t="shared" si="1"/>
        <v>874194</v>
      </c>
      <c r="G55" s="15">
        <v>0</v>
      </c>
      <c r="H55" s="16">
        <f t="shared" si="2"/>
        <v>0</v>
      </c>
      <c r="I55" s="15">
        <v>0</v>
      </c>
      <c r="J55" s="17">
        <f t="shared" si="3"/>
        <v>0</v>
      </c>
      <c r="K55" s="15">
        <v>0</v>
      </c>
      <c r="L55" s="16">
        <f t="shared" si="19"/>
        <v>0</v>
      </c>
      <c r="M55" s="15">
        <f t="shared" si="20"/>
        <v>0</v>
      </c>
      <c r="N55" s="95">
        <f t="shared" si="21"/>
        <v>0</v>
      </c>
      <c r="O55" s="102">
        <f t="shared" si="15"/>
        <v>0</v>
      </c>
      <c r="P55" s="99">
        <f t="shared" si="22"/>
        <v>-1</v>
      </c>
      <c r="Q55" s="93">
        <f t="shared" si="23"/>
        <v>-874194</v>
      </c>
    </row>
    <row r="56" spans="1:17" x14ac:dyDescent="0.25">
      <c r="A56" s="9" t="s">
        <v>100</v>
      </c>
      <c r="B56" s="18" t="s">
        <v>101</v>
      </c>
      <c r="C56" s="11" t="s">
        <v>28</v>
      </c>
      <c r="D56" s="25">
        <v>17255000</v>
      </c>
      <c r="E56" s="13">
        <v>0</v>
      </c>
      <c r="F56" s="14">
        <f t="shared" si="1"/>
        <v>0</v>
      </c>
      <c r="G56" s="15">
        <v>0</v>
      </c>
      <c r="H56" s="16">
        <f t="shared" si="2"/>
        <v>0</v>
      </c>
      <c r="I56" s="15">
        <v>0</v>
      </c>
      <c r="J56" s="17">
        <f t="shared" si="3"/>
        <v>0</v>
      </c>
      <c r="K56" s="15">
        <v>0</v>
      </c>
      <c r="L56" s="16">
        <f t="shared" si="19"/>
        <v>0</v>
      </c>
      <c r="M56" s="15">
        <f t="shared" si="20"/>
        <v>0</v>
      </c>
      <c r="N56" s="95">
        <f t="shared" si="21"/>
        <v>0</v>
      </c>
      <c r="O56" s="160" t="e">
        <f t="shared" si="15"/>
        <v>#DIV/0!</v>
      </c>
      <c r="P56" s="99">
        <f t="shared" si="22"/>
        <v>0</v>
      </c>
      <c r="Q56" s="93">
        <f t="shared" si="23"/>
        <v>0</v>
      </c>
    </row>
    <row r="57" spans="1:17" x14ac:dyDescent="0.25">
      <c r="A57" s="9" t="s">
        <v>102</v>
      </c>
      <c r="B57" s="18" t="s">
        <v>103</v>
      </c>
      <c r="C57" s="11" t="s">
        <v>28</v>
      </c>
      <c r="D57" s="25">
        <v>2406385</v>
      </c>
      <c r="E57" s="13">
        <v>1</v>
      </c>
      <c r="F57" s="14">
        <f t="shared" si="1"/>
        <v>2406385</v>
      </c>
      <c r="G57" s="15">
        <v>0</v>
      </c>
      <c r="H57" s="16">
        <f t="shared" si="2"/>
        <v>0</v>
      </c>
      <c r="I57" s="15">
        <v>0</v>
      </c>
      <c r="J57" s="17">
        <f t="shared" si="3"/>
        <v>0</v>
      </c>
      <c r="K57" s="15">
        <v>0</v>
      </c>
      <c r="L57" s="16">
        <f t="shared" si="19"/>
        <v>0</v>
      </c>
      <c r="M57" s="15">
        <f t="shared" si="20"/>
        <v>0</v>
      </c>
      <c r="N57" s="95">
        <f t="shared" si="21"/>
        <v>0</v>
      </c>
      <c r="O57" s="102">
        <f t="shared" si="15"/>
        <v>0</v>
      </c>
      <c r="P57" s="99">
        <f t="shared" si="22"/>
        <v>-1</v>
      </c>
      <c r="Q57" s="93">
        <f t="shared" si="23"/>
        <v>-2406385</v>
      </c>
    </row>
    <row r="58" spans="1:17" x14ac:dyDescent="0.25">
      <c r="A58" s="9" t="s">
        <v>104</v>
      </c>
      <c r="B58" s="18" t="s">
        <v>105</v>
      </c>
      <c r="C58" s="11" t="s">
        <v>28</v>
      </c>
      <c r="D58" s="25">
        <v>1328405</v>
      </c>
      <c r="E58" s="13">
        <v>3</v>
      </c>
      <c r="F58" s="14">
        <f t="shared" si="1"/>
        <v>3985215</v>
      </c>
      <c r="G58" s="15">
        <v>0</v>
      </c>
      <c r="H58" s="16">
        <f t="shared" si="2"/>
        <v>0</v>
      </c>
      <c r="I58" s="15">
        <v>0</v>
      </c>
      <c r="J58" s="17">
        <f t="shared" si="3"/>
        <v>0</v>
      </c>
      <c r="K58" s="15">
        <v>0</v>
      </c>
      <c r="L58" s="16">
        <f t="shared" si="19"/>
        <v>0</v>
      </c>
      <c r="M58" s="15">
        <f t="shared" si="20"/>
        <v>0</v>
      </c>
      <c r="N58" s="95">
        <f t="shared" si="21"/>
        <v>0</v>
      </c>
      <c r="O58" s="102">
        <f t="shared" si="15"/>
        <v>0</v>
      </c>
      <c r="P58" s="99">
        <f t="shared" si="22"/>
        <v>-3</v>
      </c>
      <c r="Q58" s="93">
        <f t="shared" si="23"/>
        <v>-3985215</v>
      </c>
    </row>
    <row r="59" spans="1:17" x14ac:dyDescent="0.25">
      <c r="A59" s="9" t="s">
        <v>106</v>
      </c>
      <c r="B59" s="18" t="s">
        <v>107</v>
      </c>
      <c r="C59" s="11" t="s">
        <v>28</v>
      </c>
      <c r="D59" s="25">
        <v>11662000</v>
      </c>
      <c r="E59" s="13">
        <v>1</v>
      </c>
      <c r="F59" s="14">
        <f t="shared" si="1"/>
        <v>11662000</v>
      </c>
      <c r="G59" s="15">
        <v>0</v>
      </c>
      <c r="H59" s="16">
        <f t="shared" si="2"/>
        <v>0</v>
      </c>
      <c r="I59" s="15">
        <v>0</v>
      </c>
      <c r="J59" s="17">
        <f t="shared" si="3"/>
        <v>0</v>
      </c>
      <c r="K59" s="15">
        <v>0</v>
      </c>
      <c r="L59" s="16">
        <f t="shared" si="19"/>
        <v>0</v>
      </c>
      <c r="M59" s="15">
        <f t="shared" si="20"/>
        <v>0</v>
      </c>
      <c r="N59" s="95">
        <f t="shared" si="21"/>
        <v>0</v>
      </c>
      <c r="O59" s="102">
        <f t="shared" si="15"/>
        <v>0</v>
      </c>
      <c r="P59" s="99">
        <f t="shared" si="22"/>
        <v>-1</v>
      </c>
      <c r="Q59" s="93">
        <f t="shared" si="23"/>
        <v>-11662000</v>
      </c>
    </row>
    <row r="60" spans="1:17" x14ac:dyDescent="0.25">
      <c r="A60" s="9" t="s">
        <v>108</v>
      </c>
      <c r="B60" s="18" t="s">
        <v>109</v>
      </c>
      <c r="C60" s="11" t="s">
        <v>28</v>
      </c>
      <c r="D60" s="25">
        <v>1218974</v>
      </c>
      <c r="E60" s="13">
        <v>13</v>
      </c>
      <c r="F60" s="14">
        <f t="shared" si="1"/>
        <v>15846662</v>
      </c>
      <c r="G60" s="15">
        <v>0</v>
      </c>
      <c r="H60" s="16">
        <f t="shared" si="2"/>
        <v>0</v>
      </c>
      <c r="I60" s="15">
        <v>0</v>
      </c>
      <c r="J60" s="17">
        <f t="shared" si="3"/>
        <v>0</v>
      </c>
      <c r="K60" s="15">
        <v>0</v>
      </c>
      <c r="L60" s="16">
        <f t="shared" si="19"/>
        <v>0</v>
      </c>
      <c r="M60" s="15">
        <f t="shared" si="20"/>
        <v>0</v>
      </c>
      <c r="N60" s="95">
        <f t="shared" si="21"/>
        <v>0</v>
      </c>
      <c r="O60" s="102">
        <f t="shared" si="15"/>
        <v>0</v>
      </c>
      <c r="P60" s="99">
        <f t="shared" si="22"/>
        <v>-13</v>
      </c>
      <c r="Q60" s="93">
        <f t="shared" si="23"/>
        <v>-15846662</v>
      </c>
    </row>
    <row r="61" spans="1:17" x14ac:dyDescent="0.25">
      <c r="A61" s="9" t="s">
        <v>110</v>
      </c>
      <c r="B61" s="18" t="s">
        <v>111</v>
      </c>
      <c r="C61" s="11" t="s">
        <v>28</v>
      </c>
      <c r="D61" s="25">
        <v>2047026</v>
      </c>
      <c r="E61" s="13">
        <v>1</v>
      </c>
      <c r="F61" s="14">
        <f t="shared" si="1"/>
        <v>2047026</v>
      </c>
      <c r="G61" s="15">
        <v>0</v>
      </c>
      <c r="H61" s="16">
        <f t="shared" si="2"/>
        <v>0</v>
      </c>
      <c r="I61" s="20">
        <v>1</v>
      </c>
      <c r="J61" s="17">
        <f t="shared" si="3"/>
        <v>2047026</v>
      </c>
      <c r="K61" s="15">
        <v>0</v>
      </c>
      <c r="L61" s="16">
        <f t="shared" si="19"/>
        <v>0</v>
      </c>
      <c r="M61" s="15">
        <f t="shared" si="20"/>
        <v>1</v>
      </c>
      <c r="N61" s="162">
        <f t="shared" si="21"/>
        <v>2047026</v>
      </c>
      <c r="O61" s="160">
        <f t="shared" si="15"/>
        <v>1</v>
      </c>
      <c r="P61" s="99">
        <f t="shared" si="22"/>
        <v>0</v>
      </c>
      <c r="Q61" s="93">
        <f t="shared" si="23"/>
        <v>0</v>
      </c>
    </row>
    <row r="62" spans="1:17" x14ac:dyDescent="0.25">
      <c r="A62" s="9" t="s">
        <v>112</v>
      </c>
      <c r="B62" s="18" t="s">
        <v>113</v>
      </c>
      <c r="C62" s="11" t="s">
        <v>21</v>
      </c>
      <c r="D62" s="25">
        <v>532176</v>
      </c>
      <c r="E62" s="13">
        <v>11.18</v>
      </c>
      <c r="F62" s="14">
        <f t="shared" si="1"/>
        <v>5949727.6799999997</v>
      </c>
      <c r="G62" s="15">
        <v>0</v>
      </c>
      <c r="H62" s="16">
        <f t="shared" si="2"/>
        <v>0</v>
      </c>
      <c r="I62" s="20">
        <v>12.54</v>
      </c>
      <c r="J62" s="17">
        <f t="shared" si="3"/>
        <v>6673487.0399999991</v>
      </c>
      <c r="K62" s="15">
        <v>0</v>
      </c>
      <c r="L62" s="16">
        <f t="shared" si="19"/>
        <v>0</v>
      </c>
      <c r="M62" s="15">
        <f t="shared" si="20"/>
        <v>12.54</v>
      </c>
      <c r="N62" s="162">
        <f t="shared" si="21"/>
        <v>6673487.0399999991</v>
      </c>
      <c r="O62" s="102">
        <f t="shared" si="15"/>
        <v>1.1216457960644006</v>
      </c>
      <c r="P62" s="99">
        <f t="shared" si="22"/>
        <v>1.3599999999999994</v>
      </c>
      <c r="Q62" s="93">
        <f t="shared" si="23"/>
        <v>723759.35999999975</v>
      </c>
    </row>
    <row r="63" spans="1:17" x14ac:dyDescent="0.25">
      <c r="A63" s="9" t="s">
        <v>114</v>
      </c>
      <c r="B63" s="26" t="s">
        <v>115</v>
      </c>
      <c r="C63" s="11" t="s">
        <v>28</v>
      </c>
      <c r="D63" s="25">
        <v>16303000</v>
      </c>
      <c r="E63" s="13">
        <v>2</v>
      </c>
      <c r="F63" s="14">
        <f t="shared" si="1"/>
        <v>32606000</v>
      </c>
      <c r="G63" s="15">
        <v>0</v>
      </c>
      <c r="H63" s="16">
        <f t="shared" si="2"/>
        <v>0</v>
      </c>
      <c r="I63" s="15">
        <v>0</v>
      </c>
      <c r="J63" s="17">
        <f t="shared" si="3"/>
        <v>0</v>
      </c>
      <c r="K63" s="15">
        <v>0</v>
      </c>
      <c r="L63" s="16">
        <f t="shared" si="19"/>
        <v>0</v>
      </c>
      <c r="M63" s="15">
        <f t="shared" si="20"/>
        <v>0</v>
      </c>
      <c r="N63" s="95">
        <f t="shared" si="21"/>
        <v>0</v>
      </c>
      <c r="O63" s="102">
        <f t="shared" si="15"/>
        <v>0</v>
      </c>
      <c r="P63" s="99">
        <f t="shared" si="22"/>
        <v>-2</v>
      </c>
      <c r="Q63" s="93">
        <f t="shared" si="23"/>
        <v>-32606000</v>
      </c>
    </row>
    <row r="64" spans="1:17" x14ac:dyDescent="0.25">
      <c r="A64" s="9" t="s">
        <v>116</v>
      </c>
      <c r="B64" s="26" t="s">
        <v>117</v>
      </c>
      <c r="C64" s="11" t="s">
        <v>28</v>
      </c>
      <c r="D64" s="25">
        <v>26307991</v>
      </c>
      <c r="E64" s="13">
        <v>2</v>
      </c>
      <c r="F64" s="14">
        <f t="shared" si="1"/>
        <v>52615982</v>
      </c>
      <c r="G64" s="15">
        <v>0</v>
      </c>
      <c r="H64" s="16">
        <f t="shared" si="2"/>
        <v>0</v>
      </c>
      <c r="I64" s="15">
        <v>0</v>
      </c>
      <c r="J64" s="17">
        <f t="shared" si="3"/>
        <v>0</v>
      </c>
      <c r="K64" s="15">
        <v>0</v>
      </c>
      <c r="L64" s="16">
        <f t="shared" si="19"/>
        <v>0</v>
      </c>
      <c r="M64" s="15">
        <f t="shared" si="20"/>
        <v>0</v>
      </c>
      <c r="N64" s="95">
        <f t="shared" si="21"/>
        <v>0</v>
      </c>
      <c r="O64" s="102">
        <f t="shared" si="15"/>
        <v>0</v>
      </c>
      <c r="P64" s="99">
        <f t="shared" si="22"/>
        <v>-2</v>
      </c>
      <c r="Q64" s="93">
        <f t="shared" si="23"/>
        <v>-52615982</v>
      </c>
    </row>
    <row r="65" spans="1:17" x14ac:dyDescent="0.25">
      <c r="A65" s="9" t="s">
        <v>118</v>
      </c>
      <c r="B65" s="26" t="s">
        <v>119</v>
      </c>
      <c r="C65" s="11" t="s">
        <v>28</v>
      </c>
      <c r="D65" s="25">
        <v>1429966</v>
      </c>
      <c r="E65" s="13">
        <v>2</v>
      </c>
      <c r="F65" s="14">
        <f t="shared" si="1"/>
        <v>2859932</v>
      </c>
      <c r="G65" s="15">
        <v>3</v>
      </c>
      <c r="H65" s="16">
        <f t="shared" si="2"/>
        <v>4289898</v>
      </c>
      <c r="I65" s="15">
        <v>0</v>
      </c>
      <c r="J65" s="17">
        <f t="shared" si="3"/>
        <v>0</v>
      </c>
      <c r="K65" s="15">
        <v>0</v>
      </c>
      <c r="L65" s="16">
        <f t="shared" si="19"/>
        <v>0</v>
      </c>
      <c r="M65" s="15">
        <f t="shared" si="20"/>
        <v>3</v>
      </c>
      <c r="N65" s="162">
        <f t="shared" si="21"/>
        <v>4289898</v>
      </c>
      <c r="O65" s="102">
        <f t="shared" si="15"/>
        <v>1.5</v>
      </c>
      <c r="P65" s="99">
        <f t="shared" si="22"/>
        <v>1</v>
      </c>
      <c r="Q65" s="93">
        <f t="shared" si="23"/>
        <v>1429966</v>
      </c>
    </row>
    <row r="66" spans="1:17" x14ac:dyDescent="0.25">
      <c r="A66" s="9" t="s">
        <v>120</v>
      </c>
      <c r="B66" s="26" t="s">
        <v>121</v>
      </c>
      <c r="C66" s="11" t="s">
        <v>28</v>
      </c>
      <c r="D66" s="25">
        <v>369717</v>
      </c>
      <c r="E66" s="13">
        <v>3</v>
      </c>
      <c r="F66" s="14">
        <f t="shared" si="1"/>
        <v>1109151</v>
      </c>
      <c r="G66" s="15">
        <v>1</v>
      </c>
      <c r="H66" s="16">
        <f t="shared" si="2"/>
        <v>369717</v>
      </c>
      <c r="I66" s="15">
        <v>0</v>
      </c>
      <c r="J66" s="17">
        <f t="shared" si="3"/>
        <v>0</v>
      </c>
      <c r="K66" s="15">
        <v>0</v>
      </c>
      <c r="L66" s="16">
        <f t="shared" si="19"/>
        <v>0</v>
      </c>
      <c r="M66" s="15">
        <f t="shared" si="20"/>
        <v>1</v>
      </c>
      <c r="N66" s="162">
        <f t="shared" si="21"/>
        <v>369717</v>
      </c>
      <c r="O66" s="102">
        <f t="shared" si="15"/>
        <v>0.33333333333333331</v>
      </c>
      <c r="P66" s="99">
        <f t="shared" si="22"/>
        <v>-2</v>
      </c>
      <c r="Q66" s="93">
        <f t="shared" si="23"/>
        <v>-739434</v>
      </c>
    </row>
    <row r="67" spans="1:17" x14ac:dyDescent="0.25">
      <c r="A67" s="120">
        <v>8</v>
      </c>
      <c r="B67" s="121" t="s">
        <v>122</v>
      </c>
      <c r="C67" s="122"/>
      <c r="D67" s="123"/>
      <c r="E67" s="122"/>
      <c r="F67" s="124">
        <f>SUM(F68:F78)</f>
        <v>3145590</v>
      </c>
      <c r="G67" s="120"/>
      <c r="H67" s="125"/>
      <c r="I67" s="120"/>
      <c r="J67" s="125"/>
      <c r="K67" s="120"/>
      <c r="L67" s="125"/>
      <c r="M67" s="120"/>
      <c r="N67" s="126">
        <f>SUM(N68:N78)</f>
        <v>1300952</v>
      </c>
      <c r="O67" s="130">
        <f t="shared" si="15"/>
        <v>0.41357964642563083</v>
      </c>
      <c r="P67" s="131"/>
      <c r="Q67" s="132">
        <f>SUM(Q68:Q78)</f>
        <v>-1844638</v>
      </c>
    </row>
    <row r="68" spans="1:17" x14ac:dyDescent="0.25">
      <c r="A68" s="9" t="s">
        <v>123</v>
      </c>
      <c r="B68" s="27" t="s">
        <v>124</v>
      </c>
      <c r="C68" s="28" t="s">
        <v>28</v>
      </c>
      <c r="D68" s="25">
        <v>898410</v>
      </c>
      <c r="E68" s="29">
        <v>1</v>
      </c>
      <c r="F68" s="14">
        <f t="shared" si="1"/>
        <v>898410</v>
      </c>
      <c r="G68" s="15">
        <v>0</v>
      </c>
      <c r="H68" s="16">
        <f t="shared" si="2"/>
        <v>0</v>
      </c>
      <c r="I68" s="15">
        <v>0</v>
      </c>
      <c r="J68" s="17">
        <f t="shared" si="3"/>
        <v>0</v>
      </c>
      <c r="K68" s="15">
        <v>0</v>
      </c>
      <c r="L68" s="16">
        <f t="shared" ref="L68:L78" si="24">+$D68*K68</f>
        <v>0</v>
      </c>
      <c r="M68" s="15">
        <f t="shared" ref="M68:M78" si="25">+G68+I68</f>
        <v>0</v>
      </c>
      <c r="N68" s="95">
        <f t="shared" ref="N68:N78" si="26">+D68*M68</f>
        <v>0</v>
      </c>
      <c r="O68" s="102">
        <f t="shared" si="15"/>
        <v>0</v>
      </c>
      <c r="P68" s="99">
        <f t="shared" ref="P68:P78" si="27">+M68-E68</f>
        <v>-1</v>
      </c>
      <c r="Q68" s="93">
        <f t="shared" ref="Q68:Q78" si="28">+P68*D68</f>
        <v>-898410</v>
      </c>
    </row>
    <row r="69" spans="1:17" x14ac:dyDescent="0.25">
      <c r="A69" s="9" t="s">
        <v>125</v>
      </c>
      <c r="B69" s="10" t="s">
        <v>126</v>
      </c>
      <c r="C69" s="21" t="s">
        <v>28</v>
      </c>
      <c r="D69" s="12">
        <v>841976</v>
      </c>
      <c r="E69" s="13">
        <v>0</v>
      </c>
      <c r="F69" s="14">
        <f t="shared" si="1"/>
        <v>0</v>
      </c>
      <c r="G69" s="15">
        <v>0</v>
      </c>
      <c r="H69" s="16">
        <f t="shared" si="2"/>
        <v>0</v>
      </c>
      <c r="I69" s="15">
        <v>0</v>
      </c>
      <c r="J69" s="17">
        <f t="shared" si="3"/>
        <v>0</v>
      </c>
      <c r="K69" s="15">
        <v>0</v>
      </c>
      <c r="L69" s="16">
        <f t="shared" si="24"/>
        <v>0</v>
      </c>
      <c r="M69" s="15">
        <f t="shared" si="25"/>
        <v>0</v>
      </c>
      <c r="N69" s="95">
        <f t="shared" si="26"/>
        <v>0</v>
      </c>
      <c r="O69" s="160" t="e">
        <f t="shared" si="15"/>
        <v>#DIV/0!</v>
      </c>
      <c r="P69" s="99">
        <f t="shared" si="27"/>
        <v>0</v>
      </c>
      <c r="Q69" s="93">
        <f t="shared" si="28"/>
        <v>0</v>
      </c>
    </row>
    <row r="70" spans="1:17" x14ac:dyDescent="0.25">
      <c r="A70" s="9" t="s">
        <v>127</v>
      </c>
      <c r="B70" s="10" t="s">
        <v>128</v>
      </c>
      <c r="C70" s="21" t="s">
        <v>28</v>
      </c>
      <c r="D70" s="12">
        <v>912976</v>
      </c>
      <c r="E70" s="13">
        <v>0</v>
      </c>
      <c r="F70" s="14">
        <f t="shared" si="1"/>
        <v>0</v>
      </c>
      <c r="G70" s="15">
        <v>0</v>
      </c>
      <c r="H70" s="16">
        <f t="shared" si="2"/>
        <v>0</v>
      </c>
      <c r="I70" s="15">
        <v>0</v>
      </c>
      <c r="J70" s="17">
        <f t="shared" si="3"/>
        <v>0</v>
      </c>
      <c r="K70" s="15">
        <v>0</v>
      </c>
      <c r="L70" s="16">
        <f t="shared" si="24"/>
        <v>0</v>
      </c>
      <c r="M70" s="15">
        <f t="shared" si="25"/>
        <v>0</v>
      </c>
      <c r="N70" s="95">
        <f t="shared" si="26"/>
        <v>0</v>
      </c>
      <c r="O70" s="160" t="e">
        <f t="shared" si="15"/>
        <v>#DIV/0!</v>
      </c>
      <c r="P70" s="99">
        <f t="shared" si="27"/>
        <v>0</v>
      </c>
      <c r="Q70" s="93">
        <f t="shared" si="28"/>
        <v>0</v>
      </c>
    </row>
    <row r="71" spans="1:17" x14ac:dyDescent="0.25">
      <c r="A71" s="9" t="s">
        <v>129</v>
      </c>
      <c r="B71" s="10" t="s">
        <v>130</v>
      </c>
      <c r="C71" s="21" t="s">
        <v>28</v>
      </c>
      <c r="D71" s="12">
        <v>720926</v>
      </c>
      <c r="E71" s="13">
        <v>0</v>
      </c>
      <c r="F71" s="14">
        <f t="shared" si="1"/>
        <v>0</v>
      </c>
      <c r="G71" s="15">
        <v>0</v>
      </c>
      <c r="H71" s="16">
        <f t="shared" si="2"/>
        <v>0</v>
      </c>
      <c r="I71" s="15">
        <v>0</v>
      </c>
      <c r="J71" s="17">
        <f t="shared" si="3"/>
        <v>0</v>
      </c>
      <c r="K71" s="15">
        <v>0</v>
      </c>
      <c r="L71" s="16">
        <f t="shared" si="24"/>
        <v>0</v>
      </c>
      <c r="M71" s="15">
        <f t="shared" si="25"/>
        <v>0</v>
      </c>
      <c r="N71" s="95">
        <f t="shared" si="26"/>
        <v>0</v>
      </c>
      <c r="O71" s="160" t="e">
        <f t="shared" ref="O71:O102" si="29">+N71/F71</f>
        <v>#DIV/0!</v>
      </c>
      <c r="P71" s="99">
        <f t="shared" si="27"/>
        <v>0</v>
      </c>
      <c r="Q71" s="93">
        <f t="shared" si="28"/>
        <v>0</v>
      </c>
    </row>
    <row r="72" spans="1:17" x14ac:dyDescent="0.25">
      <c r="A72" s="9" t="s">
        <v>131</v>
      </c>
      <c r="B72" s="10" t="s">
        <v>132</v>
      </c>
      <c r="C72" s="21" t="s">
        <v>28</v>
      </c>
      <c r="D72" s="12">
        <v>906752</v>
      </c>
      <c r="E72" s="13">
        <v>0</v>
      </c>
      <c r="F72" s="14">
        <f t="shared" si="1"/>
        <v>0</v>
      </c>
      <c r="G72" s="15">
        <v>0</v>
      </c>
      <c r="H72" s="16">
        <f t="shared" si="2"/>
        <v>0</v>
      </c>
      <c r="I72" s="15">
        <v>0</v>
      </c>
      <c r="J72" s="17">
        <f t="shared" si="3"/>
        <v>0</v>
      </c>
      <c r="K72" s="15">
        <v>0</v>
      </c>
      <c r="L72" s="16">
        <f t="shared" si="24"/>
        <v>0</v>
      </c>
      <c r="M72" s="15">
        <f t="shared" si="25"/>
        <v>0</v>
      </c>
      <c r="N72" s="95">
        <f t="shared" si="26"/>
        <v>0</v>
      </c>
      <c r="O72" s="160" t="e">
        <f t="shared" si="29"/>
        <v>#DIV/0!</v>
      </c>
      <c r="P72" s="99">
        <f t="shared" si="27"/>
        <v>0</v>
      </c>
      <c r="Q72" s="93">
        <f t="shared" si="28"/>
        <v>0</v>
      </c>
    </row>
    <row r="73" spans="1:17" x14ac:dyDescent="0.25">
      <c r="A73" s="9" t="s">
        <v>133</v>
      </c>
      <c r="B73" s="10" t="s">
        <v>134</v>
      </c>
      <c r="C73" s="21" t="s">
        <v>28</v>
      </c>
      <c r="D73" s="12">
        <v>553809</v>
      </c>
      <c r="E73" s="13">
        <v>1</v>
      </c>
      <c r="F73" s="14">
        <f t="shared" ref="F73:F110" si="30">+D73*E73</f>
        <v>553809</v>
      </c>
      <c r="G73" s="15">
        <v>0</v>
      </c>
      <c r="H73" s="16">
        <f t="shared" ref="H73:H78" si="31">+$D73*G73</f>
        <v>0</v>
      </c>
      <c r="I73" s="20">
        <v>1</v>
      </c>
      <c r="J73" s="17">
        <f t="shared" ref="J73:J78" si="32">+$D73*I73</f>
        <v>553809</v>
      </c>
      <c r="K73" s="15">
        <v>0</v>
      </c>
      <c r="L73" s="16">
        <f t="shared" si="24"/>
        <v>0</v>
      </c>
      <c r="M73" s="15">
        <f t="shared" si="25"/>
        <v>1</v>
      </c>
      <c r="N73" s="162">
        <f t="shared" si="26"/>
        <v>553809</v>
      </c>
      <c r="O73" s="160">
        <f t="shared" si="29"/>
        <v>1</v>
      </c>
      <c r="P73" s="99">
        <f t="shared" si="27"/>
        <v>0</v>
      </c>
      <c r="Q73" s="93">
        <f t="shared" si="28"/>
        <v>0</v>
      </c>
    </row>
    <row r="74" spans="1:17" x14ac:dyDescent="0.25">
      <c r="A74" s="9" t="s">
        <v>135</v>
      </c>
      <c r="B74" s="10" t="s">
        <v>136</v>
      </c>
      <c r="C74" s="30" t="s">
        <v>28</v>
      </c>
      <c r="D74" s="25">
        <v>350504</v>
      </c>
      <c r="E74" s="13">
        <v>1</v>
      </c>
      <c r="F74" s="14">
        <f t="shared" si="30"/>
        <v>350504</v>
      </c>
      <c r="G74" s="15">
        <v>0</v>
      </c>
      <c r="H74" s="16">
        <f t="shared" si="31"/>
        <v>0</v>
      </c>
      <c r="I74" s="15">
        <v>0</v>
      </c>
      <c r="J74" s="17">
        <f t="shared" si="32"/>
        <v>0</v>
      </c>
      <c r="K74" s="15">
        <v>0</v>
      </c>
      <c r="L74" s="16">
        <f t="shared" si="24"/>
        <v>0</v>
      </c>
      <c r="M74" s="15">
        <f t="shared" si="25"/>
        <v>0</v>
      </c>
      <c r="N74" s="95">
        <f t="shared" si="26"/>
        <v>0</v>
      </c>
      <c r="O74" s="102">
        <f t="shared" si="29"/>
        <v>0</v>
      </c>
      <c r="P74" s="99">
        <f t="shared" si="27"/>
        <v>-1</v>
      </c>
      <c r="Q74" s="93">
        <f t="shared" si="28"/>
        <v>-350504</v>
      </c>
    </row>
    <row r="75" spans="1:17" s="3" customFormat="1" x14ac:dyDescent="0.25">
      <c r="A75" s="9" t="s">
        <v>137</v>
      </c>
      <c r="B75" s="10" t="s">
        <v>138</v>
      </c>
      <c r="C75" s="30" t="s">
        <v>28</v>
      </c>
      <c r="D75" s="25">
        <v>808410</v>
      </c>
      <c r="E75" s="13">
        <v>1</v>
      </c>
      <c r="F75" s="14">
        <f t="shared" si="30"/>
        <v>808410</v>
      </c>
      <c r="G75" s="15">
        <v>0</v>
      </c>
      <c r="H75" s="16">
        <f t="shared" si="31"/>
        <v>0</v>
      </c>
      <c r="I75" s="15">
        <v>0</v>
      </c>
      <c r="J75" s="17">
        <f t="shared" si="32"/>
        <v>0</v>
      </c>
      <c r="K75" s="15">
        <v>0</v>
      </c>
      <c r="L75" s="16">
        <f t="shared" si="24"/>
        <v>0</v>
      </c>
      <c r="M75" s="15">
        <f t="shared" si="25"/>
        <v>0</v>
      </c>
      <c r="N75" s="95">
        <f t="shared" si="26"/>
        <v>0</v>
      </c>
      <c r="O75" s="102">
        <f t="shared" si="29"/>
        <v>0</v>
      </c>
      <c r="P75" s="99">
        <f t="shared" si="27"/>
        <v>-1</v>
      </c>
      <c r="Q75" s="93">
        <f t="shared" si="28"/>
        <v>-808410</v>
      </c>
    </row>
    <row r="76" spans="1:17" s="3" customFormat="1" x14ac:dyDescent="0.25">
      <c r="A76" s="9" t="s">
        <v>139</v>
      </c>
      <c r="B76" s="10" t="s">
        <v>140</v>
      </c>
      <c r="C76" s="30" t="s">
        <v>28</v>
      </c>
      <c r="D76" s="25">
        <v>100067</v>
      </c>
      <c r="E76" s="13">
        <v>0</v>
      </c>
      <c r="F76" s="14">
        <f t="shared" si="30"/>
        <v>0</v>
      </c>
      <c r="G76" s="15">
        <v>0</v>
      </c>
      <c r="H76" s="16">
        <f t="shared" si="31"/>
        <v>0</v>
      </c>
      <c r="I76" s="15">
        <v>0</v>
      </c>
      <c r="J76" s="17">
        <f t="shared" si="32"/>
        <v>0</v>
      </c>
      <c r="K76" s="15">
        <v>0</v>
      </c>
      <c r="L76" s="16">
        <f t="shared" si="24"/>
        <v>0</v>
      </c>
      <c r="M76" s="15">
        <f t="shared" si="25"/>
        <v>0</v>
      </c>
      <c r="N76" s="95">
        <f t="shared" si="26"/>
        <v>0</v>
      </c>
      <c r="O76" s="160" t="e">
        <f t="shared" si="29"/>
        <v>#DIV/0!</v>
      </c>
      <c r="P76" s="99">
        <f t="shared" si="27"/>
        <v>0</v>
      </c>
      <c r="Q76" s="93">
        <f t="shared" si="28"/>
        <v>0</v>
      </c>
    </row>
    <row r="77" spans="1:17" s="3" customFormat="1" x14ac:dyDescent="0.25">
      <c r="A77" s="9" t="s">
        <v>141</v>
      </c>
      <c r="B77" s="10" t="s">
        <v>142</v>
      </c>
      <c r="C77" s="30" t="s">
        <v>28</v>
      </c>
      <c r="D77" s="25">
        <v>103601</v>
      </c>
      <c r="E77" s="13">
        <v>2</v>
      </c>
      <c r="F77" s="14">
        <f t="shared" si="30"/>
        <v>207202</v>
      </c>
      <c r="G77" s="15">
        <v>3</v>
      </c>
      <c r="H77" s="16">
        <f t="shared" si="31"/>
        <v>310803</v>
      </c>
      <c r="I77" s="15">
        <v>0</v>
      </c>
      <c r="J77" s="17">
        <f t="shared" si="32"/>
        <v>0</v>
      </c>
      <c r="K77" s="15">
        <v>0</v>
      </c>
      <c r="L77" s="16">
        <f t="shared" si="24"/>
        <v>0</v>
      </c>
      <c r="M77" s="15">
        <f t="shared" si="25"/>
        <v>3</v>
      </c>
      <c r="N77" s="162">
        <f t="shared" si="26"/>
        <v>310803</v>
      </c>
      <c r="O77" s="102">
        <f t="shared" si="29"/>
        <v>1.5</v>
      </c>
      <c r="P77" s="99">
        <f t="shared" si="27"/>
        <v>1</v>
      </c>
      <c r="Q77" s="93">
        <f t="shared" si="28"/>
        <v>103601</v>
      </c>
    </row>
    <row r="78" spans="1:17" s="3" customFormat="1" ht="30" x14ac:dyDescent="0.25">
      <c r="A78" s="9" t="s">
        <v>143</v>
      </c>
      <c r="B78" s="10" t="s">
        <v>144</v>
      </c>
      <c r="C78" s="30" t="s">
        <v>28</v>
      </c>
      <c r="D78" s="25">
        <v>109085</v>
      </c>
      <c r="E78" s="13">
        <v>3</v>
      </c>
      <c r="F78" s="14">
        <f t="shared" si="30"/>
        <v>327255</v>
      </c>
      <c r="G78" s="15">
        <v>0</v>
      </c>
      <c r="H78" s="16">
        <f t="shared" si="31"/>
        <v>0</v>
      </c>
      <c r="I78" s="20">
        <v>4</v>
      </c>
      <c r="J78" s="17">
        <f t="shared" si="32"/>
        <v>436340</v>
      </c>
      <c r="K78" s="15">
        <v>0</v>
      </c>
      <c r="L78" s="16">
        <f t="shared" si="24"/>
        <v>0</v>
      </c>
      <c r="M78" s="15">
        <f t="shared" si="25"/>
        <v>4</v>
      </c>
      <c r="N78" s="162">
        <f t="shared" si="26"/>
        <v>436340</v>
      </c>
      <c r="O78" s="102">
        <f t="shared" si="29"/>
        <v>1.3333333333333333</v>
      </c>
      <c r="P78" s="99">
        <f t="shared" si="27"/>
        <v>1</v>
      </c>
      <c r="Q78" s="93">
        <f t="shared" si="28"/>
        <v>109085</v>
      </c>
    </row>
    <row r="79" spans="1:17" x14ac:dyDescent="0.25">
      <c r="A79" s="120">
        <v>9</v>
      </c>
      <c r="B79" s="121" t="s">
        <v>145</v>
      </c>
      <c r="C79" s="122"/>
      <c r="D79" s="123"/>
      <c r="E79" s="122"/>
      <c r="F79" s="124">
        <f>SUM(F80:F95)</f>
        <v>8475097.9800000004</v>
      </c>
      <c r="G79" s="120"/>
      <c r="H79" s="125"/>
      <c r="I79" s="120"/>
      <c r="J79" s="125"/>
      <c r="K79" s="120"/>
      <c r="L79" s="125"/>
      <c r="M79" s="120"/>
      <c r="N79" s="126">
        <f>SUM(N80:N95)</f>
        <v>7314819.5142999999</v>
      </c>
      <c r="O79" s="130">
        <f t="shared" si="29"/>
        <v>0.8630955691086889</v>
      </c>
      <c r="P79" s="131"/>
      <c r="Q79" s="132">
        <f>SUM(Q80:Q95)</f>
        <v>-1160278.4657000001</v>
      </c>
    </row>
    <row r="80" spans="1:17" s="3" customFormat="1" ht="45" x14ac:dyDescent="0.25">
      <c r="A80" s="9" t="s">
        <v>146</v>
      </c>
      <c r="B80" s="31" t="s">
        <v>147</v>
      </c>
      <c r="C80" s="32" t="s">
        <v>18</v>
      </c>
      <c r="D80" s="25">
        <v>32563</v>
      </c>
      <c r="E80" s="33">
        <v>2.5</v>
      </c>
      <c r="F80" s="14">
        <f t="shared" si="30"/>
        <v>81407.5</v>
      </c>
      <c r="G80" s="15">
        <v>0</v>
      </c>
      <c r="H80" s="16">
        <f t="shared" ref="H80:H95" si="33">+$D80*G80</f>
        <v>0</v>
      </c>
      <c r="I80" s="15">
        <v>0</v>
      </c>
      <c r="J80" s="17">
        <f t="shared" ref="J80:J95" si="34">+$D80*I80</f>
        <v>0</v>
      </c>
      <c r="K80" s="15">
        <v>0</v>
      </c>
      <c r="L80" s="16">
        <f t="shared" ref="L80:L95" si="35">+$D80*K80</f>
        <v>0</v>
      </c>
      <c r="M80" s="15">
        <f t="shared" ref="M80:M95" si="36">+G80+I80</f>
        <v>0</v>
      </c>
      <c r="N80" s="95">
        <f t="shared" ref="N80:N95" si="37">+D80*M80</f>
        <v>0</v>
      </c>
      <c r="O80" s="102">
        <f t="shared" si="29"/>
        <v>0</v>
      </c>
      <c r="P80" s="99">
        <f t="shared" ref="P80:P95" si="38">+M80-E80</f>
        <v>-2.5</v>
      </c>
      <c r="Q80" s="93">
        <f t="shared" ref="Q80:Q95" si="39">+P80*D80</f>
        <v>-81407.5</v>
      </c>
    </row>
    <row r="81" spans="1:17" s="3" customFormat="1" ht="45" x14ac:dyDescent="0.25">
      <c r="A81" s="9" t="s">
        <v>148</v>
      </c>
      <c r="B81" s="31" t="s">
        <v>149</v>
      </c>
      <c r="C81" s="32" t="s">
        <v>18</v>
      </c>
      <c r="D81" s="25">
        <v>19936.990000000002</v>
      </c>
      <c r="E81" s="33">
        <v>10.1</v>
      </c>
      <c r="F81" s="14">
        <f t="shared" si="30"/>
        <v>201363.59900000002</v>
      </c>
      <c r="G81" s="15">
        <v>0</v>
      </c>
      <c r="H81" s="16">
        <f t="shared" si="33"/>
        <v>0</v>
      </c>
      <c r="I81" s="15">
        <v>0</v>
      </c>
      <c r="J81" s="17">
        <f t="shared" si="34"/>
        <v>0</v>
      </c>
      <c r="K81" s="15">
        <v>0</v>
      </c>
      <c r="L81" s="16">
        <f t="shared" si="35"/>
        <v>0</v>
      </c>
      <c r="M81" s="15">
        <f t="shared" si="36"/>
        <v>0</v>
      </c>
      <c r="N81" s="95">
        <f t="shared" si="37"/>
        <v>0</v>
      </c>
      <c r="O81" s="102">
        <f t="shared" si="29"/>
        <v>0</v>
      </c>
      <c r="P81" s="99">
        <f t="shared" si="38"/>
        <v>-10.1</v>
      </c>
      <c r="Q81" s="93">
        <f t="shared" si="39"/>
        <v>-201363.59900000002</v>
      </c>
    </row>
    <row r="82" spans="1:17" s="3" customFormat="1" ht="45" x14ac:dyDescent="0.25">
      <c r="A82" s="9" t="s">
        <v>150</v>
      </c>
      <c r="B82" s="31" t="s">
        <v>151</v>
      </c>
      <c r="C82" s="32" t="s">
        <v>18</v>
      </c>
      <c r="D82" s="25">
        <v>14751.59</v>
      </c>
      <c r="E82" s="33">
        <v>30.9</v>
      </c>
      <c r="F82" s="14">
        <f t="shared" si="30"/>
        <v>455824.13099999999</v>
      </c>
      <c r="G82" s="15">
        <v>0</v>
      </c>
      <c r="H82" s="16">
        <f t="shared" si="33"/>
        <v>0</v>
      </c>
      <c r="I82" s="20">
        <v>38.590000000000003</v>
      </c>
      <c r="J82" s="17">
        <f t="shared" si="34"/>
        <v>569263.85810000007</v>
      </c>
      <c r="K82" s="15">
        <v>0</v>
      </c>
      <c r="L82" s="16">
        <f t="shared" si="35"/>
        <v>0</v>
      </c>
      <c r="M82" s="15">
        <f t="shared" si="36"/>
        <v>38.590000000000003</v>
      </c>
      <c r="N82" s="162">
        <f t="shared" si="37"/>
        <v>569263.85810000007</v>
      </c>
      <c r="O82" s="102">
        <f t="shared" si="29"/>
        <v>1.2488673139158577</v>
      </c>
      <c r="P82" s="99">
        <f t="shared" si="38"/>
        <v>7.6900000000000048</v>
      </c>
      <c r="Q82" s="93">
        <f t="shared" si="39"/>
        <v>113439.72710000008</v>
      </c>
    </row>
    <row r="83" spans="1:17" s="3" customFormat="1" ht="75" x14ac:dyDescent="0.25">
      <c r="A83" s="9" t="s">
        <v>152</v>
      </c>
      <c r="B83" s="31" t="s">
        <v>153</v>
      </c>
      <c r="C83" s="11" t="s">
        <v>28</v>
      </c>
      <c r="D83" s="25">
        <v>48406.14</v>
      </c>
      <c r="E83" s="33">
        <v>3</v>
      </c>
      <c r="F83" s="14">
        <f t="shared" si="30"/>
        <v>145218.41999999998</v>
      </c>
      <c r="G83" s="15">
        <v>0</v>
      </c>
      <c r="H83" s="16">
        <f t="shared" si="33"/>
        <v>0</v>
      </c>
      <c r="I83" s="20">
        <v>10</v>
      </c>
      <c r="J83" s="17">
        <f t="shared" si="34"/>
        <v>484061.4</v>
      </c>
      <c r="K83" s="15">
        <v>0</v>
      </c>
      <c r="L83" s="16">
        <f t="shared" si="35"/>
        <v>0</v>
      </c>
      <c r="M83" s="15">
        <f t="shared" si="36"/>
        <v>10</v>
      </c>
      <c r="N83" s="162">
        <f t="shared" si="37"/>
        <v>484061.4</v>
      </c>
      <c r="O83" s="102">
        <f t="shared" si="29"/>
        <v>3.3333333333333339</v>
      </c>
      <c r="P83" s="99">
        <f t="shared" si="38"/>
        <v>7</v>
      </c>
      <c r="Q83" s="93">
        <f t="shared" si="39"/>
        <v>338842.98</v>
      </c>
    </row>
    <row r="84" spans="1:17" s="3" customFormat="1" ht="75" x14ac:dyDescent="0.25">
      <c r="A84" s="9" t="s">
        <v>154</v>
      </c>
      <c r="B84" s="31" t="s">
        <v>155</v>
      </c>
      <c r="C84" s="11" t="s">
        <v>28</v>
      </c>
      <c r="D84" s="25">
        <v>70380.14</v>
      </c>
      <c r="E84" s="33">
        <v>0</v>
      </c>
      <c r="F84" s="14">
        <f t="shared" si="30"/>
        <v>0</v>
      </c>
      <c r="G84" s="15">
        <v>0</v>
      </c>
      <c r="H84" s="16">
        <f t="shared" si="33"/>
        <v>0</v>
      </c>
      <c r="I84" s="15">
        <v>0</v>
      </c>
      <c r="J84" s="17">
        <f t="shared" si="34"/>
        <v>0</v>
      </c>
      <c r="K84" s="15">
        <v>0</v>
      </c>
      <c r="L84" s="16">
        <f t="shared" si="35"/>
        <v>0</v>
      </c>
      <c r="M84" s="15">
        <f t="shared" si="36"/>
        <v>0</v>
      </c>
      <c r="N84" s="95">
        <f t="shared" si="37"/>
        <v>0</v>
      </c>
      <c r="O84" s="160" t="e">
        <f t="shared" si="29"/>
        <v>#DIV/0!</v>
      </c>
      <c r="P84" s="99">
        <f t="shared" si="38"/>
        <v>0</v>
      </c>
      <c r="Q84" s="93">
        <f t="shared" si="39"/>
        <v>0</v>
      </c>
    </row>
    <row r="85" spans="1:17" s="3" customFormat="1" x14ac:dyDescent="0.25">
      <c r="A85" s="9" t="s">
        <v>156</v>
      </c>
      <c r="B85" s="31" t="s">
        <v>157</v>
      </c>
      <c r="C85" s="11" t="s">
        <v>28</v>
      </c>
      <c r="D85" s="25">
        <v>89132</v>
      </c>
      <c r="E85" s="13">
        <v>4</v>
      </c>
      <c r="F85" s="14">
        <f t="shared" si="30"/>
        <v>356528</v>
      </c>
      <c r="G85" s="15">
        <v>0</v>
      </c>
      <c r="H85" s="16">
        <f t="shared" si="33"/>
        <v>0</v>
      </c>
      <c r="I85" s="20">
        <v>2</v>
      </c>
      <c r="J85" s="17">
        <f t="shared" si="34"/>
        <v>178264</v>
      </c>
      <c r="K85" s="15">
        <v>0</v>
      </c>
      <c r="L85" s="16">
        <f t="shared" si="35"/>
        <v>0</v>
      </c>
      <c r="M85" s="15">
        <f t="shared" si="36"/>
        <v>2</v>
      </c>
      <c r="N85" s="162">
        <f t="shared" si="37"/>
        <v>178264</v>
      </c>
      <c r="O85" s="102">
        <f t="shared" si="29"/>
        <v>0.5</v>
      </c>
      <c r="P85" s="99">
        <f t="shared" si="38"/>
        <v>-2</v>
      </c>
      <c r="Q85" s="93">
        <f t="shared" si="39"/>
        <v>-178264</v>
      </c>
    </row>
    <row r="86" spans="1:17" s="3" customFormat="1" x14ac:dyDescent="0.25">
      <c r="A86" s="9" t="s">
        <v>158</v>
      </c>
      <c r="B86" s="31" t="s">
        <v>159</v>
      </c>
      <c r="C86" s="11" t="s">
        <v>28</v>
      </c>
      <c r="D86" s="25">
        <v>148991.6</v>
      </c>
      <c r="E86" s="13">
        <v>3</v>
      </c>
      <c r="F86" s="14">
        <f t="shared" si="30"/>
        <v>446974.80000000005</v>
      </c>
      <c r="G86" s="15">
        <v>0</v>
      </c>
      <c r="H86" s="16">
        <f t="shared" si="33"/>
        <v>0</v>
      </c>
      <c r="I86" s="15">
        <v>0</v>
      </c>
      <c r="J86" s="17">
        <f t="shared" si="34"/>
        <v>0</v>
      </c>
      <c r="K86" s="15">
        <v>0</v>
      </c>
      <c r="L86" s="16">
        <f t="shared" si="35"/>
        <v>0</v>
      </c>
      <c r="M86" s="15">
        <f t="shared" si="36"/>
        <v>0</v>
      </c>
      <c r="N86" s="162">
        <f t="shared" si="37"/>
        <v>0</v>
      </c>
      <c r="O86" s="102">
        <f t="shared" si="29"/>
        <v>0</v>
      </c>
      <c r="P86" s="99">
        <f t="shared" si="38"/>
        <v>-3</v>
      </c>
      <c r="Q86" s="93">
        <f t="shared" si="39"/>
        <v>-446974.80000000005</v>
      </c>
    </row>
    <row r="87" spans="1:17" s="3" customFormat="1" x14ac:dyDescent="0.25">
      <c r="A87" s="9" t="s">
        <v>160</v>
      </c>
      <c r="B87" s="31" t="s">
        <v>161</v>
      </c>
      <c r="C87" s="11" t="s">
        <v>18</v>
      </c>
      <c r="D87" s="25">
        <v>76143.27</v>
      </c>
      <c r="E87" s="33">
        <v>0</v>
      </c>
      <c r="F87" s="14">
        <f t="shared" si="30"/>
        <v>0</v>
      </c>
      <c r="G87" s="15">
        <v>0</v>
      </c>
      <c r="H87" s="16">
        <f t="shared" si="33"/>
        <v>0</v>
      </c>
      <c r="I87" s="20">
        <v>10.56</v>
      </c>
      <c r="J87" s="17">
        <f t="shared" si="34"/>
        <v>804072.93120000011</v>
      </c>
      <c r="K87" s="15">
        <v>0</v>
      </c>
      <c r="L87" s="16">
        <f t="shared" si="35"/>
        <v>0</v>
      </c>
      <c r="M87" s="15">
        <f t="shared" si="36"/>
        <v>10.56</v>
      </c>
      <c r="N87" s="119">
        <f t="shared" si="37"/>
        <v>804072.93120000011</v>
      </c>
      <c r="O87" s="160" t="e">
        <f t="shared" si="29"/>
        <v>#DIV/0!</v>
      </c>
      <c r="P87" s="99">
        <f t="shared" si="38"/>
        <v>10.56</v>
      </c>
      <c r="Q87" s="167">
        <f t="shared" si="39"/>
        <v>804072.93120000011</v>
      </c>
    </row>
    <row r="88" spans="1:17" s="3" customFormat="1" ht="30" customHeight="1" x14ac:dyDescent="0.25">
      <c r="A88" s="9" t="s">
        <v>162</v>
      </c>
      <c r="B88" s="31" t="s">
        <v>163</v>
      </c>
      <c r="C88" s="11" t="s">
        <v>18</v>
      </c>
      <c r="D88" s="25">
        <v>35711.19</v>
      </c>
      <c r="E88" s="33">
        <v>26</v>
      </c>
      <c r="F88" s="14">
        <f t="shared" si="30"/>
        <v>928490.94000000006</v>
      </c>
      <c r="G88" s="15">
        <v>0</v>
      </c>
      <c r="H88" s="16">
        <f t="shared" si="33"/>
        <v>0</v>
      </c>
      <c r="I88" s="20">
        <v>14.5</v>
      </c>
      <c r="J88" s="17">
        <f t="shared" si="34"/>
        <v>517812.255</v>
      </c>
      <c r="K88" s="15">
        <v>0</v>
      </c>
      <c r="L88" s="16">
        <f t="shared" si="35"/>
        <v>0</v>
      </c>
      <c r="M88" s="15">
        <f t="shared" si="36"/>
        <v>14.5</v>
      </c>
      <c r="N88" s="162">
        <f t="shared" si="37"/>
        <v>517812.255</v>
      </c>
      <c r="O88" s="102">
        <f t="shared" si="29"/>
        <v>0.55769230769230771</v>
      </c>
      <c r="P88" s="99">
        <f t="shared" si="38"/>
        <v>-11.5</v>
      </c>
      <c r="Q88" s="93">
        <f t="shared" si="39"/>
        <v>-410678.68500000006</v>
      </c>
    </row>
    <row r="89" spans="1:17" s="3" customFormat="1" x14ac:dyDescent="0.25">
      <c r="A89" s="9" t="s">
        <v>164</v>
      </c>
      <c r="B89" s="31" t="s">
        <v>165</v>
      </c>
      <c r="C89" s="11" t="s">
        <v>18</v>
      </c>
      <c r="D89" s="25">
        <v>31856.81</v>
      </c>
      <c r="E89" s="33">
        <v>14</v>
      </c>
      <c r="F89" s="14">
        <f t="shared" si="30"/>
        <v>445995.34</v>
      </c>
      <c r="G89" s="15">
        <v>0</v>
      </c>
      <c r="H89" s="16">
        <f t="shared" si="33"/>
        <v>0</v>
      </c>
      <c r="I89" s="15">
        <v>0</v>
      </c>
      <c r="J89" s="17">
        <f t="shared" si="34"/>
        <v>0</v>
      </c>
      <c r="K89" s="15">
        <v>0</v>
      </c>
      <c r="L89" s="16">
        <f t="shared" si="35"/>
        <v>0</v>
      </c>
      <c r="M89" s="15">
        <f t="shared" si="36"/>
        <v>0</v>
      </c>
      <c r="N89" s="95">
        <f t="shared" si="37"/>
        <v>0</v>
      </c>
      <c r="O89" s="102">
        <f t="shared" si="29"/>
        <v>0</v>
      </c>
      <c r="P89" s="99">
        <f t="shared" si="38"/>
        <v>-14</v>
      </c>
      <c r="Q89" s="93">
        <f t="shared" si="39"/>
        <v>-445995.34</v>
      </c>
    </row>
    <row r="90" spans="1:17" s="3" customFormat="1" ht="75" x14ac:dyDescent="0.25">
      <c r="A90" s="9" t="s">
        <v>166</v>
      </c>
      <c r="B90" s="31" t="s">
        <v>167</v>
      </c>
      <c r="C90" s="11" t="s">
        <v>28</v>
      </c>
      <c r="D90" s="25">
        <v>101732.91</v>
      </c>
      <c r="E90" s="33">
        <v>5</v>
      </c>
      <c r="F90" s="14">
        <f t="shared" si="30"/>
        <v>508664.55000000005</v>
      </c>
      <c r="G90" s="15">
        <v>0</v>
      </c>
      <c r="H90" s="16">
        <f t="shared" si="33"/>
        <v>0</v>
      </c>
      <c r="I90" s="15">
        <v>0</v>
      </c>
      <c r="J90" s="17">
        <f t="shared" si="34"/>
        <v>0</v>
      </c>
      <c r="K90" s="15">
        <v>0</v>
      </c>
      <c r="L90" s="16">
        <f t="shared" si="35"/>
        <v>0</v>
      </c>
      <c r="M90" s="15">
        <f t="shared" si="36"/>
        <v>0</v>
      </c>
      <c r="N90" s="95">
        <f t="shared" si="37"/>
        <v>0</v>
      </c>
      <c r="O90" s="102">
        <f t="shared" si="29"/>
        <v>0</v>
      </c>
      <c r="P90" s="99">
        <f t="shared" si="38"/>
        <v>-5</v>
      </c>
      <c r="Q90" s="93">
        <f t="shared" si="39"/>
        <v>-508664.55000000005</v>
      </c>
    </row>
    <row r="91" spans="1:17" s="3" customFormat="1" ht="90" x14ac:dyDescent="0.25">
      <c r="A91" s="9" t="s">
        <v>168</v>
      </c>
      <c r="B91" s="31" t="s">
        <v>169</v>
      </c>
      <c r="C91" s="11" t="s">
        <v>28</v>
      </c>
      <c r="D91" s="25">
        <v>98514.08</v>
      </c>
      <c r="E91" s="33">
        <v>5</v>
      </c>
      <c r="F91" s="14">
        <f t="shared" si="30"/>
        <v>492570.4</v>
      </c>
      <c r="G91" s="15">
        <v>0</v>
      </c>
      <c r="H91" s="16">
        <f t="shared" si="33"/>
        <v>0</v>
      </c>
      <c r="I91" s="20">
        <v>8</v>
      </c>
      <c r="J91" s="17">
        <f t="shared" si="34"/>
        <v>788112.64</v>
      </c>
      <c r="K91" s="15">
        <v>0</v>
      </c>
      <c r="L91" s="16">
        <f t="shared" si="35"/>
        <v>0</v>
      </c>
      <c r="M91" s="15">
        <f t="shared" si="36"/>
        <v>8</v>
      </c>
      <c r="N91" s="162">
        <f t="shared" si="37"/>
        <v>788112.64</v>
      </c>
      <c r="O91" s="102">
        <f t="shared" si="29"/>
        <v>1.5999999999999999</v>
      </c>
      <c r="P91" s="99">
        <f t="shared" si="38"/>
        <v>3</v>
      </c>
      <c r="Q91" s="93">
        <f t="shared" si="39"/>
        <v>295542.24</v>
      </c>
    </row>
    <row r="92" spans="1:17" s="34" customFormat="1" ht="75" x14ac:dyDescent="0.25">
      <c r="A92" s="9" t="s">
        <v>170</v>
      </c>
      <c r="B92" s="31" t="s">
        <v>171</v>
      </c>
      <c r="C92" s="11" t="s">
        <v>28</v>
      </c>
      <c r="D92" s="25">
        <v>173232.43</v>
      </c>
      <c r="E92" s="33">
        <v>0</v>
      </c>
      <c r="F92" s="14">
        <f t="shared" si="30"/>
        <v>0</v>
      </c>
      <c r="G92" s="15">
        <v>0</v>
      </c>
      <c r="H92" s="16">
        <f t="shared" si="33"/>
        <v>0</v>
      </c>
      <c r="I92" s="20">
        <v>1</v>
      </c>
      <c r="J92" s="17">
        <f t="shared" si="34"/>
        <v>173232.43</v>
      </c>
      <c r="K92" s="15">
        <v>0</v>
      </c>
      <c r="L92" s="16">
        <f t="shared" si="35"/>
        <v>0</v>
      </c>
      <c r="M92" s="15">
        <f t="shared" si="36"/>
        <v>1</v>
      </c>
      <c r="N92" s="162">
        <f t="shared" si="37"/>
        <v>173232.43</v>
      </c>
      <c r="O92" s="160" t="e">
        <f t="shared" si="29"/>
        <v>#DIV/0!</v>
      </c>
      <c r="P92" s="99">
        <f t="shared" si="38"/>
        <v>1</v>
      </c>
      <c r="Q92" s="167">
        <f t="shared" si="39"/>
        <v>173232.43</v>
      </c>
    </row>
    <row r="93" spans="1:17" s="3" customFormat="1" x14ac:dyDescent="0.25">
      <c r="A93" s="9" t="s">
        <v>172</v>
      </c>
      <c r="B93" s="31" t="s">
        <v>173</v>
      </c>
      <c r="C93" s="11" t="s">
        <v>28</v>
      </c>
      <c r="D93" s="12">
        <v>54515.17</v>
      </c>
      <c r="E93" s="33">
        <v>6</v>
      </c>
      <c r="F93" s="14">
        <f t="shared" si="30"/>
        <v>327091.02</v>
      </c>
      <c r="G93" s="15">
        <v>0</v>
      </c>
      <c r="H93" s="16">
        <f t="shared" si="33"/>
        <v>0</v>
      </c>
      <c r="I93" s="15">
        <v>0</v>
      </c>
      <c r="J93" s="17">
        <f t="shared" si="34"/>
        <v>0</v>
      </c>
      <c r="K93" s="15">
        <v>0</v>
      </c>
      <c r="L93" s="16">
        <f t="shared" si="35"/>
        <v>0</v>
      </c>
      <c r="M93" s="15">
        <f t="shared" si="36"/>
        <v>0</v>
      </c>
      <c r="N93" s="95">
        <f t="shared" si="37"/>
        <v>0</v>
      </c>
      <c r="O93" s="102">
        <f t="shared" si="29"/>
        <v>0</v>
      </c>
      <c r="P93" s="99">
        <f t="shared" si="38"/>
        <v>-6</v>
      </c>
      <c r="Q93" s="93">
        <f t="shared" si="39"/>
        <v>-327091.02</v>
      </c>
    </row>
    <row r="94" spans="1:17" s="3" customFormat="1" x14ac:dyDescent="0.25">
      <c r="A94" s="9" t="s">
        <v>174</v>
      </c>
      <c r="B94" s="31" t="s">
        <v>175</v>
      </c>
      <c r="C94" s="11" t="s">
        <v>28</v>
      </c>
      <c r="D94" s="25">
        <v>142484.64000000001</v>
      </c>
      <c r="E94" s="33">
        <v>2</v>
      </c>
      <c r="F94" s="14">
        <f t="shared" si="30"/>
        <v>284969.28000000003</v>
      </c>
      <c r="G94" s="15">
        <v>0</v>
      </c>
      <c r="H94" s="16">
        <f t="shared" si="33"/>
        <v>0</v>
      </c>
      <c r="I94" s="15">
        <v>0</v>
      </c>
      <c r="J94" s="17">
        <f t="shared" si="34"/>
        <v>0</v>
      </c>
      <c r="K94" s="15">
        <v>0</v>
      </c>
      <c r="L94" s="16">
        <f t="shared" si="35"/>
        <v>0</v>
      </c>
      <c r="M94" s="15">
        <f t="shared" si="36"/>
        <v>0</v>
      </c>
      <c r="N94" s="95">
        <f t="shared" si="37"/>
        <v>0</v>
      </c>
      <c r="O94" s="102">
        <f t="shared" si="29"/>
        <v>0</v>
      </c>
      <c r="P94" s="99">
        <f t="shared" si="38"/>
        <v>-2</v>
      </c>
      <c r="Q94" s="93">
        <f t="shared" si="39"/>
        <v>-284969.28000000003</v>
      </c>
    </row>
    <row r="95" spans="1:17" s="34" customFormat="1" x14ac:dyDescent="0.25">
      <c r="A95" s="9" t="s">
        <v>176</v>
      </c>
      <c r="B95" s="10" t="s">
        <v>177</v>
      </c>
      <c r="C95" s="11" t="s">
        <v>6</v>
      </c>
      <c r="D95" s="12">
        <v>3800000</v>
      </c>
      <c r="E95" s="13">
        <v>1</v>
      </c>
      <c r="F95" s="14">
        <f t="shared" si="30"/>
        <v>3800000</v>
      </c>
      <c r="G95" s="15">
        <v>0</v>
      </c>
      <c r="H95" s="16">
        <f t="shared" si="33"/>
        <v>0</v>
      </c>
      <c r="I95" s="15">
        <v>1</v>
      </c>
      <c r="J95" s="17">
        <f t="shared" si="34"/>
        <v>3800000</v>
      </c>
      <c r="K95" s="15">
        <v>0</v>
      </c>
      <c r="L95" s="16">
        <f t="shared" si="35"/>
        <v>0</v>
      </c>
      <c r="M95" s="15">
        <f t="shared" si="36"/>
        <v>1</v>
      </c>
      <c r="N95" s="162">
        <f t="shared" si="37"/>
        <v>3800000</v>
      </c>
      <c r="O95" s="102">
        <f t="shared" si="29"/>
        <v>1</v>
      </c>
      <c r="P95" s="99">
        <f t="shared" si="38"/>
        <v>0</v>
      </c>
      <c r="Q95" s="93">
        <f t="shared" si="39"/>
        <v>0</v>
      </c>
    </row>
    <row r="96" spans="1:17" x14ac:dyDescent="0.25">
      <c r="A96" s="120">
        <v>10</v>
      </c>
      <c r="B96" s="121" t="s">
        <v>178</v>
      </c>
      <c r="C96" s="122"/>
      <c r="D96" s="123"/>
      <c r="E96" s="122"/>
      <c r="F96" s="124">
        <f>+F97+F100+F103+F105</f>
        <v>15732456.597600002</v>
      </c>
      <c r="G96" s="120"/>
      <c r="H96" s="125"/>
      <c r="I96" s="120"/>
      <c r="J96" s="125"/>
      <c r="K96" s="120"/>
      <c r="L96" s="125"/>
      <c r="M96" s="120"/>
      <c r="N96" s="126">
        <f>+N97+N100+N103+N105</f>
        <v>24247956.085050002</v>
      </c>
      <c r="O96" s="130">
        <f t="shared" si="29"/>
        <v>1.5412695363004558</v>
      </c>
      <c r="P96" s="131"/>
      <c r="Q96" s="132">
        <f>+Q97+Q100+Q103+Q105</f>
        <v>8515499.4874499999</v>
      </c>
    </row>
    <row r="97" spans="1:17" s="3" customFormat="1" x14ac:dyDescent="0.25">
      <c r="A97" s="35" t="s">
        <v>179</v>
      </c>
      <c r="B97" s="36" t="s">
        <v>180</v>
      </c>
      <c r="C97" s="37"/>
      <c r="D97" s="38"/>
      <c r="E97" s="39"/>
      <c r="F97" s="41">
        <f>SUM(F98:F99)</f>
        <v>8395241.2976000011</v>
      </c>
      <c r="G97" s="40"/>
      <c r="H97" s="41"/>
      <c r="I97" s="40"/>
      <c r="J97" s="41"/>
      <c r="K97" s="40"/>
      <c r="L97" s="41"/>
      <c r="M97" s="42"/>
      <c r="N97" s="97">
        <f>SUM(N98:N99)</f>
        <v>18676706.085050002</v>
      </c>
      <c r="O97" s="104">
        <f t="shared" si="29"/>
        <v>2.2246776981132426</v>
      </c>
      <c r="P97" s="100"/>
      <c r="Q97" s="41">
        <f>SUM(Q98:Q99)</f>
        <v>10281464.787450001</v>
      </c>
    </row>
    <row r="98" spans="1:17" s="3" customFormat="1" x14ac:dyDescent="0.25">
      <c r="A98" s="9" t="s">
        <v>181</v>
      </c>
      <c r="B98" s="10" t="s">
        <v>182</v>
      </c>
      <c r="C98" s="11" t="s">
        <v>18</v>
      </c>
      <c r="D98" s="25">
        <v>112848.925</v>
      </c>
      <c r="E98" s="13">
        <v>40</v>
      </c>
      <c r="F98" s="14">
        <f t="shared" si="30"/>
        <v>4513957</v>
      </c>
      <c r="G98" s="15">
        <v>108</v>
      </c>
      <c r="H98" s="16">
        <f t="shared" ref="H98:H99" si="40">+$D98*G98</f>
        <v>12187683.9</v>
      </c>
      <c r="I98" s="15">
        <v>0</v>
      </c>
      <c r="J98" s="16">
        <f t="shared" ref="J98:J99" si="41">+$D98*I98</f>
        <v>0</v>
      </c>
      <c r="K98" s="15">
        <v>0</v>
      </c>
      <c r="L98" s="16">
        <f t="shared" ref="L98:L99" si="42">+$D98*K98</f>
        <v>0</v>
      </c>
      <c r="M98" s="15">
        <f>+G98+I98</f>
        <v>108</v>
      </c>
      <c r="N98" s="162">
        <f>+D98*M98</f>
        <v>12187683.9</v>
      </c>
      <c r="O98" s="102">
        <f t="shared" si="29"/>
        <v>2.7</v>
      </c>
      <c r="P98" s="99">
        <f>+M98-E98</f>
        <v>68</v>
      </c>
      <c r="Q98" s="93">
        <f>+P98*D98</f>
        <v>7673726.9000000004</v>
      </c>
    </row>
    <row r="99" spans="1:17" s="3" customFormat="1" x14ac:dyDescent="0.25">
      <c r="A99" s="9" t="s">
        <v>183</v>
      </c>
      <c r="B99" s="10" t="s">
        <v>184</v>
      </c>
      <c r="C99" s="11" t="s">
        <v>18</v>
      </c>
      <c r="D99" s="25">
        <v>121290.13430000001</v>
      </c>
      <c r="E99" s="13">
        <f>16*2</f>
        <v>32</v>
      </c>
      <c r="F99" s="14">
        <f t="shared" si="30"/>
        <v>3881284.2976000002</v>
      </c>
      <c r="G99" s="15">
        <v>53.5</v>
      </c>
      <c r="H99" s="16">
        <f t="shared" si="40"/>
        <v>6489022.1850500004</v>
      </c>
      <c r="I99" s="15">
        <v>0</v>
      </c>
      <c r="J99" s="16">
        <f t="shared" si="41"/>
        <v>0</v>
      </c>
      <c r="K99" s="15">
        <v>0</v>
      </c>
      <c r="L99" s="16">
        <f t="shared" si="42"/>
        <v>0</v>
      </c>
      <c r="M99" s="15">
        <f>+G99+I99</f>
        <v>53.5</v>
      </c>
      <c r="N99" s="162">
        <f>+D99*M99</f>
        <v>6489022.1850500004</v>
      </c>
      <c r="O99" s="102">
        <f t="shared" si="29"/>
        <v>1.671875</v>
      </c>
      <c r="P99" s="99">
        <f>+M99-E99</f>
        <v>21.5</v>
      </c>
      <c r="Q99" s="93">
        <f>+P99*D99</f>
        <v>2607737.8874500003</v>
      </c>
    </row>
    <row r="100" spans="1:17" s="3" customFormat="1" x14ac:dyDescent="0.25">
      <c r="A100" s="35" t="s">
        <v>185</v>
      </c>
      <c r="B100" s="36" t="s">
        <v>186</v>
      </c>
      <c r="C100" s="37"/>
      <c r="D100" s="38"/>
      <c r="E100" s="39"/>
      <c r="F100" s="41">
        <f>SUM(F101:F102)</f>
        <v>1828500</v>
      </c>
      <c r="G100" s="40"/>
      <c r="H100" s="41"/>
      <c r="I100" s="40"/>
      <c r="J100" s="41"/>
      <c r="K100" s="40"/>
      <c r="L100" s="41"/>
      <c r="M100" s="42"/>
      <c r="N100" s="97">
        <f>SUM(N101:N102)</f>
        <v>914250</v>
      </c>
      <c r="O100" s="104">
        <f t="shared" si="29"/>
        <v>0.5</v>
      </c>
      <c r="P100" s="100"/>
      <c r="Q100" s="41">
        <f>SUM(Q101:Q102)</f>
        <v>-914250</v>
      </c>
    </row>
    <row r="101" spans="1:17" s="3" customFormat="1" x14ac:dyDescent="0.25">
      <c r="A101" s="9" t="s">
        <v>187</v>
      </c>
      <c r="B101" s="10" t="s">
        <v>188</v>
      </c>
      <c r="C101" s="11" t="s">
        <v>28</v>
      </c>
      <c r="D101" s="12">
        <v>457125</v>
      </c>
      <c r="E101" s="13">
        <v>2</v>
      </c>
      <c r="F101" s="14">
        <f t="shared" si="30"/>
        <v>914250</v>
      </c>
      <c r="G101" s="15">
        <v>2</v>
      </c>
      <c r="H101" s="16">
        <f t="shared" ref="H101:H102" si="43">+$D101*G101</f>
        <v>914250</v>
      </c>
      <c r="I101" s="15">
        <v>0</v>
      </c>
      <c r="J101" s="16">
        <f t="shared" ref="J101:J102" si="44">+$D101*I101</f>
        <v>0</v>
      </c>
      <c r="K101" s="15">
        <v>0</v>
      </c>
      <c r="L101" s="16">
        <f t="shared" ref="L101:L102" si="45">+$D101*K101</f>
        <v>0</v>
      </c>
      <c r="M101" s="15">
        <f>+G101+I101</f>
        <v>2</v>
      </c>
      <c r="N101" s="162">
        <f>+D101*M101</f>
        <v>914250</v>
      </c>
      <c r="O101" s="102">
        <f t="shared" si="29"/>
        <v>1</v>
      </c>
      <c r="P101" s="99">
        <f>+M101-E101</f>
        <v>0</v>
      </c>
      <c r="Q101" s="93">
        <f>+P101*D101</f>
        <v>0</v>
      </c>
    </row>
    <row r="102" spans="1:17" s="3" customFormat="1" x14ac:dyDescent="0.25">
      <c r="A102" s="9" t="s">
        <v>189</v>
      </c>
      <c r="B102" s="10" t="s">
        <v>190</v>
      </c>
      <c r="C102" s="11" t="s">
        <v>28</v>
      </c>
      <c r="D102" s="12">
        <v>457125</v>
      </c>
      <c r="E102" s="13">
        <v>2</v>
      </c>
      <c r="F102" s="14">
        <f t="shared" si="30"/>
        <v>914250</v>
      </c>
      <c r="G102" s="15">
        <v>0</v>
      </c>
      <c r="H102" s="16">
        <f t="shared" si="43"/>
        <v>0</v>
      </c>
      <c r="I102" s="15">
        <v>0</v>
      </c>
      <c r="J102" s="16">
        <f t="shared" si="44"/>
        <v>0</v>
      </c>
      <c r="K102" s="15">
        <v>0</v>
      </c>
      <c r="L102" s="16">
        <f t="shared" si="45"/>
        <v>0</v>
      </c>
      <c r="M102" s="15">
        <f>+G102+I102</f>
        <v>0</v>
      </c>
      <c r="N102" s="95">
        <f>+D102*M102</f>
        <v>0</v>
      </c>
      <c r="O102" s="102">
        <f t="shared" si="29"/>
        <v>0</v>
      </c>
      <c r="P102" s="99">
        <f>+M102-E102</f>
        <v>-2</v>
      </c>
      <c r="Q102" s="93">
        <f>+P102*D102</f>
        <v>-914250</v>
      </c>
    </row>
    <row r="103" spans="1:17" s="3" customFormat="1" x14ac:dyDescent="0.25">
      <c r="A103" s="35" t="s">
        <v>191</v>
      </c>
      <c r="B103" s="36" t="s">
        <v>192</v>
      </c>
      <c r="C103" s="37"/>
      <c r="D103" s="38"/>
      <c r="E103" s="39"/>
      <c r="F103" s="41">
        <f>SUM(F104)</f>
        <v>851715.3</v>
      </c>
      <c r="G103" s="40"/>
      <c r="H103" s="41"/>
      <c r="I103" s="40"/>
      <c r="J103" s="41"/>
      <c r="K103" s="40"/>
      <c r="L103" s="41"/>
      <c r="M103" s="42"/>
      <c r="N103" s="97">
        <f>SUM(N104)</f>
        <v>0</v>
      </c>
      <c r="O103" s="104">
        <f t="shared" ref="O103:O110" si="46">+N103/F103</f>
        <v>0</v>
      </c>
      <c r="P103" s="100"/>
      <c r="Q103" s="41">
        <f>SUM(Q104)</f>
        <v>-851715.3</v>
      </c>
    </row>
    <row r="104" spans="1:17" s="3" customFormat="1" x14ac:dyDescent="0.25">
      <c r="A104" s="9" t="s">
        <v>193</v>
      </c>
      <c r="B104" s="10" t="s">
        <v>194</v>
      </c>
      <c r="C104" s="11" t="s">
        <v>28</v>
      </c>
      <c r="D104" s="12">
        <v>851715.3</v>
      </c>
      <c r="E104" s="13">
        <v>1</v>
      </c>
      <c r="F104" s="14">
        <f t="shared" si="30"/>
        <v>851715.3</v>
      </c>
      <c r="G104" s="15">
        <v>0</v>
      </c>
      <c r="H104" s="16">
        <f t="shared" ref="H104" si="47">+$D104*G104</f>
        <v>0</v>
      </c>
      <c r="I104" s="15">
        <v>0</v>
      </c>
      <c r="J104" s="16">
        <f t="shared" ref="J104" si="48">+$D104*I104</f>
        <v>0</v>
      </c>
      <c r="K104" s="15">
        <v>0</v>
      </c>
      <c r="L104" s="16">
        <f t="shared" ref="L104" si="49">+$D104*K104</f>
        <v>0</v>
      </c>
      <c r="M104" s="15">
        <f>+G104+I104</f>
        <v>0</v>
      </c>
      <c r="N104" s="95">
        <f>+D104*M104</f>
        <v>0</v>
      </c>
      <c r="O104" s="102">
        <f t="shared" si="46"/>
        <v>0</v>
      </c>
      <c r="P104" s="99">
        <f>+M104-E104</f>
        <v>-1</v>
      </c>
      <c r="Q104" s="93">
        <f>+P104*D104</f>
        <v>-851715.3</v>
      </c>
    </row>
    <row r="105" spans="1:17" s="3" customFormat="1" x14ac:dyDescent="0.25">
      <c r="A105" s="35" t="s">
        <v>195</v>
      </c>
      <c r="B105" s="36" t="s">
        <v>196</v>
      </c>
      <c r="C105" s="37"/>
      <c r="D105" s="38"/>
      <c r="E105" s="39"/>
      <c r="F105" s="41">
        <f>SUM(F106:F107)</f>
        <v>4657000</v>
      </c>
      <c r="G105" s="40"/>
      <c r="H105" s="41"/>
      <c r="I105" s="40"/>
      <c r="J105" s="41"/>
      <c r="K105" s="40"/>
      <c r="L105" s="41"/>
      <c r="M105" s="42"/>
      <c r="N105" s="97">
        <f>SUM(N106:N107)</f>
        <v>4657000</v>
      </c>
      <c r="O105" s="104">
        <f t="shared" si="46"/>
        <v>1</v>
      </c>
      <c r="P105" s="100"/>
      <c r="Q105" s="41">
        <f>SUM(Q106:Q107)</f>
        <v>0</v>
      </c>
    </row>
    <row r="106" spans="1:17" s="3" customFormat="1" x14ac:dyDescent="0.25">
      <c r="A106" s="9" t="s">
        <v>197</v>
      </c>
      <c r="B106" s="10" t="s">
        <v>198</v>
      </c>
      <c r="C106" s="11" t="s">
        <v>28</v>
      </c>
      <c r="D106" s="25">
        <v>1157000</v>
      </c>
      <c r="E106" s="13">
        <v>1</v>
      </c>
      <c r="F106" s="14">
        <f t="shared" si="30"/>
        <v>1157000</v>
      </c>
      <c r="G106" s="15">
        <v>0</v>
      </c>
      <c r="H106" s="16">
        <f t="shared" ref="H106:H107" si="50">+$D106*G106</f>
        <v>0</v>
      </c>
      <c r="I106" s="15">
        <v>1</v>
      </c>
      <c r="J106" s="17">
        <f t="shared" ref="J106:J107" si="51">+$D106*I106</f>
        <v>1157000</v>
      </c>
      <c r="K106" s="15">
        <v>0</v>
      </c>
      <c r="L106" s="16">
        <f t="shared" ref="L106:L107" si="52">+$D106*K106</f>
        <v>0</v>
      </c>
      <c r="M106" s="15">
        <f>+G106+I106</f>
        <v>1</v>
      </c>
      <c r="N106" s="162">
        <f>+D106*M106</f>
        <v>1157000</v>
      </c>
      <c r="O106" s="102">
        <f t="shared" si="46"/>
        <v>1</v>
      </c>
      <c r="P106" s="99">
        <f>+M106-E106</f>
        <v>0</v>
      </c>
      <c r="Q106" s="93">
        <f>+P106*D106</f>
        <v>0</v>
      </c>
    </row>
    <row r="107" spans="1:17" s="3" customFormat="1" x14ac:dyDescent="0.25">
      <c r="A107" s="9" t="s">
        <v>199</v>
      </c>
      <c r="B107" s="10" t="s">
        <v>200</v>
      </c>
      <c r="C107" s="11" t="s">
        <v>6</v>
      </c>
      <c r="D107" s="25">
        <v>3500000</v>
      </c>
      <c r="E107" s="13">
        <v>1</v>
      </c>
      <c r="F107" s="14">
        <f t="shared" si="30"/>
        <v>3500000</v>
      </c>
      <c r="G107" s="15">
        <v>0</v>
      </c>
      <c r="H107" s="16">
        <f t="shared" si="50"/>
        <v>0</v>
      </c>
      <c r="I107" s="15">
        <v>1</v>
      </c>
      <c r="J107" s="17">
        <f t="shared" si="51"/>
        <v>3500000</v>
      </c>
      <c r="K107" s="15">
        <v>0</v>
      </c>
      <c r="L107" s="16">
        <f t="shared" si="52"/>
        <v>0</v>
      </c>
      <c r="M107" s="15">
        <f>+G107+I107</f>
        <v>1</v>
      </c>
      <c r="N107" s="162">
        <f>+D107*M107</f>
        <v>3500000</v>
      </c>
      <c r="O107" s="102">
        <f t="shared" si="46"/>
        <v>1</v>
      </c>
      <c r="P107" s="99">
        <f>+M107-E107</f>
        <v>0</v>
      </c>
      <c r="Q107" s="93">
        <f>+P107*D107</f>
        <v>0</v>
      </c>
    </row>
    <row r="108" spans="1:17" x14ac:dyDescent="0.25">
      <c r="A108" s="120">
        <v>11</v>
      </c>
      <c r="B108" s="121" t="s">
        <v>201</v>
      </c>
      <c r="C108" s="122"/>
      <c r="D108" s="123"/>
      <c r="E108" s="122"/>
      <c r="F108" s="124">
        <f>SUM(F109:F110)</f>
        <v>3679390.08</v>
      </c>
      <c r="G108" s="120"/>
      <c r="H108" s="125"/>
      <c r="I108" s="120"/>
      <c r="J108" s="125"/>
      <c r="K108" s="120"/>
      <c r="L108" s="125"/>
      <c r="M108" s="120"/>
      <c r="N108" s="126">
        <f>SUM(N109:N110)</f>
        <v>3315606</v>
      </c>
      <c r="O108" s="130">
        <f t="shared" si="46"/>
        <v>0.90112924368160496</v>
      </c>
      <c r="P108" s="131"/>
      <c r="Q108" s="132">
        <f>SUM(Q109:Q110)</f>
        <v>-363784.08000000013</v>
      </c>
    </row>
    <row r="109" spans="1:17" s="3" customFormat="1" x14ac:dyDescent="0.25">
      <c r="A109" s="9" t="s">
        <v>202</v>
      </c>
      <c r="B109" s="10" t="s">
        <v>203</v>
      </c>
      <c r="C109" s="11" t="s">
        <v>204</v>
      </c>
      <c r="D109" s="25">
        <v>12013</v>
      </c>
      <c r="E109" s="13">
        <v>120</v>
      </c>
      <c r="F109" s="14">
        <f t="shared" si="30"/>
        <v>1441560</v>
      </c>
      <c r="G109" s="15">
        <v>0</v>
      </c>
      <c r="H109" s="16">
        <f t="shared" ref="H109:H110" si="53">+$D109*G109</f>
        <v>0</v>
      </c>
      <c r="I109" s="20">
        <f>2*45</f>
        <v>90</v>
      </c>
      <c r="J109" s="17">
        <f t="shared" ref="J109:J110" si="54">+$D109*I109</f>
        <v>1081170</v>
      </c>
      <c r="K109" s="20">
        <v>0</v>
      </c>
      <c r="L109" s="16">
        <f t="shared" ref="L109:L110" si="55">+$D109*K109</f>
        <v>0</v>
      </c>
      <c r="M109" s="15">
        <f>+G109+I109</f>
        <v>90</v>
      </c>
      <c r="N109" s="162">
        <f>+D109*M109</f>
        <v>1081170</v>
      </c>
      <c r="O109" s="102">
        <f t="shared" si="46"/>
        <v>0.75</v>
      </c>
      <c r="P109" s="99">
        <f>+M109-E109</f>
        <v>-30</v>
      </c>
      <c r="Q109" s="93">
        <f>+P109*D109</f>
        <v>-360390</v>
      </c>
    </row>
    <row r="110" spans="1:17" s="3" customFormat="1" ht="15.75" thickBot="1" x14ac:dyDescent="0.3">
      <c r="A110" s="43" t="s">
        <v>205</v>
      </c>
      <c r="B110" s="44" t="s">
        <v>206</v>
      </c>
      <c r="C110" s="45" t="s">
        <v>21</v>
      </c>
      <c r="D110" s="46">
        <v>7071</v>
      </c>
      <c r="E110" s="47">
        <v>316.48</v>
      </c>
      <c r="F110" s="48">
        <f t="shared" si="30"/>
        <v>2237830.08</v>
      </c>
      <c r="G110" s="49">
        <v>0</v>
      </c>
      <c r="H110" s="50">
        <f t="shared" si="53"/>
        <v>0</v>
      </c>
      <c r="I110" s="51">
        <v>316</v>
      </c>
      <c r="J110" s="52">
        <f t="shared" si="54"/>
        <v>2234436</v>
      </c>
      <c r="K110" s="51">
        <v>0</v>
      </c>
      <c r="L110" s="50">
        <f t="shared" si="55"/>
        <v>0</v>
      </c>
      <c r="M110" s="49">
        <f>+G110+I110</f>
        <v>316</v>
      </c>
      <c r="N110" s="163">
        <f>+D110*M110</f>
        <v>2234436</v>
      </c>
      <c r="O110" s="118">
        <f t="shared" si="46"/>
        <v>0.99848331648129418</v>
      </c>
      <c r="P110" s="99">
        <f>+M110-E110</f>
        <v>-0.48000000000001819</v>
      </c>
      <c r="Q110" s="93">
        <f>+P110*D110</f>
        <v>-3394.0800000001286</v>
      </c>
    </row>
    <row r="111" spans="1:17" s="8" customFormat="1" ht="30.6" customHeight="1" thickBot="1" x14ac:dyDescent="0.3">
      <c r="A111" s="133"/>
      <c r="B111" s="149" t="s">
        <v>207</v>
      </c>
      <c r="C111" s="134"/>
      <c r="D111" s="135"/>
      <c r="E111" s="136"/>
      <c r="F111" s="135"/>
      <c r="G111" s="138"/>
      <c r="H111" s="137"/>
      <c r="I111" s="138"/>
      <c r="J111" s="137"/>
      <c r="K111" s="138"/>
      <c r="L111" s="137"/>
      <c r="M111" s="138"/>
      <c r="N111" s="139"/>
      <c r="O111" s="137"/>
      <c r="P111" s="139"/>
      <c r="Q111" s="137"/>
    </row>
    <row r="112" spans="1:17" x14ac:dyDescent="0.25">
      <c r="A112" s="144">
        <v>1</v>
      </c>
      <c r="B112" s="145" t="s">
        <v>3</v>
      </c>
      <c r="C112" s="146"/>
      <c r="D112" s="147"/>
      <c r="E112" s="148"/>
      <c r="F112" s="124">
        <f>SUM(F113:F116)</f>
        <v>3400725</v>
      </c>
      <c r="G112" s="120"/>
      <c r="H112" s="125"/>
      <c r="I112" s="120"/>
      <c r="J112" s="125"/>
      <c r="K112" s="120"/>
      <c r="L112" s="125"/>
      <c r="M112" s="120"/>
      <c r="N112" s="126">
        <f>SUM(N113:N116)</f>
        <v>3329815</v>
      </c>
      <c r="O112" s="130">
        <f t="shared" ref="O112:O140" si="56">+N112/F112</f>
        <v>0.97914856390916638</v>
      </c>
      <c r="P112" s="131"/>
      <c r="Q112" s="132">
        <f>SUM(Q113:Q116)</f>
        <v>-70910</v>
      </c>
    </row>
    <row r="113" spans="1:17" x14ac:dyDescent="0.25">
      <c r="A113" s="9" t="s">
        <v>4</v>
      </c>
      <c r="B113" s="10" t="s">
        <v>5</v>
      </c>
      <c r="C113" s="11" t="s">
        <v>6</v>
      </c>
      <c r="D113" s="53">
        <v>1000000</v>
      </c>
      <c r="E113" s="13">
        <v>1</v>
      </c>
      <c r="F113" s="54">
        <f>D113*E113</f>
        <v>1000000</v>
      </c>
      <c r="G113" s="15">
        <v>1</v>
      </c>
      <c r="H113" s="16">
        <f t="shared" ref="H113:H116" si="57">+$D113*G113</f>
        <v>1000000</v>
      </c>
      <c r="I113" s="15">
        <v>0</v>
      </c>
      <c r="J113" s="17">
        <f t="shared" ref="J113:J116" si="58">+$D113*I113</f>
        <v>0</v>
      </c>
      <c r="K113" s="15">
        <v>0</v>
      </c>
      <c r="L113" s="16">
        <f t="shared" ref="L113:L116" si="59">+$D113*K113</f>
        <v>0</v>
      </c>
      <c r="M113" s="15">
        <f>+G113+I113</f>
        <v>1</v>
      </c>
      <c r="N113" s="162">
        <f>+D113*M113</f>
        <v>1000000</v>
      </c>
      <c r="O113" s="102">
        <f t="shared" si="56"/>
        <v>1</v>
      </c>
      <c r="P113" s="99">
        <f>+M113-E113</f>
        <v>0</v>
      </c>
      <c r="Q113" s="93">
        <f>+P113*D113</f>
        <v>0</v>
      </c>
    </row>
    <row r="114" spans="1:17" x14ac:dyDescent="0.25">
      <c r="A114" s="9" t="s">
        <v>7</v>
      </c>
      <c r="B114" s="10" t="s">
        <v>8</v>
      </c>
      <c r="C114" s="11" t="s">
        <v>6</v>
      </c>
      <c r="D114" s="53">
        <v>500000</v>
      </c>
      <c r="E114" s="13">
        <v>1</v>
      </c>
      <c r="F114" s="54">
        <f>D114*E114</f>
        <v>500000</v>
      </c>
      <c r="G114" s="15">
        <v>1</v>
      </c>
      <c r="H114" s="16">
        <f t="shared" si="57"/>
        <v>500000</v>
      </c>
      <c r="I114" s="15">
        <v>0</v>
      </c>
      <c r="J114" s="17">
        <f t="shared" si="58"/>
        <v>0</v>
      </c>
      <c r="K114" s="15">
        <v>0</v>
      </c>
      <c r="L114" s="16">
        <f t="shared" si="59"/>
        <v>0</v>
      </c>
      <c r="M114" s="15">
        <f>+G114+I114</f>
        <v>1</v>
      </c>
      <c r="N114" s="162">
        <f>+D114*M114</f>
        <v>500000</v>
      </c>
      <c r="O114" s="102">
        <f t="shared" si="56"/>
        <v>1</v>
      </c>
      <c r="P114" s="99">
        <f>+M114-E114</f>
        <v>0</v>
      </c>
      <c r="Q114" s="93">
        <f>+P114*D114</f>
        <v>0</v>
      </c>
    </row>
    <row r="115" spans="1:17" x14ac:dyDescent="0.25">
      <c r="A115" s="9" t="s">
        <v>9</v>
      </c>
      <c r="B115" s="10" t="s">
        <v>10</v>
      </c>
      <c r="C115" s="11" t="s">
        <v>11</v>
      </c>
      <c r="D115" s="53">
        <v>5065</v>
      </c>
      <c r="E115" s="13">
        <v>200</v>
      </c>
      <c r="F115" s="54">
        <f>D115*E115</f>
        <v>1013000</v>
      </c>
      <c r="G115" s="15">
        <v>0</v>
      </c>
      <c r="H115" s="16">
        <f t="shared" si="57"/>
        <v>0</v>
      </c>
      <c r="I115" s="15">
        <v>186</v>
      </c>
      <c r="J115" s="17">
        <f t="shared" si="58"/>
        <v>942090</v>
      </c>
      <c r="K115" s="15">
        <v>0</v>
      </c>
      <c r="L115" s="16">
        <f t="shared" si="59"/>
        <v>0</v>
      </c>
      <c r="M115" s="15">
        <f>+G115+I115</f>
        <v>186</v>
      </c>
      <c r="N115" s="162">
        <f>+D115*M115</f>
        <v>942090</v>
      </c>
      <c r="O115" s="102">
        <f t="shared" si="56"/>
        <v>0.93</v>
      </c>
      <c r="P115" s="99">
        <f>+M115-E115</f>
        <v>-14</v>
      </c>
      <c r="Q115" s="93">
        <f>+P115*D115</f>
        <v>-70910</v>
      </c>
    </row>
    <row r="116" spans="1:17" ht="30" x14ac:dyDescent="0.25">
      <c r="A116" s="9" t="s">
        <v>12</v>
      </c>
      <c r="B116" s="10" t="s">
        <v>13</v>
      </c>
      <c r="C116" s="11" t="s">
        <v>14</v>
      </c>
      <c r="D116" s="53">
        <v>887725</v>
      </c>
      <c r="E116" s="13">
        <v>1</v>
      </c>
      <c r="F116" s="54">
        <f>D116*E116</f>
        <v>887725</v>
      </c>
      <c r="G116" s="15">
        <v>0</v>
      </c>
      <c r="H116" s="16">
        <f t="shared" si="57"/>
        <v>0</v>
      </c>
      <c r="I116" s="15">
        <v>1</v>
      </c>
      <c r="J116" s="17">
        <f t="shared" si="58"/>
        <v>887725</v>
      </c>
      <c r="K116" s="15">
        <v>0</v>
      </c>
      <c r="L116" s="16">
        <f t="shared" si="59"/>
        <v>0</v>
      </c>
      <c r="M116" s="15">
        <f>+G116+I116</f>
        <v>1</v>
      </c>
      <c r="N116" s="162">
        <f>+D116*M116</f>
        <v>887725</v>
      </c>
      <c r="O116" s="102">
        <f t="shared" si="56"/>
        <v>1</v>
      </c>
      <c r="P116" s="99">
        <f>+M116-E116</f>
        <v>0</v>
      </c>
      <c r="Q116" s="93">
        <f>+P116*D116</f>
        <v>0</v>
      </c>
    </row>
    <row r="117" spans="1:17" x14ac:dyDescent="0.25">
      <c r="A117" s="144">
        <v>2</v>
      </c>
      <c r="B117" s="145" t="s">
        <v>15</v>
      </c>
      <c r="C117" s="146"/>
      <c r="D117" s="147"/>
      <c r="E117" s="148"/>
      <c r="F117" s="124">
        <v>0</v>
      </c>
      <c r="G117" s="120"/>
      <c r="H117" s="125"/>
      <c r="I117" s="120"/>
      <c r="J117" s="125"/>
      <c r="K117" s="120"/>
      <c r="L117" s="125"/>
      <c r="M117" s="120"/>
      <c r="N117" s="126">
        <v>0</v>
      </c>
      <c r="O117" s="130" t="e">
        <f t="shared" si="56"/>
        <v>#DIV/0!</v>
      </c>
      <c r="P117" s="131"/>
      <c r="Q117" s="132">
        <v>0</v>
      </c>
    </row>
    <row r="118" spans="1:17" x14ac:dyDescent="0.25">
      <c r="A118" s="144">
        <v>3</v>
      </c>
      <c r="B118" s="145" t="s">
        <v>51</v>
      </c>
      <c r="C118" s="146"/>
      <c r="D118" s="147"/>
      <c r="E118" s="148"/>
      <c r="F118" s="124">
        <v>0</v>
      </c>
      <c r="G118" s="120"/>
      <c r="H118" s="125"/>
      <c r="I118" s="120"/>
      <c r="J118" s="125"/>
      <c r="K118" s="120"/>
      <c r="L118" s="125"/>
      <c r="M118" s="120"/>
      <c r="N118" s="126">
        <v>0</v>
      </c>
      <c r="O118" s="130" t="e">
        <f t="shared" si="56"/>
        <v>#DIV/0!</v>
      </c>
      <c r="P118" s="131"/>
      <c r="Q118" s="132">
        <v>0</v>
      </c>
    </row>
    <row r="119" spans="1:17" x14ac:dyDescent="0.25">
      <c r="A119" s="144">
        <v>4</v>
      </c>
      <c r="B119" s="145" t="s">
        <v>71</v>
      </c>
      <c r="C119" s="146"/>
      <c r="D119" s="147"/>
      <c r="E119" s="148"/>
      <c r="F119" s="124">
        <f>SUM(F120)</f>
        <v>1577300</v>
      </c>
      <c r="G119" s="120"/>
      <c r="H119" s="125"/>
      <c r="I119" s="120"/>
      <c r="J119" s="125"/>
      <c r="K119" s="120"/>
      <c r="L119" s="125"/>
      <c r="M119" s="120"/>
      <c r="N119" s="126">
        <f>SUM(N120)</f>
        <v>5337583.1999999993</v>
      </c>
      <c r="O119" s="130">
        <f t="shared" si="56"/>
        <v>3.3839999999999995</v>
      </c>
      <c r="P119" s="131"/>
      <c r="Q119" s="132">
        <f>SUM(Q120)</f>
        <v>3760283.1999999997</v>
      </c>
    </row>
    <row r="120" spans="1:17" ht="45" x14ac:dyDescent="0.25">
      <c r="A120" s="22" t="s">
        <v>72</v>
      </c>
      <c r="B120" s="10" t="s">
        <v>208</v>
      </c>
      <c r="C120" s="23" t="s">
        <v>28</v>
      </c>
      <c r="D120" s="55">
        <v>31546</v>
      </c>
      <c r="E120" s="24">
        <v>50</v>
      </c>
      <c r="F120" s="56">
        <f>+E120*D120</f>
        <v>1577300</v>
      </c>
      <c r="G120" s="15">
        <v>0</v>
      </c>
      <c r="H120" s="16">
        <f t="shared" ref="H120:H135" si="60">+$D120*G120</f>
        <v>0</v>
      </c>
      <c r="I120" s="20">
        <v>169.2</v>
      </c>
      <c r="J120" s="17">
        <f t="shared" ref="J120:J135" si="61">+$D120*I120</f>
        <v>5337583.1999999993</v>
      </c>
      <c r="K120" s="15">
        <v>0</v>
      </c>
      <c r="L120" s="16">
        <f t="shared" ref="L120" si="62">+$D120*K120</f>
        <v>0</v>
      </c>
      <c r="M120" s="15">
        <f>+G120+I120</f>
        <v>169.2</v>
      </c>
      <c r="N120" s="162">
        <f>+D120*M120</f>
        <v>5337583.1999999993</v>
      </c>
      <c r="O120" s="102">
        <f t="shared" si="56"/>
        <v>3.3839999999999995</v>
      </c>
      <c r="P120" s="99">
        <f>+M120-E120</f>
        <v>119.19999999999999</v>
      </c>
      <c r="Q120" s="93">
        <f>+P120*D120</f>
        <v>3760283.1999999997</v>
      </c>
    </row>
    <row r="121" spans="1:17" x14ac:dyDescent="0.25">
      <c r="A121" s="144">
        <v>5</v>
      </c>
      <c r="B121" s="145" t="s">
        <v>76</v>
      </c>
      <c r="C121" s="146"/>
      <c r="D121" s="147"/>
      <c r="E121" s="148"/>
      <c r="F121" s="124">
        <f>SUM(F122:F125)</f>
        <v>12003050</v>
      </c>
      <c r="G121" s="120"/>
      <c r="H121" s="125"/>
      <c r="I121" s="120"/>
      <c r="J121" s="125"/>
      <c r="K121" s="120"/>
      <c r="L121" s="125"/>
      <c r="M121" s="120"/>
      <c r="N121" s="126">
        <f>SUM(N122:N125)</f>
        <v>8193640.5800000001</v>
      </c>
      <c r="O121" s="130">
        <f t="shared" si="56"/>
        <v>0.68262987990552404</v>
      </c>
      <c r="P121" s="131"/>
      <c r="Q121" s="132">
        <f>SUM(Q122:Q125)</f>
        <v>-3809409.42</v>
      </c>
    </row>
    <row r="122" spans="1:17" ht="30" x14ac:dyDescent="0.25">
      <c r="A122" s="9" t="s">
        <v>77</v>
      </c>
      <c r="B122" s="10" t="s">
        <v>209</v>
      </c>
      <c r="C122" s="23" t="s">
        <v>21</v>
      </c>
      <c r="D122" s="55">
        <v>175035</v>
      </c>
      <c r="E122" s="24">
        <v>50</v>
      </c>
      <c r="F122" s="54">
        <f>D122*E122</f>
        <v>8751750</v>
      </c>
      <c r="G122" s="15">
        <v>0</v>
      </c>
      <c r="H122" s="16">
        <f t="shared" si="60"/>
        <v>0</v>
      </c>
      <c r="I122" s="20">
        <v>23.31</v>
      </c>
      <c r="J122" s="17">
        <f t="shared" si="61"/>
        <v>4080065.8499999996</v>
      </c>
      <c r="K122" s="15">
        <v>0</v>
      </c>
      <c r="L122" s="16">
        <f t="shared" ref="L122:L125" si="63">+$D122*K122</f>
        <v>0</v>
      </c>
      <c r="M122" s="15">
        <f>+G122+I122</f>
        <v>23.31</v>
      </c>
      <c r="N122" s="162">
        <f>+D122*M122</f>
        <v>4080065.8499999996</v>
      </c>
      <c r="O122" s="102">
        <f t="shared" si="56"/>
        <v>0.46619999999999995</v>
      </c>
      <c r="P122" s="99">
        <f>+M122-E122</f>
        <v>-26.69</v>
      </c>
      <c r="Q122" s="93">
        <f>+P122*D122</f>
        <v>-4671684.1500000004</v>
      </c>
    </row>
    <row r="123" spans="1:17" x14ac:dyDescent="0.25">
      <c r="A123" s="9" t="s">
        <v>79</v>
      </c>
      <c r="B123" s="18" t="s">
        <v>210</v>
      </c>
      <c r="C123" s="11" t="s">
        <v>6</v>
      </c>
      <c r="D123" s="53">
        <v>956950</v>
      </c>
      <c r="E123" s="13">
        <v>1</v>
      </c>
      <c r="F123" s="54">
        <f>D123*E123</f>
        <v>956950</v>
      </c>
      <c r="G123" s="15">
        <v>1</v>
      </c>
      <c r="H123" s="16">
        <f t="shared" si="60"/>
        <v>956950</v>
      </c>
      <c r="I123" s="15">
        <v>0</v>
      </c>
      <c r="J123" s="17">
        <f t="shared" si="61"/>
        <v>0</v>
      </c>
      <c r="K123" s="15">
        <v>0</v>
      </c>
      <c r="L123" s="16">
        <f t="shared" si="63"/>
        <v>0</v>
      </c>
      <c r="M123" s="15">
        <f>+G123+I123</f>
        <v>1</v>
      </c>
      <c r="N123" s="162">
        <f>+D123*M123</f>
        <v>956950</v>
      </c>
      <c r="O123" s="102">
        <f t="shared" si="56"/>
        <v>1</v>
      </c>
      <c r="P123" s="99">
        <f>+M123-E123</f>
        <v>0</v>
      </c>
      <c r="Q123" s="93">
        <f>+P123*D123</f>
        <v>0</v>
      </c>
    </row>
    <row r="124" spans="1:17" x14ac:dyDescent="0.25">
      <c r="A124" s="9" t="s">
        <v>81</v>
      </c>
      <c r="B124" s="18" t="s">
        <v>211</v>
      </c>
      <c r="C124" s="11" t="s">
        <v>18</v>
      </c>
      <c r="D124" s="53">
        <v>45933</v>
      </c>
      <c r="E124" s="13">
        <v>38</v>
      </c>
      <c r="F124" s="54">
        <f>D124*E124</f>
        <v>1745454</v>
      </c>
      <c r="G124" s="15">
        <v>0</v>
      </c>
      <c r="H124" s="16">
        <f t="shared" si="60"/>
        <v>0</v>
      </c>
      <c r="I124" s="20">
        <v>47.81</v>
      </c>
      <c r="J124" s="17">
        <f t="shared" si="61"/>
        <v>2196056.73</v>
      </c>
      <c r="K124" s="15">
        <v>0</v>
      </c>
      <c r="L124" s="16">
        <f t="shared" si="63"/>
        <v>0</v>
      </c>
      <c r="M124" s="15">
        <f>+G124+I124</f>
        <v>47.81</v>
      </c>
      <c r="N124" s="162">
        <f>+D124*M124</f>
        <v>2196056.73</v>
      </c>
      <c r="O124" s="102">
        <f t="shared" si="56"/>
        <v>1.2581578947368421</v>
      </c>
      <c r="P124" s="99">
        <f>+M124-E124</f>
        <v>9.8100000000000023</v>
      </c>
      <c r="Q124" s="93">
        <f>+P124*D124</f>
        <v>450602.7300000001</v>
      </c>
    </row>
    <row r="125" spans="1:17" x14ac:dyDescent="0.25">
      <c r="A125" s="9" t="s">
        <v>82</v>
      </c>
      <c r="B125" s="10" t="s">
        <v>80</v>
      </c>
      <c r="C125" s="23" t="s">
        <v>28</v>
      </c>
      <c r="D125" s="55">
        <v>137224</v>
      </c>
      <c r="E125" s="24">
        <v>4</v>
      </c>
      <c r="F125" s="56">
        <f>+E125*D125</f>
        <v>548896</v>
      </c>
      <c r="G125" s="15">
        <v>0</v>
      </c>
      <c r="H125" s="16">
        <f t="shared" si="60"/>
        <v>0</v>
      </c>
      <c r="I125" s="20">
        <v>7</v>
      </c>
      <c r="J125" s="17">
        <f t="shared" si="61"/>
        <v>960568</v>
      </c>
      <c r="K125" s="15">
        <v>0</v>
      </c>
      <c r="L125" s="16">
        <f t="shared" si="63"/>
        <v>0</v>
      </c>
      <c r="M125" s="15">
        <f>+G125+I125</f>
        <v>7</v>
      </c>
      <c r="N125" s="162">
        <f>+D125*M125</f>
        <v>960568</v>
      </c>
      <c r="O125" s="102">
        <f t="shared" si="56"/>
        <v>1.75</v>
      </c>
      <c r="P125" s="99">
        <f>+M125-E125</f>
        <v>3</v>
      </c>
      <c r="Q125" s="93">
        <f>+P125*D125</f>
        <v>411672</v>
      </c>
    </row>
    <row r="126" spans="1:17" x14ac:dyDescent="0.25">
      <c r="A126" s="144">
        <v>6</v>
      </c>
      <c r="B126" s="145" t="s">
        <v>84</v>
      </c>
      <c r="C126" s="146"/>
      <c r="D126" s="147"/>
      <c r="E126" s="148"/>
      <c r="F126" s="124">
        <f>SUM(F127:F128)</f>
        <v>21137840.000000004</v>
      </c>
      <c r="G126" s="120"/>
      <c r="H126" s="125"/>
      <c r="I126" s="120"/>
      <c r="J126" s="125"/>
      <c r="K126" s="120"/>
      <c r="L126" s="125"/>
      <c r="M126" s="120"/>
      <c r="N126" s="126">
        <f>SUM(N127:N128)</f>
        <v>42319658.400000006</v>
      </c>
      <c r="O126" s="130">
        <f t="shared" si="56"/>
        <v>2.0020805531691033</v>
      </c>
      <c r="P126" s="131"/>
      <c r="Q126" s="132">
        <f>SUM(Q127:Q128)</f>
        <v>21181818.400000002</v>
      </c>
    </row>
    <row r="127" spans="1:17" x14ac:dyDescent="0.25">
      <c r="A127" s="22" t="s">
        <v>85</v>
      </c>
      <c r="B127" s="18" t="s">
        <v>212</v>
      </c>
      <c r="C127" s="11" t="s">
        <v>21</v>
      </c>
      <c r="D127" s="53">
        <v>446880.00000000006</v>
      </c>
      <c r="E127" s="13">
        <v>43</v>
      </c>
      <c r="F127" s="54">
        <f>+E127*D127</f>
        <v>19215840.000000004</v>
      </c>
      <c r="G127" s="15">
        <v>0</v>
      </c>
      <c r="H127" s="16">
        <f t="shared" si="60"/>
        <v>0</v>
      </c>
      <c r="I127" s="20">
        <v>83.64</v>
      </c>
      <c r="J127" s="17">
        <f t="shared" si="61"/>
        <v>37377043.200000003</v>
      </c>
      <c r="K127" s="15">
        <v>0</v>
      </c>
      <c r="L127" s="16">
        <f t="shared" ref="L127:L128" si="64">+$D127*K127</f>
        <v>0</v>
      </c>
      <c r="M127" s="15">
        <f>+G127+I127</f>
        <v>83.64</v>
      </c>
      <c r="N127" s="162">
        <f>+D127*M127</f>
        <v>37377043.200000003</v>
      </c>
      <c r="O127" s="102">
        <f t="shared" si="56"/>
        <v>1.9451162790697671</v>
      </c>
      <c r="P127" s="99">
        <f>+M127-E127</f>
        <v>40.64</v>
      </c>
      <c r="Q127" s="93">
        <f>+P127*D127</f>
        <v>18161203.200000003</v>
      </c>
    </row>
    <row r="128" spans="1:17" x14ac:dyDescent="0.25">
      <c r="A128" s="22" t="s">
        <v>87</v>
      </c>
      <c r="B128" s="18" t="s">
        <v>213</v>
      </c>
      <c r="C128" s="11" t="s">
        <v>21</v>
      </c>
      <c r="D128" s="53">
        <v>76880</v>
      </c>
      <c r="E128" s="13">
        <v>25</v>
      </c>
      <c r="F128" s="54">
        <f>+E128*D128</f>
        <v>1922000</v>
      </c>
      <c r="G128" s="15">
        <v>0</v>
      </c>
      <c r="H128" s="16">
        <f t="shared" si="60"/>
        <v>0</v>
      </c>
      <c r="I128" s="20">
        <v>64.290000000000006</v>
      </c>
      <c r="J128" s="17">
        <f t="shared" si="61"/>
        <v>4942615.2</v>
      </c>
      <c r="K128" s="15">
        <v>0</v>
      </c>
      <c r="L128" s="16">
        <f t="shared" si="64"/>
        <v>0</v>
      </c>
      <c r="M128" s="15">
        <f>+G128+I128</f>
        <v>64.290000000000006</v>
      </c>
      <c r="N128" s="162">
        <f>+D128*M128</f>
        <v>4942615.2</v>
      </c>
      <c r="O128" s="102">
        <f t="shared" si="56"/>
        <v>2.5716000000000001</v>
      </c>
      <c r="P128" s="99">
        <f>+M128-E128</f>
        <v>39.290000000000006</v>
      </c>
      <c r="Q128" s="93">
        <f>+P128*D128</f>
        <v>3020615.2000000007</v>
      </c>
    </row>
    <row r="129" spans="1:17" x14ac:dyDescent="0.25">
      <c r="A129" s="144">
        <v>7</v>
      </c>
      <c r="B129" s="145" t="s">
        <v>214</v>
      </c>
      <c r="C129" s="146"/>
      <c r="D129" s="147"/>
      <c r="E129" s="148"/>
      <c r="F129" s="124">
        <f>SUM(F130:F133)</f>
        <v>89137480</v>
      </c>
      <c r="G129" s="120"/>
      <c r="H129" s="125"/>
      <c r="I129" s="120"/>
      <c r="J129" s="125"/>
      <c r="K129" s="120"/>
      <c r="L129" s="125"/>
      <c r="M129" s="120"/>
      <c r="N129" s="126">
        <f>SUM(N130:N133)</f>
        <v>76847255</v>
      </c>
      <c r="O129" s="130">
        <f t="shared" si="56"/>
        <v>0.86212056925997904</v>
      </c>
      <c r="P129" s="131"/>
      <c r="Q129" s="132">
        <f>SUM(Q130:Q133)</f>
        <v>-12290224.999999996</v>
      </c>
    </row>
    <row r="130" spans="1:17" ht="30" x14ac:dyDescent="0.25">
      <c r="A130" s="9" t="s">
        <v>92</v>
      </c>
      <c r="B130" s="10" t="s">
        <v>215</v>
      </c>
      <c r="C130" s="11" t="s">
        <v>21</v>
      </c>
      <c r="D130" s="53">
        <v>545000</v>
      </c>
      <c r="E130" s="13">
        <v>55</v>
      </c>
      <c r="F130" s="54">
        <f t="shared" ref="F130:F133" si="65">D130*E130</f>
        <v>29975000</v>
      </c>
      <c r="G130" s="15">
        <v>0</v>
      </c>
      <c r="H130" s="16">
        <f t="shared" si="60"/>
        <v>0</v>
      </c>
      <c r="I130" s="20">
        <f>((1.8+2.4+0.15)*6.78)+(0.6*1.75)</f>
        <v>30.543000000000006</v>
      </c>
      <c r="J130" s="17">
        <f t="shared" si="61"/>
        <v>16645935.000000004</v>
      </c>
      <c r="K130" s="15">
        <v>0</v>
      </c>
      <c r="L130" s="16">
        <f t="shared" ref="L130:L133" si="66">+$D130*K130</f>
        <v>0</v>
      </c>
      <c r="M130" s="15">
        <f>+G130+I130</f>
        <v>30.543000000000006</v>
      </c>
      <c r="N130" s="162">
        <f>+D130*M130</f>
        <v>16645935.000000004</v>
      </c>
      <c r="O130" s="102">
        <f t="shared" si="56"/>
        <v>0.55532727272727289</v>
      </c>
      <c r="P130" s="99">
        <f>+M130-E130</f>
        <v>-24.456999999999994</v>
      </c>
      <c r="Q130" s="93">
        <f>+P130*D130</f>
        <v>-13329064.999999996</v>
      </c>
    </row>
    <row r="131" spans="1:17" x14ac:dyDescent="0.25">
      <c r="A131" s="9" t="s">
        <v>94</v>
      </c>
      <c r="B131" s="18" t="s">
        <v>216</v>
      </c>
      <c r="C131" s="11" t="s">
        <v>6</v>
      </c>
      <c r="D131" s="53">
        <v>1156480</v>
      </c>
      <c r="E131" s="13">
        <v>1</v>
      </c>
      <c r="F131" s="54">
        <f t="shared" si="65"/>
        <v>1156480</v>
      </c>
      <c r="G131" s="15">
        <v>1</v>
      </c>
      <c r="H131" s="16">
        <f t="shared" si="60"/>
        <v>1156480</v>
      </c>
      <c r="I131" s="15">
        <v>0</v>
      </c>
      <c r="J131" s="17">
        <f t="shared" si="61"/>
        <v>0</v>
      </c>
      <c r="K131" s="15">
        <v>0</v>
      </c>
      <c r="L131" s="16">
        <f t="shared" si="66"/>
        <v>0</v>
      </c>
      <c r="M131" s="15">
        <f>+G131+I131</f>
        <v>1</v>
      </c>
      <c r="N131" s="162">
        <f>+D131*M131</f>
        <v>1156480</v>
      </c>
      <c r="O131" s="102">
        <f t="shared" si="56"/>
        <v>1</v>
      </c>
      <c r="P131" s="99">
        <f>+M131-E131</f>
        <v>0</v>
      </c>
      <c r="Q131" s="93">
        <f>+P131*D131</f>
        <v>0</v>
      </c>
    </row>
    <row r="132" spans="1:17" x14ac:dyDescent="0.25">
      <c r="A132" s="9" t="s">
        <v>96</v>
      </c>
      <c r="B132" s="10" t="s">
        <v>217</v>
      </c>
      <c r="C132" s="21" t="s">
        <v>21</v>
      </c>
      <c r="D132" s="53">
        <v>865700</v>
      </c>
      <c r="E132" s="13">
        <v>10</v>
      </c>
      <c r="F132" s="54">
        <f>D132*E132</f>
        <v>8657000</v>
      </c>
      <c r="G132" s="15">
        <v>0</v>
      </c>
      <c r="H132" s="16">
        <f t="shared" si="60"/>
        <v>0</v>
      </c>
      <c r="I132" s="15">
        <v>11.2</v>
      </c>
      <c r="J132" s="17">
        <f t="shared" si="61"/>
        <v>9695840</v>
      </c>
      <c r="K132" s="15">
        <v>0</v>
      </c>
      <c r="L132" s="16">
        <f t="shared" si="66"/>
        <v>0</v>
      </c>
      <c r="M132" s="15">
        <f>+G132+I132</f>
        <v>11.2</v>
      </c>
      <c r="N132" s="162">
        <f>+D132*M132</f>
        <v>9695840</v>
      </c>
      <c r="O132" s="102">
        <f t="shared" si="56"/>
        <v>1.1200000000000001</v>
      </c>
      <c r="P132" s="99">
        <f>+M132-E132</f>
        <v>1.1999999999999993</v>
      </c>
      <c r="Q132" s="93">
        <f>+P132*D132</f>
        <v>1038839.9999999994</v>
      </c>
    </row>
    <row r="133" spans="1:17" ht="60" x14ac:dyDescent="0.25">
      <c r="A133" s="9" t="s">
        <v>98</v>
      </c>
      <c r="B133" s="18" t="s">
        <v>218</v>
      </c>
      <c r="C133" s="11" t="s">
        <v>28</v>
      </c>
      <c r="D133" s="53">
        <v>49349000</v>
      </c>
      <c r="E133" s="13">
        <v>1</v>
      </c>
      <c r="F133" s="54">
        <f t="shared" si="65"/>
        <v>49349000</v>
      </c>
      <c r="G133" s="15">
        <v>1</v>
      </c>
      <c r="H133" s="16">
        <f t="shared" si="60"/>
        <v>49349000</v>
      </c>
      <c r="I133" s="15">
        <v>0</v>
      </c>
      <c r="J133" s="17">
        <f t="shared" si="61"/>
        <v>0</v>
      </c>
      <c r="K133" s="15">
        <v>0</v>
      </c>
      <c r="L133" s="16">
        <f t="shared" si="66"/>
        <v>0</v>
      </c>
      <c r="M133" s="15">
        <f>+G133+I133</f>
        <v>1</v>
      </c>
      <c r="N133" s="162">
        <f>+D133*M133</f>
        <v>49349000</v>
      </c>
      <c r="O133" s="102">
        <f t="shared" si="56"/>
        <v>1</v>
      </c>
      <c r="P133" s="99">
        <f>+M133-E133</f>
        <v>0</v>
      </c>
      <c r="Q133" s="93">
        <f>+P133*D133</f>
        <v>0</v>
      </c>
    </row>
    <row r="134" spans="1:17" x14ac:dyDescent="0.25">
      <c r="A134" s="144">
        <v>8</v>
      </c>
      <c r="B134" s="145" t="s">
        <v>219</v>
      </c>
      <c r="C134" s="146"/>
      <c r="D134" s="147"/>
      <c r="E134" s="148"/>
      <c r="F134" s="124">
        <f>SUM(F135)</f>
        <v>28963750</v>
      </c>
      <c r="G134" s="120"/>
      <c r="H134" s="125"/>
      <c r="I134" s="120"/>
      <c r="J134" s="125"/>
      <c r="K134" s="120"/>
      <c r="L134" s="125"/>
      <c r="M134" s="120"/>
      <c r="N134" s="126">
        <f>SUM(N135)</f>
        <v>28963750</v>
      </c>
      <c r="O134" s="130">
        <f t="shared" si="56"/>
        <v>1</v>
      </c>
      <c r="P134" s="131"/>
      <c r="Q134" s="132">
        <f>SUM(Q135)</f>
        <v>0</v>
      </c>
    </row>
    <row r="135" spans="1:17" s="19" customFormat="1" ht="45" x14ac:dyDescent="0.25">
      <c r="A135" s="9" t="s">
        <v>123</v>
      </c>
      <c r="B135" s="57" t="s">
        <v>220</v>
      </c>
      <c r="C135" s="58" t="s">
        <v>6</v>
      </c>
      <c r="D135" s="53">
        <v>28963750</v>
      </c>
      <c r="E135" s="59">
        <v>1</v>
      </c>
      <c r="F135" s="54">
        <f>D135*E135</f>
        <v>28963750</v>
      </c>
      <c r="G135" s="15">
        <v>1</v>
      </c>
      <c r="H135" s="16">
        <f t="shared" si="60"/>
        <v>28963750</v>
      </c>
      <c r="I135" s="15">
        <v>0</v>
      </c>
      <c r="J135" s="16">
        <f t="shared" si="61"/>
        <v>0</v>
      </c>
      <c r="K135" s="20">
        <v>0</v>
      </c>
      <c r="L135" s="16">
        <f t="shared" ref="L135" si="67">+$D135*K135</f>
        <v>0</v>
      </c>
      <c r="M135" s="15">
        <f>+G135+I135</f>
        <v>1</v>
      </c>
      <c r="N135" s="162">
        <f>+D135*M135</f>
        <v>28963750</v>
      </c>
      <c r="O135" s="102">
        <f t="shared" si="56"/>
        <v>1</v>
      </c>
      <c r="P135" s="99">
        <f>+M135-E135</f>
        <v>0</v>
      </c>
      <c r="Q135" s="93">
        <f>+P135*D135</f>
        <v>0</v>
      </c>
    </row>
    <row r="136" spans="1:17" s="19" customFormat="1" x14ac:dyDescent="0.25">
      <c r="A136" s="144">
        <v>9</v>
      </c>
      <c r="B136" s="145" t="s">
        <v>145</v>
      </c>
      <c r="C136" s="146"/>
      <c r="D136" s="147"/>
      <c r="E136" s="148"/>
      <c r="F136" s="124">
        <v>0</v>
      </c>
      <c r="G136" s="120"/>
      <c r="H136" s="125"/>
      <c r="I136" s="120"/>
      <c r="J136" s="125"/>
      <c r="K136" s="120"/>
      <c r="L136" s="125"/>
      <c r="M136" s="120"/>
      <c r="N136" s="126">
        <v>0</v>
      </c>
      <c r="O136" s="130" t="e">
        <f t="shared" si="56"/>
        <v>#DIV/0!</v>
      </c>
      <c r="P136" s="131"/>
      <c r="Q136" s="132">
        <v>0</v>
      </c>
    </row>
    <row r="137" spans="1:17" s="19" customFormat="1" x14ac:dyDescent="0.25">
      <c r="A137" s="144">
        <v>10</v>
      </c>
      <c r="B137" s="145" t="s">
        <v>178</v>
      </c>
      <c r="C137" s="146"/>
      <c r="D137" s="147"/>
      <c r="E137" s="148"/>
      <c r="F137" s="124">
        <f>SUM(F138)</f>
        <v>6773760</v>
      </c>
      <c r="G137" s="120"/>
      <c r="H137" s="125"/>
      <c r="I137" s="120"/>
      <c r="J137" s="125"/>
      <c r="K137" s="120"/>
      <c r="L137" s="125"/>
      <c r="M137" s="120"/>
      <c r="N137" s="126">
        <f>SUM(N138)</f>
        <v>6773760</v>
      </c>
      <c r="O137" s="130">
        <f t="shared" si="56"/>
        <v>1</v>
      </c>
      <c r="P137" s="131"/>
      <c r="Q137" s="132">
        <f>SUM(Q138)</f>
        <v>0</v>
      </c>
    </row>
    <row r="138" spans="1:17" s="19" customFormat="1" ht="30" x14ac:dyDescent="0.25">
      <c r="A138" s="9" t="s">
        <v>179</v>
      </c>
      <c r="B138" s="57" t="s">
        <v>221</v>
      </c>
      <c r="C138" s="58" t="s">
        <v>6</v>
      </c>
      <c r="D138" s="53">
        <v>6773760</v>
      </c>
      <c r="E138" s="59">
        <v>1</v>
      </c>
      <c r="F138" s="54">
        <f>D138*E138</f>
        <v>6773760</v>
      </c>
      <c r="G138" s="15">
        <v>1</v>
      </c>
      <c r="H138" s="16">
        <f t="shared" ref="H138" si="68">+$D138*G138</f>
        <v>6773760</v>
      </c>
      <c r="I138" s="15">
        <v>0</v>
      </c>
      <c r="J138" s="16">
        <f t="shared" ref="J138" si="69">+$D138*I138</f>
        <v>0</v>
      </c>
      <c r="K138" s="20">
        <v>0</v>
      </c>
      <c r="L138" s="16">
        <f t="shared" ref="L138" si="70">+$D138*K138</f>
        <v>0</v>
      </c>
      <c r="M138" s="15">
        <f>+G138+I138</f>
        <v>1</v>
      </c>
      <c r="N138" s="162">
        <f>+D138*M138</f>
        <v>6773760</v>
      </c>
      <c r="O138" s="102">
        <f t="shared" si="56"/>
        <v>1</v>
      </c>
      <c r="P138" s="99">
        <f>+M138-E138</f>
        <v>0</v>
      </c>
      <c r="Q138" s="93">
        <f>+P138*D138</f>
        <v>0</v>
      </c>
    </row>
    <row r="139" spans="1:17" s="19" customFormat="1" x14ac:dyDescent="0.25">
      <c r="A139" s="144">
        <v>11</v>
      </c>
      <c r="B139" s="145" t="s">
        <v>201</v>
      </c>
      <c r="C139" s="146"/>
      <c r="D139" s="147"/>
      <c r="E139" s="148"/>
      <c r="F139" s="124">
        <f>SUM(F140)</f>
        <v>424260</v>
      </c>
      <c r="G139" s="120"/>
      <c r="H139" s="125"/>
      <c r="I139" s="120"/>
      <c r="J139" s="125"/>
      <c r="K139" s="120"/>
      <c r="L139" s="125"/>
      <c r="M139" s="120"/>
      <c r="N139" s="126">
        <f>SUM(N140)</f>
        <v>544467</v>
      </c>
      <c r="O139" s="130">
        <f t="shared" si="56"/>
        <v>1.2833333333333334</v>
      </c>
      <c r="P139" s="131"/>
      <c r="Q139" s="132">
        <f>SUM(Q140)</f>
        <v>120207</v>
      </c>
    </row>
    <row r="140" spans="1:17" s="19" customFormat="1" ht="15.75" thickBot="1" x14ac:dyDescent="0.3">
      <c r="A140" s="43" t="s">
        <v>205</v>
      </c>
      <c r="B140" s="44" t="s">
        <v>206</v>
      </c>
      <c r="C140" s="45" t="s">
        <v>21</v>
      </c>
      <c r="D140" s="60">
        <v>7071</v>
      </c>
      <c r="E140" s="47">
        <v>60</v>
      </c>
      <c r="F140" s="61">
        <f>D140*E140</f>
        <v>424260</v>
      </c>
      <c r="G140" s="49">
        <v>0</v>
      </c>
      <c r="H140" s="50">
        <f t="shared" ref="H140" si="71">+$D140*G140</f>
        <v>0</v>
      </c>
      <c r="I140" s="51">
        <f>7*11</f>
        <v>77</v>
      </c>
      <c r="J140" s="52">
        <f t="shared" ref="J140" si="72">+$D140*I140</f>
        <v>544467</v>
      </c>
      <c r="K140" s="51">
        <v>0</v>
      </c>
      <c r="L140" s="50">
        <f t="shared" ref="L140" si="73">+$D140*K140</f>
        <v>0</v>
      </c>
      <c r="M140" s="106">
        <f>+G140+I140</f>
        <v>77</v>
      </c>
      <c r="N140" s="164">
        <f>+D140*M140</f>
        <v>544467</v>
      </c>
      <c r="O140" s="107">
        <f t="shared" si="56"/>
        <v>1.2833333333333334</v>
      </c>
      <c r="P140" s="108">
        <f>+M140-E140</f>
        <v>17</v>
      </c>
      <c r="Q140" s="109">
        <f>+P140*D140</f>
        <v>120207</v>
      </c>
    </row>
    <row r="141" spans="1:17" s="8" customFormat="1" ht="30.6" customHeight="1" thickBot="1" x14ac:dyDescent="0.3">
      <c r="A141" s="133"/>
      <c r="B141" s="149" t="s">
        <v>222</v>
      </c>
      <c r="C141" s="134"/>
      <c r="D141" s="135"/>
      <c r="E141" s="136"/>
      <c r="F141" s="137"/>
      <c r="G141" s="138"/>
      <c r="H141" s="137"/>
      <c r="I141" s="138"/>
      <c r="J141" s="137"/>
      <c r="K141" s="138"/>
      <c r="L141" s="137"/>
      <c r="M141" s="138"/>
      <c r="N141" s="168">
        <f>SUM(N142:N185)</f>
        <v>173119037.51721421</v>
      </c>
      <c r="O141" s="140"/>
      <c r="P141" s="136"/>
      <c r="Q141" s="141">
        <f>+Q7+Q12+Q29+Q39+Q42+Q47+Q51+Q67+Q79+Q96+Q108+Q112+Q117+Q118+Q119+Q121+Q126+Q129+Q134+Q136+Q137+Q139</f>
        <v>-173119036.74825001</v>
      </c>
    </row>
    <row r="142" spans="1:17" s="3" customFormat="1" ht="47.45" customHeight="1" x14ac:dyDescent="0.25">
      <c r="A142" s="9" t="s">
        <v>223</v>
      </c>
      <c r="B142" s="57" t="s">
        <v>224</v>
      </c>
      <c r="C142" s="58" t="s">
        <v>21</v>
      </c>
      <c r="D142" s="62">
        <v>98560</v>
      </c>
      <c r="E142" s="142">
        <v>49.71</v>
      </c>
      <c r="F142" s="143">
        <v>4899417.5999999996</v>
      </c>
      <c r="G142" s="20"/>
      <c r="H142" s="17"/>
      <c r="I142" s="20"/>
      <c r="J142" s="17"/>
      <c r="K142" s="20">
        <v>49.71</v>
      </c>
      <c r="L142" s="16">
        <f t="shared" ref="L142:L185" si="74">D142*K142</f>
        <v>4899417.5999999996</v>
      </c>
      <c r="M142" s="110">
        <f>+K142</f>
        <v>49.71</v>
      </c>
      <c r="N142" s="111">
        <f t="shared" ref="N142:N185" si="75">D142*M142</f>
        <v>4899417.5999999996</v>
      </c>
      <c r="O142" s="112">
        <f t="shared" ref="O142:O185" si="76">+N142/F142</f>
        <v>1</v>
      </c>
      <c r="P142" s="113">
        <f t="shared" ref="P142:P185" si="77">+M142-E142</f>
        <v>0</v>
      </c>
      <c r="Q142" s="93">
        <f t="shared" ref="Q142:Q185" si="78">+P142*D142</f>
        <v>0</v>
      </c>
    </row>
    <row r="143" spans="1:17" s="3" customFormat="1" x14ac:dyDescent="0.25">
      <c r="A143" s="9" t="s">
        <v>225</v>
      </c>
      <c r="B143" s="10" t="s">
        <v>226</v>
      </c>
      <c r="C143" s="11" t="s">
        <v>21</v>
      </c>
      <c r="D143" s="25">
        <v>50542.5</v>
      </c>
      <c r="E143" s="142">
        <v>28.33</v>
      </c>
      <c r="F143" s="143">
        <v>1431869.0249999999</v>
      </c>
      <c r="G143" s="20"/>
      <c r="H143" s="17"/>
      <c r="I143" s="20"/>
      <c r="J143" s="17"/>
      <c r="K143" s="20">
        <v>28.33</v>
      </c>
      <c r="L143" s="16">
        <f t="shared" si="74"/>
        <v>1431869.0249999999</v>
      </c>
      <c r="M143" s="15">
        <f t="shared" ref="M143:M185" si="79">+K143</f>
        <v>28.33</v>
      </c>
      <c r="N143" s="95">
        <f t="shared" si="75"/>
        <v>1431869.0249999999</v>
      </c>
      <c r="O143" s="102">
        <f t="shared" si="76"/>
        <v>1</v>
      </c>
      <c r="P143" s="99">
        <f t="shared" si="77"/>
        <v>0</v>
      </c>
      <c r="Q143" s="93">
        <f t="shared" si="78"/>
        <v>0</v>
      </c>
    </row>
    <row r="144" spans="1:17" s="3" customFormat="1" x14ac:dyDescent="0.25">
      <c r="A144" s="9" t="s">
        <v>227</v>
      </c>
      <c r="B144" s="10" t="s">
        <v>228</v>
      </c>
      <c r="C144" s="11" t="s">
        <v>21</v>
      </c>
      <c r="D144" s="25">
        <v>16750</v>
      </c>
      <c r="E144" s="142">
        <v>17.27</v>
      </c>
      <c r="F144" s="143">
        <v>289272.5</v>
      </c>
      <c r="G144" s="20"/>
      <c r="H144" s="17"/>
      <c r="I144" s="20"/>
      <c r="J144" s="17"/>
      <c r="K144" s="20">
        <v>17.27</v>
      </c>
      <c r="L144" s="16">
        <f t="shared" si="74"/>
        <v>289272.5</v>
      </c>
      <c r="M144" s="15">
        <f t="shared" si="79"/>
        <v>17.27</v>
      </c>
      <c r="N144" s="95">
        <f t="shared" si="75"/>
        <v>289272.5</v>
      </c>
      <c r="O144" s="102">
        <f t="shared" si="76"/>
        <v>1</v>
      </c>
      <c r="P144" s="99">
        <f t="shared" si="77"/>
        <v>0</v>
      </c>
      <c r="Q144" s="93">
        <f t="shared" si="78"/>
        <v>0</v>
      </c>
    </row>
    <row r="145" spans="1:17" s="3" customFormat="1" x14ac:dyDescent="0.25">
      <c r="A145" s="9" t="s">
        <v>229</v>
      </c>
      <c r="B145" s="10" t="s">
        <v>230</v>
      </c>
      <c r="C145" s="11" t="s">
        <v>18</v>
      </c>
      <c r="D145" s="25">
        <v>21771</v>
      </c>
      <c r="E145" s="142">
        <v>157.46</v>
      </c>
      <c r="F145" s="143">
        <v>3428061.66</v>
      </c>
      <c r="G145" s="20"/>
      <c r="H145" s="17"/>
      <c r="I145" s="20"/>
      <c r="J145" s="17"/>
      <c r="K145" s="20">
        <v>157.46</v>
      </c>
      <c r="L145" s="16">
        <f t="shared" si="74"/>
        <v>3428061.66</v>
      </c>
      <c r="M145" s="15">
        <f t="shared" si="79"/>
        <v>157.46</v>
      </c>
      <c r="N145" s="95">
        <f t="shared" si="75"/>
        <v>3428061.66</v>
      </c>
      <c r="O145" s="102">
        <f t="shared" si="76"/>
        <v>1</v>
      </c>
      <c r="P145" s="99">
        <f t="shared" si="77"/>
        <v>0</v>
      </c>
      <c r="Q145" s="93">
        <f t="shared" si="78"/>
        <v>0</v>
      </c>
    </row>
    <row r="146" spans="1:17" s="3" customFormat="1" ht="30.6" customHeight="1" x14ac:dyDescent="0.25">
      <c r="A146" s="9" t="s">
        <v>231</v>
      </c>
      <c r="B146" s="10" t="s">
        <v>232</v>
      </c>
      <c r="C146" s="11" t="s">
        <v>28</v>
      </c>
      <c r="D146" s="25">
        <v>280000</v>
      </c>
      <c r="E146" s="142">
        <v>1</v>
      </c>
      <c r="F146" s="143">
        <v>280000</v>
      </c>
      <c r="G146" s="20"/>
      <c r="H146" s="17"/>
      <c r="I146" s="20"/>
      <c r="J146" s="17"/>
      <c r="K146" s="20">
        <v>1</v>
      </c>
      <c r="L146" s="16">
        <f t="shared" si="74"/>
        <v>280000</v>
      </c>
      <c r="M146" s="15">
        <f t="shared" si="79"/>
        <v>1</v>
      </c>
      <c r="N146" s="95">
        <f t="shared" si="75"/>
        <v>280000</v>
      </c>
      <c r="O146" s="102">
        <f t="shared" si="76"/>
        <v>1</v>
      </c>
      <c r="P146" s="99">
        <f t="shared" si="77"/>
        <v>0</v>
      </c>
      <c r="Q146" s="93">
        <f t="shared" si="78"/>
        <v>0</v>
      </c>
    </row>
    <row r="147" spans="1:17" s="3" customFormat="1" x14ac:dyDescent="0.25">
      <c r="A147" s="9" t="s">
        <v>233</v>
      </c>
      <c r="B147" s="10" t="s">
        <v>234</v>
      </c>
      <c r="C147" s="11" t="s">
        <v>28</v>
      </c>
      <c r="D147" s="25">
        <v>65000</v>
      </c>
      <c r="E147" s="142">
        <v>2</v>
      </c>
      <c r="F147" s="143">
        <v>130000</v>
      </c>
      <c r="G147" s="20"/>
      <c r="H147" s="17"/>
      <c r="I147" s="20"/>
      <c r="J147" s="17"/>
      <c r="K147" s="20">
        <v>2</v>
      </c>
      <c r="L147" s="16">
        <f t="shared" si="74"/>
        <v>130000</v>
      </c>
      <c r="M147" s="15">
        <f t="shared" si="79"/>
        <v>2</v>
      </c>
      <c r="N147" s="95">
        <f t="shared" si="75"/>
        <v>130000</v>
      </c>
      <c r="O147" s="102">
        <f t="shared" si="76"/>
        <v>1</v>
      </c>
      <c r="P147" s="99">
        <f t="shared" si="77"/>
        <v>0</v>
      </c>
      <c r="Q147" s="93">
        <f t="shared" si="78"/>
        <v>0</v>
      </c>
    </row>
    <row r="148" spans="1:17" s="3" customFormat="1" x14ac:dyDescent="0.25">
      <c r="A148" s="9" t="s">
        <v>235</v>
      </c>
      <c r="B148" s="57" t="s">
        <v>236</v>
      </c>
      <c r="C148" s="11" t="s">
        <v>6</v>
      </c>
      <c r="D148" s="62">
        <v>250000</v>
      </c>
      <c r="E148" s="142">
        <v>1</v>
      </c>
      <c r="F148" s="143">
        <v>250000</v>
      </c>
      <c r="G148" s="20"/>
      <c r="H148" s="17"/>
      <c r="I148" s="20"/>
      <c r="J148" s="17"/>
      <c r="K148" s="20">
        <v>1</v>
      </c>
      <c r="L148" s="16">
        <f t="shared" si="74"/>
        <v>250000</v>
      </c>
      <c r="M148" s="15">
        <f t="shared" si="79"/>
        <v>1</v>
      </c>
      <c r="N148" s="95">
        <f t="shared" si="75"/>
        <v>250000</v>
      </c>
      <c r="O148" s="102">
        <f t="shared" si="76"/>
        <v>1</v>
      </c>
      <c r="P148" s="99">
        <f t="shared" si="77"/>
        <v>0</v>
      </c>
      <c r="Q148" s="93">
        <f t="shared" si="78"/>
        <v>0</v>
      </c>
    </row>
    <row r="149" spans="1:17" s="3" customFormat="1" x14ac:dyDescent="0.25">
      <c r="A149" s="9" t="s">
        <v>237</v>
      </c>
      <c r="B149" s="10" t="s">
        <v>238</v>
      </c>
      <c r="C149" s="11" t="s">
        <v>28</v>
      </c>
      <c r="D149" s="25">
        <v>45000</v>
      </c>
      <c r="E149" s="142">
        <v>2</v>
      </c>
      <c r="F149" s="143">
        <v>90000</v>
      </c>
      <c r="G149" s="20"/>
      <c r="H149" s="17"/>
      <c r="I149" s="20"/>
      <c r="J149" s="17"/>
      <c r="K149" s="20">
        <v>2</v>
      </c>
      <c r="L149" s="16">
        <f t="shared" si="74"/>
        <v>90000</v>
      </c>
      <c r="M149" s="15">
        <f t="shared" si="79"/>
        <v>2</v>
      </c>
      <c r="N149" s="95">
        <f t="shared" si="75"/>
        <v>90000</v>
      </c>
      <c r="O149" s="102">
        <f t="shared" si="76"/>
        <v>1</v>
      </c>
      <c r="P149" s="99">
        <f t="shared" si="77"/>
        <v>0</v>
      </c>
      <c r="Q149" s="93">
        <f t="shared" si="78"/>
        <v>0</v>
      </c>
    </row>
    <row r="150" spans="1:17" s="34" customFormat="1" ht="50.45" customHeight="1" x14ac:dyDescent="0.25">
      <c r="A150" s="9" t="s">
        <v>239</v>
      </c>
      <c r="B150" s="10" t="s">
        <v>240</v>
      </c>
      <c r="C150" s="11" t="s">
        <v>70</v>
      </c>
      <c r="D150" s="25">
        <v>81763</v>
      </c>
      <c r="E150" s="142">
        <v>51.204999999999998</v>
      </c>
      <c r="F150" s="143">
        <v>4186674.415</v>
      </c>
      <c r="G150" s="20"/>
      <c r="H150" s="17"/>
      <c r="I150" s="20"/>
      <c r="J150" s="17"/>
      <c r="K150" s="20">
        <f>+((K165+K166)*0.35)+(K167*0.5)</f>
        <v>51.204999999999998</v>
      </c>
      <c r="L150" s="17">
        <f t="shared" si="74"/>
        <v>4186674.415</v>
      </c>
      <c r="M150" s="15">
        <f t="shared" si="79"/>
        <v>51.204999999999998</v>
      </c>
      <c r="N150" s="96">
        <f t="shared" si="75"/>
        <v>4186674.415</v>
      </c>
      <c r="O150" s="102">
        <f t="shared" si="76"/>
        <v>1</v>
      </c>
      <c r="P150" s="99">
        <f t="shared" si="77"/>
        <v>0</v>
      </c>
      <c r="Q150" s="93">
        <f t="shared" si="78"/>
        <v>0</v>
      </c>
    </row>
    <row r="151" spans="1:17" s="34" customFormat="1" ht="45" x14ac:dyDescent="0.25">
      <c r="A151" s="9" t="s">
        <v>241</v>
      </c>
      <c r="B151" s="10" t="s">
        <v>339</v>
      </c>
      <c r="C151" s="11" t="s">
        <v>70</v>
      </c>
      <c r="D151" s="25">
        <v>93389</v>
      </c>
      <c r="E151" s="142">
        <v>36.35</v>
      </c>
      <c r="F151" s="143">
        <v>3394690.15</v>
      </c>
      <c r="G151" s="20"/>
      <c r="H151" s="17"/>
      <c r="I151" s="20"/>
      <c r="J151" s="17"/>
      <c r="K151" s="20">
        <f>+((K165+K166)*0.25)+(K167*0.25)</f>
        <v>36.35</v>
      </c>
      <c r="L151" s="17">
        <f t="shared" si="74"/>
        <v>3394690.15</v>
      </c>
      <c r="M151" s="15">
        <f t="shared" si="79"/>
        <v>36.35</v>
      </c>
      <c r="N151" s="96">
        <f t="shared" si="75"/>
        <v>3394690.15</v>
      </c>
      <c r="O151" s="102">
        <f t="shared" si="76"/>
        <v>1</v>
      </c>
      <c r="P151" s="99">
        <f t="shared" si="77"/>
        <v>0</v>
      </c>
      <c r="Q151" s="93">
        <f t="shared" si="78"/>
        <v>0</v>
      </c>
    </row>
    <row r="152" spans="1:17" s="3" customFormat="1" ht="30" x14ac:dyDescent="0.25">
      <c r="A152" s="9" t="s">
        <v>242</v>
      </c>
      <c r="B152" s="10" t="s">
        <v>243</v>
      </c>
      <c r="C152" s="11" t="s">
        <v>6</v>
      </c>
      <c r="D152" s="25">
        <v>350000</v>
      </c>
      <c r="E152" s="142">
        <v>1</v>
      </c>
      <c r="F152" s="143">
        <v>350000</v>
      </c>
      <c r="G152" s="20"/>
      <c r="H152" s="17"/>
      <c r="I152" s="20"/>
      <c r="J152" s="17"/>
      <c r="K152" s="20">
        <v>1</v>
      </c>
      <c r="L152" s="16">
        <f t="shared" si="74"/>
        <v>350000</v>
      </c>
      <c r="M152" s="15">
        <f t="shared" si="79"/>
        <v>1</v>
      </c>
      <c r="N152" s="95">
        <f t="shared" si="75"/>
        <v>350000</v>
      </c>
      <c r="O152" s="102">
        <f t="shared" si="76"/>
        <v>1</v>
      </c>
      <c r="P152" s="99">
        <f t="shared" si="77"/>
        <v>0</v>
      </c>
      <c r="Q152" s="93">
        <f t="shared" si="78"/>
        <v>0</v>
      </c>
    </row>
    <row r="153" spans="1:17" s="3" customFormat="1" ht="32.450000000000003" customHeight="1" x14ac:dyDescent="0.25">
      <c r="A153" s="9" t="s">
        <v>244</v>
      </c>
      <c r="B153" s="10" t="s">
        <v>245</v>
      </c>
      <c r="C153" s="11" t="s">
        <v>6</v>
      </c>
      <c r="D153" s="25">
        <v>350000</v>
      </c>
      <c r="E153" s="142">
        <v>1</v>
      </c>
      <c r="F153" s="143">
        <v>350000</v>
      </c>
      <c r="G153" s="20"/>
      <c r="H153" s="17"/>
      <c r="I153" s="20"/>
      <c r="J153" s="17"/>
      <c r="K153" s="20">
        <v>1</v>
      </c>
      <c r="L153" s="16">
        <f t="shared" si="74"/>
        <v>350000</v>
      </c>
      <c r="M153" s="15">
        <f t="shared" si="79"/>
        <v>1</v>
      </c>
      <c r="N153" s="95">
        <f t="shared" si="75"/>
        <v>350000</v>
      </c>
      <c r="O153" s="102">
        <f t="shared" si="76"/>
        <v>1</v>
      </c>
      <c r="P153" s="99">
        <f t="shared" si="77"/>
        <v>0</v>
      </c>
      <c r="Q153" s="93">
        <f t="shared" si="78"/>
        <v>0</v>
      </c>
    </row>
    <row r="154" spans="1:17" s="3" customFormat="1" x14ac:dyDescent="0.25">
      <c r="A154" s="9" t="s">
        <v>246</v>
      </c>
      <c r="B154" s="10" t="s">
        <v>247</v>
      </c>
      <c r="C154" s="11" t="s">
        <v>28</v>
      </c>
      <c r="D154" s="25">
        <v>45500</v>
      </c>
      <c r="E154" s="142">
        <v>28</v>
      </c>
      <c r="F154" s="143">
        <v>1274000</v>
      </c>
      <c r="G154" s="20"/>
      <c r="H154" s="17"/>
      <c r="I154" s="20"/>
      <c r="J154" s="17"/>
      <c r="K154" s="20">
        <v>28</v>
      </c>
      <c r="L154" s="16">
        <f t="shared" si="74"/>
        <v>1274000</v>
      </c>
      <c r="M154" s="15">
        <f t="shared" si="79"/>
        <v>28</v>
      </c>
      <c r="N154" s="95">
        <f t="shared" si="75"/>
        <v>1274000</v>
      </c>
      <c r="O154" s="102">
        <f t="shared" si="76"/>
        <v>1</v>
      </c>
      <c r="P154" s="99">
        <f t="shared" si="77"/>
        <v>0</v>
      </c>
      <c r="Q154" s="93">
        <f t="shared" si="78"/>
        <v>0</v>
      </c>
    </row>
    <row r="155" spans="1:17" s="3" customFormat="1" ht="47.45" customHeight="1" x14ac:dyDescent="0.25">
      <c r="A155" s="9" t="s">
        <v>248</v>
      </c>
      <c r="B155" s="10" t="s">
        <v>249</v>
      </c>
      <c r="C155" s="11" t="s">
        <v>21</v>
      </c>
      <c r="D155" s="25">
        <v>226523</v>
      </c>
      <c r="E155" s="142">
        <v>20.73</v>
      </c>
      <c r="F155" s="143">
        <v>4695821.79</v>
      </c>
      <c r="G155" s="20"/>
      <c r="H155" s="17"/>
      <c r="I155" s="20"/>
      <c r="J155" s="17"/>
      <c r="K155" s="20">
        <v>20.73</v>
      </c>
      <c r="L155" s="16">
        <f t="shared" si="74"/>
        <v>4695821.79</v>
      </c>
      <c r="M155" s="15">
        <f t="shared" si="79"/>
        <v>20.73</v>
      </c>
      <c r="N155" s="95">
        <f t="shared" si="75"/>
        <v>4695821.79</v>
      </c>
      <c r="O155" s="102">
        <f t="shared" si="76"/>
        <v>1</v>
      </c>
      <c r="P155" s="99">
        <f t="shared" si="77"/>
        <v>0</v>
      </c>
      <c r="Q155" s="93">
        <f t="shared" si="78"/>
        <v>0</v>
      </c>
    </row>
    <row r="156" spans="1:17" s="3" customFormat="1" x14ac:dyDescent="0.25">
      <c r="A156" s="9" t="s">
        <v>250</v>
      </c>
      <c r="B156" s="10" t="s">
        <v>251</v>
      </c>
      <c r="C156" s="11" t="s">
        <v>21</v>
      </c>
      <c r="D156" s="63">
        <v>115650</v>
      </c>
      <c r="E156" s="142">
        <v>18.420000000000002</v>
      </c>
      <c r="F156" s="143">
        <v>2130273</v>
      </c>
      <c r="G156" s="20"/>
      <c r="H156" s="17"/>
      <c r="I156" s="20"/>
      <c r="J156" s="17"/>
      <c r="K156" s="20">
        <v>18.420000000000002</v>
      </c>
      <c r="L156" s="16">
        <f t="shared" si="74"/>
        <v>2130273</v>
      </c>
      <c r="M156" s="15">
        <f t="shared" si="79"/>
        <v>18.420000000000002</v>
      </c>
      <c r="N156" s="95">
        <f t="shared" si="75"/>
        <v>2130273</v>
      </c>
      <c r="O156" s="102">
        <f t="shared" si="76"/>
        <v>1</v>
      </c>
      <c r="P156" s="99">
        <f t="shared" si="77"/>
        <v>0</v>
      </c>
      <c r="Q156" s="93">
        <f t="shared" si="78"/>
        <v>0</v>
      </c>
    </row>
    <row r="157" spans="1:17" s="3" customFormat="1" x14ac:dyDescent="0.25">
      <c r="A157" s="9" t="s">
        <v>252</v>
      </c>
      <c r="B157" s="10" t="s">
        <v>253</v>
      </c>
      <c r="C157" s="11" t="s">
        <v>18</v>
      </c>
      <c r="D157" s="12">
        <v>17998</v>
      </c>
      <c r="E157" s="142">
        <v>195.01</v>
      </c>
      <c r="F157" s="143">
        <v>3509789.98</v>
      </c>
      <c r="G157" s="20"/>
      <c r="H157" s="17"/>
      <c r="I157" s="20"/>
      <c r="J157" s="17"/>
      <c r="K157" s="20">
        <v>195.01</v>
      </c>
      <c r="L157" s="16">
        <f t="shared" si="74"/>
        <v>3509789.98</v>
      </c>
      <c r="M157" s="15">
        <f t="shared" si="79"/>
        <v>195.01</v>
      </c>
      <c r="N157" s="95">
        <f t="shared" si="75"/>
        <v>3509789.98</v>
      </c>
      <c r="O157" s="102">
        <f t="shared" si="76"/>
        <v>1</v>
      </c>
      <c r="P157" s="99">
        <f t="shared" si="77"/>
        <v>0</v>
      </c>
      <c r="Q157" s="93">
        <f t="shared" si="78"/>
        <v>0</v>
      </c>
    </row>
    <row r="158" spans="1:17" s="3" customFormat="1" x14ac:dyDescent="0.25">
      <c r="A158" s="9" t="s">
        <v>254</v>
      </c>
      <c r="B158" s="10" t="s">
        <v>255</v>
      </c>
      <c r="C158" s="11" t="s">
        <v>18</v>
      </c>
      <c r="D158" s="12">
        <v>11208</v>
      </c>
      <c r="E158" s="142">
        <v>195.01</v>
      </c>
      <c r="F158" s="143">
        <v>2185672.08</v>
      </c>
      <c r="G158" s="20"/>
      <c r="H158" s="17"/>
      <c r="I158" s="20"/>
      <c r="J158" s="17"/>
      <c r="K158" s="20">
        <f>+K157</f>
        <v>195.01</v>
      </c>
      <c r="L158" s="16">
        <f t="shared" si="74"/>
        <v>2185672.08</v>
      </c>
      <c r="M158" s="15">
        <f t="shared" si="79"/>
        <v>195.01</v>
      </c>
      <c r="N158" s="95">
        <f t="shared" si="75"/>
        <v>2185672.08</v>
      </c>
      <c r="O158" s="102">
        <f t="shared" si="76"/>
        <v>1</v>
      </c>
      <c r="P158" s="99">
        <f t="shared" si="77"/>
        <v>0</v>
      </c>
      <c r="Q158" s="93">
        <f t="shared" si="78"/>
        <v>0</v>
      </c>
    </row>
    <row r="159" spans="1:17" s="3" customFormat="1" ht="30" x14ac:dyDescent="0.25">
      <c r="A159" s="9" t="s">
        <v>256</v>
      </c>
      <c r="B159" s="10" t="s">
        <v>257</v>
      </c>
      <c r="C159" s="11" t="s">
        <v>18</v>
      </c>
      <c r="D159" s="12">
        <v>60522.8</v>
      </c>
      <c r="E159" s="142">
        <v>16.940000000000001</v>
      </c>
      <c r="F159" s="143">
        <v>1025256.2320000001</v>
      </c>
      <c r="G159" s="20"/>
      <c r="H159" s="17"/>
      <c r="I159" s="20"/>
      <c r="J159" s="17"/>
      <c r="K159" s="20">
        <v>16.940000000000001</v>
      </c>
      <c r="L159" s="16">
        <f t="shared" si="74"/>
        <v>1025256.2320000001</v>
      </c>
      <c r="M159" s="15">
        <f t="shared" si="79"/>
        <v>16.940000000000001</v>
      </c>
      <c r="N159" s="95">
        <f t="shared" si="75"/>
        <v>1025256.2320000001</v>
      </c>
      <c r="O159" s="102">
        <f t="shared" si="76"/>
        <v>1</v>
      </c>
      <c r="P159" s="99">
        <f t="shared" si="77"/>
        <v>0</v>
      </c>
      <c r="Q159" s="93">
        <f t="shared" si="78"/>
        <v>0</v>
      </c>
    </row>
    <row r="160" spans="1:17" s="3" customFormat="1" x14ac:dyDescent="0.25">
      <c r="A160" s="9" t="s">
        <v>258</v>
      </c>
      <c r="B160" s="10" t="s">
        <v>259</v>
      </c>
      <c r="C160" s="11" t="s">
        <v>21</v>
      </c>
      <c r="D160" s="12">
        <v>122895</v>
      </c>
      <c r="E160" s="142">
        <v>14.4</v>
      </c>
      <c r="F160" s="143">
        <v>1769688</v>
      </c>
      <c r="G160" s="20"/>
      <c r="H160" s="17"/>
      <c r="I160" s="20"/>
      <c r="J160" s="17"/>
      <c r="K160" s="20">
        <v>14.4</v>
      </c>
      <c r="L160" s="16">
        <f t="shared" si="74"/>
        <v>1769688</v>
      </c>
      <c r="M160" s="15">
        <f t="shared" si="79"/>
        <v>14.4</v>
      </c>
      <c r="N160" s="95">
        <f t="shared" si="75"/>
        <v>1769688</v>
      </c>
      <c r="O160" s="102">
        <f t="shared" si="76"/>
        <v>1</v>
      </c>
      <c r="P160" s="99">
        <f t="shared" si="77"/>
        <v>0</v>
      </c>
      <c r="Q160" s="93">
        <f t="shared" si="78"/>
        <v>0</v>
      </c>
    </row>
    <row r="161" spans="1:17" s="3" customFormat="1" x14ac:dyDescent="0.25">
      <c r="A161" s="9" t="s">
        <v>260</v>
      </c>
      <c r="B161" s="10" t="s">
        <v>261</v>
      </c>
      <c r="C161" s="21" t="s">
        <v>21</v>
      </c>
      <c r="D161" s="12">
        <v>78598</v>
      </c>
      <c r="E161" s="142">
        <v>14.48</v>
      </c>
      <c r="F161" s="143">
        <v>1138099.04</v>
      </c>
      <c r="G161" s="20"/>
      <c r="H161" s="17"/>
      <c r="I161" s="20"/>
      <c r="J161" s="17"/>
      <c r="K161" s="20">
        <v>14.48</v>
      </c>
      <c r="L161" s="16">
        <f t="shared" si="74"/>
        <v>1138099.04</v>
      </c>
      <c r="M161" s="15">
        <f t="shared" si="79"/>
        <v>14.48</v>
      </c>
      <c r="N161" s="95">
        <f t="shared" si="75"/>
        <v>1138099.04</v>
      </c>
      <c r="O161" s="102">
        <f t="shared" si="76"/>
        <v>1</v>
      </c>
      <c r="P161" s="99">
        <f t="shared" si="77"/>
        <v>0</v>
      </c>
      <c r="Q161" s="93">
        <f t="shared" si="78"/>
        <v>0</v>
      </c>
    </row>
    <row r="162" spans="1:17" s="3" customFormat="1" ht="49.9" customHeight="1" x14ac:dyDescent="0.25">
      <c r="A162" s="9" t="s">
        <v>262</v>
      </c>
      <c r="B162" s="10" t="s">
        <v>263</v>
      </c>
      <c r="C162" s="11" t="s">
        <v>18</v>
      </c>
      <c r="D162" s="12">
        <v>245060</v>
      </c>
      <c r="E162" s="142">
        <v>14.6</v>
      </c>
      <c r="F162" s="143">
        <v>3577876</v>
      </c>
      <c r="G162" s="20"/>
      <c r="H162" s="17"/>
      <c r="I162" s="20"/>
      <c r="J162" s="17"/>
      <c r="K162" s="20">
        <v>14.6</v>
      </c>
      <c r="L162" s="16">
        <f t="shared" si="74"/>
        <v>3577876</v>
      </c>
      <c r="M162" s="15">
        <f t="shared" si="79"/>
        <v>14.6</v>
      </c>
      <c r="N162" s="95">
        <f t="shared" si="75"/>
        <v>3577876</v>
      </c>
      <c r="O162" s="102">
        <f t="shared" si="76"/>
        <v>1</v>
      </c>
      <c r="P162" s="99">
        <f t="shared" si="77"/>
        <v>0</v>
      </c>
      <c r="Q162" s="93">
        <f t="shared" si="78"/>
        <v>0</v>
      </c>
    </row>
    <row r="163" spans="1:17" s="3" customFormat="1" x14ac:dyDescent="0.25">
      <c r="A163" s="9" t="s">
        <v>264</v>
      </c>
      <c r="B163" s="10" t="s">
        <v>265</v>
      </c>
      <c r="C163" s="11" t="s">
        <v>18</v>
      </c>
      <c r="D163" s="25">
        <v>59477</v>
      </c>
      <c r="E163" s="142">
        <v>94.93</v>
      </c>
      <c r="F163" s="143">
        <v>5646151.6100000003</v>
      </c>
      <c r="G163" s="20"/>
      <c r="H163" s="17"/>
      <c r="I163" s="20"/>
      <c r="J163" s="17"/>
      <c r="K163" s="20">
        <v>94.93</v>
      </c>
      <c r="L163" s="16">
        <f t="shared" si="74"/>
        <v>5646151.6100000003</v>
      </c>
      <c r="M163" s="15">
        <f t="shared" si="79"/>
        <v>94.93</v>
      </c>
      <c r="N163" s="95">
        <f t="shared" si="75"/>
        <v>5646151.6100000003</v>
      </c>
      <c r="O163" s="102">
        <f t="shared" si="76"/>
        <v>1</v>
      </c>
      <c r="P163" s="99">
        <f t="shared" si="77"/>
        <v>0</v>
      </c>
      <c r="Q163" s="93">
        <f t="shared" si="78"/>
        <v>0</v>
      </c>
    </row>
    <row r="164" spans="1:17" s="3" customFormat="1" ht="48.6" customHeight="1" x14ac:dyDescent="0.25">
      <c r="A164" s="9" t="s">
        <v>266</v>
      </c>
      <c r="B164" s="10" t="s">
        <v>267</v>
      </c>
      <c r="C164" s="11" t="s">
        <v>21</v>
      </c>
      <c r="D164" s="25">
        <v>37075.950000000004</v>
      </c>
      <c r="E164" s="142">
        <v>2.66</v>
      </c>
      <c r="F164" s="143">
        <v>98622.027000000016</v>
      </c>
      <c r="G164" s="20"/>
      <c r="H164" s="17"/>
      <c r="I164" s="20"/>
      <c r="J164" s="17"/>
      <c r="K164" s="20">
        <v>2.66</v>
      </c>
      <c r="L164" s="16">
        <f t="shared" si="74"/>
        <v>98622.027000000016</v>
      </c>
      <c r="M164" s="15">
        <f t="shared" si="79"/>
        <v>2.66</v>
      </c>
      <c r="N164" s="95">
        <f t="shared" si="75"/>
        <v>98622.027000000016</v>
      </c>
      <c r="O164" s="102">
        <f t="shared" si="76"/>
        <v>1</v>
      </c>
      <c r="P164" s="99">
        <f t="shared" si="77"/>
        <v>0</v>
      </c>
      <c r="Q164" s="93">
        <f t="shared" si="78"/>
        <v>0</v>
      </c>
    </row>
    <row r="165" spans="1:17" s="34" customFormat="1" ht="58.15" customHeight="1" x14ac:dyDescent="0.25">
      <c r="A165" s="9" t="s">
        <v>268</v>
      </c>
      <c r="B165" s="10" t="s">
        <v>269</v>
      </c>
      <c r="C165" s="11" t="s">
        <v>21</v>
      </c>
      <c r="D165" s="25">
        <v>131093</v>
      </c>
      <c r="E165" s="142">
        <v>70.84</v>
      </c>
      <c r="F165" s="143">
        <v>9286628.120000001</v>
      </c>
      <c r="G165" s="20"/>
      <c r="H165" s="17"/>
      <c r="I165" s="20"/>
      <c r="J165" s="17"/>
      <c r="K165" s="20">
        <v>70.84</v>
      </c>
      <c r="L165" s="17">
        <f t="shared" si="74"/>
        <v>9286628.120000001</v>
      </c>
      <c r="M165" s="15">
        <f t="shared" si="79"/>
        <v>70.84</v>
      </c>
      <c r="N165" s="96">
        <f t="shared" si="75"/>
        <v>9286628.120000001</v>
      </c>
      <c r="O165" s="102">
        <f t="shared" si="76"/>
        <v>1</v>
      </c>
      <c r="P165" s="99">
        <f t="shared" si="77"/>
        <v>0</v>
      </c>
      <c r="Q165" s="93">
        <f t="shared" si="78"/>
        <v>0</v>
      </c>
    </row>
    <row r="166" spans="1:17" s="34" customFormat="1" ht="64.150000000000006" customHeight="1" x14ac:dyDescent="0.25">
      <c r="A166" s="9" t="s">
        <v>270</v>
      </c>
      <c r="B166" s="10" t="s">
        <v>271</v>
      </c>
      <c r="C166" s="11" t="s">
        <v>21</v>
      </c>
      <c r="D166" s="25">
        <v>154046</v>
      </c>
      <c r="E166" s="142">
        <v>72.459999999999994</v>
      </c>
      <c r="F166" s="143">
        <v>11162173.159999998</v>
      </c>
      <c r="G166" s="20"/>
      <c r="H166" s="17"/>
      <c r="I166" s="20"/>
      <c r="J166" s="17"/>
      <c r="K166" s="20">
        <v>72.459999999999994</v>
      </c>
      <c r="L166" s="17">
        <f t="shared" si="74"/>
        <v>11162173.159999998</v>
      </c>
      <c r="M166" s="15">
        <f t="shared" si="79"/>
        <v>72.459999999999994</v>
      </c>
      <c r="N166" s="96">
        <f t="shared" si="75"/>
        <v>11162173.159999998</v>
      </c>
      <c r="O166" s="102">
        <f t="shared" si="76"/>
        <v>1</v>
      </c>
      <c r="P166" s="99">
        <f t="shared" si="77"/>
        <v>0</v>
      </c>
      <c r="Q166" s="93">
        <f t="shared" si="78"/>
        <v>0</v>
      </c>
    </row>
    <row r="167" spans="1:17" s="34" customFormat="1" ht="64.150000000000006" customHeight="1" x14ac:dyDescent="0.25">
      <c r="A167" s="9" t="s">
        <v>272</v>
      </c>
      <c r="B167" s="10" t="s">
        <v>273</v>
      </c>
      <c r="C167" s="11" t="s">
        <v>21</v>
      </c>
      <c r="D167" s="25">
        <v>494601</v>
      </c>
      <c r="E167" s="142">
        <v>2.1</v>
      </c>
      <c r="F167" s="143">
        <v>1038662.1000000001</v>
      </c>
      <c r="G167" s="20"/>
      <c r="H167" s="17"/>
      <c r="I167" s="20"/>
      <c r="J167" s="17"/>
      <c r="K167" s="20">
        <v>2.1</v>
      </c>
      <c r="L167" s="17">
        <f t="shared" si="74"/>
        <v>1038662.1000000001</v>
      </c>
      <c r="M167" s="15">
        <f t="shared" si="79"/>
        <v>2.1</v>
      </c>
      <c r="N167" s="96">
        <f t="shared" si="75"/>
        <v>1038662.1000000001</v>
      </c>
      <c r="O167" s="102">
        <f t="shared" si="76"/>
        <v>1</v>
      </c>
      <c r="P167" s="99">
        <f t="shared" si="77"/>
        <v>0</v>
      </c>
      <c r="Q167" s="93">
        <f t="shared" si="78"/>
        <v>0</v>
      </c>
    </row>
    <row r="168" spans="1:17" s="3" customFormat="1" ht="58.15" customHeight="1" x14ac:dyDescent="0.25">
      <c r="A168" s="9" t="s">
        <v>274</v>
      </c>
      <c r="B168" s="10" t="s">
        <v>275</v>
      </c>
      <c r="C168" s="11" t="s">
        <v>18</v>
      </c>
      <c r="D168" s="25">
        <v>105780</v>
      </c>
      <c r="E168" s="142">
        <v>1.2</v>
      </c>
      <c r="F168" s="143">
        <v>126936</v>
      </c>
      <c r="G168" s="20"/>
      <c r="H168" s="17"/>
      <c r="I168" s="20"/>
      <c r="J168" s="17"/>
      <c r="K168" s="20">
        <v>1.2</v>
      </c>
      <c r="L168" s="16">
        <f t="shared" si="74"/>
        <v>126936</v>
      </c>
      <c r="M168" s="15">
        <f t="shared" si="79"/>
        <v>1.2</v>
      </c>
      <c r="N168" s="95">
        <f t="shared" si="75"/>
        <v>126936</v>
      </c>
      <c r="O168" s="102">
        <f t="shared" si="76"/>
        <v>1</v>
      </c>
      <c r="P168" s="99">
        <f t="shared" si="77"/>
        <v>0</v>
      </c>
      <c r="Q168" s="93">
        <f t="shared" si="78"/>
        <v>0</v>
      </c>
    </row>
    <row r="169" spans="1:17" s="3" customFormat="1" ht="30" x14ac:dyDescent="0.25">
      <c r="A169" s="9" t="s">
        <v>276</v>
      </c>
      <c r="B169" s="10" t="s">
        <v>277</v>
      </c>
      <c r="C169" s="11" t="s">
        <v>21</v>
      </c>
      <c r="D169" s="25">
        <v>166431</v>
      </c>
      <c r="E169" s="142">
        <v>65.58</v>
      </c>
      <c r="F169" s="143">
        <v>10914544.98</v>
      </c>
      <c r="G169" s="20"/>
      <c r="H169" s="17"/>
      <c r="I169" s="20"/>
      <c r="J169" s="17"/>
      <c r="K169" s="20">
        <v>65.58</v>
      </c>
      <c r="L169" s="16">
        <f t="shared" si="74"/>
        <v>10914544.98</v>
      </c>
      <c r="M169" s="15">
        <f t="shared" si="79"/>
        <v>65.58</v>
      </c>
      <c r="N169" s="95">
        <f t="shared" si="75"/>
        <v>10914544.98</v>
      </c>
      <c r="O169" s="102">
        <f t="shared" si="76"/>
        <v>1</v>
      </c>
      <c r="P169" s="99">
        <f t="shared" si="77"/>
        <v>0</v>
      </c>
      <c r="Q169" s="93">
        <f t="shared" si="78"/>
        <v>0</v>
      </c>
    </row>
    <row r="170" spans="1:17" s="3" customFormat="1" ht="45" x14ac:dyDescent="0.25">
      <c r="A170" s="9" t="s">
        <v>278</v>
      </c>
      <c r="B170" s="10" t="s">
        <v>279</v>
      </c>
      <c r="C170" s="11" t="s">
        <v>21</v>
      </c>
      <c r="D170" s="25">
        <v>18290</v>
      </c>
      <c r="E170" s="142">
        <v>217.85999999999999</v>
      </c>
      <c r="F170" s="143">
        <v>3984659.4</v>
      </c>
      <c r="G170" s="20"/>
      <c r="H170" s="17"/>
      <c r="I170" s="20"/>
      <c r="J170" s="17"/>
      <c r="K170" s="20">
        <f>+K167+(K166*2)+K165</f>
        <v>217.85999999999999</v>
      </c>
      <c r="L170" s="16">
        <f t="shared" si="74"/>
        <v>3984659.4</v>
      </c>
      <c r="M170" s="15">
        <f t="shared" si="79"/>
        <v>217.85999999999999</v>
      </c>
      <c r="N170" s="95">
        <f t="shared" si="75"/>
        <v>3984659.4</v>
      </c>
      <c r="O170" s="102">
        <f t="shared" si="76"/>
        <v>1</v>
      </c>
      <c r="P170" s="99">
        <f t="shared" si="77"/>
        <v>0</v>
      </c>
      <c r="Q170" s="93">
        <f t="shared" si="78"/>
        <v>0</v>
      </c>
    </row>
    <row r="171" spans="1:17" s="3" customFormat="1" x14ac:dyDescent="0.25">
      <c r="A171" s="9" t="s">
        <v>280</v>
      </c>
      <c r="B171" s="10" t="s">
        <v>281</v>
      </c>
      <c r="C171" s="11" t="s">
        <v>282</v>
      </c>
      <c r="D171" s="25">
        <v>9252</v>
      </c>
      <c r="E171" s="142">
        <v>133.65024600000001</v>
      </c>
      <c r="F171" s="143">
        <v>1236532.0759920001</v>
      </c>
      <c r="G171" s="20"/>
      <c r="H171" s="17"/>
      <c r="I171" s="20"/>
      <c r="J171" s="17"/>
      <c r="K171" s="20">
        <v>133.65024600000001</v>
      </c>
      <c r="L171" s="16">
        <f t="shared" si="74"/>
        <v>1236532.0759920001</v>
      </c>
      <c r="M171" s="15">
        <f t="shared" si="79"/>
        <v>133.65024600000001</v>
      </c>
      <c r="N171" s="95">
        <f t="shared" si="75"/>
        <v>1236532.0759920001</v>
      </c>
      <c r="O171" s="102">
        <f t="shared" si="76"/>
        <v>1</v>
      </c>
      <c r="P171" s="99">
        <f t="shared" si="77"/>
        <v>0</v>
      </c>
      <c r="Q171" s="93">
        <f t="shared" si="78"/>
        <v>0</v>
      </c>
    </row>
    <row r="172" spans="1:17" s="3" customFormat="1" x14ac:dyDescent="0.25">
      <c r="A172" s="9" t="s">
        <v>283</v>
      </c>
      <c r="B172" s="10" t="s">
        <v>284</v>
      </c>
      <c r="C172" s="11" t="s">
        <v>28</v>
      </c>
      <c r="D172" s="25">
        <v>120000</v>
      </c>
      <c r="E172" s="142">
        <v>1</v>
      </c>
      <c r="F172" s="143">
        <v>120000</v>
      </c>
      <c r="G172" s="20"/>
      <c r="H172" s="17"/>
      <c r="I172" s="20"/>
      <c r="J172" s="17"/>
      <c r="K172" s="20">
        <v>1</v>
      </c>
      <c r="L172" s="16">
        <f t="shared" si="74"/>
        <v>120000</v>
      </c>
      <c r="M172" s="15">
        <f t="shared" si="79"/>
        <v>1</v>
      </c>
      <c r="N172" s="95">
        <f t="shared" si="75"/>
        <v>120000</v>
      </c>
      <c r="O172" s="102">
        <f t="shared" si="76"/>
        <v>1</v>
      </c>
      <c r="P172" s="99">
        <f t="shared" si="77"/>
        <v>0</v>
      </c>
      <c r="Q172" s="93">
        <f t="shared" si="78"/>
        <v>0</v>
      </c>
    </row>
    <row r="173" spans="1:17" s="3" customFormat="1" ht="30" x14ac:dyDescent="0.25">
      <c r="A173" s="9" t="s">
        <v>285</v>
      </c>
      <c r="B173" s="10" t="s">
        <v>286</v>
      </c>
      <c r="C173" s="11" t="s">
        <v>18</v>
      </c>
      <c r="D173" s="25">
        <v>803911.11111111112</v>
      </c>
      <c r="E173" s="142">
        <v>14.6</v>
      </c>
      <c r="F173" s="143">
        <v>11737102.222222222</v>
      </c>
      <c r="G173" s="20"/>
      <c r="H173" s="17"/>
      <c r="I173" s="20"/>
      <c r="J173" s="17"/>
      <c r="K173" s="20">
        <f>+K162</f>
        <v>14.6</v>
      </c>
      <c r="L173" s="16">
        <f t="shared" si="74"/>
        <v>11737102.222222222</v>
      </c>
      <c r="M173" s="15">
        <f t="shared" si="79"/>
        <v>14.6</v>
      </c>
      <c r="N173" s="95">
        <f t="shared" si="75"/>
        <v>11737102.222222222</v>
      </c>
      <c r="O173" s="102">
        <f t="shared" si="76"/>
        <v>1</v>
      </c>
      <c r="P173" s="99">
        <f t="shared" si="77"/>
        <v>0</v>
      </c>
      <c r="Q173" s="93">
        <f t="shared" si="78"/>
        <v>0</v>
      </c>
    </row>
    <row r="174" spans="1:17" s="34" customFormat="1" ht="45" x14ac:dyDescent="0.25">
      <c r="A174" s="9" t="s">
        <v>287</v>
      </c>
      <c r="B174" s="18" t="s">
        <v>288</v>
      </c>
      <c r="C174" s="11" t="s">
        <v>28</v>
      </c>
      <c r="D174" s="25">
        <v>4423397</v>
      </c>
      <c r="E174" s="142">
        <v>4</v>
      </c>
      <c r="F174" s="143">
        <v>17693588</v>
      </c>
      <c r="G174" s="20"/>
      <c r="H174" s="17"/>
      <c r="I174" s="20"/>
      <c r="J174" s="17"/>
      <c r="K174" s="20">
        <v>4</v>
      </c>
      <c r="L174" s="17">
        <f t="shared" si="74"/>
        <v>17693588</v>
      </c>
      <c r="M174" s="15">
        <f t="shared" si="79"/>
        <v>4</v>
      </c>
      <c r="N174" s="96">
        <f t="shared" si="75"/>
        <v>17693588</v>
      </c>
      <c r="O174" s="102">
        <f t="shared" si="76"/>
        <v>1</v>
      </c>
      <c r="P174" s="99">
        <f t="shared" si="77"/>
        <v>0</v>
      </c>
      <c r="Q174" s="93">
        <f t="shared" si="78"/>
        <v>0</v>
      </c>
    </row>
    <row r="175" spans="1:17" s="3" customFormat="1" x14ac:dyDescent="0.25">
      <c r="A175" s="9" t="s">
        <v>289</v>
      </c>
      <c r="B175" s="18" t="s">
        <v>290</v>
      </c>
      <c r="C175" s="11" t="s">
        <v>28</v>
      </c>
      <c r="D175" s="25">
        <v>7885102</v>
      </c>
      <c r="E175" s="142">
        <v>3</v>
      </c>
      <c r="F175" s="143">
        <v>23655306</v>
      </c>
      <c r="G175" s="20"/>
      <c r="H175" s="17"/>
      <c r="I175" s="20"/>
      <c r="J175" s="17"/>
      <c r="K175" s="20">
        <v>3</v>
      </c>
      <c r="L175" s="16">
        <f t="shared" si="74"/>
        <v>23655306</v>
      </c>
      <c r="M175" s="15">
        <f t="shared" si="79"/>
        <v>3</v>
      </c>
      <c r="N175" s="95">
        <f t="shared" si="75"/>
        <v>23655306</v>
      </c>
      <c r="O175" s="102">
        <f t="shared" si="76"/>
        <v>1</v>
      </c>
      <c r="P175" s="99">
        <f t="shared" si="77"/>
        <v>0</v>
      </c>
      <c r="Q175" s="93">
        <f t="shared" si="78"/>
        <v>0</v>
      </c>
    </row>
    <row r="176" spans="1:17" s="3" customFormat="1" ht="30" x14ac:dyDescent="0.25">
      <c r="A176" s="9" t="s">
        <v>291</v>
      </c>
      <c r="B176" s="18" t="s">
        <v>292</v>
      </c>
      <c r="C176" s="11" t="s">
        <v>28</v>
      </c>
      <c r="D176" s="25">
        <v>4710332</v>
      </c>
      <c r="E176" s="142">
        <v>1</v>
      </c>
      <c r="F176" s="143">
        <v>4710332</v>
      </c>
      <c r="G176" s="20"/>
      <c r="H176" s="17"/>
      <c r="I176" s="20"/>
      <c r="J176" s="17"/>
      <c r="K176" s="20">
        <v>1</v>
      </c>
      <c r="L176" s="16">
        <f t="shared" si="74"/>
        <v>4710332</v>
      </c>
      <c r="M176" s="15">
        <f t="shared" si="79"/>
        <v>1</v>
      </c>
      <c r="N176" s="95">
        <f t="shared" si="75"/>
        <v>4710332</v>
      </c>
      <c r="O176" s="102">
        <f t="shared" si="76"/>
        <v>1</v>
      </c>
      <c r="P176" s="99">
        <f t="shared" si="77"/>
        <v>0</v>
      </c>
      <c r="Q176" s="93">
        <f t="shared" si="78"/>
        <v>0</v>
      </c>
    </row>
    <row r="177" spans="1:21" s="3" customFormat="1" ht="30" x14ac:dyDescent="0.25">
      <c r="A177" s="9" t="s">
        <v>293</v>
      </c>
      <c r="B177" s="18" t="s">
        <v>294</v>
      </c>
      <c r="C177" s="11" t="s">
        <v>21</v>
      </c>
      <c r="D177" s="25">
        <v>495320</v>
      </c>
      <c r="E177" s="142">
        <v>3.48</v>
      </c>
      <c r="F177" s="143">
        <v>1723713.6</v>
      </c>
      <c r="G177" s="20"/>
      <c r="H177" s="17"/>
      <c r="I177" s="20"/>
      <c r="J177" s="17"/>
      <c r="K177" s="20">
        <v>3.48</v>
      </c>
      <c r="L177" s="16">
        <f t="shared" si="74"/>
        <v>1723713.6</v>
      </c>
      <c r="M177" s="15">
        <f t="shared" si="79"/>
        <v>3.48</v>
      </c>
      <c r="N177" s="95">
        <f t="shared" si="75"/>
        <v>1723713.6</v>
      </c>
      <c r="O177" s="102">
        <f t="shared" si="76"/>
        <v>1</v>
      </c>
      <c r="P177" s="99">
        <f t="shared" si="77"/>
        <v>0</v>
      </c>
      <c r="Q177" s="93">
        <f t="shared" si="78"/>
        <v>0</v>
      </c>
    </row>
    <row r="178" spans="1:21" s="3" customFormat="1" ht="30" customHeight="1" x14ac:dyDescent="0.25">
      <c r="A178" s="9" t="s">
        <v>295</v>
      </c>
      <c r="B178" s="18" t="s">
        <v>296</v>
      </c>
      <c r="C178" s="11" t="s">
        <v>28</v>
      </c>
      <c r="D178" s="25">
        <v>1395740</v>
      </c>
      <c r="E178" s="142">
        <v>1</v>
      </c>
      <c r="F178" s="143">
        <v>1395740</v>
      </c>
      <c r="G178" s="20"/>
      <c r="H178" s="17"/>
      <c r="I178" s="20"/>
      <c r="J178" s="17"/>
      <c r="K178" s="20">
        <v>1</v>
      </c>
      <c r="L178" s="16">
        <f t="shared" si="74"/>
        <v>1395740</v>
      </c>
      <c r="M178" s="15">
        <f t="shared" si="79"/>
        <v>1</v>
      </c>
      <c r="N178" s="95">
        <f t="shared" si="75"/>
        <v>1395740</v>
      </c>
      <c r="O178" s="102">
        <f t="shared" si="76"/>
        <v>1</v>
      </c>
      <c r="P178" s="99">
        <f t="shared" si="77"/>
        <v>0</v>
      </c>
      <c r="Q178" s="93">
        <f t="shared" si="78"/>
        <v>0</v>
      </c>
    </row>
    <row r="179" spans="1:21" s="3" customFormat="1" ht="65.25" customHeight="1" x14ac:dyDescent="0.25">
      <c r="A179" s="9" t="s">
        <v>297</v>
      </c>
      <c r="B179" s="18" t="s">
        <v>298</v>
      </c>
      <c r="C179" s="11" t="s">
        <v>28</v>
      </c>
      <c r="D179" s="25">
        <v>1866400</v>
      </c>
      <c r="E179" s="142">
        <v>10</v>
      </c>
      <c r="F179" s="143">
        <v>18664000</v>
      </c>
      <c r="G179" s="20"/>
      <c r="H179" s="17"/>
      <c r="I179" s="20"/>
      <c r="J179" s="17"/>
      <c r="K179" s="20">
        <v>10</v>
      </c>
      <c r="L179" s="16">
        <f t="shared" si="74"/>
        <v>18664000</v>
      </c>
      <c r="M179" s="15">
        <f t="shared" si="79"/>
        <v>10</v>
      </c>
      <c r="N179" s="95">
        <f t="shared" si="75"/>
        <v>18664000</v>
      </c>
      <c r="O179" s="102">
        <f t="shared" si="76"/>
        <v>1</v>
      </c>
      <c r="P179" s="99">
        <f t="shared" si="77"/>
        <v>0</v>
      </c>
      <c r="Q179" s="93">
        <f t="shared" si="78"/>
        <v>0</v>
      </c>
    </row>
    <row r="180" spans="1:21" s="34" customFormat="1" ht="48" customHeight="1" x14ac:dyDescent="0.25">
      <c r="A180" s="9" t="s">
        <v>299</v>
      </c>
      <c r="B180" s="18" t="s">
        <v>300</v>
      </c>
      <c r="C180" s="11" t="s">
        <v>28</v>
      </c>
      <c r="D180" s="25">
        <v>1895150</v>
      </c>
      <c r="E180" s="142">
        <v>1</v>
      </c>
      <c r="F180" s="143">
        <v>1895150</v>
      </c>
      <c r="G180" s="20"/>
      <c r="H180" s="17"/>
      <c r="I180" s="20"/>
      <c r="J180" s="17"/>
      <c r="K180" s="20">
        <v>1</v>
      </c>
      <c r="L180" s="17">
        <f t="shared" si="74"/>
        <v>1895150</v>
      </c>
      <c r="M180" s="15">
        <f t="shared" si="79"/>
        <v>1</v>
      </c>
      <c r="N180" s="96">
        <f t="shared" si="75"/>
        <v>1895150</v>
      </c>
      <c r="O180" s="102">
        <f t="shared" si="76"/>
        <v>1</v>
      </c>
      <c r="P180" s="99">
        <f t="shared" si="77"/>
        <v>0</v>
      </c>
      <c r="Q180" s="93">
        <f t="shared" si="78"/>
        <v>0</v>
      </c>
    </row>
    <row r="181" spans="1:21" s="34" customFormat="1" ht="48" customHeight="1" x14ac:dyDescent="0.25">
      <c r="A181" s="9" t="s">
        <v>301</v>
      </c>
      <c r="B181" s="18" t="s">
        <v>302</v>
      </c>
      <c r="C181" s="11" t="s">
        <v>28</v>
      </c>
      <c r="D181" s="25">
        <v>2458330</v>
      </c>
      <c r="E181" s="142">
        <v>1</v>
      </c>
      <c r="F181" s="143">
        <v>2458330</v>
      </c>
      <c r="G181" s="20"/>
      <c r="H181" s="17"/>
      <c r="I181" s="20"/>
      <c r="J181" s="17"/>
      <c r="K181" s="20">
        <v>1</v>
      </c>
      <c r="L181" s="17">
        <f t="shared" si="74"/>
        <v>2458330</v>
      </c>
      <c r="M181" s="15">
        <f t="shared" si="79"/>
        <v>1</v>
      </c>
      <c r="N181" s="96">
        <f t="shared" si="75"/>
        <v>2458330</v>
      </c>
      <c r="O181" s="102">
        <f t="shared" si="76"/>
        <v>1</v>
      </c>
      <c r="P181" s="99">
        <f t="shared" si="77"/>
        <v>0</v>
      </c>
      <c r="Q181" s="93">
        <f t="shared" si="78"/>
        <v>0</v>
      </c>
    </row>
    <row r="182" spans="1:21" s="34" customFormat="1" ht="48" customHeight="1" x14ac:dyDescent="0.25">
      <c r="A182" s="9" t="s">
        <v>303</v>
      </c>
      <c r="B182" s="18" t="s">
        <v>304</v>
      </c>
      <c r="C182" s="11" t="s">
        <v>28</v>
      </c>
      <c r="D182" s="25">
        <v>1196005</v>
      </c>
      <c r="E182" s="142">
        <v>1</v>
      </c>
      <c r="F182" s="143">
        <v>1196005</v>
      </c>
      <c r="G182" s="20"/>
      <c r="H182" s="17"/>
      <c r="I182" s="20"/>
      <c r="J182" s="17"/>
      <c r="K182" s="20">
        <v>1</v>
      </c>
      <c r="L182" s="17">
        <f t="shared" si="74"/>
        <v>1196005</v>
      </c>
      <c r="M182" s="15">
        <f t="shared" si="79"/>
        <v>1</v>
      </c>
      <c r="N182" s="96">
        <f t="shared" si="75"/>
        <v>1196005</v>
      </c>
      <c r="O182" s="102">
        <f t="shared" si="76"/>
        <v>1</v>
      </c>
      <c r="P182" s="99">
        <f t="shared" si="77"/>
        <v>0</v>
      </c>
      <c r="Q182" s="93">
        <f t="shared" si="78"/>
        <v>0</v>
      </c>
    </row>
    <row r="183" spans="1:21" s="3" customFormat="1" x14ac:dyDescent="0.25">
      <c r="A183" s="9" t="s">
        <v>305</v>
      </c>
      <c r="B183" s="10" t="s">
        <v>306</v>
      </c>
      <c r="C183" s="11" t="s">
        <v>28</v>
      </c>
      <c r="D183" s="12">
        <v>1486000</v>
      </c>
      <c r="E183" s="142">
        <v>1</v>
      </c>
      <c r="F183" s="143">
        <v>1486000</v>
      </c>
      <c r="G183" s="20"/>
      <c r="H183" s="17"/>
      <c r="I183" s="20"/>
      <c r="J183" s="17"/>
      <c r="K183" s="20">
        <v>1</v>
      </c>
      <c r="L183" s="16">
        <f t="shared" si="74"/>
        <v>1486000</v>
      </c>
      <c r="M183" s="15">
        <f t="shared" si="79"/>
        <v>1</v>
      </c>
      <c r="N183" s="95">
        <f t="shared" si="75"/>
        <v>1486000</v>
      </c>
      <c r="O183" s="102">
        <f t="shared" si="76"/>
        <v>1</v>
      </c>
      <c r="P183" s="99">
        <f t="shared" si="77"/>
        <v>0</v>
      </c>
      <c r="Q183" s="93">
        <f t="shared" si="78"/>
        <v>0</v>
      </c>
    </row>
    <row r="184" spans="1:21" s="3" customFormat="1" x14ac:dyDescent="0.25">
      <c r="A184" s="9" t="s">
        <v>307</v>
      </c>
      <c r="B184" s="10" t="s">
        <v>308</v>
      </c>
      <c r="C184" s="11" t="s">
        <v>18</v>
      </c>
      <c r="D184" s="12">
        <v>89978</v>
      </c>
      <c r="E184" s="142">
        <v>12</v>
      </c>
      <c r="F184" s="143">
        <v>1079736</v>
      </c>
      <c r="G184" s="20"/>
      <c r="H184" s="17"/>
      <c r="I184" s="20"/>
      <c r="J184" s="17"/>
      <c r="K184" s="20">
        <v>12</v>
      </c>
      <c r="L184" s="16">
        <f t="shared" si="74"/>
        <v>1079736</v>
      </c>
      <c r="M184" s="15">
        <f t="shared" si="79"/>
        <v>12</v>
      </c>
      <c r="N184" s="95">
        <f t="shared" si="75"/>
        <v>1079736</v>
      </c>
      <c r="O184" s="102">
        <f t="shared" si="76"/>
        <v>1</v>
      </c>
      <c r="P184" s="99">
        <f t="shared" si="77"/>
        <v>0</v>
      </c>
      <c r="Q184" s="93">
        <f t="shared" si="78"/>
        <v>0</v>
      </c>
    </row>
    <row r="185" spans="1:21" s="3" customFormat="1" ht="15.75" thickBot="1" x14ac:dyDescent="0.3">
      <c r="A185" s="9" t="s">
        <v>309</v>
      </c>
      <c r="B185" s="10" t="s">
        <v>310</v>
      </c>
      <c r="C185" s="11" t="s">
        <v>28</v>
      </c>
      <c r="D185" s="12">
        <v>158073.75</v>
      </c>
      <c r="E185" s="142">
        <v>9</v>
      </c>
      <c r="F185" s="143">
        <v>1422663.75</v>
      </c>
      <c r="G185" s="20"/>
      <c r="H185" s="17"/>
      <c r="I185" s="20"/>
      <c r="J185" s="17"/>
      <c r="K185" s="20">
        <v>9</v>
      </c>
      <c r="L185" s="16">
        <f t="shared" si="74"/>
        <v>1422663.75</v>
      </c>
      <c r="M185" s="49">
        <f t="shared" si="79"/>
        <v>9</v>
      </c>
      <c r="N185" s="98">
        <f t="shared" si="75"/>
        <v>1422663.75</v>
      </c>
      <c r="O185" s="103">
        <f t="shared" si="76"/>
        <v>1</v>
      </c>
      <c r="P185" s="101">
        <f t="shared" si="77"/>
        <v>0</v>
      </c>
      <c r="Q185" s="94">
        <f t="shared" si="78"/>
        <v>0</v>
      </c>
    </row>
    <row r="186" spans="1:21" s="3" customFormat="1" ht="22.9" customHeight="1" x14ac:dyDescent="0.25">
      <c r="A186" s="1"/>
      <c r="B186" s="2"/>
      <c r="C186" s="236" t="s">
        <v>311</v>
      </c>
      <c r="D186" s="237"/>
      <c r="E186" s="238"/>
      <c r="F186" s="150">
        <f>+F7+F12+F29+F39+F42+F47+F51+F67+F79+F96+F108+F112+F117+F118+F119+F121+F126+F129+F134+F136+F137+F139</f>
        <v>498069247.82759994</v>
      </c>
      <c r="G186" s="151" t="s">
        <v>312</v>
      </c>
      <c r="H186" s="152">
        <f>SUM(H8:H185)</f>
        <v>137258197.58504999</v>
      </c>
      <c r="I186" s="151" t="s">
        <v>312</v>
      </c>
      <c r="J186" s="152">
        <f>SUM(J8:J185)</f>
        <v>187692013.49429998</v>
      </c>
      <c r="K186" s="151" t="s">
        <v>312</v>
      </c>
      <c r="L186" s="152">
        <f>SUM(L8:L185)</f>
        <v>173119037.51721421</v>
      </c>
      <c r="M186" s="151" t="s">
        <v>312</v>
      </c>
      <c r="N186" s="152">
        <f>+N7+N12+N29+N39+N42+N47+N51+N67+N79+N96+N108+N112+N117+N118+N119+N121+N126+N129+N134+N136+N137+N139+N141</f>
        <v>498069248.59656417</v>
      </c>
      <c r="O186" s="5"/>
      <c r="P186" s="65"/>
      <c r="Q186" s="5"/>
    </row>
    <row r="187" spans="1:21" ht="22.9" customHeight="1" x14ac:dyDescent="0.25">
      <c r="C187" s="230" t="s">
        <v>346</v>
      </c>
      <c r="D187" s="231"/>
      <c r="E187" s="232"/>
      <c r="F187" s="153">
        <f>+F186*0.25</f>
        <v>124517311.95689999</v>
      </c>
      <c r="G187" s="154" t="s">
        <v>313</v>
      </c>
      <c r="H187" s="155">
        <f>+H186*0.25</f>
        <v>34314549.396262497</v>
      </c>
      <c r="I187" s="154" t="s">
        <v>313</v>
      </c>
      <c r="J187" s="155">
        <f>+J186*0.25</f>
        <v>46923003.373574995</v>
      </c>
      <c r="K187" s="154" t="s">
        <v>313</v>
      </c>
      <c r="L187" s="155">
        <f>+L186*0.25</f>
        <v>43279759.379303552</v>
      </c>
      <c r="M187" s="154" t="s">
        <v>344</v>
      </c>
      <c r="N187" s="155">
        <f>+N186*0.25</f>
        <v>124517312.14914104</v>
      </c>
      <c r="P187" s="64"/>
      <c r="Q187" s="5"/>
      <c r="R187" s="3"/>
      <c r="S187" s="3"/>
      <c r="T187" s="3"/>
      <c r="U187" s="3"/>
    </row>
    <row r="188" spans="1:21" ht="22.9" customHeight="1" x14ac:dyDescent="0.25">
      <c r="C188" s="230" t="s">
        <v>347</v>
      </c>
      <c r="D188" s="231"/>
      <c r="E188" s="232"/>
      <c r="F188" s="153">
        <f>+F186*0.05</f>
        <v>24903462.391379997</v>
      </c>
      <c r="G188" s="154" t="s">
        <v>314</v>
      </c>
      <c r="H188" s="155">
        <f>+H186*0.05</f>
        <v>6862909.8792524999</v>
      </c>
      <c r="I188" s="154" t="s">
        <v>314</v>
      </c>
      <c r="J188" s="155">
        <f>+J186*0.05</f>
        <v>9384600.6747149993</v>
      </c>
      <c r="K188" s="154" t="s">
        <v>314</v>
      </c>
      <c r="L188" s="155">
        <f>+L186*0.05</f>
        <v>8655951.8758607116</v>
      </c>
      <c r="M188" s="154" t="s">
        <v>345</v>
      </c>
      <c r="N188" s="155">
        <f>+N186*0.05</f>
        <v>24903462.429828212</v>
      </c>
      <c r="P188" s="64"/>
      <c r="Q188" s="5"/>
      <c r="R188" s="3"/>
      <c r="S188" s="3"/>
      <c r="T188" s="3"/>
      <c r="U188" s="3"/>
    </row>
    <row r="189" spans="1:21" ht="22.9" customHeight="1" thickBot="1" x14ac:dyDescent="0.3">
      <c r="B189" s="66"/>
      <c r="C189" s="233" t="s">
        <v>315</v>
      </c>
      <c r="D189" s="234"/>
      <c r="E189" s="235"/>
      <c r="F189" s="156">
        <f>+F186+F187+F188+1</f>
        <v>647490023.17587984</v>
      </c>
      <c r="G189" s="157" t="s">
        <v>315</v>
      </c>
      <c r="H189" s="158">
        <f>+H186+H187+H188</f>
        <v>178435656.86056498</v>
      </c>
      <c r="I189" s="157" t="s">
        <v>315</v>
      </c>
      <c r="J189" s="158">
        <f>+J186+J187+J188</f>
        <v>243999617.54258999</v>
      </c>
      <c r="K189" s="157" t="s">
        <v>315</v>
      </c>
      <c r="L189" s="158">
        <f>+L186+L187+L188</f>
        <v>225054748.77237847</v>
      </c>
      <c r="M189" s="157" t="s">
        <v>315</v>
      </c>
      <c r="N189" s="158">
        <f>+N186+N187+N188</f>
        <v>647490023.17553341</v>
      </c>
      <c r="P189" s="67"/>
      <c r="Q189" s="5"/>
      <c r="R189" s="3"/>
      <c r="S189" s="3"/>
      <c r="T189" s="3"/>
      <c r="U189" s="3"/>
    </row>
    <row r="190" spans="1:21" ht="22.9" customHeight="1" x14ac:dyDescent="0.25">
      <c r="B190" s="68"/>
      <c r="C190" s="68"/>
      <c r="D190" s="69"/>
      <c r="E190" s="68"/>
      <c r="F190" s="70"/>
      <c r="G190" s="68"/>
      <c r="H190" s="71"/>
      <c r="I190" s="68"/>
      <c r="J190" s="71"/>
      <c r="K190" s="68"/>
      <c r="L190" s="71"/>
      <c r="M190" s="68"/>
      <c r="N190" s="71"/>
      <c r="Q190" s="5"/>
      <c r="R190" s="3"/>
      <c r="S190" s="3"/>
      <c r="T190" s="3"/>
      <c r="U190" s="3"/>
    </row>
    <row r="191" spans="1:21" ht="41.45" customHeight="1" x14ac:dyDescent="0.25">
      <c r="B191" s="72"/>
      <c r="C191"/>
      <c r="D191" s="73"/>
      <c r="E191" s="72"/>
      <c r="F191" s="73"/>
      <c r="G191" s="72"/>
      <c r="H191" s="71"/>
      <c r="I191" s="72"/>
      <c r="J191" s="71"/>
      <c r="K191" s="72"/>
      <c r="L191" s="71"/>
      <c r="M191" s="72"/>
      <c r="N191" s="74"/>
    </row>
    <row r="192" spans="1:21" ht="15.75" thickBot="1" x14ac:dyDescent="0.3">
      <c r="B192" s="169"/>
      <c r="C192" s="75"/>
      <c r="D192" s="76"/>
      <c r="E192" s="75"/>
      <c r="F192" s="170"/>
      <c r="G192" s="75"/>
      <c r="H192" s="77"/>
      <c r="I192" s="75"/>
      <c r="J192" s="77"/>
      <c r="K192" s="75"/>
      <c r="L192" s="77"/>
      <c r="M192" s="75"/>
      <c r="N192" s="77"/>
      <c r="O192" s="159"/>
    </row>
    <row r="193" spans="1:17" s="85" customFormat="1" x14ac:dyDescent="0.25">
      <c r="A193" s="78"/>
      <c r="B193" s="79"/>
      <c r="C193" s="80"/>
      <c r="D193" s="81" t="s">
        <v>348</v>
      </c>
      <c r="E193" s="81"/>
      <c r="F193" s="82"/>
      <c r="G193" s="83"/>
      <c r="H193" s="84"/>
      <c r="I193" s="83"/>
      <c r="J193" s="84"/>
      <c r="K193" s="83"/>
      <c r="L193" s="84"/>
      <c r="M193" s="83" t="s">
        <v>350</v>
      </c>
      <c r="N193" s="83"/>
      <c r="O193" s="84"/>
      <c r="P193" s="92"/>
      <c r="Q193" s="92"/>
    </row>
    <row r="194" spans="1:17" x14ac:dyDescent="0.25">
      <c r="B194" s="86"/>
      <c r="D194" s="87" t="s">
        <v>316</v>
      </c>
      <c r="E194" s="87"/>
      <c r="F194" s="88"/>
      <c r="G194" s="250"/>
      <c r="H194" s="250"/>
      <c r="I194" s="2"/>
      <c r="J194" s="2"/>
      <c r="K194" s="2"/>
      <c r="L194" s="2"/>
      <c r="M194" s="250" t="s">
        <v>317</v>
      </c>
      <c r="N194" s="250"/>
      <c r="O194" s="250"/>
    </row>
    <row r="195" spans="1:17" x14ac:dyDescent="0.25">
      <c r="D195" s="88" t="s">
        <v>349</v>
      </c>
      <c r="E195" s="88"/>
      <c r="F195" s="88"/>
      <c r="G195" s="250"/>
      <c r="H195" s="250"/>
      <c r="I195" s="2"/>
      <c r="J195" s="2"/>
      <c r="K195" s="2"/>
      <c r="L195" s="2"/>
      <c r="M195" s="250" t="s">
        <v>318</v>
      </c>
      <c r="N195" s="250"/>
      <c r="O195" s="250"/>
    </row>
    <row r="196" spans="1:17" x14ac:dyDescent="0.25">
      <c r="F196" s="89"/>
      <c r="H196" s="7"/>
      <c r="J196" s="7"/>
      <c r="L196" s="7"/>
      <c r="N196" s="7"/>
    </row>
    <row r="197" spans="1:17" x14ac:dyDescent="0.25">
      <c r="B197" s="4"/>
      <c r="C197" s="7"/>
      <c r="D197" s="90"/>
      <c r="F197" s="7"/>
      <c r="G197" s="2"/>
      <c r="H197" s="2"/>
      <c r="I197" s="2"/>
      <c r="J197" s="2"/>
      <c r="K197" s="2"/>
      <c r="L197" s="2"/>
      <c r="M197" s="2"/>
      <c r="N197" s="2"/>
    </row>
    <row r="198" spans="1:17" x14ac:dyDescent="0.25">
      <c r="B198" s="4"/>
      <c r="C198" s="7"/>
      <c r="D198" s="90"/>
      <c r="F198" s="7"/>
      <c r="G198" s="2"/>
      <c r="H198" s="2"/>
      <c r="I198" s="2"/>
      <c r="J198" s="2"/>
      <c r="K198" s="2"/>
      <c r="L198" s="2"/>
      <c r="M198" s="2"/>
      <c r="N198" s="2"/>
    </row>
    <row r="199" spans="1:17" x14ac:dyDescent="0.25">
      <c r="B199" s="4"/>
      <c r="C199" s="6"/>
      <c r="D199" s="90"/>
      <c r="F199" s="6"/>
      <c r="G199" s="2"/>
      <c r="H199" s="2"/>
      <c r="I199" s="2"/>
      <c r="J199" s="2"/>
      <c r="K199" s="2"/>
      <c r="L199" s="2"/>
      <c r="M199" s="2"/>
      <c r="N199" s="2"/>
    </row>
    <row r="200" spans="1:17" x14ac:dyDescent="0.25">
      <c r="B200" s="4"/>
      <c r="C200" s="6"/>
      <c r="D200" s="90"/>
      <c r="F200" s="6"/>
      <c r="G200" s="2"/>
      <c r="H200" s="2"/>
      <c r="I200" s="2"/>
      <c r="J200" s="2"/>
      <c r="K200" s="2"/>
      <c r="L200" s="2"/>
      <c r="M200" s="2"/>
      <c r="N200" s="2"/>
    </row>
    <row r="201" spans="1:17" x14ac:dyDescent="0.25">
      <c r="B201" s="4"/>
      <c r="C201" s="6"/>
      <c r="D201" s="90"/>
      <c r="F201" s="6"/>
      <c r="G201" s="2"/>
      <c r="H201" s="2"/>
      <c r="I201" s="2"/>
      <c r="J201" s="2"/>
      <c r="K201" s="2"/>
      <c r="L201" s="2"/>
      <c r="M201" s="2"/>
      <c r="N201" s="2"/>
    </row>
    <row r="202" spans="1:17" x14ac:dyDescent="0.25">
      <c r="B202" s="4"/>
      <c r="C202" s="6"/>
      <c r="F202" s="6"/>
      <c r="G202" s="2"/>
      <c r="H202" s="2"/>
      <c r="I202" s="2"/>
      <c r="J202" s="2"/>
      <c r="K202" s="2"/>
      <c r="L202" s="2"/>
      <c r="M202" s="2"/>
      <c r="N202" s="2"/>
    </row>
    <row r="203" spans="1:17" x14ac:dyDescent="0.25">
      <c r="B203" s="4"/>
      <c r="C203" s="6"/>
      <c r="F203" s="6"/>
      <c r="G203" s="2"/>
      <c r="H203" s="2"/>
      <c r="I203" s="2"/>
      <c r="J203" s="2"/>
      <c r="K203" s="2"/>
      <c r="L203" s="2"/>
      <c r="M203" s="2"/>
      <c r="N203" s="2"/>
    </row>
  </sheetData>
  <autoFilter ref="M4:Q189" xr:uid="{B8A7A0B5-4C9F-4E4D-9FBF-16CCD0717A09}"/>
  <mergeCells count="32">
    <mergeCell ref="G1:Q3"/>
    <mergeCell ref="M194:O194"/>
    <mergeCell ref="M195:O195"/>
    <mergeCell ref="G194:H194"/>
    <mergeCell ref="G195:H195"/>
    <mergeCell ref="P4:P5"/>
    <mergeCell ref="Q4:Q5"/>
    <mergeCell ref="P6:Q6"/>
    <mergeCell ref="O4:O5"/>
    <mergeCell ref="M6:O6"/>
    <mergeCell ref="K4:K5"/>
    <mergeCell ref="L4:L5"/>
    <mergeCell ref="M4:M5"/>
    <mergeCell ref="N4:N5"/>
    <mergeCell ref="H4:H5"/>
    <mergeCell ref="I4:I5"/>
    <mergeCell ref="J4:J5"/>
    <mergeCell ref="C187:E187"/>
    <mergeCell ref="C188:E188"/>
    <mergeCell ref="C189:E189"/>
    <mergeCell ref="C186:E186"/>
    <mergeCell ref="G4:G5"/>
    <mergeCell ref="A1:B1"/>
    <mergeCell ref="C1:F3"/>
    <mergeCell ref="A2:B2"/>
    <mergeCell ref="A3:B3"/>
    <mergeCell ref="A4:A5"/>
    <mergeCell ref="B4:B5"/>
    <mergeCell ref="C4:C5"/>
    <mergeCell ref="D4:D5"/>
    <mergeCell ref="E4:E5"/>
    <mergeCell ref="F4:F5"/>
  </mergeCells>
  <printOptions horizontalCentered="1"/>
  <pageMargins left="0.19685039370078741" right="0.19685039370078741" top="0.55118110236220474" bottom="0.55118110236220474" header="0.31496062992125984" footer="0.31496062992125984"/>
  <pageSetup paperSize="7" scale="35" fitToHeight="0" orientation="landscape" errors="dash" r:id="rId1"/>
  <headerFooter>
    <oddFooter>&amp;C&amp;"-,Negrita"&amp;12&amp;A&amp;RPágina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216CC-DEB7-4479-957A-C87934241FA9}">
  <sheetPr>
    <tabColor theme="9" tint="-0.499984740745262"/>
  </sheetPr>
  <dimension ref="A1:E11"/>
  <sheetViews>
    <sheetView workbookViewId="0">
      <selection activeCell="B11" sqref="B11"/>
    </sheetView>
  </sheetViews>
  <sheetFormatPr baseColWidth="10" defaultRowHeight="15" x14ac:dyDescent="0.25"/>
  <cols>
    <col min="1" max="1" width="43.5703125" style="105" bestFit="1" customWidth="1"/>
    <col min="2" max="2" width="20.28515625" style="91" bestFit="1" customWidth="1"/>
    <col min="5" max="5" width="14" bestFit="1" customWidth="1"/>
  </cols>
  <sheetData>
    <row r="1" spans="1:5" x14ac:dyDescent="0.25">
      <c r="A1" s="117" t="s">
        <v>331</v>
      </c>
      <c r="B1" s="117" t="s">
        <v>324</v>
      </c>
    </row>
    <row r="2" spans="1:5" x14ac:dyDescent="0.25">
      <c r="A2" s="115" t="s">
        <v>334</v>
      </c>
      <c r="B2" s="116">
        <f>+'ACTA FINAL'!F14+'ACTA FINAL'!F46+'ACTA FINAL'!F49+'ACTA FINAL'!F54+'ACTA FINAL'!F55+'ACTA FINAL'!F57+'ACTA FINAL'!F58+'ACTA FINAL'!F59+'ACTA FINAL'!F60+'ACTA FINAL'!F63+'ACTA FINAL'!F64+'ACTA FINAL'!F68+'ACTA FINAL'!F74+'ACTA FINAL'!F75+'ACTA FINAL'!F80+'ACTA FINAL'!F81+'ACTA FINAL'!F86+'ACTA FINAL'!F89+'ACTA FINAL'!F90+'ACTA FINAL'!F93+'ACTA FINAL'!F94+'ACTA FINAL'!F102+'ACTA FINAL'!F104</f>
        <v>155417751.22900006</v>
      </c>
    </row>
    <row r="3" spans="1:5" x14ac:dyDescent="0.25">
      <c r="A3" s="115" t="s">
        <v>335</v>
      </c>
      <c r="B3" s="171">
        <f>+'ACTA FINAL'!N8+'ACTA FINAL'!N9+'ACTA FINAL'!N15+'ACTA FINAL'!N23+'ACTA FINAL'!N30+'ACTA FINAL'!N61+'ACTA FINAL'!N73+'ACTA FINAL'!N95+'ACTA FINAL'!N101+'ACTA FINAL'!N106+'ACTA FINAL'!N107+'ACTA FINAL'!N113+'ACTA FINAL'!N114+'ACTA FINAL'!N116+'ACTA FINAL'!N123+'ACTA FINAL'!N131+'ACTA FINAL'!N133+'ACTA FINAL'!N135+'ACTA FINAL'!N138+'ACTA FINAL'!N45+'ACTA FINAL'!N92</f>
        <v>107410034.63000001</v>
      </c>
    </row>
    <row r="4" spans="1:5" x14ac:dyDescent="0.25">
      <c r="A4" s="115" t="s">
        <v>332</v>
      </c>
      <c r="B4" s="171">
        <f>+'ACTA FINAL'!N10+'ACTA FINAL'!N11+'ACTA FINAL'!N13+'ACTA FINAL'!N19+'ACTA FINAL'!N22+'ACTA FINAL'!N27+'ACTA FINAL'!N28+'ACTA FINAL'!N32+'ACTA FINAL'!N36+'ACTA FINAL'!N37+'ACTA FINAL'!N38+'ACTA FINAL'!N40+'ACTA FINAL'!N62+'ACTA FINAL'!N65+'ACTA FINAL'!N77+'ACTA FINAL'!N78+'ACTA FINAL'!N82+'ACTA FINAL'!N83+'ACTA FINAL'!N91+'ACTA FINAL'!N98+'ACTA FINAL'!N99+'ACTA FINAL'!N120+'ACTA FINAL'!N124+'ACTA FINAL'!N125+'ACTA FINAL'!N127+'ACTA FINAL'!N128+'ACTA FINAL'!N132+'ACTA FINAL'!N140+'ACTA FINAL'!N87</f>
        <v>141899356.73435</v>
      </c>
    </row>
    <row r="5" spans="1:5" x14ac:dyDescent="0.25">
      <c r="A5" s="115" t="s">
        <v>333</v>
      </c>
      <c r="B5" s="171">
        <f>+'ACTA FINAL'!N17+'ACTA FINAL'!N18+'ACTA FINAL'!N20+'ACTA FINAL'!N21+'ACTA FINAL'!N24+'ACTA FINAL'!N25+'ACTA FINAL'!N26+'ACTA FINAL'!N31+'ACTA FINAL'!N33+'ACTA FINAL'!N34+'ACTA FINAL'!N35+'ACTA FINAL'!N41+'ACTA FINAL'!N43+'ACTA FINAL'!N44+'ACTA FINAL'!N48+'ACTA FINAL'!N50+'ACTA FINAL'!N52+'ACTA FINAL'!N53+'ACTA FINAL'!N66+'ACTA FINAL'!N85+'ACTA FINAL'!N88+'ACTA FINAL'!N109+'ACTA FINAL'!N115+'ACTA FINAL'!N122+'ACTA FINAL'!N130+'ACTA FINAL'!N110+'ACTA FINAL'!N16</f>
        <v>75640819.715000004</v>
      </c>
    </row>
    <row r="6" spans="1:5" x14ac:dyDescent="0.25">
      <c r="A6" s="115" t="s">
        <v>337</v>
      </c>
      <c r="B6" s="171">
        <f>+'ACTA FINAL'!N141</f>
        <v>173119037.51721421</v>
      </c>
      <c r="E6" s="161"/>
    </row>
    <row r="7" spans="1:5" x14ac:dyDescent="0.25">
      <c r="B7" s="114"/>
    </row>
    <row r="8" spans="1:5" x14ac:dyDescent="0.25">
      <c r="A8" s="117" t="s">
        <v>338</v>
      </c>
      <c r="B8" s="172">
        <f>+B3+B4+B5+B6</f>
        <v>498069248.59656417</v>
      </c>
    </row>
    <row r="9" spans="1:5" x14ac:dyDescent="0.25">
      <c r="A9" s="117" t="s">
        <v>344</v>
      </c>
      <c r="B9" s="116">
        <f>+B8*25%</f>
        <v>124517312.14914104</v>
      </c>
    </row>
    <row r="10" spans="1:5" x14ac:dyDescent="0.25">
      <c r="A10" s="117" t="s">
        <v>345</v>
      </c>
      <c r="B10" s="165">
        <f>+B8*5%</f>
        <v>24903462.429828212</v>
      </c>
    </row>
    <row r="11" spans="1:5" x14ac:dyDescent="0.25">
      <c r="A11" s="117" t="s">
        <v>315</v>
      </c>
      <c r="B11" s="166">
        <f>+B8+B9+B10</f>
        <v>647490023.17553341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C7B0C-C785-49A4-8786-CC2D32FBCF8B}">
  <sheetPr>
    <tabColor theme="5" tint="-0.499984740745262"/>
  </sheetPr>
  <dimension ref="A1:G883"/>
  <sheetViews>
    <sheetView showGridLines="0" view="pageBreakPreview" zoomScale="85" zoomScaleNormal="106" zoomScaleSheetLayoutView="85" workbookViewId="0">
      <selection activeCell="B181" sqref="B181"/>
    </sheetView>
  </sheetViews>
  <sheetFormatPr baseColWidth="10" defaultRowHeight="15" x14ac:dyDescent="0.25"/>
  <cols>
    <col min="1" max="1" width="8.5703125" style="86" bestFit="1" customWidth="1"/>
    <col min="2" max="2" width="57.140625" style="173" customWidth="1"/>
    <col min="3" max="4" width="11.42578125" style="173"/>
    <col min="5" max="6" width="17.28515625" style="173" customWidth="1"/>
    <col min="7" max="7" width="4" style="173" customWidth="1"/>
  </cols>
  <sheetData>
    <row r="1" spans="1:6" s="173" customFormat="1" x14ac:dyDescent="0.25">
      <c r="A1" s="261" t="s">
        <v>352</v>
      </c>
      <c r="B1" s="261"/>
      <c r="C1" s="261"/>
      <c r="D1" s="261"/>
      <c r="E1" s="261"/>
      <c r="F1" s="261"/>
    </row>
    <row r="2" spans="1:6" s="173" customFormat="1" ht="70.900000000000006" customHeight="1" x14ac:dyDescent="0.25">
      <c r="A2" s="174" t="str">
        <f>'[2]ACTA 3'!A146</f>
        <v>NP 1.1</v>
      </c>
      <c r="B2" s="175" t="str">
        <f>'[2]ACTA 3'!B146</f>
        <v>Construccion de Muro en Drywall una cara en placa de yeso e:12 cms, para cerramientos temporales, estructura en lamina galvanizada y todos los elementos necesarios para su correcta instalacion, sin acabado.</v>
      </c>
      <c r="C2" s="260" t="s">
        <v>353</v>
      </c>
      <c r="D2" s="260"/>
      <c r="E2" s="260"/>
      <c r="F2" s="260"/>
    </row>
    <row r="3" spans="1:6" s="173" customFormat="1" ht="14.45" customHeight="1" x14ac:dyDescent="0.25">
      <c r="A3" s="262" t="s">
        <v>320</v>
      </c>
      <c r="B3" s="262"/>
      <c r="C3" s="176" t="s">
        <v>321</v>
      </c>
      <c r="D3" s="176" t="s">
        <v>354</v>
      </c>
      <c r="E3" s="176" t="s">
        <v>355</v>
      </c>
      <c r="F3" s="177" t="s">
        <v>356</v>
      </c>
    </row>
    <row r="4" spans="1:6" s="173" customFormat="1" x14ac:dyDescent="0.25">
      <c r="A4" s="86"/>
      <c r="B4" s="178" t="s">
        <v>357</v>
      </c>
      <c r="C4" s="86"/>
      <c r="D4" s="2"/>
      <c r="E4" s="2"/>
      <c r="F4" s="179"/>
    </row>
    <row r="5" spans="1:6" s="173" customFormat="1" x14ac:dyDescent="0.25">
      <c r="A5" s="86"/>
      <c r="B5" s="180" t="s">
        <v>358</v>
      </c>
      <c r="C5" s="181" t="s">
        <v>28</v>
      </c>
      <c r="D5" s="2">
        <v>0.4</v>
      </c>
      <c r="E5" s="182">
        <v>48016</v>
      </c>
      <c r="F5" s="179">
        <f t="shared" ref="F5:F14" si="0">ROUND(D5*E5, 2)</f>
        <v>19206.400000000001</v>
      </c>
    </row>
    <row r="6" spans="1:6" s="173" customFormat="1" x14ac:dyDescent="0.25">
      <c r="A6" s="86"/>
      <c r="B6" s="180" t="s">
        <v>359</v>
      </c>
      <c r="C6" s="181" t="s">
        <v>28</v>
      </c>
      <c r="D6" s="2">
        <v>0.34</v>
      </c>
      <c r="E6" s="182">
        <v>11720</v>
      </c>
      <c r="F6" s="179">
        <f t="shared" si="0"/>
        <v>3984.8</v>
      </c>
    </row>
    <row r="7" spans="1:6" s="173" customFormat="1" x14ac:dyDescent="0.25">
      <c r="A7" s="86"/>
      <c r="B7" s="180" t="s">
        <v>360</v>
      </c>
      <c r="C7" s="181" t="s">
        <v>28</v>
      </c>
      <c r="D7" s="2">
        <v>0.76</v>
      </c>
      <c r="E7" s="182">
        <v>12571</v>
      </c>
      <c r="F7" s="179">
        <f t="shared" si="0"/>
        <v>9553.9599999999991</v>
      </c>
    </row>
    <row r="8" spans="1:6" s="173" customFormat="1" x14ac:dyDescent="0.25">
      <c r="A8" s="86"/>
      <c r="B8" s="180" t="s">
        <v>361</v>
      </c>
      <c r="C8" s="181" t="s">
        <v>28</v>
      </c>
      <c r="D8" s="2">
        <v>23</v>
      </c>
      <c r="E8" s="182">
        <v>278</v>
      </c>
      <c r="F8" s="179">
        <f t="shared" si="0"/>
        <v>6394</v>
      </c>
    </row>
    <row r="9" spans="1:6" s="173" customFormat="1" ht="19.899999999999999" customHeight="1" x14ac:dyDescent="0.25">
      <c r="A9" s="86"/>
      <c r="B9" s="180" t="s">
        <v>362</v>
      </c>
      <c r="C9" s="181" t="s">
        <v>28</v>
      </c>
      <c r="D9" s="2">
        <v>2.8</v>
      </c>
      <c r="E9" s="182">
        <v>85</v>
      </c>
      <c r="F9" s="179">
        <f t="shared" si="0"/>
        <v>238</v>
      </c>
    </row>
    <row r="10" spans="1:6" s="173" customFormat="1" ht="17.45" customHeight="1" x14ac:dyDescent="0.25">
      <c r="A10" s="86"/>
      <c r="B10" s="180" t="s">
        <v>363</v>
      </c>
      <c r="C10" s="181" t="s">
        <v>28</v>
      </c>
      <c r="D10" s="2">
        <v>1.46</v>
      </c>
      <c r="E10" s="182">
        <v>632</v>
      </c>
      <c r="F10" s="179">
        <f t="shared" si="0"/>
        <v>922.72</v>
      </c>
    </row>
    <row r="11" spans="1:6" s="173" customFormat="1" ht="17.45" customHeight="1" x14ac:dyDescent="0.25">
      <c r="A11" s="86"/>
      <c r="B11" s="180" t="s">
        <v>364</v>
      </c>
      <c r="C11" s="181" t="s">
        <v>28</v>
      </c>
      <c r="D11" s="2">
        <v>0.1812</v>
      </c>
      <c r="E11" s="182">
        <v>39901</v>
      </c>
      <c r="F11" s="179">
        <f t="shared" si="0"/>
        <v>7230.06</v>
      </c>
    </row>
    <row r="12" spans="1:6" s="173" customFormat="1" x14ac:dyDescent="0.25">
      <c r="A12" s="86"/>
      <c r="B12" s="180" t="s">
        <v>365</v>
      </c>
      <c r="C12" s="181" t="s">
        <v>28</v>
      </c>
      <c r="D12" s="2">
        <v>0.5</v>
      </c>
      <c r="E12" s="182">
        <v>14075</v>
      </c>
      <c r="F12" s="179">
        <f t="shared" si="0"/>
        <v>7037.5</v>
      </c>
    </row>
    <row r="13" spans="1:6" s="173" customFormat="1" x14ac:dyDescent="0.25">
      <c r="A13" s="86"/>
      <c r="B13" s="180" t="s">
        <v>366</v>
      </c>
      <c r="C13" s="181" t="s">
        <v>28</v>
      </c>
      <c r="D13" s="2">
        <v>0.5</v>
      </c>
      <c r="E13" s="182">
        <v>1800</v>
      </c>
      <c r="F13" s="179">
        <f t="shared" si="0"/>
        <v>900</v>
      </c>
    </row>
    <row r="14" spans="1:6" s="173" customFormat="1" x14ac:dyDescent="0.25">
      <c r="A14" s="86"/>
      <c r="B14" s="180" t="s">
        <v>367</v>
      </c>
      <c r="C14" s="181" t="s">
        <v>28</v>
      </c>
      <c r="D14" s="2">
        <v>0.1</v>
      </c>
      <c r="E14" s="182">
        <v>39000</v>
      </c>
      <c r="F14" s="179">
        <f t="shared" si="0"/>
        <v>3900</v>
      </c>
    </row>
    <row r="15" spans="1:6" s="173" customFormat="1" x14ac:dyDescent="0.25">
      <c r="A15" s="86"/>
      <c r="B15" s="183"/>
      <c r="C15" s="86"/>
      <c r="D15" s="2"/>
      <c r="E15" s="184" t="s">
        <v>368</v>
      </c>
      <c r="F15" s="185">
        <f>SUM(F5:F14)</f>
        <v>59367.44</v>
      </c>
    </row>
    <row r="16" spans="1:6" s="173" customFormat="1" x14ac:dyDescent="0.25">
      <c r="A16" s="86"/>
      <c r="B16" s="178" t="s">
        <v>369</v>
      </c>
      <c r="C16" s="86"/>
      <c r="D16" s="2"/>
      <c r="E16" s="2"/>
      <c r="F16" s="179"/>
    </row>
    <row r="17" spans="1:6" s="173" customFormat="1" x14ac:dyDescent="0.25">
      <c r="A17" s="86"/>
      <c r="B17" s="183" t="s">
        <v>370</v>
      </c>
      <c r="C17" s="86" t="s">
        <v>371</v>
      </c>
      <c r="D17" s="2">
        <v>0.24</v>
      </c>
      <c r="E17" s="182">
        <v>5246</v>
      </c>
      <c r="F17" s="179">
        <f t="shared" ref="F17:F24" si="1">ROUND(D17*E17, 2)</f>
        <v>1259.04</v>
      </c>
    </row>
    <row r="18" spans="1:6" s="173" customFormat="1" x14ac:dyDescent="0.25">
      <c r="A18" s="86"/>
      <c r="B18" s="180" t="s">
        <v>372</v>
      </c>
      <c r="C18" s="86" t="s">
        <v>371</v>
      </c>
      <c r="D18" s="2">
        <v>0.24</v>
      </c>
      <c r="E18" s="182">
        <v>2233</v>
      </c>
      <c r="F18" s="179">
        <f t="shared" si="1"/>
        <v>535.91999999999996</v>
      </c>
    </row>
    <row r="19" spans="1:6" s="173" customFormat="1" x14ac:dyDescent="0.25">
      <c r="A19" s="86"/>
      <c r="B19" s="180" t="s">
        <v>373</v>
      </c>
      <c r="C19" s="181" t="s">
        <v>28</v>
      </c>
      <c r="D19" s="2">
        <v>1.8E-3</v>
      </c>
      <c r="E19" s="182">
        <v>611537</v>
      </c>
      <c r="F19" s="179">
        <f t="shared" si="1"/>
        <v>1100.77</v>
      </c>
    </row>
    <row r="20" spans="1:6" s="173" customFormat="1" x14ac:dyDescent="0.25">
      <c r="A20" s="86"/>
      <c r="B20" s="180" t="s">
        <v>374</v>
      </c>
      <c r="C20" s="181" t="s">
        <v>28</v>
      </c>
      <c r="D20" s="2">
        <v>1.8E-3</v>
      </c>
      <c r="E20" s="182">
        <v>77490</v>
      </c>
      <c r="F20" s="179">
        <f t="shared" si="1"/>
        <v>139.47999999999999</v>
      </c>
    </row>
    <row r="21" spans="1:6" s="173" customFormat="1" x14ac:dyDescent="0.25">
      <c r="A21" s="86"/>
      <c r="B21" s="180" t="s">
        <v>375</v>
      </c>
      <c r="C21" s="181" t="s">
        <v>28</v>
      </c>
      <c r="D21" s="2">
        <v>1.8E-3</v>
      </c>
      <c r="E21" s="182">
        <v>62851</v>
      </c>
      <c r="F21" s="179">
        <f t="shared" si="1"/>
        <v>113.13</v>
      </c>
    </row>
    <row r="22" spans="1:6" s="173" customFormat="1" x14ac:dyDescent="0.25">
      <c r="A22" s="86"/>
      <c r="B22" s="180" t="s">
        <v>376</v>
      </c>
      <c r="C22" s="181" t="s">
        <v>28</v>
      </c>
      <c r="D22" s="2">
        <v>1.8E-3</v>
      </c>
      <c r="E22" s="182">
        <v>600941</v>
      </c>
      <c r="F22" s="179">
        <f t="shared" si="1"/>
        <v>1081.69</v>
      </c>
    </row>
    <row r="23" spans="1:6" s="173" customFormat="1" x14ac:dyDescent="0.25">
      <c r="A23" s="86"/>
      <c r="B23" s="180" t="s">
        <v>377</v>
      </c>
      <c r="C23" s="181" t="s">
        <v>28</v>
      </c>
      <c r="D23" s="2">
        <v>1.8E-3</v>
      </c>
      <c r="E23" s="182">
        <v>31265</v>
      </c>
      <c r="F23" s="179">
        <f t="shared" si="1"/>
        <v>56.28</v>
      </c>
    </row>
    <row r="24" spans="1:6" s="173" customFormat="1" x14ac:dyDescent="0.25">
      <c r="A24" s="86"/>
      <c r="B24" s="180" t="s">
        <v>378</v>
      </c>
      <c r="C24" s="181" t="s">
        <v>28</v>
      </c>
      <c r="D24" s="2">
        <v>0.01</v>
      </c>
      <c r="E24" s="182">
        <v>16900</v>
      </c>
      <c r="F24" s="179">
        <f t="shared" si="1"/>
        <v>169</v>
      </c>
    </row>
    <row r="25" spans="1:6" s="173" customFormat="1" x14ac:dyDescent="0.25">
      <c r="A25" s="86"/>
      <c r="B25" s="180"/>
      <c r="C25" s="181"/>
      <c r="D25" s="2"/>
      <c r="E25" s="182"/>
      <c r="F25" s="179"/>
    </row>
    <row r="26" spans="1:6" s="173" customFormat="1" x14ac:dyDescent="0.25">
      <c r="A26" s="86"/>
      <c r="B26" s="183"/>
      <c r="C26" s="86"/>
      <c r="D26" s="2"/>
      <c r="E26" s="184" t="s">
        <v>368</v>
      </c>
      <c r="F26" s="185">
        <f>SUM(F17:F24)</f>
        <v>4455.3100000000004</v>
      </c>
    </row>
    <row r="27" spans="1:6" s="173" customFormat="1" x14ac:dyDescent="0.25">
      <c r="A27" s="86"/>
      <c r="B27" s="178" t="s">
        <v>379</v>
      </c>
      <c r="C27" s="86"/>
      <c r="D27" s="2"/>
      <c r="E27" s="2"/>
      <c r="F27" s="179"/>
    </row>
    <row r="28" spans="1:6" s="173" customFormat="1" x14ac:dyDescent="0.25">
      <c r="A28" s="86"/>
      <c r="B28" s="180" t="s">
        <v>380</v>
      </c>
      <c r="C28" s="181" t="s">
        <v>204</v>
      </c>
      <c r="D28" s="2">
        <v>0.08</v>
      </c>
      <c r="E28" s="182">
        <v>64688</v>
      </c>
      <c r="F28" s="179">
        <f>ROUND(D28*E28, 2)</f>
        <v>5175.04</v>
      </c>
    </row>
    <row r="29" spans="1:6" s="173" customFormat="1" x14ac:dyDescent="0.25">
      <c r="A29" s="86"/>
      <c r="B29" s="183"/>
      <c r="C29" s="86"/>
      <c r="D29" s="2"/>
      <c r="E29" s="184" t="s">
        <v>368</v>
      </c>
      <c r="F29" s="185">
        <f>SUM(F28:F28)</f>
        <v>5175.04</v>
      </c>
    </row>
    <row r="30" spans="1:6" s="173" customFormat="1" x14ac:dyDescent="0.25">
      <c r="A30" s="86"/>
      <c r="B30" s="178" t="s">
        <v>381</v>
      </c>
      <c r="C30" s="86"/>
      <c r="D30" s="2"/>
      <c r="E30" s="2"/>
      <c r="F30" s="179"/>
    </row>
    <row r="31" spans="1:6" s="173" customFormat="1" x14ac:dyDescent="0.25">
      <c r="A31" s="86"/>
      <c r="B31" s="183" t="s">
        <v>382</v>
      </c>
      <c r="C31" s="86" t="s">
        <v>371</v>
      </c>
      <c r="D31" s="2">
        <v>0.13376399999999999</v>
      </c>
      <c r="E31" s="182">
        <v>221000</v>
      </c>
      <c r="F31" s="179">
        <f>ROUND(D31*E31, 2)</f>
        <v>29561.84</v>
      </c>
    </row>
    <row r="32" spans="1:6" s="173" customFormat="1" x14ac:dyDescent="0.25">
      <c r="A32" s="86"/>
      <c r="B32" s="183"/>
      <c r="C32" s="86"/>
      <c r="D32" s="2"/>
      <c r="E32" s="184" t="s">
        <v>368</v>
      </c>
      <c r="F32" s="185">
        <f>SUM(F31:F31)</f>
        <v>29561.84</v>
      </c>
    </row>
    <row r="33" spans="1:6" s="173" customFormat="1" x14ac:dyDescent="0.25">
      <c r="A33" s="86"/>
      <c r="B33" s="183"/>
      <c r="C33" s="86"/>
      <c r="D33" s="2"/>
      <c r="E33" s="2"/>
      <c r="F33" s="179"/>
    </row>
    <row r="34" spans="1:6" s="173" customFormat="1" x14ac:dyDescent="0.25">
      <c r="A34" s="86"/>
      <c r="B34" s="183"/>
      <c r="C34" s="86"/>
      <c r="D34" s="2"/>
      <c r="E34" s="186" t="s">
        <v>383</v>
      </c>
      <c r="F34" s="187">
        <f>ROUND(SUM(F4:F32)/2, 0)</f>
        <v>98560</v>
      </c>
    </row>
    <row r="35" spans="1:6" s="173" customFormat="1" x14ac:dyDescent="0.25">
      <c r="A35" s="86"/>
      <c r="B35" s="183"/>
      <c r="C35" s="86"/>
      <c r="D35" s="2"/>
      <c r="E35" s="2"/>
      <c r="F35" s="179"/>
    </row>
    <row r="36" spans="1:6" s="173" customFormat="1" ht="30" x14ac:dyDescent="0.25">
      <c r="A36" s="174" t="str">
        <f>'[2]ACTA 3'!A147</f>
        <v>NP 2.1</v>
      </c>
      <c r="B36" s="188" t="str">
        <f>'[2]ACTA 3'!B147</f>
        <v>Demolición de muro en bloque de concreto macizo de 20cm de espesor</v>
      </c>
      <c r="C36" s="260" t="s">
        <v>384</v>
      </c>
      <c r="D36" s="260"/>
      <c r="E36" s="260"/>
      <c r="F36" s="260"/>
    </row>
    <row r="37" spans="1:6" s="173" customFormat="1" x14ac:dyDescent="0.25">
      <c r="A37" s="262" t="s">
        <v>320</v>
      </c>
      <c r="B37" s="262"/>
      <c r="C37" s="176" t="s">
        <v>321</v>
      </c>
      <c r="D37" s="176" t="s">
        <v>354</v>
      </c>
      <c r="E37" s="176" t="s">
        <v>355</v>
      </c>
      <c r="F37" s="177" t="s">
        <v>356</v>
      </c>
    </row>
    <row r="38" spans="1:6" s="173" customFormat="1" x14ac:dyDescent="0.25">
      <c r="A38" s="86"/>
      <c r="B38" s="178" t="s">
        <v>357</v>
      </c>
      <c r="C38" s="86"/>
      <c r="D38" s="2"/>
      <c r="E38" s="2"/>
      <c r="F38" s="179"/>
    </row>
    <row r="39" spans="1:6" s="173" customFormat="1" x14ac:dyDescent="0.25">
      <c r="A39" s="86"/>
      <c r="B39" s="180"/>
      <c r="C39" s="181"/>
      <c r="D39" s="2"/>
      <c r="E39" s="182"/>
      <c r="F39" s="179"/>
    </row>
    <row r="40" spans="1:6" s="173" customFormat="1" x14ac:dyDescent="0.25">
      <c r="A40" s="86"/>
      <c r="B40" s="183"/>
      <c r="C40" s="86"/>
      <c r="D40" s="2"/>
      <c r="E40" s="184" t="s">
        <v>368</v>
      </c>
      <c r="F40" s="185">
        <f>SUM(F39:F39)</f>
        <v>0</v>
      </c>
    </row>
    <row r="41" spans="1:6" s="173" customFormat="1" x14ac:dyDescent="0.25">
      <c r="A41" s="86"/>
      <c r="B41" s="178" t="s">
        <v>369</v>
      </c>
      <c r="C41" s="86"/>
      <c r="D41" s="2"/>
      <c r="E41" s="2"/>
      <c r="F41" s="179"/>
    </row>
    <row r="42" spans="1:6" s="173" customFormat="1" x14ac:dyDescent="0.25">
      <c r="A42" s="86"/>
      <c r="B42" s="183" t="s">
        <v>370</v>
      </c>
      <c r="C42" s="86" t="s">
        <v>371</v>
      </c>
      <c r="D42" s="2">
        <v>0.15</v>
      </c>
      <c r="E42" s="182">
        <v>5246</v>
      </c>
      <c r="F42" s="179">
        <f t="shared" ref="F42" si="2">ROUND(D42*E42, 2)</f>
        <v>786.9</v>
      </c>
    </row>
    <row r="43" spans="1:6" s="173" customFormat="1" x14ac:dyDescent="0.25">
      <c r="A43" s="86"/>
      <c r="B43" s="180" t="s">
        <v>385</v>
      </c>
      <c r="C43" s="181" t="s">
        <v>386</v>
      </c>
      <c r="D43" s="2">
        <v>5</v>
      </c>
      <c r="E43" s="182">
        <f>F50</f>
        <v>47387.01</v>
      </c>
      <c r="F43" s="179">
        <f>ROUND(D43*E43/100, 2)</f>
        <v>2369.35</v>
      </c>
    </row>
    <row r="44" spans="1:6" s="173" customFormat="1" x14ac:dyDescent="0.25">
      <c r="A44" s="86"/>
      <c r="B44" s="180"/>
      <c r="C44" s="181"/>
      <c r="D44" s="2"/>
      <c r="E44" s="182"/>
      <c r="F44" s="179"/>
    </row>
    <row r="45" spans="1:6" s="173" customFormat="1" x14ac:dyDescent="0.25">
      <c r="A45" s="86"/>
      <c r="B45" s="183"/>
      <c r="C45" s="86"/>
      <c r="D45" s="2"/>
      <c r="E45" s="184" t="s">
        <v>368</v>
      </c>
      <c r="F45" s="185">
        <f>SUM(F42:F43)</f>
        <v>3156.25</v>
      </c>
    </row>
    <row r="46" spans="1:6" s="173" customFormat="1" x14ac:dyDescent="0.25">
      <c r="A46" s="86"/>
      <c r="B46" s="178" t="s">
        <v>379</v>
      </c>
      <c r="C46" s="86"/>
      <c r="D46" s="2"/>
      <c r="E46" s="2"/>
      <c r="F46" s="179"/>
    </row>
    <row r="47" spans="1:6" s="173" customFormat="1" x14ac:dyDescent="0.25">
      <c r="A47" s="86"/>
      <c r="B47" s="180"/>
      <c r="C47" s="181"/>
      <c r="D47" s="2"/>
      <c r="E47" s="182"/>
      <c r="F47" s="179">
        <f>D47*E47</f>
        <v>0</v>
      </c>
    </row>
    <row r="48" spans="1:6" s="173" customFormat="1" x14ac:dyDescent="0.25">
      <c r="A48" s="86"/>
      <c r="B48" s="183"/>
      <c r="C48" s="86"/>
      <c r="D48" s="2"/>
      <c r="E48" s="184" t="s">
        <v>368</v>
      </c>
      <c r="F48" s="185">
        <f>SUM(F47:F47)</f>
        <v>0</v>
      </c>
    </row>
    <row r="49" spans="1:6" s="173" customFormat="1" x14ac:dyDescent="0.25">
      <c r="A49" s="86"/>
      <c r="B49" s="178" t="s">
        <v>381</v>
      </c>
      <c r="C49" s="86"/>
      <c r="D49" s="2"/>
      <c r="E49" s="2"/>
      <c r="F49" s="179"/>
    </row>
    <row r="50" spans="1:6" s="173" customFormat="1" x14ac:dyDescent="0.25">
      <c r="A50" s="86"/>
      <c r="B50" s="183" t="s">
        <v>387</v>
      </c>
      <c r="C50" s="86" t="s">
        <v>371</v>
      </c>
      <c r="D50" s="2">
        <v>0.26373000000000002</v>
      </c>
      <c r="E50" s="182">
        <f>2*89840</f>
        <v>179680</v>
      </c>
      <c r="F50" s="179">
        <f>ROUND(D50*E50, 2)</f>
        <v>47387.01</v>
      </c>
    </row>
    <row r="51" spans="1:6" s="173" customFormat="1" x14ac:dyDescent="0.25">
      <c r="A51" s="86"/>
      <c r="B51" s="183"/>
      <c r="C51" s="86"/>
      <c r="D51" s="2"/>
      <c r="E51" s="184" t="s">
        <v>368</v>
      </c>
      <c r="F51" s="185">
        <f>SUM(F50:F50)</f>
        <v>47387.01</v>
      </c>
    </row>
    <row r="52" spans="1:6" s="173" customFormat="1" x14ac:dyDescent="0.25">
      <c r="A52" s="86"/>
      <c r="B52" s="183"/>
      <c r="C52" s="86"/>
      <c r="D52" s="2"/>
      <c r="E52" s="2"/>
      <c r="F52" s="179"/>
    </row>
    <row r="53" spans="1:6" s="173" customFormat="1" x14ac:dyDescent="0.25">
      <c r="A53" s="86"/>
      <c r="B53" s="183"/>
      <c r="C53" s="86"/>
      <c r="D53" s="2"/>
      <c r="E53" s="186" t="s">
        <v>383</v>
      </c>
      <c r="F53" s="187">
        <f>ROUND(SUM(F38:F51)/2, 0)</f>
        <v>50543</v>
      </c>
    </row>
    <row r="54" spans="1:6" s="173" customFormat="1" x14ac:dyDescent="0.25">
      <c r="A54" s="86"/>
      <c r="B54" s="183"/>
      <c r="C54" s="86"/>
      <c r="D54" s="2"/>
      <c r="E54" s="186"/>
      <c r="F54" s="187"/>
    </row>
    <row r="55" spans="1:6" s="173" customFormat="1" x14ac:dyDescent="0.25">
      <c r="A55" s="174" t="str">
        <f>'[2]ACTA 3'!A148</f>
        <v>NP 2.2</v>
      </c>
      <c r="B55" s="188" t="str">
        <f>'[2]ACTA 3'!B148</f>
        <v>Desmonte de muros existentes en sistema Drywall</v>
      </c>
      <c r="C55" s="260" t="s">
        <v>384</v>
      </c>
      <c r="D55" s="260"/>
      <c r="E55" s="260"/>
      <c r="F55" s="260"/>
    </row>
    <row r="56" spans="1:6" s="173" customFormat="1" x14ac:dyDescent="0.25">
      <c r="A56" s="262" t="s">
        <v>320</v>
      </c>
      <c r="B56" s="262"/>
      <c r="C56" s="176" t="s">
        <v>321</v>
      </c>
      <c r="D56" s="176" t="s">
        <v>354</v>
      </c>
      <c r="E56" s="176" t="s">
        <v>355</v>
      </c>
      <c r="F56" s="177" t="s">
        <v>356</v>
      </c>
    </row>
    <row r="57" spans="1:6" s="173" customFormat="1" x14ac:dyDescent="0.25">
      <c r="A57" s="86"/>
      <c r="B57" s="178" t="s">
        <v>357</v>
      </c>
      <c r="C57" s="86"/>
      <c r="D57" s="2"/>
      <c r="E57" s="2"/>
      <c r="F57" s="179"/>
    </row>
    <row r="58" spans="1:6" s="173" customFormat="1" x14ac:dyDescent="0.25">
      <c r="A58" s="86"/>
      <c r="B58" s="180"/>
      <c r="C58" s="181"/>
      <c r="D58" s="2"/>
      <c r="E58" s="182"/>
      <c r="F58" s="179"/>
    </row>
    <row r="59" spans="1:6" s="173" customFormat="1" x14ac:dyDescent="0.25">
      <c r="A59" s="86"/>
      <c r="B59" s="183"/>
      <c r="C59" s="86"/>
      <c r="D59" s="2"/>
      <c r="E59" s="184" t="s">
        <v>368</v>
      </c>
      <c r="F59" s="185">
        <f>SUM(F58:F58)</f>
        <v>0</v>
      </c>
    </row>
    <row r="60" spans="1:6" s="173" customFormat="1" x14ac:dyDescent="0.25">
      <c r="A60" s="86"/>
      <c r="B60" s="178" t="s">
        <v>369</v>
      </c>
      <c r="C60" s="86"/>
      <c r="D60" s="2"/>
      <c r="E60" s="2"/>
      <c r="F60" s="179"/>
    </row>
    <row r="61" spans="1:6" s="173" customFormat="1" x14ac:dyDescent="0.25">
      <c r="A61" s="86"/>
      <c r="B61" s="183" t="s">
        <v>370</v>
      </c>
      <c r="C61" s="86" t="s">
        <v>371</v>
      </c>
      <c r="D61" s="2">
        <v>0.15</v>
      </c>
      <c r="E61" s="182">
        <v>5246</v>
      </c>
      <c r="F61" s="179">
        <f t="shared" ref="F61" si="3">ROUND(D61*E61, 2)</f>
        <v>786.9</v>
      </c>
    </row>
    <row r="62" spans="1:6" s="173" customFormat="1" x14ac:dyDescent="0.25">
      <c r="A62" s="86"/>
      <c r="B62" s="180" t="s">
        <v>385</v>
      </c>
      <c r="C62" s="181" t="s">
        <v>386</v>
      </c>
      <c r="D62" s="2">
        <v>5</v>
      </c>
      <c r="E62" s="182">
        <f>F69</f>
        <v>15202.72</v>
      </c>
      <c r="F62" s="179">
        <f>ROUND(D62*E62/100, 2)</f>
        <v>760.14</v>
      </c>
    </row>
    <row r="63" spans="1:6" s="173" customFormat="1" x14ac:dyDescent="0.25">
      <c r="A63" s="86"/>
      <c r="B63" s="180"/>
      <c r="C63" s="181"/>
      <c r="D63" s="2"/>
      <c r="E63" s="182"/>
      <c r="F63" s="179"/>
    </row>
    <row r="64" spans="1:6" s="173" customFormat="1" x14ac:dyDescent="0.25">
      <c r="A64" s="86"/>
      <c r="B64" s="183"/>
      <c r="C64" s="86"/>
      <c r="D64" s="2"/>
      <c r="E64" s="184" t="s">
        <v>368</v>
      </c>
      <c r="F64" s="185">
        <f>SUM(F61:F62)</f>
        <v>1547.04</v>
      </c>
    </row>
    <row r="65" spans="1:6" s="173" customFormat="1" x14ac:dyDescent="0.25">
      <c r="A65" s="86"/>
      <c r="B65" s="178" t="s">
        <v>379</v>
      </c>
      <c r="C65" s="86"/>
      <c r="D65" s="2"/>
      <c r="E65" s="2"/>
      <c r="F65" s="179"/>
    </row>
    <row r="66" spans="1:6" s="173" customFormat="1" x14ac:dyDescent="0.25">
      <c r="A66" s="86"/>
      <c r="B66" s="180"/>
      <c r="C66" s="181"/>
      <c r="D66" s="2"/>
      <c r="E66" s="182"/>
      <c r="F66" s="179">
        <f>D66*E66</f>
        <v>0</v>
      </c>
    </row>
    <row r="67" spans="1:6" s="173" customFormat="1" x14ac:dyDescent="0.25">
      <c r="A67" s="86"/>
      <c r="B67" s="183"/>
      <c r="C67" s="86"/>
      <c r="D67" s="2"/>
      <c r="E67" s="184" t="s">
        <v>368</v>
      </c>
      <c r="F67" s="185">
        <f>SUM(F66:F66)</f>
        <v>0</v>
      </c>
    </row>
    <row r="68" spans="1:6" s="173" customFormat="1" x14ac:dyDescent="0.25">
      <c r="A68" s="86"/>
      <c r="B68" s="178" t="s">
        <v>381</v>
      </c>
      <c r="C68" s="86"/>
      <c r="D68" s="2"/>
      <c r="E68" s="2"/>
      <c r="F68" s="179"/>
    </row>
    <row r="69" spans="1:6" s="173" customFormat="1" x14ac:dyDescent="0.25">
      <c r="A69" s="86"/>
      <c r="B69" s="183" t="s">
        <v>387</v>
      </c>
      <c r="C69" s="86" t="s">
        <v>371</v>
      </c>
      <c r="D69" s="2">
        <v>8.4610000000000005E-2</v>
      </c>
      <c r="E69" s="182">
        <f>2*89840</f>
        <v>179680</v>
      </c>
      <c r="F69" s="179">
        <f>ROUND(D69*E69, 2)</f>
        <v>15202.72</v>
      </c>
    </row>
    <row r="70" spans="1:6" s="173" customFormat="1" x14ac:dyDescent="0.25">
      <c r="A70" s="86"/>
      <c r="B70" s="183"/>
      <c r="C70" s="86"/>
      <c r="D70" s="2"/>
      <c r="E70" s="184" t="s">
        <v>368</v>
      </c>
      <c r="F70" s="185">
        <f>SUM(F69:F69)</f>
        <v>15202.72</v>
      </c>
    </row>
    <row r="71" spans="1:6" s="173" customFormat="1" x14ac:dyDescent="0.25">
      <c r="A71" s="86"/>
      <c r="B71" s="183"/>
      <c r="C71" s="86"/>
      <c r="D71" s="2"/>
      <c r="E71" s="2"/>
      <c r="F71" s="179"/>
    </row>
    <row r="72" spans="1:6" s="173" customFormat="1" x14ac:dyDescent="0.25">
      <c r="A72" s="86"/>
      <c r="B72" s="183"/>
      <c r="C72" s="86"/>
      <c r="D72" s="2"/>
      <c r="E72" s="186" t="s">
        <v>383</v>
      </c>
      <c r="F72" s="187">
        <f>ROUND(SUM(F57:F70)/2, 0)</f>
        <v>16750</v>
      </c>
    </row>
    <row r="73" spans="1:6" s="173" customFormat="1" x14ac:dyDescent="0.25">
      <c r="A73" s="86"/>
      <c r="B73" s="183"/>
      <c r="C73" s="86"/>
      <c r="D73" s="2"/>
      <c r="E73" s="186"/>
      <c r="F73" s="187"/>
    </row>
    <row r="74" spans="1:6" s="173" customFormat="1" x14ac:dyDescent="0.25">
      <c r="A74" s="174" t="str">
        <f>'[2]ACTA 3'!A149</f>
        <v>NP 2.3</v>
      </c>
      <c r="B74" s="188" t="str">
        <f>'[2]ACTA 3'!B149</f>
        <v>Demolición de zocalo en grano</v>
      </c>
      <c r="C74" s="260" t="s">
        <v>388</v>
      </c>
      <c r="D74" s="260"/>
      <c r="E74" s="260"/>
      <c r="F74" s="260"/>
    </row>
    <row r="75" spans="1:6" s="173" customFormat="1" x14ac:dyDescent="0.25">
      <c r="A75" s="262" t="s">
        <v>320</v>
      </c>
      <c r="B75" s="262"/>
      <c r="C75" s="176" t="s">
        <v>321</v>
      </c>
      <c r="D75" s="176" t="s">
        <v>354</v>
      </c>
      <c r="E75" s="176" t="s">
        <v>355</v>
      </c>
      <c r="F75" s="177" t="s">
        <v>356</v>
      </c>
    </row>
    <row r="76" spans="1:6" s="173" customFormat="1" x14ac:dyDescent="0.25">
      <c r="A76" s="86"/>
      <c r="B76" s="178" t="s">
        <v>357</v>
      </c>
      <c r="C76" s="86"/>
      <c r="D76" s="2"/>
      <c r="E76" s="2"/>
      <c r="F76" s="179"/>
    </row>
    <row r="77" spans="1:6" s="173" customFormat="1" x14ac:dyDescent="0.25">
      <c r="A77" s="86"/>
      <c r="B77" s="180"/>
      <c r="C77" s="181"/>
      <c r="D77" s="2"/>
      <c r="E77" s="182"/>
      <c r="F77" s="179"/>
    </row>
    <row r="78" spans="1:6" s="173" customFormat="1" x14ac:dyDescent="0.25">
      <c r="A78" s="86"/>
      <c r="B78" s="183"/>
      <c r="C78" s="86"/>
      <c r="D78" s="2"/>
      <c r="E78" s="184" t="s">
        <v>368</v>
      </c>
      <c r="F78" s="185">
        <f>SUM(F77:F77)</f>
        <v>0</v>
      </c>
    </row>
    <row r="79" spans="1:6" s="173" customFormat="1" x14ac:dyDescent="0.25">
      <c r="A79" s="86"/>
      <c r="B79" s="178" t="s">
        <v>369</v>
      </c>
      <c r="C79" s="86"/>
      <c r="D79" s="2"/>
      <c r="E79" s="2"/>
      <c r="F79" s="179"/>
    </row>
    <row r="80" spans="1:6" s="173" customFormat="1" x14ac:dyDescent="0.25">
      <c r="A80" s="86"/>
      <c r="B80" s="180" t="s">
        <v>385</v>
      </c>
      <c r="C80" s="181" t="s">
        <v>386</v>
      </c>
      <c r="D80" s="2">
        <v>5</v>
      </c>
      <c r="E80" s="182">
        <f>F87</f>
        <v>20734.169999999998</v>
      </c>
      <c r="F80" s="179">
        <f>ROUND(D80*E80/100, 2)</f>
        <v>1036.71</v>
      </c>
    </row>
    <row r="81" spans="1:6" s="173" customFormat="1" x14ac:dyDescent="0.25">
      <c r="A81" s="86"/>
      <c r="B81" s="180"/>
      <c r="C81" s="181"/>
      <c r="D81" s="2"/>
      <c r="E81" s="182"/>
      <c r="F81" s="179"/>
    </row>
    <row r="82" spans="1:6" s="173" customFormat="1" x14ac:dyDescent="0.25">
      <c r="A82" s="86"/>
      <c r="B82" s="183"/>
      <c r="C82" s="86"/>
      <c r="D82" s="2"/>
      <c r="E82" s="184" t="s">
        <v>368</v>
      </c>
      <c r="F82" s="185">
        <f>SUM(F80:F80)</f>
        <v>1036.71</v>
      </c>
    </row>
    <row r="83" spans="1:6" s="173" customFormat="1" x14ac:dyDescent="0.25">
      <c r="A83" s="86"/>
      <c r="B83" s="178" t="s">
        <v>379</v>
      </c>
      <c r="C83" s="86"/>
      <c r="D83" s="2"/>
      <c r="E83" s="2"/>
      <c r="F83" s="179"/>
    </row>
    <row r="84" spans="1:6" s="173" customFormat="1" x14ac:dyDescent="0.25">
      <c r="A84" s="86"/>
      <c r="B84" s="180"/>
      <c r="C84" s="181"/>
      <c r="D84" s="2"/>
      <c r="E84" s="182"/>
      <c r="F84" s="179">
        <f>D84*E84</f>
        <v>0</v>
      </c>
    </row>
    <row r="85" spans="1:6" s="173" customFormat="1" x14ac:dyDescent="0.25">
      <c r="A85" s="86"/>
      <c r="B85" s="183"/>
      <c r="C85" s="86"/>
      <c r="D85" s="2"/>
      <c r="E85" s="184" t="s">
        <v>368</v>
      </c>
      <c r="F85" s="185">
        <f>SUM(F84:F84)</f>
        <v>0</v>
      </c>
    </row>
    <row r="86" spans="1:6" s="173" customFormat="1" x14ac:dyDescent="0.25">
      <c r="A86" s="86"/>
      <c r="B86" s="178" t="s">
        <v>381</v>
      </c>
      <c r="C86" s="86"/>
      <c r="D86" s="2"/>
      <c r="E86" s="2"/>
      <c r="F86" s="179"/>
    </row>
    <row r="87" spans="1:6" s="173" customFormat="1" x14ac:dyDescent="0.25">
      <c r="A87" s="86"/>
      <c r="B87" s="183" t="s">
        <v>389</v>
      </c>
      <c r="C87" s="86" t="s">
        <v>371</v>
      </c>
      <c r="D87" s="2">
        <v>0.23079</v>
      </c>
      <c r="E87" s="182">
        <f>89840</f>
        <v>89840</v>
      </c>
      <c r="F87" s="179">
        <f>ROUND(D87*E87, 2)</f>
        <v>20734.169999999998</v>
      </c>
    </row>
    <row r="88" spans="1:6" s="173" customFormat="1" x14ac:dyDescent="0.25">
      <c r="A88" s="86"/>
      <c r="B88" s="183"/>
      <c r="C88" s="86"/>
      <c r="D88" s="2"/>
      <c r="E88" s="184" t="s">
        <v>368</v>
      </c>
      <c r="F88" s="185">
        <f>SUM(F87:F87)</f>
        <v>20734.169999999998</v>
      </c>
    </row>
    <row r="89" spans="1:6" s="173" customFormat="1" x14ac:dyDescent="0.25">
      <c r="A89" s="86"/>
      <c r="B89" s="183"/>
      <c r="C89" s="86"/>
      <c r="D89" s="2"/>
      <c r="E89" s="2"/>
      <c r="F89" s="179"/>
    </row>
    <row r="90" spans="1:6" s="173" customFormat="1" x14ac:dyDescent="0.25">
      <c r="A90" s="86"/>
      <c r="B90" s="183"/>
      <c r="C90" s="86"/>
      <c r="D90" s="2"/>
      <c r="E90" s="186" t="s">
        <v>383</v>
      </c>
      <c r="F90" s="187">
        <f>ROUND(SUM(F76:F88)/2, 0)</f>
        <v>21771</v>
      </c>
    </row>
    <row r="91" spans="1:6" s="173" customFormat="1" x14ac:dyDescent="0.25">
      <c r="A91" s="174" t="str">
        <f>'[2]ACTA 3'!A150</f>
        <v>NP 2.4</v>
      </c>
      <c r="B91" s="189" t="str">
        <f>'[2]ACTA 3'!B150</f>
        <v>Desmonte y reinstalacion de puerta vidriera doble ala y modulos fijos laterales, en 10mm</v>
      </c>
      <c r="C91" s="260" t="s">
        <v>390</v>
      </c>
      <c r="D91" s="260"/>
      <c r="E91" s="260"/>
      <c r="F91" s="260"/>
    </row>
    <row r="92" spans="1:6" s="173" customFormat="1" x14ac:dyDescent="0.25">
      <c r="A92" s="262" t="s">
        <v>320</v>
      </c>
      <c r="B92" s="262"/>
      <c r="C92" s="176" t="s">
        <v>321</v>
      </c>
      <c r="D92" s="176" t="s">
        <v>354</v>
      </c>
      <c r="E92" s="176" t="s">
        <v>355</v>
      </c>
      <c r="F92" s="177" t="s">
        <v>356</v>
      </c>
    </row>
    <row r="93" spans="1:6" s="173" customFormat="1" x14ac:dyDescent="0.25">
      <c r="A93" s="86"/>
      <c r="B93" s="178" t="s">
        <v>357</v>
      </c>
      <c r="C93" s="86"/>
      <c r="D93" s="2"/>
      <c r="E93" s="2"/>
      <c r="F93" s="179"/>
    </row>
    <row r="94" spans="1:6" s="173" customFormat="1" x14ac:dyDescent="0.25">
      <c r="A94" s="86"/>
      <c r="B94" s="183"/>
      <c r="C94" s="86"/>
      <c r="D94" s="2"/>
      <c r="E94" s="184" t="s">
        <v>368</v>
      </c>
      <c r="F94" s="185"/>
    </row>
    <row r="95" spans="1:6" s="173" customFormat="1" x14ac:dyDescent="0.25">
      <c r="A95" s="86"/>
      <c r="B95" s="178" t="s">
        <v>369</v>
      </c>
      <c r="C95" s="86"/>
      <c r="D95" s="2"/>
      <c r="E95" s="2"/>
      <c r="F95" s="179"/>
    </row>
    <row r="96" spans="1:6" s="173" customFormat="1" x14ac:dyDescent="0.25">
      <c r="A96" s="86"/>
      <c r="B96" s="180" t="s">
        <v>385</v>
      </c>
      <c r="C96" s="181" t="s">
        <v>28</v>
      </c>
      <c r="D96" s="2">
        <v>5</v>
      </c>
      <c r="E96" s="182">
        <f>F101</f>
        <v>266667</v>
      </c>
      <c r="F96" s="179">
        <f>ROUND(D96*E96/100, 2)</f>
        <v>13333.35</v>
      </c>
    </row>
    <row r="97" spans="1:6" s="173" customFormat="1" x14ac:dyDescent="0.25">
      <c r="A97" s="86"/>
      <c r="B97" s="183"/>
      <c r="C97" s="86"/>
      <c r="D97" s="2"/>
      <c r="E97" s="184" t="s">
        <v>368</v>
      </c>
      <c r="F97" s="185">
        <f>F96</f>
        <v>13333.35</v>
      </c>
    </row>
    <row r="98" spans="1:6" s="173" customFormat="1" x14ac:dyDescent="0.25">
      <c r="A98" s="86"/>
      <c r="B98" s="178" t="s">
        <v>379</v>
      </c>
      <c r="C98" s="86"/>
      <c r="D98" s="2"/>
      <c r="E98" s="2"/>
      <c r="F98" s="179"/>
    </row>
    <row r="99" spans="1:6" s="173" customFormat="1" x14ac:dyDescent="0.25">
      <c r="A99" s="86"/>
      <c r="B99" s="183"/>
      <c r="C99" s="86"/>
      <c r="D99" s="2"/>
      <c r="E99" s="184" t="s">
        <v>368</v>
      </c>
      <c r="F99" s="185"/>
    </row>
    <row r="100" spans="1:6" s="173" customFormat="1" x14ac:dyDescent="0.25">
      <c r="A100" s="86"/>
      <c r="B100" s="178" t="s">
        <v>381</v>
      </c>
      <c r="C100" s="86"/>
      <c r="D100" s="2"/>
      <c r="E100" s="2"/>
      <c r="F100" s="179"/>
    </row>
    <row r="101" spans="1:6" s="173" customFormat="1" x14ac:dyDescent="0.25">
      <c r="A101" s="86"/>
      <c r="B101" s="183" t="s">
        <v>391</v>
      </c>
      <c r="C101" s="86" t="s">
        <v>371</v>
      </c>
      <c r="D101" s="2">
        <v>1</v>
      </c>
      <c r="E101" s="182">
        <v>266667</v>
      </c>
      <c r="F101" s="179">
        <f>ROUND(D101*E101, 2)</f>
        <v>266667</v>
      </c>
    </row>
    <row r="102" spans="1:6" s="173" customFormat="1" x14ac:dyDescent="0.25">
      <c r="A102" s="86"/>
      <c r="B102" s="183"/>
      <c r="C102" s="86"/>
      <c r="D102" s="2"/>
      <c r="E102" s="184" t="s">
        <v>368</v>
      </c>
      <c r="F102" s="185">
        <f>SUM(F101:F101)</f>
        <v>266667</v>
      </c>
    </row>
    <row r="103" spans="1:6" s="173" customFormat="1" x14ac:dyDescent="0.25">
      <c r="A103" s="86"/>
      <c r="B103" s="183"/>
      <c r="C103" s="86"/>
      <c r="D103" s="2"/>
      <c r="E103" s="2"/>
      <c r="F103" s="179"/>
    </row>
    <row r="104" spans="1:6" s="173" customFormat="1" x14ac:dyDescent="0.25">
      <c r="A104" s="86"/>
      <c r="B104" s="183"/>
      <c r="C104" s="86"/>
      <c r="D104" s="2"/>
      <c r="E104" s="186" t="s">
        <v>383</v>
      </c>
      <c r="F104" s="187">
        <f>ROUND(SUM(F93:F102)/2, 0)</f>
        <v>280000</v>
      </c>
    </row>
    <row r="107" spans="1:6" s="173" customFormat="1" x14ac:dyDescent="0.25">
      <c r="A107" s="174" t="str">
        <f>'[2]ACTA 3'!A151</f>
        <v>NP 2.5</v>
      </c>
      <c r="B107" s="189" t="str">
        <f>'[2]ACTA 3'!B151</f>
        <v>Desmonte de extractores en área de flouroscopio</v>
      </c>
      <c r="C107" s="260" t="s">
        <v>390</v>
      </c>
      <c r="D107" s="260"/>
      <c r="E107" s="260"/>
      <c r="F107" s="260"/>
    </row>
    <row r="108" spans="1:6" s="173" customFormat="1" x14ac:dyDescent="0.25">
      <c r="A108" s="262" t="s">
        <v>320</v>
      </c>
      <c r="B108" s="262"/>
      <c r="C108" s="176" t="s">
        <v>321</v>
      </c>
      <c r="D108" s="176" t="s">
        <v>354</v>
      </c>
      <c r="E108" s="176" t="s">
        <v>355</v>
      </c>
      <c r="F108" s="177" t="s">
        <v>356</v>
      </c>
    </row>
    <row r="109" spans="1:6" s="173" customFormat="1" x14ac:dyDescent="0.25">
      <c r="A109" s="86"/>
      <c r="B109" s="178" t="s">
        <v>357</v>
      </c>
      <c r="C109" s="86"/>
      <c r="D109" s="2"/>
      <c r="E109" s="2"/>
      <c r="F109" s="179"/>
    </row>
    <row r="110" spans="1:6" s="173" customFormat="1" x14ac:dyDescent="0.25">
      <c r="A110" s="86"/>
      <c r="B110" s="183"/>
      <c r="C110" s="86"/>
      <c r="D110" s="2"/>
      <c r="E110" s="184" t="s">
        <v>368</v>
      </c>
      <c r="F110" s="185"/>
    </row>
    <row r="111" spans="1:6" s="173" customFormat="1" x14ac:dyDescent="0.25">
      <c r="A111" s="86"/>
      <c r="B111" s="178" t="s">
        <v>369</v>
      </c>
      <c r="C111" s="86"/>
      <c r="D111" s="2"/>
      <c r="E111" s="2"/>
      <c r="F111" s="179"/>
    </row>
    <row r="112" spans="1:6" s="173" customFormat="1" x14ac:dyDescent="0.25">
      <c r="A112" s="86"/>
      <c r="B112" s="183"/>
      <c r="C112" s="86"/>
      <c r="D112" s="2"/>
      <c r="E112" s="184" t="s">
        <v>368</v>
      </c>
      <c r="F112" s="185"/>
    </row>
    <row r="113" spans="1:6" s="173" customFormat="1" x14ac:dyDescent="0.25">
      <c r="A113" s="86"/>
      <c r="B113" s="178" t="s">
        <v>379</v>
      </c>
      <c r="C113" s="86"/>
      <c r="D113" s="2"/>
      <c r="E113" s="2"/>
      <c r="F113" s="179"/>
    </row>
    <row r="114" spans="1:6" s="173" customFormat="1" x14ac:dyDescent="0.25">
      <c r="A114" s="86"/>
      <c r="B114" s="183"/>
      <c r="C114" s="86"/>
      <c r="D114" s="2"/>
      <c r="E114" s="184" t="s">
        <v>368</v>
      </c>
      <c r="F114" s="185"/>
    </row>
    <row r="115" spans="1:6" s="173" customFormat="1" x14ac:dyDescent="0.25">
      <c r="A115" s="86"/>
      <c r="B115" s="178" t="s">
        <v>381</v>
      </c>
      <c r="C115" s="86"/>
      <c r="D115" s="2"/>
      <c r="E115" s="2"/>
      <c r="F115" s="179"/>
    </row>
    <row r="116" spans="1:6" s="173" customFormat="1" x14ac:dyDescent="0.25">
      <c r="A116" s="86"/>
      <c r="B116" s="183" t="s">
        <v>382</v>
      </c>
      <c r="C116" s="86" t="s">
        <v>371</v>
      </c>
      <c r="D116" s="2">
        <v>0.29411900000000002</v>
      </c>
      <c r="E116" s="182">
        <v>221000</v>
      </c>
      <c r="F116" s="179">
        <f>ROUND(D116*E116, 2)</f>
        <v>65000.3</v>
      </c>
    </row>
    <row r="117" spans="1:6" s="173" customFormat="1" x14ac:dyDescent="0.25">
      <c r="A117" s="86"/>
      <c r="B117" s="183"/>
      <c r="C117" s="86"/>
      <c r="D117" s="2"/>
      <c r="E117" s="184" t="s">
        <v>368</v>
      </c>
      <c r="F117" s="185">
        <f>SUM(F116:F116)</f>
        <v>65000.3</v>
      </c>
    </row>
    <row r="118" spans="1:6" s="173" customFormat="1" x14ac:dyDescent="0.25">
      <c r="A118" s="86"/>
      <c r="B118" s="183"/>
      <c r="C118" s="86"/>
      <c r="D118" s="2"/>
      <c r="E118" s="2"/>
      <c r="F118" s="179"/>
    </row>
    <row r="119" spans="1:6" s="173" customFormat="1" x14ac:dyDescent="0.25">
      <c r="A119" s="86"/>
      <c r="B119" s="183"/>
      <c r="C119" s="86"/>
      <c r="D119" s="2"/>
      <c r="E119" s="186" t="s">
        <v>383</v>
      </c>
      <c r="F119" s="187">
        <f>ROUND(SUM(F109:F117)/2, 0)</f>
        <v>65000</v>
      </c>
    </row>
    <row r="122" spans="1:6" s="173" customFormat="1" x14ac:dyDescent="0.25">
      <c r="A122" s="174" t="str">
        <f>'[2]ACTA 3'!A152</f>
        <v>NP 2.6</v>
      </c>
      <c r="B122" s="189" t="str">
        <f>'[2]ACTA 3'!B152</f>
        <v>Desmonte de cielo raso en PVC para paso de redes tecnicas</v>
      </c>
      <c r="C122" s="260" t="s">
        <v>392</v>
      </c>
      <c r="D122" s="260"/>
      <c r="E122" s="260"/>
      <c r="F122" s="260"/>
    </row>
    <row r="123" spans="1:6" s="173" customFormat="1" x14ac:dyDescent="0.25">
      <c r="A123" s="262" t="s">
        <v>320</v>
      </c>
      <c r="B123" s="262"/>
      <c r="C123" s="176" t="s">
        <v>321</v>
      </c>
      <c r="D123" s="176" t="s">
        <v>354</v>
      </c>
      <c r="E123" s="176" t="s">
        <v>355</v>
      </c>
      <c r="F123" s="177" t="s">
        <v>356</v>
      </c>
    </row>
    <row r="124" spans="1:6" s="173" customFormat="1" x14ac:dyDescent="0.25">
      <c r="A124" s="86"/>
      <c r="B124" s="178" t="s">
        <v>357</v>
      </c>
      <c r="C124" s="86"/>
      <c r="D124" s="2"/>
      <c r="E124" s="2"/>
      <c r="F124" s="179"/>
    </row>
    <row r="125" spans="1:6" s="173" customFormat="1" x14ac:dyDescent="0.25">
      <c r="A125" s="86"/>
      <c r="B125" s="180"/>
      <c r="C125" s="181"/>
      <c r="D125" s="2"/>
      <c r="E125" s="182"/>
      <c r="F125" s="179"/>
    </row>
    <row r="126" spans="1:6" s="173" customFormat="1" x14ac:dyDescent="0.25">
      <c r="A126" s="86"/>
      <c r="B126" s="183"/>
      <c r="C126" s="86"/>
      <c r="D126" s="2"/>
      <c r="E126" s="184" t="s">
        <v>368</v>
      </c>
      <c r="F126" s="185">
        <f>SUM(F125:F125)</f>
        <v>0</v>
      </c>
    </row>
    <row r="127" spans="1:6" s="173" customFormat="1" x14ac:dyDescent="0.25">
      <c r="A127" s="86"/>
      <c r="B127" s="178" t="s">
        <v>369</v>
      </c>
      <c r="C127" s="86"/>
      <c r="D127" s="2"/>
      <c r="E127" s="2"/>
      <c r="F127" s="179"/>
    </row>
    <row r="128" spans="1:6" s="173" customFormat="1" x14ac:dyDescent="0.25">
      <c r="A128" s="86"/>
      <c r="B128" s="180"/>
      <c r="C128" s="181"/>
      <c r="D128" s="2"/>
      <c r="E128" s="182"/>
      <c r="F128" s="179"/>
    </row>
    <row r="129" spans="1:6" s="173" customFormat="1" x14ac:dyDescent="0.25">
      <c r="A129" s="86"/>
      <c r="B129" s="183"/>
      <c r="C129" s="86"/>
      <c r="D129" s="2"/>
      <c r="E129" s="184" t="s">
        <v>368</v>
      </c>
      <c r="F129" s="185">
        <f>F128</f>
        <v>0</v>
      </c>
    </row>
    <row r="130" spans="1:6" s="173" customFormat="1" x14ac:dyDescent="0.25">
      <c r="A130" s="86"/>
      <c r="B130" s="178" t="s">
        <v>379</v>
      </c>
      <c r="C130" s="86"/>
      <c r="D130" s="2"/>
      <c r="E130" s="2"/>
      <c r="F130" s="179"/>
    </row>
    <row r="131" spans="1:6" s="173" customFormat="1" x14ac:dyDescent="0.25">
      <c r="A131" s="86"/>
      <c r="B131" s="180"/>
      <c r="C131" s="181"/>
      <c r="D131" s="2"/>
      <c r="E131" s="182"/>
      <c r="F131" s="179"/>
    </row>
    <row r="132" spans="1:6" s="173" customFormat="1" x14ac:dyDescent="0.25">
      <c r="A132" s="86"/>
      <c r="B132" s="183"/>
      <c r="C132" s="86"/>
      <c r="D132" s="2"/>
      <c r="E132" s="184" t="s">
        <v>368</v>
      </c>
      <c r="F132" s="185">
        <f>SUM(F131:F131)</f>
        <v>0</v>
      </c>
    </row>
    <row r="133" spans="1:6" s="173" customFormat="1" x14ac:dyDescent="0.25">
      <c r="A133" s="86"/>
      <c r="B133" s="178" t="s">
        <v>381</v>
      </c>
      <c r="C133" s="86"/>
      <c r="D133" s="2"/>
      <c r="E133" s="2"/>
      <c r="F133" s="179"/>
    </row>
    <row r="134" spans="1:6" s="173" customFormat="1" x14ac:dyDescent="0.25">
      <c r="A134" s="86"/>
      <c r="B134" s="183" t="s">
        <v>382</v>
      </c>
      <c r="C134" s="86" t="s">
        <v>371</v>
      </c>
      <c r="D134" s="2">
        <v>1.1312199999999999</v>
      </c>
      <c r="E134" s="182">
        <v>221000</v>
      </c>
      <c r="F134" s="179">
        <f>ROUND(D134*E134, 2)</f>
        <v>249999.62</v>
      </c>
    </row>
    <row r="135" spans="1:6" s="173" customFormat="1" x14ac:dyDescent="0.25">
      <c r="A135" s="86"/>
      <c r="B135" s="183"/>
      <c r="C135" s="86"/>
      <c r="D135" s="2"/>
      <c r="E135" s="184" t="s">
        <v>368</v>
      </c>
      <c r="F135" s="185">
        <f>SUM(F134:F134)</f>
        <v>249999.62</v>
      </c>
    </row>
    <row r="136" spans="1:6" s="173" customFormat="1" x14ac:dyDescent="0.25">
      <c r="A136" s="86"/>
      <c r="B136" s="183"/>
      <c r="C136" s="86"/>
      <c r="D136" s="2"/>
      <c r="E136" s="2"/>
      <c r="F136" s="179"/>
    </row>
    <row r="137" spans="1:6" s="173" customFormat="1" x14ac:dyDescent="0.25">
      <c r="A137" s="86"/>
      <c r="B137" s="183"/>
      <c r="C137" s="86"/>
      <c r="D137" s="2"/>
      <c r="E137" s="186" t="s">
        <v>383</v>
      </c>
      <c r="F137" s="187">
        <f>ROUND(SUM(F124:F135)/2, 0)</f>
        <v>250000</v>
      </c>
    </row>
    <row r="138" spans="1:6" s="173" customFormat="1" x14ac:dyDescent="0.25">
      <c r="A138" s="86"/>
      <c r="B138" s="183"/>
      <c r="C138" s="86"/>
      <c r="D138" s="2"/>
      <c r="E138" s="186"/>
      <c r="F138" s="187"/>
    </row>
    <row r="139" spans="1:6" s="173" customFormat="1" x14ac:dyDescent="0.25">
      <c r="A139" s="86"/>
      <c r="B139" s="183"/>
      <c r="C139" s="86"/>
      <c r="D139" s="2"/>
      <c r="E139" s="186"/>
      <c r="F139" s="187"/>
    </row>
    <row r="140" spans="1:6" s="173" customFormat="1" x14ac:dyDescent="0.25">
      <c r="A140" s="174" t="str">
        <f>'[2]ACTA 3'!A153</f>
        <v>NP 2.7</v>
      </c>
      <c r="B140" s="189" t="str">
        <f>'[2]ACTA 3'!B153</f>
        <v>Desmonte de meson en acero</v>
      </c>
      <c r="C140" s="260" t="s">
        <v>390</v>
      </c>
      <c r="D140" s="260"/>
      <c r="E140" s="260"/>
      <c r="F140" s="260"/>
    </row>
    <row r="141" spans="1:6" s="173" customFormat="1" x14ac:dyDescent="0.25">
      <c r="A141" s="262" t="s">
        <v>320</v>
      </c>
      <c r="B141" s="262"/>
      <c r="C141" s="176" t="s">
        <v>321</v>
      </c>
      <c r="D141" s="176" t="s">
        <v>354</v>
      </c>
      <c r="E141" s="176" t="s">
        <v>355</v>
      </c>
      <c r="F141" s="177" t="s">
        <v>356</v>
      </c>
    </row>
    <row r="142" spans="1:6" s="173" customFormat="1" x14ac:dyDescent="0.25">
      <c r="A142" s="86"/>
      <c r="B142" s="178" t="s">
        <v>357</v>
      </c>
      <c r="C142" s="86"/>
      <c r="D142" s="2"/>
      <c r="E142" s="2"/>
      <c r="F142" s="179"/>
    </row>
    <row r="143" spans="1:6" s="173" customFormat="1" x14ac:dyDescent="0.25">
      <c r="A143" s="86"/>
      <c r="B143" s="180"/>
      <c r="C143" s="181"/>
      <c r="D143" s="2"/>
      <c r="E143" s="182"/>
      <c r="F143" s="179">
        <f t="shared" ref="F143" si="4">ROUND(D143*E143, 2)</f>
        <v>0</v>
      </c>
    </row>
    <row r="144" spans="1:6" s="173" customFormat="1" x14ac:dyDescent="0.25">
      <c r="A144" s="86"/>
      <c r="B144" s="183"/>
      <c r="C144" s="86"/>
      <c r="D144" s="2"/>
      <c r="E144" s="184" t="s">
        <v>368</v>
      </c>
      <c r="F144" s="185">
        <f>SUM(F143:F143)</f>
        <v>0</v>
      </c>
    </row>
    <row r="145" spans="1:6" s="173" customFormat="1" x14ac:dyDescent="0.25">
      <c r="A145" s="86"/>
      <c r="B145" s="178" t="s">
        <v>369</v>
      </c>
      <c r="C145" s="86"/>
      <c r="D145" s="2"/>
      <c r="E145" s="2"/>
      <c r="F145" s="179"/>
    </row>
    <row r="146" spans="1:6" s="173" customFormat="1" x14ac:dyDescent="0.25">
      <c r="A146" s="86"/>
      <c r="B146" s="180"/>
      <c r="C146" s="181"/>
      <c r="D146" s="2"/>
      <c r="E146" s="182"/>
      <c r="F146" s="179"/>
    </row>
    <row r="147" spans="1:6" s="173" customFormat="1" x14ac:dyDescent="0.25">
      <c r="A147" s="86"/>
      <c r="B147" s="183"/>
      <c r="C147" s="86"/>
      <c r="D147" s="2"/>
      <c r="E147" s="184" t="s">
        <v>368</v>
      </c>
      <c r="F147" s="185">
        <f>F146</f>
        <v>0</v>
      </c>
    </row>
    <row r="148" spans="1:6" s="173" customFormat="1" x14ac:dyDescent="0.25">
      <c r="A148" s="86"/>
      <c r="B148" s="178" t="s">
        <v>379</v>
      </c>
      <c r="C148" s="86"/>
      <c r="D148" s="2"/>
      <c r="E148" s="2"/>
      <c r="F148" s="179"/>
    </row>
    <row r="149" spans="1:6" s="173" customFormat="1" x14ac:dyDescent="0.25">
      <c r="A149" s="86"/>
      <c r="B149" s="180"/>
      <c r="C149" s="181"/>
      <c r="D149" s="2"/>
      <c r="E149" s="182"/>
      <c r="F149" s="179">
        <f>D149*E149</f>
        <v>0</v>
      </c>
    </row>
    <row r="150" spans="1:6" s="173" customFormat="1" x14ac:dyDescent="0.25">
      <c r="A150" s="86"/>
      <c r="B150" s="183"/>
      <c r="C150" s="86"/>
      <c r="D150" s="2"/>
      <c r="E150" s="184" t="s">
        <v>368</v>
      </c>
      <c r="F150" s="185">
        <f>SUM(F149:F149)</f>
        <v>0</v>
      </c>
    </row>
    <row r="151" spans="1:6" s="173" customFormat="1" x14ac:dyDescent="0.25">
      <c r="A151" s="86"/>
      <c r="B151" s="178" t="s">
        <v>381</v>
      </c>
      <c r="C151" s="86"/>
      <c r="D151" s="2"/>
      <c r="E151" s="2"/>
      <c r="F151" s="179"/>
    </row>
    <row r="152" spans="1:6" s="173" customFormat="1" x14ac:dyDescent="0.25">
      <c r="A152" s="86"/>
      <c r="B152" s="183" t="s">
        <v>382</v>
      </c>
      <c r="C152" s="86" t="s">
        <v>371</v>
      </c>
      <c r="D152" s="2">
        <v>0.20362</v>
      </c>
      <c r="E152" s="182">
        <v>221000</v>
      </c>
      <c r="F152" s="179">
        <f>ROUND(D152*E152, 2)</f>
        <v>45000.02</v>
      </c>
    </row>
    <row r="153" spans="1:6" s="173" customFormat="1" x14ac:dyDescent="0.25">
      <c r="A153" s="86"/>
      <c r="B153" s="183"/>
      <c r="C153" s="86"/>
      <c r="D153" s="2"/>
      <c r="E153" s="184" t="s">
        <v>368</v>
      </c>
      <c r="F153" s="185">
        <f>SUM(F152:F152)</f>
        <v>45000.02</v>
      </c>
    </row>
    <row r="154" spans="1:6" s="173" customFormat="1" x14ac:dyDescent="0.25">
      <c r="A154" s="86"/>
      <c r="B154" s="183"/>
      <c r="C154" s="86"/>
      <c r="D154" s="2"/>
      <c r="E154" s="2"/>
      <c r="F154" s="179"/>
    </row>
    <row r="155" spans="1:6" s="173" customFormat="1" x14ac:dyDescent="0.25">
      <c r="A155" s="86"/>
      <c r="B155" s="183"/>
      <c r="C155" s="86"/>
      <c r="D155" s="2"/>
      <c r="E155" s="186" t="s">
        <v>383</v>
      </c>
      <c r="F155" s="187">
        <f>ROUND(SUM(F142:F153)/2, 0)</f>
        <v>45000</v>
      </c>
    </row>
    <row r="156" spans="1:6" s="173" customFormat="1" x14ac:dyDescent="0.25">
      <c r="A156" s="86"/>
      <c r="B156" s="183"/>
      <c r="C156" s="86"/>
      <c r="D156" s="2"/>
      <c r="E156" s="186"/>
      <c r="F156" s="187"/>
    </row>
    <row r="157" spans="1:6" s="173" customFormat="1" ht="77.45" customHeight="1" x14ac:dyDescent="0.25">
      <c r="A157" s="174" t="str">
        <f>+'[2]ACTA 3'!A154</f>
        <v>NP 2.8</v>
      </c>
      <c r="B157" s="188" t="str">
        <f>+'[2]ACTA 3'!B154</f>
        <v>Excavación  Manual de material heterogeneo 0-2 m (rocas 0.35m3) bajo cualquier grado de humedad. Incluye acarreo desde el sitio de excavación hasta el sitio de cargue.</v>
      </c>
      <c r="C157" s="260" t="s">
        <v>393</v>
      </c>
      <c r="D157" s="260"/>
      <c r="E157" s="260"/>
      <c r="F157" s="260"/>
    </row>
    <row r="158" spans="1:6" s="173" customFormat="1" x14ac:dyDescent="0.25">
      <c r="A158" s="262" t="s">
        <v>320</v>
      </c>
      <c r="B158" s="262"/>
      <c r="C158" s="176" t="s">
        <v>321</v>
      </c>
      <c r="D158" s="176" t="s">
        <v>354</v>
      </c>
      <c r="E158" s="176" t="s">
        <v>355</v>
      </c>
      <c r="F158" s="177" t="s">
        <v>356</v>
      </c>
    </row>
    <row r="159" spans="1:6" s="173" customFormat="1" x14ac:dyDescent="0.25">
      <c r="A159" s="86"/>
      <c r="B159" s="178" t="s">
        <v>357</v>
      </c>
      <c r="C159" s="86"/>
      <c r="D159" s="2"/>
      <c r="E159" s="2"/>
      <c r="F159" s="179"/>
    </row>
    <row r="160" spans="1:6" s="173" customFormat="1" x14ac:dyDescent="0.25">
      <c r="A160" s="86"/>
      <c r="B160" s="180"/>
      <c r="C160" s="181"/>
      <c r="D160" s="2"/>
      <c r="E160" s="182"/>
      <c r="F160" s="179"/>
    </row>
    <row r="161" spans="1:6" s="173" customFormat="1" x14ac:dyDescent="0.25">
      <c r="A161" s="86"/>
      <c r="B161" s="178" t="s">
        <v>369</v>
      </c>
      <c r="C161" s="86"/>
      <c r="D161" s="2"/>
      <c r="E161" s="2"/>
      <c r="F161" s="179"/>
    </row>
    <row r="162" spans="1:6" s="173" customFormat="1" ht="17.45" customHeight="1" x14ac:dyDescent="0.25">
      <c r="A162" s="86"/>
      <c r="B162" s="180" t="s">
        <v>385</v>
      </c>
      <c r="C162" s="181" t="s">
        <v>386</v>
      </c>
      <c r="D162" s="2">
        <v>5</v>
      </c>
      <c r="E162" s="182">
        <f>F168</f>
        <v>55250</v>
      </c>
      <c r="F162" s="179">
        <f>ROUND(D162*E162/100, 2)</f>
        <v>2762.5</v>
      </c>
    </row>
    <row r="163" spans="1:6" s="173" customFormat="1" x14ac:dyDescent="0.25">
      <c r="A163" s="86"/>
      <c r="B163" s="183"/>
      <c r="C163" s="86"/>
      <c r="D163" s="2"/>
      <c r="E163" s="184" t="s">
        <v>368</v>
      </c>
      <c r="F163" s="185">
        <f>SUM(F161:F162)</f>
        <v>2762.5</v>
      </c>
    </row>
    <row r="164" spans="1:6" s="173" customFormat="1" x14ac:dyDescent="0.25">
      <c r="A164" s="86"/>
      <c r="B164" s="178" t="s">
        <v>379</v>
      </c>
      <c r="C164" s="86"/>
      <c r="D164" s="2"/>
      <c r="E164" s="2"/>
      <c r="F164" s="179"/>
    </row>
    <row r="165" spans="1:6" x14ac:dyDescent="0.25">
      <c r="B165" s="180" t="s">
        <v>394</v>
      </c>
      <c r="C165" s="181" t="s">
        <v>204</v>
      </c>
      <c r="D165" s="2">
        <v>2.5</v>
      </c>
      <c r="E165" s="182">
        <v>9500</v>
      </c>
      <c r="F165" s="179">
        <f>ROUND(D165*E165, 2)</f>
        <v>23750</v>
      </c>
    </row>
    <row r="166" spans="1:6" s="173" customFormat="1" x14ac:dyDescent="0.25">
      <c r="A166" s="86"/>
      <c r="B166" s="183"/>
      <c r="C166" s="86"/>
      <c r="D166" s="2"/>
      <c r="E166" s="184" t="s">
        <v>368</v>
      </c>
      <c r="F166" s="185">
        <f>SUM(F165:F165)</f>
        <v>23750</v>
      </c>
    </row>
    <row r="167" spans="1:6" s="173" customFormat="1" x14ac:dyDescent="0.25">
      <c r="A167" s="86"/>
      <c r="B167" s="178" t="s">
        <v>381</v>
      </c>
      <c r="C167" s="86"/>
      <c r="D167" s="2"/>
      <c r="E167" s="2"/>
      <c r="F167" s="179"/>
    </row>
    <row r="168" spans="1:6" s="173" customFormat="1" x14ac:dyDescent="0.25">
      <c r="A168" s="86"/>
      <c r="B168" s="183" t="s">
        <v>382</v>
      </c>
      <c r="C168" s="86" t="s">
        <v>371</v>
      </c>
      <c r="D168" s="2">
        <v>0.25</v>
      </c>
      <c r="E168" s="182">
        <v>221000</v>
      </c>
      <c r="F168" s="179">
        <f>ROUND(D168*E168, 2)</f>
        <v>55250</v>
      </c>
    </row>
    <row r="169" spans="1:6" s="173" customFormat="1" x14ac:dyDescent="0.25">
      <c r="A169" s="86"/>
      <c r="B169" s="183"/>
      <c r="C169" s="86"/>
      <c r="D169" s="2"/>
      <c r="E169" s="184" t="s">
        <v>368</v>
      </c>
      <c r="F169" s="185">
        <f>SUM(F168:F168)</f>
        <v>55250</v>
      </c>
    </row>
    <row r="170" spans="1:6" s="173" customFormat="1" x14ac:dyDescent="0.25">
      <c r="A170" s="86"/>
      <c r="B170" s="183"/>
      <c r="C170" s="86"/>
      <c r="D170" s="2"/>
      <c r="E170" s="2"/>
      <c r="F170" s="179"/>
    </row>
    <row r="171" spans="1:6" s="173" customFormat="1" x14ac:dyDescent="0.25">
      <c r="A171" s="86"/>
      <c r="B171" s="183"/>
      <c r="C171" s="86"/>
      <c r="D171" s="2"/>
      <c r="E171" s="186" t="s">
        <v>383</v>
      </c>
      <c r="F171" s="187">
        <f>ROUND(SUM(F159:F169)/2, 0)</f>
        <v>81763</v>
      </c>
    </row>
    <row r="172" spans="1:6" s="173" customFormat="1" x14ac:dyDescent="0.25">
      <c r="A172" s="86"/>
      <c r="B172" s="183"/>
      <c r="C172" s="86"/>
      <c r="D172" s="2"/>
      <c r="E172" s="186"/>
      <c r="F172" s="187"/>
    </row>
    <row r="173" spans="1:6" s="173" customFormat="1" ht="45" x14ac:dyDescent="0.25">
      <c r="A173" s="174" t="str">
        <f>+'[2]ACTA 3'!A155</f>
        <v>NP 2.9</v>
      </c>
      <c r="B173" s="188" t="str">
        <f>+'[2]ACTA 3'!B155</f>
        <v>Lleno en Material proveniente de la Excavacion (Areno-limoso) y material de prestamo de acuerdo a necesidad, compactados mecánicamente. Incluye transporte interno.</v>
      </c>
      <c r="C173" s="260" t="s">
        <v>393</v>
      </c>
      <c r="D173" s="260"/>
      <c r="E173" s="260"/>
      <c r="F173" s="260"/>
    </row>
    <row r="174" spans="1:6" s="173" customFormat="1" x14ac:dyDescent="0.25">
      <c r="A174" s="262" t="s">
        <v>320</v>
      </c>
      <c r="B174" s="262"/>
      <c r="C174" s="176" t="s">
        <v>321</v>
      </c>
      <c r="D174" s="176" t="s">
        <v>354</v>
      </c>
      <c r="E174" s="176" t="s">
        <v>355</v>
      </c>
      <c r="F174" s="177" t="s">
        <v>356</v>
      </c>
    </row>
    <row r="175" spans="1:6" s="173" customFormat="1" x14ac:dyDescent="0.25">
      <c r="A175" s="86"/>
      <c r="B175" s="178" t="s">
        <v>357</v>
      </c>
      <c r="C175" s="86"/>
      <c r="D175" s="2"/>
      <c r="E175" s="2"/>
      <c r="F175" s="179"/>
    </row>
    <row r="176" spans="1:6" s="173" customFormat="1" ht="30" x14ac:dyDescent="0.25">
      <c r="A176" s="86"/>
      <c r="B176" s="183" t="s">
        <v>395</v>
      </c>
      <c r="C176" s="181" t="s">
        <v>70</v>
      </c>
      <c r="D176" s="2">
        <v>0.5</v>
      </c>
      <c r="E176" s="182">
        <v>48240</v>
      </c>
      <c r="F176" s="179">
        <f t="shared" ref="F176" si="5">ROUND(D176*E176, 2)</f>
        <v>24120</v>
      </c>
    </row>
    <row r="177" spans="1:6" s="173" customFormat="1" x14ac:dyDescent="0.25">
      <c r="A177" s="86"/>
      <c r="B177" s="183"/>
      <c r="C177" s="86"/>
      <c r="D177" s="2"/>
      <c r="E177" s="184" t="s">
        <v>368</v>
      </c>
      <c r="F177" s="185">
        <f>SUM(F176:F176)</f>
        <v>24120</v>
      </c>
    </row>
    <row r="178" spans="1:6" s="173" customFormat="1" x14ac:dyDescent="0.25">
      <c r="A178" s="86"/>
      <c r="B178" s="178" t="s">
        <v>369</v>
      </c>
      <c r="C178" s="86"/>
      <c r="D178" s="2"/>
      <c r="E178" s="2"/>
      <c r="F178" s="179"/>
    </row>
    <row r="179" spans="1:6" s="173" customFormat="1" ht="17.45" customHeight="1" x14ac:dyDescent="0.25">
      <c r="A179" s="86"/>
      <c r="B179" s="180" t="s">
        <v>385</v>
      </c>
      <c r="C179" s="181" t="s">
        <v>386</v>
      </c>
      <c r="D179" s="2">
        <v>5</v>
      </c>
      <c r="E179" s="182">
        <f>F186</f>
        <v>39780</v>
      </c>
      <c r="F179" s="179">
        <f>ROUND(D179*E179/100, 2)</f>
        <v>1989</v>
      </c>
    </row>
    <row r="180" spans="1:6" s="173" customFormat="1" ht="17.45" customHeight="1" x14ac:dyDescent="0.25">
      <c r="A180" s="86"/>
      <c r="B180" s="183" t="s">
        <v>396</v>
      </c>
      <c r="C180" s="86" t="s">
        <v>204</v>
      </c>
      <c r="D180" s="2">
        <v>2</v>
      </c>
      <c r="E180" s="182">
        <v>8500</v>
      </c>
      <c r="F180" s="179">
        <f>ROUND(D180*E180, 2)</f>
        <v>17000</v>
      </c>
    </row>
    <row r="181" spans="1:6" s="173" customFormat="1" x14ac:dyDescent="0.25">
      <c r="A181" s="86"/>
      <c r="B181" s="183"/>
      <c r="C181" s="86"/>
      <c r="D181" s="2"/>
      <c r="E181" s="184" t="s">
        <v>368</v>
      </c>
      <c r="F181" s="185">
        <f>SUM(F178:F179)</f>
        <v>1989</v>
      </c>
    </row>
    <row r="182" spans="1:6" s="173" customFormat="1" x14ac:dyDescent="0.25">
      <c r="A182" s="86"/>
      <c r="B182" s="178" t="s">
        <v>379</v>
      </c>
      <c r="C182" s="86"/>
      <c r="D182" s="2"/>
      <c r="E182" s="2"/>
      <c r="F182" s="179"/>
    </row>
    <row r="183" spans="1:6" x14ac:dyDescent="0.25">
      <c r="B183" s="180" t="s">
        <v>394</v>
      </c>
      <c r="C183" s="181" t="s">
        <v>204</v>
      </c>
      <c r="D183" s="2">
        <v>2</v>
      </c>
      <c r="E183" s="182">
        <v>9500</v>
      </c>
      <c r="F183" s="179">
        <f>ROUND(D183*E183, 2)</f>
        <v>19000</v>
      </c>
    </row>
    <row r="184" spans="1:6" s="173" customFormat="1" x14ac:dyDescent="0.25">
      <c r="A184" s="86"/>
      <c r="B184" s="183"/>
      <c r="C184" s="86"/>
      <c r="D184" s="2"/>
      <c r="E184" s="184" t="s">
        <v>368</v>
      </c>
      <c r="F184" s="185">
        <f>SUM(F183:F183)</f>
        <v>19000</v>
      </c>
    </row>
    <row r="185" spans="1:6" s="173" customFormat="1" x14ac:dyDescent="0.25">
      <c r="A185" s="86"/>
      <c r="B185" s="178" t="s">
        <v>381</v>
      </c>
      <c r="C185" s="86"/>
      <c r="D185" s="2"/>
      <c r="E185" s="2"/>
      <c r="F185" s="179"/>
    </row>
    <row r="186" spans="1:6" s="173" customFormat="1" x14ac:dyDescent="0.25">
      <c r="A186" s="86"/>
      <c r="B186" s="183" t="s">
        <v>382</v>
      </c>
      <c r="C186" s="86" t="s">
        <v>371</v>
      </c>
      <c r="D186" s="2">
        <v>0.18</v>
      </c>
      <c r="E186" s="182">
        <v>221000</v>
      </c>
      <c r="F186" s="179">
        <f>ROUND(D186*E186, 2)</f>
        <v>39780</v>
      </c>
    </row>
    <row r="187" spans="1:6" s="173" customFormat="1" x14ac:dyDescent="0.25">
      <c r="A187" s="86"/>
      <c r="B187" s="183"/>
      <c r="C187" s="86"/>
      <c r="D187" s="2"/>
      <c r="E187" s="184" t="s">
        <v>368</v>
      </c>
      <c r="F187" s="185">
        <f>SUM(F186:F186)</f>
        <v>39780</v>
      </c>
    </row>
    <row r="188" spans="1:6" s="173" customFormat="1" x14ac:dyDescent="0.25">
      <c r="A188" s="86"/>
      <c r="B188" s="183"/>
      <c r="C188" s="86"/>
      <c r="D188" s="2"/>
      <c r="E188" s="2"/>
      <c r="F188" s="179"/>
    </row>
    <row r="189" spans="1:6" s="173" customFormat="1" x14ac:dyDescent="0.25">
      <c r="A189" s="86"/>
      <c r="B189" s="183"/>
      <c r="C189" s="86"/>
      <c r="D189" s="2"/>
      <c r="E189" s="186" t="s">
        <v>383</v>
      </c>
      <c r="F189" s="187">
        <f>ROUND(SUM(F175:F187)/2, 0)</f>
        <v>93389</v>
      </c>
    </row>
    <row r="190" spans="1:6" s="173" customFormat="1" x14ac:dyDescent="0.25">
      <c r="A190" s="86"/>
      <c r="B190" s="183"/>
      <c r="C190" s="86"/>
      <c r="D190" s="2"/>
      <c r="E190" s="186"/>
      <c r="F190" s="187"/>
    </row>
    <row r="191" spans="1:6" s="173" customFormat="1" x14ac:dyDescent="0.25">
      <c r="A191" s="86"/>
      <c r="B191" s="183"/>
      <c r="C191" s="86"/>
      <c r="D191" s="2"/>
      <c r="E191" s="186"/>
      <c r="F191" s="187"/>
    </row>
    <row r="192" spans="1:6" s="173" customFormat="1" x14ac:dyDescent="0.25">
      <c r="A192" s="174" t="str">
        <f>'[2]ACTA 3'!A156</f>
        <v>NP 3.1</v>
      </c>
      <c r="B192" s="189" t="str">
        <f>'[2]ACTA 3'!B156</f>
        <v xml:space="preserve">Impermeabilización de muros en zonas afectadas por humedad, incluye preparación de superficie e imprimación </v>
      </c>
      <c r="C192" s="260" t="s">
        <v>397</v>
      </c>
      <c r="D192" s="260"/>
      <c r="E192" s="260"/>
      <c r="F192" s="260"/>
    </row>
    <row r="193" spans="1:6" s="173" customFormat="1" x14ac:dyDescent="0.25">
      <c r="A193" s="262" t="s">
        <v>320</v>
      </c>
      <c r="B193" s="262"/>
      <c r="C193" s="176" t="s">
        <v>321</v>
      </c>
      <c r="D193" s="176" t="s">
        <v>354</v>
      </c>
      <c r="E193" s="176" t="s">
        <v>355</v>
      </c>
      <c r="F193" s="177" t="s">
        <v>356</v>
      </c>
    </row>
    <row r="194" spans="1:6" s="173" customFormat="1" x14ac:dyDescent="0.25">
      <c r="A194" s="86"/>
      <c r="B194" s="178" t="s">
        <v>357</v>
      </c>
      <c r="C194" s="86"/>
      <c r="D194" s="2"/>
      <c r="E194" s="2"/>
      <c r="F194" s="179"/>
    </row>
    <row r="195" spans="1:6" s="173" customFormat="1" x14ac:dyDescent="0.25">
      <c r="A195" s="86"/>
      <c r="B195" s="180"/>
      <c r="C195" s="181"/>
      <c r="D195" s="2"/>
      <c r="E195" s="182"/>
      <c r="F195" s="179"/>
    </row>
    <row r="196" spans="1:6" s="173" customFormat="1" x14ac:dyDescent="0.25">
      <c r="A196" s="86"/>
      <c r="B196" s="183"/>
      <c r="C196" s="86"/>
      <c r="D196" s="2"/>
      <c r="E196" s="184" t="s">
        <v>368</v>
      </c>
      <c r="F196" s="185">
        <f>SUM(F195:F195)</f>
        <v>0</v>
      </c>
    </row>
    <row r="197" spans="1:6" s="173" customFormat="1" x14ac:dyDescent="0.25">
      <c r="A197" s="86"/>
      <c r="B197" s="178" t="s">
        <v>369</v>
      </c>
      <c r="C197" s="86"/>
      <c r="D197" s="2"/>
      <c r="E197" s="2"/>
      <c r="F197" s="179"/>
    </row>
    <row r="198" spans="1:6" s="173" customFormat="1" x14ac:dyDescent="0.25">
      <c r="A198" s="86"/>
      <c r="B198" s="180"/>
      <c r="C198" s="181"/>
      <c r="D198" s="2"/>
      <c r="E198" s="182"/>
      <c r="F198" s="179"/>
    </row>
    <row r="199" spans="1:6" s="173" customFormat="1" x14ac:dyDescent="0.25">
      <c r="A199" s="86"/>
      <c r="B199" s="183"/>
      <c r="C199" s="86"/>
      <c r="D199" s="2"/>
      <c r="E199" s="184" t="s">
        <v>368</v>
      </c>
      <c r="F199" s="185">
        <f>F198</f>
        <v>0</v>
      </c>
    </row>
    <row r="200" spans="1:6" s="173" customFormat="1" x14ac:dyDescent="0.25">
      <c r="A200" s="86"/>
      <c r="B200" s="178" t="s">
        <v>379</v>
      </c>
      <c r="C200" s="86"/>
      <c r="D200" s="2"/>
      <c r="E200" s="2"/>
      <c r="F200" s="179"/>
    </row>
    <row r="201" spans="1:6" s="173" customFormat="1" x14ac:dyDescent="0.25">
      <c r="A201" s="86"/>
      <c r="B201" s="180"/>
      <c r="C201" s="181"/>
      <c r="D201" s="2"/>
      <c r="E201" s="182"/>
      <c r="F201" s="179"/>
    </row>
    <row r="202" spans="1:6" s="173" customFormat="1" x14ac:dyDescent="0.25">
      <c r="A202" s="86"/>
      <c r="B202" s="183"/>
      <c r="C202" s="86"/>
      <c r="D202" s="2"/>
      <c r="E202" s="184" t="s">
        <v>368</v>
      </c>
      <c r="F202" s="185">
        <f>SUM(F201:F201)</f>
        <v>0</v>
      </c>
    </row>
    <row r="203" spans="1:6" s="173" customFormat="1" x14ac:dyDescent="0.25">
      <c r="A203" s="86"/>
      <c r="B203" s="178" t="s">
        <v>381</v>
      </c>
      <c r="C203" s="86"/>
      <c r="D203" s="2"/>
      <c r="E203" s="2"/>
      <c r="F203" s="179"/>
    </row>
    <row r="204" spans="1:6" s="173" customFormat="1" x14ac:dyDescent="0.25">
      <c r="A204" s="86"/>
      <c r="B204" s="183" t="s">
        <v>387</v>
      </c>
      <c r="C204" s="86" t="s">
        <v>371</v>
      </c>
      <c r="D204" s="2">
        <v>1.94791</v>
      </c>
      <c r="E204" s="182">
        <f>2*89840</f>
        <v>179680</v>
      </c>
      <c r="F204" s="179">
        <f>ROUND(D204*E204, 2)</f>
        <v>350000.47</v>
      </c>
    </row>
    <row r="205" spans="1:6" s="173" customFormat="1" x14ac:dyDescent="0.25">
      <c r="A205" s="86"/>
      <c r="B205" s="183"/>
      <c r="C205" s="86"/>
      <c r="D205" s="2"/>
      <c r="E205" s="184" t="s">
        <v>368</v>
      </c>
      <c r="F205" s="185">
        <f>SUM(F204:F204)</f>
        <v>350000.47</v>
      </c>
    </row>
    <row r="206" spans="1:6" s="173" customFormat="1" x14ac:dyDescent="0.25">
      <c r="A206" s="86"/>
      <c r="B206" s="183"/>
      <c r="C206" s="86"/>
      <c r="D206" s="2"/>
      <c r="E206" s="2"/>
      <c r="F206" s="179"/>
    </row>
    <row r="207" spans="1:6" s="173" customFormat="1" x14ac:dyDescent="0.25">
      <c r="A207" s="86"/>
      <c r="B207" s="183"/>
      <c r="C207" s="86"/>
      <c r="D207" s="2"/>
      <c r="E207" s="186" t="s">
        <v>383</v>
      </c>
      <c r="F207" s="187">
        <f>ROUND(SUM(F194:F205)/2, 0)</f>
        <v>350000</v>
      </c>
    </row>
    <row r="208" spans="1:6" s="173" customFormat="1" x14ac:dyDescent="0.25">
      <c r="A208" s="86"/>
      <c r="B208" s="183"/>
      <c r="C208" s="86"/>
      <c r="D208" s="2"/>
      <c r="E208" s="186"/>
      <c r="F208" s="187"/>
    </row>
    <row r="209" spans="1:6" s="173" customFormat="1" x14ac:dyDescent="0.25">
      <c r="A209" s="86"/>
      <c r="B209" s="183"/>
      <c r="C209" s="86"/>
      <c r="D209" s="2"/>
      <c r="E209" s="186"/>
      <c r="F209" s="187"/>
    </row>
    <row r="210" spans="1:6" s="173" customFormat="1" ht="30" x14ac:dyDescent="0.25">
      <c r="A210" s="174" t="str">
        <f>'[2]ACTA 3'!A157</f>
        <v>NP 3.2</v>
      </c>
      <c r="B210" s="188" t="str">
        <f>'[2]ACTA 3'!B157</f>
        <v>Regatas en mamposteria de bloque para ductos tecnicos, incluye canchada y resanada</v>
      </c>
      <c r="C210" s="260" t="s">
        <v>398</v>
      </c>
      <c r="D210" s="260"/>
      <c r="E210" s="260"/>
      <c r="F210" s="260"/>
    </row>
    <row r="211" spans="1:6" s="173" customFormat="1" x14ac:dyDescent="0.25">
      <c r="A211" s="262" t="s">
        <v>320</v>
      </c>
      <c r="B211" s="262"/>
      <c r="C211" s="176" t="s">
        <v>321</v>
      </c>
      <c r="D211" s="176" t="s">
        <v>354</v>
      </c>
      <c r="E211" s="176" t="s">
        <v>355</v>
      </c>
      <c r="F211" s="177" t="s">
        <v>356</v>
      </c>
    </row>
    <row r="212" spans="1:6" s="173" customFormat="1" x14ac:dyDescent="0.25">
      <c r="A212" s="86"/>
      <c r="B212" s="178" t="s">
        <v>357</v>
      </c>
      <c r="C212" s="86"/>
      <c r="D212" s="2"/>
      <c r="E212" s="2"/>
      <c r="F212" s="179"/>
    </row>
    <row r="213" spans="1:6" s="173" customFormat="1" x14ac:dyDescent="0.25">
      <c r="A213" s="86"/>
      <c r="B213" s="180"/>
      <c r="C213" s="181"/>
      <c r="D213" s="2"/>
      <c r="E213" s="182"/>
      <c r="F213" s="179"/>
    </row>
    <row r="214" spans="1:6" s="173" customFormat="1" x14ac:dyDescent="0.25">
      <c r="A214" s="86"/>
      <c r="B214" s="183"/>
      <c r="C214" s="86"/>
      <c r="D214" s="2"/>
      <c r="E214" s="184" t="s">
        <v>368</v>
      </c>
      <c r="F214" s="185">
        <f>SUM(F213:F213)</f>
        <v>0</v>
      </c>
    </row>
    <row r="215" spans="1:6" s="173" customFormat="1" x14ac:dyDescent="0.25">
      <c r="A215" s="86"/>
      <c r="B215" s="178" t="s">
        <v>369</v>
      </c>
      <c r="C215" s="86"/>
      <c r="D215" s="2"/>
      <c r="E215" s="2"/>
      <c r="F215" s="179"/>
    </row>
    <row r="216" spans="1:6" s="173" customFormat="1" x14ac:dyDescent="0.25">
      <c r="A216" s="86"/>
      <c r="B216" s="180"/>
      <c r="C216" s="181"/>
      <c r="D216" s="2"/>
      <c r="E216" s="182"/>
      <c r="F216" s="179"/>
    </row>
    <row r="217" spans="1:6" s="173" customFormat="1" x14ac:dyDescent="0.25">
      <c r="A217" s="86"/>
      <c r="B217" s="183"/>
      <c r="C217" s="86"/>
      <c r="D217" s="2"/>
      <c r="E217" s="184" t="s">
        <v>368</v>
      </c>
      <c r="F217" s="185">
        <f>F216</f>
        <v>0</v>
      </c>
    </row>
    <row r="218" spans="1:6" s="173" customFormat="1" x14ac:dyDescent="0.25">
      <c r="A218" s="86"/>
      <c r="B218" s="178" t="s">
        <v>379</v>
      </c>
      <c r="C218" s="86"/>
      <c r="D218" s="2"/>
      <c r="E218" s="2"/>
      <c r="F218" s="179"/>
    </row>
    <row r="219" spans="1:6" s="173" customFormat="1" x14ac:dyDescent="0.25">
      <c r="A219" s="86"/>
      <c r="B219" s="180"/>
      <c r="C219" s="181"/>
      <c r="D219" s="2"/>
      <c r="E219" s="182"/>
      <c r="F219" s="179"/>
    </row>
    <row r="220" spans="1:6" s="173" customFormat="1" x14ac:dyDescent="0.25">
      <c r="A220" s="86"/>
      <c r="B220" s="183"/>
      <c r="C220" s="86"/>
      <c r="D220" s="2"/>
      <c r="E220" s="184" t="s">
        <v>368</v>
      </c>
      <c r="F220" s="185">
        <f>SUM(F219:F219)</f>
        <v>0</v>
      </c>
    </row>
    <row r="221" spans="1:6" s="173" customFormat="1" x14ac:dyDescent="0.25">
      <c r="A221" s="86"/>
      <c r="B221" s="178" t="s">
        <v>381</v>
      </c>
      <c r="C221" s="86"/>
      <c r="D221" s="2"/>
      <c r="E221" s="2"/>
      <c r="F221" s="179"/>
    </row>
    <row r="222" spans="1:6" s="173" customFormat="1" x14ac:dyDescent="0.25">
      <c r="A222" s="86"/>
      <c r="B222" s="183" t="s">
        <v>387</v>
      </c>
      <c r="C222" s="86" t="s">
        <v>371</v>
      </c>
      <c r="D222" s="2">
        <v>1.94791</v>
      </c>
      <c r="E222" s="182">
        <v>179680</v>
      </c>
      <c r="F222" s="179">
        <f>ROUND(D222*E222, 2)</f>
        <v>350000.47</v>
      </c>
    </row>
    <row r="223" spans="1:6" s="173" customFormat="1" x14ac:dyDescent="0.25">
      <c r="A223" s="86"/>
      <c r="B223" s="183"/>
      <c r="C223" s="86"/>
      <c r="D223" s="2"/>
      <c r="E223" s="184" t="s">
        <v>368</v>
      </c>
      <c r="F223" s="185">
        <f>SUM(F222:F222)</f>
        <v>350000.47</v>
      </c>
    </row>
    <row r="224" spans="1:6" s="173" customFormat="1" x14ac:dyDescent="0.25">
      <c r="A224" s="86"/>
      <c r="B224" s="183"/>
      <c r="C224" s="86"/>
      <c r="D224" s="2"/>
      <c r="E224" s="2"/>
      <c r="F224" s="179"/>
    </row>
    <row r="225" spans="1:6" s="173" customFormat="1" x14ac:dyDescent="0.25">
      <c r="A225" s="86"/>
      <c r="B225" s="183"/>
      <c r="C225" s="86"/>
      <c r="D225" s="2"/>
      <c r="E225" s="186" t="s">
        <v>383</v>
      </c>
      <c r="F225" s="187">
        <f>ROUND(SUM(F212:F223)/2, 0)</f>
        <v>350000</v>
      </c>
    </row>
    <row r="226" spans="1:6" s="173" customFormat="1" x14ac:dyDescent="0.25">
      <c r="A226" s="86"/>
      <c r="B226" s="183"/>
      <c r="C226" s="86"/>
      <c r="D226" s="2"/>
      <c r="E226" s="186"/>
      <c r="F226" s="187"/>
    </row>
    <row r="227" spans="1:6" s="173" customFormat="1" x14ac:dyDescent="0.25">
      <c r="A227" s="86"/>
      <c r="B227" s="183"/>
      <c r="C227" s="86"/>
      <c r="D227" s="2"/>
      <c r="E227" s="186"/>
      <c r="F227" s="187"/>
    </row>
    <row r="228" spans="1:6" s="173" customFormat="1" x14ac:dyDescent="0.25">
      <c r="A228" s="174" t="str">
        <f>'[2]ACTA 3'!A158</f>
        <v>NP 3.3</v>
      </c>
      <c r="B228" s="189" t="str">
        <f>'[2]ACTA 3'!B158</f>
        <v>Apertura en mamposteria para pases de ducteria tecnica en plenum</v>
      </c>
      <c r="C228" s="260" t="s">
        <v>398</v>
      </c>
      <c r="D228" s="260"/>
      <c r="E228" s="260"/>
      <c r="F228" s="260"/>
    </row>
    <row r="229" spans="1:6" s="173" customFormat="1" x14ac:dyDescent="0.25">
      <c r="A229" s="262" t="s">
        <v>320</v>
      </c>
      <c r="B229" s="262"/>
      <c r="C229" s="176" t="s">
        <v>321</v>
      </c>
      <c r="D229" s="176" t="s">
        <v>354</v>
      </c>
      <c r="E229" s="176" t="s">
        <v>355</v>
      </c>
      <c r="F229" s="177" t="s">
        <v>356</v>
      </c>
    </row>
    <row r="230" spans="1:6" s="173" customFormat="1" x14ac:dyDescent="0.25">
      <c r="A230" s="86"/>
      <c r="B230" s="178" t="s">
        <v>357</v>
      </c>
      <c r="C230" s="86"/>
      <c r="D230" s="2"/>
      <c r="E230" s="2"/>
      <c r="F230" s="179"/>
    </row>
    <row r="231" spans="1:6" s="173" customFormat="1" x14ac:dyDescent="0.25">
      <c r="A231" s="86"/>
      <c r="B231" s="180"/>
      <c r="C231" s="181"/>
      <c r="D231" s="2"/>
      <c r="E231" s="182"/>
      <c r="F231" s="179"/>
    </row>
    <row r="232" spans="1:6" s="173" customFormat="1" x14ac:dyDescent="0.25">
      <c r="A232" s="86"/>
      <c r="B232" s="183"/>
      <c r="C232" s="86"/>
      <c r="D232" s="2"/>
      <c r="E232" s="184" t="s">
        <v>368</v>
      </c>
      <c r="F232" s="185">
        <f>SUM(F231:F231)</f>
        <v>0</v>
      </c>
    </row>
    <row r="233" spans="1:6" s="173" customFormat="1" x14ac:dyDescent="0.25">
      <c r="A233" s="86"/>
      <c r="B233" s="178" t="s">
        <v>369</v>
      </c>
      <c r="C233" s="86"/>
      <c r="D233" s="2"/>
      <c r="E233" s="2"/>
      <c r="F233" s="179"/>
    </row>
    <row r="234" spans="1:6" s="173" customFormat="1" x14ac:dyDescent="0.25">
      <c r="A234" s="86"/>
      <c r="B234" s="180"/>
      <c r="C234" s="181"/>
      <c r="D234" s="2"/>
      <c r="E234" s="182"/>
      <c r="F234" s="179"/>
    </row>
    <row r="235" spans="1:6" s="173" customFormat="1" x14ac:dyDescent="0.25">
      <c r="A235" s="86"/>
      <c r="B235" s="180"/>
      <c r="C235" s="181"/>
      <c r="D235" s="2"/>
      <c r="E235" s="182"/>
      <c r="F235" s="179"/>
    </row>
    <row r="236" spans="1:6" s="173" customFormat="1" x14ac:dyDescent="0.25">
      <c r="A236" s="86"/>
      <c r="B236" s="183"/>
      <c r="C236" s="86"/>
      <c r="D236" s="2"/>
      <c r="E236" s="182"/>
      <c r="F236" s="179"/>
    </row>
    <row r="237" spans="1:6" s="173" customFormat="1" x14ac:dyDescent="0.25">
      <c r="A237" s="86"/>
      <c r="B237" s="180"/>
      <c r="C237" s="181"/>
      <c r="D237" s="2"/>
      <c r="E237" s="182"/>
      <c r="F237" s="179"/>
    </row>
    <row r="238" spans="1:6" s="173" customFormat="1" x14ac:dyDescent="0.25">
      <c r="A238" s="86"/>
      <c r="B238" s="180"/>
      <c r="C238" s="181"/>
      <c r="D238" s="2"/>
      <c r="E238" s="182"/>
      <c r="F238" s="179"/>
    </row>
    <row r="239" spans="1:6" s="173" customFormat="1" x14ac:dyDescent="0.25">
      <c r="A239" s="86"/>
      <c r="B239" s="183"/>
      <c r="C239" s="86"/>
      <c r="D239" s="2"/>
      <c r="E239" s="184" t="s">
        <v>368</v>
      </c>
      <c r="F239" s="185">
        <f>SUM(F234:F237)</f>
        <v>0</v>
      </c>
    </row>
    <row r="240" spans="1:6" s="173" customFormat="1" x14ac:dyDescent="0.25">
      <c r="A240" s="86"/>
      <c r="B240" s="178" t="s">
        <v>379</v>
      </c>
      <c r="C240" s="86"/>
      <c r="D240" s="2"/>
      <c r="E240" s="2"/>
      <c r="F240" s="179"/>
    </row>
    <row r="241" spans="1:6" s="173" customFormat="1" x14ac:dyDescent="0.25">
      <c r="A241" s="86"/>
      <c r="B241" s="180"/>
      <c r="C241" s="181"/>
      <c r="D241" s="2"/>
      <c r="E241" s="182"/>
      <c r="F241" s="179">
        <f>D241*E241</f>
        <v>0</v>
      </c>
    </row>
    <row r="242" spans="1:6" s="173" customFormat="1" x14ac:dyDescent="0.25">
      <c r="A242" s="86"/>
      <c r="B242" s="183"/>
      <c r="C242" s="86"/>
      <c r="D242" s="2"/>
      <c r="E242" s="184" t="s">
        <v>368</v>
      </c>
      <c r="F242" s="185">
        <f>SUM(F241:F241)</f>
        <v>0</v>
      </c>
    </row>
    <row r="243" spans="1:6" s="173" customFormat="1" x14ac:dyDescent="0.25">
      <c r="A243" s="86"/>
      <c r="B243" s="178" t="s">
        <v>381</v>
      </c>
      <c r="C243" s="86"/>
      <c r="D243" s="2"/>
      <c r="E243" s="2"/>
      <c r="F243" s="179"/>
    </row>
    <row r="244" spans="1:6" s="173" customFormat="1" x14ac:dyDescent="0.25">
      <c r="A244" s="86"/>
      <c r="B244" s="183" t="s">
        <v>387</v>
      </c>
      <c r="C244" s="86" t="s">
        <v>371</v>
      </c>
      <c r="D244" s="2">
        <v>0.25323000000000001</v>
      </c>
      <c r="E244" s="182">
        <f>2*89840</f>
        <v>179680</v>
      </c>
      <c r="F244" s="179">
        <f>ROUND(D244*E244, 2)</f>
        <v>45500.37</v>
      </c>
    </row>
    <row r="245" spans="1:6" s="173" customFormat="1" x14ac:dyDescent="0.25">
      <c r="A245" s="86"/>
      <c r="B245" s="183"/>
      <c r="C245" s="86"/>
      <c r="D245" s="2"/>
      <c r="E245" s="184" t="s">
        <v>368</v>
      </c>
      <c r="F245" s="185">
        <f>SUM(F244:F244)</f>
        <v>45500.37</v>
      </c>
    </row>
    <row r="246" spans="1:6" s="173" customFormat="1" x14ac:dyDescent="0.25">
      <c r="A246" s="86"/>
      <c r="B246" s="183"/>
      <c r="C246" s="86"/>
      <c r="D246" s="2"/>
      <c r="E246" s="2"/>
      <c r="F246" s="179"/>
    </row>
    <row r="247" spans="1:6" s="173" customFormat="1" x14ac:dyDescent="0.25">
      <c r="A247" s="86"/>
      <c r="B247" s="183"/>
      <c r="C247" s="86"/>
      <c r="D247" s="2"/>
      <c r="E247" s="186" t="s">
        <v>383</v>
      </c>
      <c r="F247" s="187">
        <f>ROUND(SUM(F230:F245)/2, 0)</f>
        <v>45500</v>
      </c>
    </row>
    <row r="248" spans="1:6" s="173" customFormat="1" x14ac:dyDescent="0.25">
      <c r="A248" s="86"/>
      <c r="B248" s="183"/>
      <c r="C248" s="86"/>
      <c r="D248" s="2"/>
      <c r="E248" s="186"/>
      <c r="F248" s="187"/>
    </row>
    <row r="249" spans="1:6" s="173" customFormat="1" ht="70.900000000000006" customHeight="1" x14ac:dyDescent="0.25">
      <c r="A249" s="174" t="str">
        <f>'[2]ACTA 3'!A159</f>
        <v>NP 3.4</v>
      </c>
      <c r="B249" s="175" t="str">
        <f>'[2]ACTA 3'!B159</f>
        <v xml:space="preserve">Construccion de Muro mixto en Drywall. Estructura interior lamina galvanizada y todos los elementos necesarios para su correcta instalacion y funcionamiento, incluye fondeado </v>
      </c>
      <c r="C249" s="260" t="s">
        <v>353</v>
      </c>
      <c r="D249" s="260"/>
      <c r="E249" s="260"/>
      <c r="F249" s="260"/>
    </row>
    <row r="250" spans="1:6" s="173" customFormat="1" ht="14.45" customHeight="1" x14ac:dyDescent="0.25">
      <c r="A250" s="262" t="s">
        <v>320</v>
      </c>
      <c r="B250" s="262"/>
      <c r="C250" s="176" t="s">
        <v>321</v>
      </c>
      <c r="D250" s="176" t="s">
        <v>354</v>
      </c>
      <c r="E250" s="176" t="s">
        <v>355</v>
      </c>
      <c r="F250" s="177" t="s">
        <v>356</v>
      </c>
    </row>
    <row r="251" spans="1:6" s="173" customFormat="1" x14ac:dyDescent="0.25">
      <c r="A251" s="86"/>
      <c r="B251" s="178" t="s">
        <v>357</v>
      </c>
      <c r="C251" s="86"/>
      <c r="D251" s="2"/>
      <c r="E251" s="2"/>
      <c r="F251" s="179"/>
    </row>
    <row r="252" spans="1:6" s="173" customFormat="1" x14ac:dyDescent="0.25">
      <c r="A252" s="86"/>
      <c r="B252" s="180" t="s">
        <v>358</v>
      </c>
      <c r="C252" s="181" t="s">
        <v>28</v>
      </c>
      <c r="D252" s="2">
        <v>0.35</v>
      </c>
      <c r="E252" s="182">
        <v>48016</v>
      </c>
      <c r="F252" s="179">
        <f t="shared" ref="F252:F262" si="6">ROUND(D252*E252, 2)</f>
        <v>16805.599999999999</v>
      </c>
    </row>
    <row r="253" spans="1:6" s="173" customFormat="1" x14ac:dyDescent="0.25">
      <c r="A253" s="86"/>
      <c r="B253" s="180" t="s">
        <v>399</v>
      </c>
      <c r="C253" s="181" t="s">
        <v>28</v>
      </c>
      <c r="D253" s="2">
        <v>0.35</v>
      </c>
      <c r="E253" s="182">
        <v>89154</v>
      </c>
      <c r="F253" s="179">
        <f t="shared" si="6"/>
        <v>31203.9</v>
      </c>
    </row>
    <row r="254" spans="1:6" s="173" customFormat="1" x14ac:dyDescent="0.25">
      <c r="A254" s="86"/>
      <c r="B254" s="180" t="s">
        <v>359</v>
      </c>
      <c r="C254" s="181" t="s">
        <v>28</v>
      </c>
      <c r="D254" s="2">
        <v>0.34</v>
      </c>
      <c r="E254" s="182">
        <v>11720</v>
      </c>
      <c r="F254" s="179">
        <f t="shared" si="6"/>
        <v>3984.8</v>
      </c>
    </row>
    <row r="255" spans="1:6" s="173" customFormat="1" x14ac:dyDescent="0.25">
      <c r="A255" s="86"/>
      <c r="B255" s="180" t="s">
        <v>360</v>
      </c>
      <c r="C255" s="181" t="s">
        <v>28</v>
      </c>
      <c r="D255" s="2">
        <v>0.76</v>
      </c>
      <c r="E255" s="182">
        <v>12571</v>
      </c>
      <c r="F255" s="179">
        <f t="shared" si="6"/>
        <v>9553.9599999999991</v>
      </c>
    </row>
    <row r="256" spans="1:6" s="173" customFormat="1" ht="19.899999999999999" customHeight="1" x14ac:dyDescent="0.25">
      <c r="A256" s="86"/>
      <c r="B256" s="180" t="s">
        <v>361</v>
      </c>
      <c r="C256" s="181" t="s">
        <v>28</v>
      </c>
      <c r="D256" s="2">
        <v>23</v>
      </c>
      <c r="E256" s="182">
        <v>278</v>
      </c>
      <c r="F256" s="179">
        <f t="shared" si="6"/>
        <v>6394</v>
      </c>
    </row>
    <row r="257" spans="1:6" s="173" customFormat="1" ht="17.45" customHeight="1" x14ac:dyDescent="0.25">
      <c r="A257" s="86"/>
      <c r="B257" s="180" t="s">
        <v>362</v>
      </c>
      <c r="C257" s="181" t="s">
        <v>28</v>
      </c>
      <c r="D257" s="2">
        <v>2.8</v>
      </c>
      <c r="E257" s="182">
        <v>85</v>
      </c>
      <c r="F257" s="179">
        <f t="shared" si="6"/>
        <v>238</v>
      </c>
    </row>
    <row r="258" spans="1:6" s="173" customFormat="1" ht="17.45" customHeight="1" x14ac:dyDescent="0.25">
      <c r="A258" s="86"/>
      <c r="B258" s="180" t="s">
        <v>363</v>
      </c>
      <c r="C258" s="181" t="s">
        <v>28</v>
      </c>
      <c r="D258" s="2">
        <v>1.46</v>
      </c>
      <c r="E258" s="182">
        <v>632</v>
      </c>
      <c r="F258" s="179">
        <f t="shared" si="6"/>
        <v>922.72</v>
      </c>
    </row>
    <row r="259" spans="1:6" s="173" customFormat="1" x14ac:dyDescent="0.25">
      <c r="A259" s="86"/>
      <c r="B259" s="180" t="s">
        <v>364</v>
      </c>
      <c r="C259" s="181" t="s">
        <v>28</v>
      </c>
      <c r="D259" s="2">
        <v>0.1812</v>
      </c>
      <c r="E259" s="182">
        <v>39901</v>
      </c>
      <c r="F259" s="179">
        <f t="shared" si="6"/>
        <v>7230.06</v>
      </c>
    </row>
    <row r="260" spans="1:6" s="173" customFormat="1" x14ac:dyDescent="0.25">
      <c r="A260" s="86"/>
      <c r="B260" s="180" t="s">
        <v>400</v>
      </c>
      <c r="C260" s="181" t="s">
        <v>28</v>
      </c>
      <c r="D260" s="2">
        <v>0.2</v>
      </c>
      <c r="E260" s="182">
        <v>87900</v>
      </c>
      <c r="F260" s="179">
        <f t="shared" si="6"/>
        <v>17580</v>
      </c>
    </row>
    <row r="261" spans="1:6" s="173" customFormat="1" x14ac:dyDescent="0.25">
      <c r="A261" s="86"/>
      <c r="B261" s="180" t="s">
        <v>366</v>
      </c>
      <c r="C261" s="181" t="s">
        <v>28</v>
      </c>
      <c r="D261" s="2">
        <v>0.5</v>
      </c>
      <c r="E261" s="182">
        <v>1800</v>
      </c>
      <c r="F261" s="179">
        <f t="shared" si="6"/>
        <v>900</v>
      </c>
    </row>
    <row r="262" spans="1:6" s="173" customFormat="1" x14ac:dyDescent="0.25">
      <c r="A262" s="86"/>
      <c r="B262" s="180" t="s">
        <v>367</v>
      </c>
      <c r="C262" s="181" t="s">
        <v>28</v>
      </c>
      <c r="D262" s="2">
        <v>0.1</v>
      </c>
      <c r="E262" s="182">
        <v>39000</v>
      </c>
      <c r="F262" s="179">
        <f t="shared" si="6"/>
        <v>3900</v>
      </c>
    </row>
    <row r="263" spans="1:6" s="173" customFormat="1" x14ac:dyDescent="0.25">
      <c r="A263" s="86"/>
      <c r="B263" s="183"/>
      <c r="C263" s="86"/>
      <c r="D263" s="2"/>
      <c r="E263" s="184" t="s">
        <v>368</v>
      </c>
      <c r="F263" s="185">
        <f>SUM(F252:F262)</f>
        <v>98713.040000000008</v>
      </c>
    </row>
    <row r="264" spans="1:6" s="173" customFormat="1" x14ac:dyDescent="0.25">
      <c r="A264" s="86"/>
      <c r="B264" s="178" t="s">
        <v>369</v>
      </c>
      <c r="C264" s="86"/>
      <c r="D264" s="2"/>
      <c r="E264" s="2"/>
      <c r="F264" s="179"/>
    </row>
    <row r="265" spans="1:6" s="173" customFormat="1" x14ac:dyDescent="0.25">
      <c r="A265" s="86"/>
      <c r="B265" s="183" t="s">
        <v>370</v>
      </c>
      <c r="C265" s="86" t="s">
        <v>371</v>
      </c>
      <c r="D265" s="2">
        <v>0.24</v>
      </c>
      <c r="E265" s="182">
        <v>5246</v>
      </c>
      <c r="F265" s="179">
        <f t="shared" ref="F265:F272" si="7">ROUND(D265*E265, 2)</f>
        <v>1259.04</v>
      </c>
    </row>
    <row r="266" spans="1:6" s="173" customFormat="1" x14ac:dyDescent="0.25">
      <c r="A266" s="86"/>
      <c r="B266" s="180" t="s">
        <v>372</v>
      </c>
      <c r="C266" s="86" t="s">
        <v>371</v>
      </c>
      <c r="D266" s="2">
        <v>0.24</v>
      </c>
      <c r="E266" s="182">
        <v>2233</v>
      </c>
      <c r="F266" s="179">
        <f t="shared" si="7"/>
        <v>535.91999999999996</v>
      </c>
    </row>
    <row r="267" spans="1:6" s="173" customFormat="1" x14ac:dyDescent="0.25">
      <c r="A267" s="86"/>
      <c r="B267" s="180" t="s">
        <v>373</v>
      </c>
      <c r="C267" s="181" t="s">
        <v>28</v>
      </c>
      <c r="D267" s="2">
        <v>1.8E-3</v>
      </c>
      <c r="E267" s="182">
        <v>611537</v>
      </c>
      <c r="F267" s="179">
        <f t="shared" si="7"/>
        <v>1100.77</v>
      </c>
    </row>
    <row r="268" spans="1:6" s="173" customFormat="1" x14ac:dyDescent="0.25">
      <c r="A268" s="86"/>
      <c r="B268" s="180" t="s">
        <v>374</v>
      </c>
      <c r="C268" s="181" t="s">
        <v>28</v>
      </c>
      <c r="D268" s="2">
        <v>1.8E-3</v>
      </c>
      <c r="E268" s="182">
        <v>77490</v>
      </c>
      <c r="F268" s="179">
        <f t="shared" si="7"/>
        <v>139.47999999999999</v>
      </c>
    </row>
    <row r="269" spans="1:6" s="173" customFormat="1" x14ac:dyDescent="0.25">
      <c r="A269" s="86"/>
      <c r="B269" s="180" t="s">
        <v>375</v>
      </c>
      <c r="C269" s="181" t="s">
        <v>28</v>
      </c>
      <c r="D269" s="2">
        <v>1.8E-3</v>
      </c>
      <c r="E269" s="182">
        <v>62851</v>
      </c>
      <c r="F269" s="179">
        <f t="shared" si="7"/>
        <v>113.13</v>
      </c>
    </row>
    <row r="270" spans="1:6" s="173" customFormat="1" x14ac:dyDescent="0.25">
      <c r="A270" s="86"/>
      <c r="B270" s="180" t="s">
        <v>376</v>
      </c>
      <c r="C270" s="181" t="s">
        <v>28</v>
      </c>
      <c r="D270" s="2">
        <v>1.8E-3</v>
      </c>
      <c r="E270" s="182">
        <v>600941</v>
      </c>
      <c r="F270" s="179">
        <f t="shared" si="7"/>
        <v>1081.69</v>
      </c>
    </row>
    <row r="271" spans="1:6" s="173" customFormat="1" x14ac:dyDescent="0.25">
      <c r="A271" s="86"/>
      <c r="B271" s="180" t="s">
        <v>377</v>
      </c>
      <c r="C271" s="181" t="s">
        <v>28</v>
      </c>
      <c r="D271" s="2">
        <v>1.8E-3</v>
      </c>
      <c r="E271" s="182">
        <v>31265</v>
      </c>
      <c r="F271" s="179">
        <f t="shared" si="7"/>
        <v>56.28</v>
      </c>
    </row>
    <row r="272" spans="1:6" s="173" customFormat="1" x14ac:dyDescent="0.25">
      <c r="A272" s="86"/>
      <c r="B272" s="180" t="s">
        <v>378</v>
      </c>
      <c r="C272" s="181" t="s">
        <v>28</v>
      </c>
      <c r="D272" s="2">
        <v>0.01</v>
      </c>
      <c r="E272" s="182">
        <v>16900</v>
      </c>
      <c r="F272" s="179">
        <f t="shared" si="7"/>
        <v>169</v>
      </c>
    </row>
    <row r="273" spans="1:6" s="173" customFormat="1" x14ac:dyDescent="0.25">
      <c r="A273" s="86"/>
      <c r="B273" s="180"/>
      <c r="C273" s="181"/>
      <c r="D273" s="2"/>
      <c r="E273" s="182"/>
      <c r="F273" s="179"/>
    </row>
    <row r="274" spans="1:6" s="173" customFormat="1" x14ac:dyDescent="0.25">
      <c r="A274" s="86"/>
      <c r="B274" s="183"/>
      <c r="C274" s="86"/>
      <c r="D274" s="2"/>
      <c r="E274" s="184" t="s">
        <v>368</v>
      </c>
      <c r="F274" s="185">
        <f>SUM(F265:F272)</f>
        <v>4455.3100000000004</v>
      </c>
    </row>
    <row r="275" spans="1:6" s="173" customFormat="1" x14ac:dyDescent="0.25">
      <c r="A275" s="86"/>
      <c r="B275" s="178" t="s">
        <v>379</v>
      </c>
      <c r="C275" s="86"/>
      <c r="D275" s="2"/>
      <c r="E275" s="2"/>
      <c r="F275" s="179"/>
    </row>
    <row r="276" spans="1:6" s="173" customFormat="1" x14ac:dyDescent="0.25">
      <c r="A276" s="86"/>
      <c r="B276" s="180" t="s">
        <v>380</v>
      </c>
      <c r="C276" s="181" t="s">
        <v>204</v>
      </c>
      <c r="D276" s="2">
        <v>0.08</v>
      </c>
      <c r="E276" s="182">
        <v>64688</v>
      </c>
      <c r="F276" s="179">
        <f>ROUND(D276*E276, 2)</f>
        <v>5175.04</v>
      </c>
    </row>
    <row r="277" spans="1:6" s="173" customFormat="1" x14ac:dyDescent="0.25">
      <c r="A277" s="86"/>
      <c r="B277" s="183"/>
      <c r="C277" s="86"/>
      <c r="D277" s="2"/>
      <c r="E277" s="184" t="s">
        <v>368</v>
      </c>
      <c r="F277" s="185">
        <f>SUM(F276:F276)</f>
        <v>5175.04</v>
      </c>
    </row>
    <row r="278" spans="1:6" s="173" customFormat="1" x14ac:dyDescent="0.25">
      <c r="A278" s="86"/>
      <c r="B278" s="178" t="s">
        <v>381</v>
      </c>
      <c r="C278" s="86"/>
      <c r="D278" s="2"/>
      <c r="E278" s="2"/>
      <c r="F278" s="179"/>
    </row>
    <row r="279" spans="1:6" s="173" customFormat="1" x14ac:dyDescent="0.25">
      <c r="A279" s="86"/>
      <c r="B279" s="183" t="s">
        <v>382</v>
      </c>
      <c r="C279" s="86" t="s">
        <v>371</v>
      </c>
      <c r="D279" s="2">
        <v>0.48605500000000001</v>
      </c>
      <c r="E279" s="182">
        <v>221000</v>
      </c>
      <c r="F279" s="179">
        <f>ROUND(D279*E279, 2)</f>
        <v>107418.16</v>
      </c>
    </row>
    <row r="280" spans="1:6" s="173" customFormat="1" x14ac:dyDescent="0.25">
      <c r="A280" s="86"/>
      <c r="B280" s="183" t="s">
        <v>401</v>
      </c>
      <c r="C280" s="86" t="s">
        <v>371</v>
      </c>
      <c r="D280" s="2">
        <v>0.1</v>
      </c>
      <c r="E280" s="182">
        <v>107618</v>
      </c>
      <c r="F280" s="179">
        <f>ROUND(D280*E280, 2)</f>
        <v>10761.8</v>
      </c>
    </row>
    <row r="281" spans="1:6" s="173" customFormat="1" x14ac:dyDescent="0.25">
      <c r="A281" s="86"/>
      <c r="B281" s="183"/>
      <c r="C281" s="86"/>
      <c r="D281" s="2"/>
      <c r="E281" s="184" t="s">
        <v>368</v>
      </c>
      <c r="F281" s="185">
        <f>SUM(F279:F280)</f>
        <v>118179.96</v>
      </c>
    </row>
    <row r="282" spans="1:6" s="173" customFormat="1" x14ac:dyDescent="0.25">
      <c r="A282" s="86"/>
      <c r="B282" s="183"/>
      <c r="C282" s="86"/>
      <c r="D282" s="2"/>
      <c r="E282" s="2"/>
      <c r="F282" s="179"/>
    </row>
    <row r="283" spans="1:6" s="173" customFormat="1" x14ac:dyDescent="0.25">
      <c r="A283" s="86"/>
      <c r="B283" s="183"/>
      <c r="C283" s="86"/>
      <c r="D283" s="2"/>
      <c r="E283" s="186" t="s">
        <v>383</v>
      </c>
      <c r="F283" s="187">
        <f>ROUND(SUM(F251:F281)/2, 0)</f>
        <v>226523</v>
      </c>
    </row>
    <row r="284" spans="1:6" s="173" customFormat="1" x14ac:dyDescent="0.25">
      <c r="A284" s="86"/>
      <c r="B284" s="183"/>
      <c r="C284" s="86"/>
      <c r="D284" s="2"/>
      <c r="E284" s="2"/>
      <c r="F284" s="179"/>
    </row>
    <row r="285" spans="1:6" s="173" customFormat="1" x14ac:dyDescent="0.25">
      <c r="A285" s="86"/>
      <c r="B285" s="183"/>
      <c r="C285" s="86"/>
      <c r="D285" s="2"/>
      <c r="E285" s="186"/>
      <c r="F285" s="187"/>
    </row>
    <row r="286" spans="1:6" s="173" customFormat="1" x14ac:dyDescent="0.25">
      <c r="A286" s="174" t="str">
        <f>'[2]ACTA 3'!A160</f>
        <v>NP 3.5</v>
      </c>
      <c r="B286" s="189" t="str">
        <f>'[2]ACTA 3'!B160</f>
        <v>Revoque seco en placa de yeso e:12mm</v>
      </c>
      <c r="C286" s="260" t="s">
        <v>384</v>
      </c>
      <c r="D286" s="260"/>
      <c r="E286" s="260"/>
      <c r="F286" s="260"/>
    </row>
    <row r="287" spans="1:6" s="173" customFormat="1" x14ac:dyDescent="0.25">
      <c r="A287" s="262" t="s">
        <v>320</v>
      </c>
      <c r="B287" s="262"/>
      <c r="C287" s="176" t="s">
        <v>321</v>
      </c>
      <c r="D287" s="176" t="s">
        <v>354</v>
      </c>
      <c r="E287" s="176" t="s">
        <v>355</v>
      </c>
      <c r="F287" s="177" t="s">
        <v>356</v>
      </c>
    </row>
    <row r="288" spans="1:6" s="173" customFormat="1" x14ac:dyDescent="0.25">
      <c r="A288" s="86"/>
      <c r="B288" s="178" t="s">
        <v>357</v>
      </c>
      <c r="C288" s="86"/>
      <c r="D288" s="2"/>
      <c r="E288" s="2"/>
      <c r="F288" s="179"/>
    </row>
    <row r="289" spans="1:6" s="173" customFormat="1" x14ac:dyDescent="0.25">
      <c r="A289" s="86"/>
      <c r="B289" s="183" t="s">
        <v>402</v>
      </c>
      <c r="C289" s="86" t="s">
        <v>403</v>
      </c>
      <c r="D289" s="2">
        <v>18.8</v>
      </c>
      <c r="E289" s="182">
        <v>2750</v>
      </c>
      <c r="F289" s="179">
        <f>E289*D289</f>
        <v>51700</v>
      </c>
    </row>
    <row r="290" spans="1:6" s="173" customFormat="1" x14ac:dyDescent="0.25">
      <c r="A290" s="86"/>
      <c r="B290" s="183"/>
      <c r="C290" s="86"/>
      <c r="D290" s="2"/>
      <c r="E290" s="184" t="s">
        <v>368</v>
      </c>
      <c r="F290" s="185">
        <f>SUM(F289:F289)</f>
        <v>51700</v>
      </c>
    </row>
    <row r="291" spans="1:6" s="173" customFormat="1" x14ac:dyDescent="0.25">
      <c r="A291" s="86"/>
      <c r="B291" s="178" t="s">
        <v>369</v>
      </c>
      <c r="C291" s="86"/>
      <c r="D291" s="2"/>
      <c r="E291" s="2"/>
      <c r="F291" s="179"/>
    </row>
    <row r="292" spans="1:6" s="173" customFormat="1" ht="17.45" customHeight="1" x14ac:dyDescent="0.25">
      <c r="A292" s="86"/>
      <c r="B292" s="180" t="s">
        <v>385</v>
      </c>
      <c r="C292" s="181" t="s">
        <v>386</v>
      </c>
      <c r="D292" s="2">
        <v>5</v>
      </c>
      <c r="E292" s="182">
        <f>F299</f>
        <v>55551.44</v>
      </c>
      <c r="F292" s="179">
        <f>ROUND(D292*E292/100, 2)</f>
        <v>2777.57</v>
      </c>
    </row>
    <row r="293" spans="1:6" s="173" customFormat="1" x14ac:dyDescent="0.25">
      <c r="A293" s="86"/>
      <c r="B293" s="183"/>
      <c r="C293" s="86"/>
      <c r="D293" s="2"/>
      <c r="E293" s="184" t="s">
        <v>368</v>
      </c>
      <c r="F293" s="185"/>
    </row>
    <row r="294" spans="1:6" s="173" customFormat="1" x14ac:dyDescent="0.25">
      <c r="A294" s="86"/>
      <c r="B294" s="178" t="s">
        <v>379</v>
      </c>
      <c r="C294" s="86"/>
      <c r="D294" s="2"/>
      <c r="E294" s="2"/>
      <c r="F294" s="179"/>
    </row>
    <row r="295" spans="1:6" s="173" customFormat="1" x14ac:dyDescent="0.25">
      <c r="A295" s="86"/>
      <c r="B295" s="180" t="s">
        <v>380</v>
      </c>
      <c r="C295" s="181" t="s">
        <v>204</v>
      </c>
      <c r="D295" s="2">
        <v>0.09</v>
      </c>
      <c r="E295" s="182">
        <v>64688</v>
      </c>
      <c r="F295" s="179">
        <f>ROUND(D295*E295, 2)</f>
        <v>5821.92</v>
      </c>
    </row>
    <row r="296" spans="1:6" x14ac:dyDescent="0.25">
      <c r="B296" s="180" t="s">
        <v>394</v>
      </c>
      <c r="C296" s="181" t="s">
        <v>204</v>
      </c>
      <c r="D296" s="2">
        <v>0.25</v>
      </c>
      <c r="E296" s="182">
        <v>9500</v>
      </c>
      <c r="F296" s="179">
        <f>ROUND(D296*E296, 2)</f>
        <v>2375</v>
      </c>
    </row>
    <row r="297" spans="1:6" s="173" customFormat="1" x14ac:dyDescent="0.25">
      <c r="A297" s="86"/>
      <c r="B297" s="183"/>
      <c r="C297" s="86"/>
      <c r="D297" s="2"/>
      <c r="E297" s="184" t="s">
        <v>368</v>
      </c>
      <c r="F297" s="185">
        <f>SUM(F295:F295)</f>
        <v>5821.92</v>
      </c>
    </row>
    <row r="298" spans="1:6" s="173" customFormat="1" x14ac:dyDescent="0.25">
      <c r="A298" s="86"/>
      <c r="B298" s="178" t="s">
        <v>381</v>
      </c>
      <c r="C298" s="86"/>
      <c r="D298" s="2"/>
      <c r="E298" s="2"/>
      <c r="F298" s="179"/>
    </row>
    <row r="299" spans="1:6" s="173" customFormat="1" x14ac:dyDescent="0.25">
      <c r="A299" s="86"/>
      <c r="B299" s="183" t="s">
        <v>382</v>
      </c>
      <c r="C299" s="86" t="s">
        <v>371</v>
      </c>
      <c r="D299" s="2">
        <v>0.25136399999999998</v>
      </c>
      <c r="E299" s="182">
        <v>221000</v>
      </c>
      <c r="F299" s="179">
        <f>ROUND(D299*E299, 2)</f>
        <v>55551.44</v>
      </c>
    </row>
    <row r="300" spans="1:6" s="173" customFormat="1" x14ac:dyDescent="0.25">
      <c r="A300" s="86"/>
      <c r="B300" s="183"/>
      <c r="C300" s="86"/>
      <c r="D300" s="2"/>
      <c r="E300" s="184" t="s">
        <v>368</v>
      </c>
      <c r="F300" s="185">
        <f>SUM(F299:F299)</f>
        <v>55551.44</v>
      </c>
    </row>
    <row r="301" spans="1:6" s="173" customFormat="1" x14ac:dyDescent="0.25">
      <c r="A301" s="86"/>
      <c r="B301" s="183"/>
      <c r="C301" s="86"/>
      <c r="D301" s="2"/>
      <c r="E301" s="2"/>
      <c r="F301" s="179"/>
    </row>
    <row r="302" spans="1:6" s="173" customFormat="1" x14ac:dyDescent="0.25">
      <c r="A302" s="86"/>
      <c r="B302" s="183"/>
      <c r="C302" s="86"/>
      <c r="D302" s="2"/>
      <c r="E302" s="186" t="s">
        <v>383</v>
      </c>
      <c r="F302" s="187">
        <f>ROUND(SUM(F288:F300)/2, 0)</f>
        <v>115650</v>
      </c>
    </row>
    <row r="303" spans="1:6" s="173" customFormat="1" x14ac:dyDescent="0.25">
      <c r="A303" s="86"/>
      <c r="B303" s="183"/>
      <c r="C303" s="86"/>
      <c r="D303" s="2"/>
      <c r="E303" s="186"/>
      <c r="F303" s="187"/>
    </row>
    <row r="304" spans="1:6" s="173" customFormat="1" x14ac:dyDescent="0.25">
      <c r="A304" s="174" t="str">
        <f>'[2]ACTA 3'!A161</f>
        <v>NP 3.6</v>
      </c>
      <c r="B304" s="189" t="str">
        <f>'[2]ACTA 3'!B161</f>
        <v>Fajas de revoque</v>
      </c>
      <c r="C304" s="260" t="s">
        <v>404</v>
      </c>
      <c r="D304" s="260"/>
      <c r="E304" s="260"/>
      <c r="F304" s="260"/>
    </row>
    <row r="305" spans="1:6" s="173" customFormat="1" x14ac:dyDescent="0.25">
      <c r="A305" s="262" t="s">
        <v>320</v>
      </c>
      <c r="B305" s="262"/>
      <c r="C305" s="176" t="s">
        <v>321</v>
      </c>
      <c r="D305" s="176" t="s">
        <v>354</v>
      </c>
      <c r="E305" s="176" t="s">
        <v>355</v>
      </c>
      <c r="F305" s="177" t="s">
        <v>356</v>
      </c>
    </row>
    <row r="306" spans="1:6" s="173" customFormat="1" x14ac:dyDescent="0.25">
      <c r="A306" s="86"/>
      <c r="B306" s="178" t="s">
        <v>357</v>
      </c>
      <c r="C306" s="86"/>
      <c r="D306" s="2"/>
      <c r="E306" s="2"/>
      <c r="F306" s="179"/>
    </row>
    <row r="307" spans="1:6" s="173" customFormat="1" x14ac:dyDescent="0.25">
      <c r="A307" s="86"/>
      <c r="B307" s="180" t="s">
        <v>405</v>
      </c>
      <c r="C307" s="181" t="s">
        <v>70</v>
      </c>
      <c r="D307" s="2">
        <v>0.02</v>
      </c>
      <c r="E307" s="182">
        <v>425444</v>
      </c>
      <c r="F307" s="179">
        <f t="shared" ref="F307" si="8">ROUND(D307*E307, 2)</f>
        <v>8508.8799999999992</v>
      </c>
    </row>
    <row r="308" spans="1:6" s="173" customFormat="1" x14ac:dyDescent="0.25">
      <c r="A308" s="86"/>
      <c r="B308" s="180"/>
      <c r="C308" s="181"/>
      <c r="D308" s="2"/>
      <c r="E308" s="182"/>
      <c r="F308" s="179"/>
    </row>
    <row r="309" spans="1:6" s="173" customFormat="1" x14ac:dyDescent="0.25">
      <c r="A309" s="86"/>
      <c r="B309" s="183"/>
      <c r="C309" s="86"/>
      <c r="D309" s="2"/>
      <c r="E309" s="184" t="s">
        <v>368</v>
      </c>
      <c r="F309" s="185">
        <f>SUM(F307:F308)</f>
        <v>8508.8799999999992</v>
      </c>
    </row>
    <row r="310" spans="1:6" s="173" customFormat="1" x14ac:dyDescent="0.25">
      <c r="A310" s="86"/>
      <c r="B310" s="178" t="s">
        <v>369</v>
      </c>
      <c r="C310" s="86"/>
      <c r="D310" s="2"/>
      <c r="E310" s="2"/>
      <c r="F310" s="179"/>
    </row>
    <row r="311" spans="1:6" s="173" customFormat="1" x14ac:dyDescent="0.25">
      <c r="A311" s="86"/>
      <c r="B311" s="180" t="s">
        <v>385</v>
      </c>
      <c r="C311" s="181" t="s">
        <v>386</v>
      </c>
      <c r="D311" s="2">
        <v>5</v>
      </c>
      <c r="E311" s="182">
        <f>F317</f>
        <v>9036.69</v>
      </c>
      <c r="F311" s="179">
        <f>ROUND(D311*E311/100, 2)</f>
        <v>451.83</v>
      </c>
    </row>
    <row r="312" spans="1:6" s="173" customFormat="1" x14ac:dyDescent="0.25">
      <c r="A312" s="86"/>
      <c r="B312" s="183"/>
      <c r="C312" s="86"/>
      <c r="D312" s="2"/>
      <c r="E312" s="184" t="s">
        <v>368</v>
      </c>
      <c r="F312" s="185">
        <f>SUM(F311:F311)</f>
        <v>451.83</v>
      </c>
    </row>
    <row r="313" spans="1:6" s="173" customFormat="1" x14ac:dyDescent="0.25">
      <c r="A313" s="86"/>
      <c r="B313" s="178" t="s">
        <v>379</v>
      </c>
      <c r="C313" s="86"/>
      <c r="D313" s="2"/>
      <c r="E313" s="2"/>
      <c r="F313" s="179"/>
    </row>
    <row r="314" spans="1:6" s="173" customFormat="1" x14ac:dyDescent="0.25">
      <c r="A314" s="86"/>
      <c r="B314" s="180"/>
      <c r="C314" s="181"/>
      <c r="D314" s="2"/>
      <c r="E314" s="182"/>
      <c r="F314" s="179"/>
    </row>
    <row r="315" spans="1:6" s="173" customFormat="1" x14ac:dyDescent="0.25">
      <c r="A315" s="86"/>
      <c r="B315" s="183"/>
      <c r="C315" s="86"/>
      <c r="D315" s="2"/>
      <c r="E315" s="184" t="s">
        <v>368</v>
      </c>
      <c r="F315" s="185">
        <f>SUM(F314:F314)</f>
        <v>0</v>
      </c>
    </row>
    <row r="316" spans="1:6" s="173" customFormat="1" x14ac:dyDescent="0.25">
      <c r="A316" s="86"/>
      <c r="B316" s="178" t="s">
        <v>381</v>
      </c>
      <c r="C316" s="86"/>
      <c r="D316" s="2"/>
      <c r="E316" s="2"/>
      <c r="F316" s="179"/>
    </row>
    <row r="317" spans="1:6" s="173" customFormat="1" x14ac:dyDescent="0.25">
      <c r="A317" s="86"/>
      <c r="B317" s="183" t="s">
        <v>382</v>
      </c>
      <c r="C317" s="86" t="s">
        <v>371</v>
      </c>
      <c r="D317" s="2">
        <v>4.0890000000000003E-2</v>
      </c>
      <c r="E317" s="182">
        <v>221000</v>
      </c>
      <c r="F317" s="179">
        <f>ROUND(D317*E317, 2)</f>
        <v>9036.69</v>
      </c>
    </row>
    <row r="318" spans="1:6" s="173" customFormat="1" x14ac:dyDescent="0.25">
      <c r="A318" s="86"/>
      <c r="B318" s="183"/>
      <c r="C318" s="86"/>
      <c r="D318" s="2"/>
      <c r="E318" s="184" t="s">
        <v>368</v>
      </c>
      <c r="F318" s="185">
        <f>SUM(F317:F317)</f>
        <v>9036.69</v>
      </c>
    </row>
    <row r="319" spans="1:6" s="173" customFormat="1" x14ac:dyDescent="0.25">
      <c r="A319" s="86"/>
      <c r="B319" s="183"/>
      <c r="C319" s="86"/>
      <c r="D319" s="2"/>
      <c r="E319" s="2"/>
      <c r="F319" s="179"/>
    </row>
    <row r="320" spans="1:6" s="173" customFormat="1" x14ac:dyDescent="0.25">
      <c r="A320" s="86"/>
      <c r="B320" s="183"/>
      <c r="C320" s="86"/>
      <c r="D320" s="2"/>
      <c r="E320" s="186" t="s">
        <v>383</v>
      </c>
      <c r="F320" s="187">
        <f>ROUND(SUM(F306:F318)/2, 0)+1</f>
        <v>17998</v>
      </c>
    </row>
    <row r="321" spans="1:6" s="173" customFormat="1" ht="10.5" customHeight="1" x14ac:dyDescent="0.25">
      <c r="A321" s="86"/>
    </row>
    <row r="322" spans="1:6" ht="30.6" customHeight="1" x14ac:dyDescent="0.25">
      <c r="A322" s="174" t="str">
        <f>'[2]ACTA 3'!A162</f>
        <v>NP 3.7</v>
      </c>
      <c r="B322" s="188" t="str">
        <f>'[2]ACTA 3'!B162</f>
        <v>Lineales de estuco</v>
      </c>
      <c r="C322" s="260" t="s">
        <v>404</v>
      </c>
      <c r="D322" s="260"/>
      <c r="E322" s="260"/>
      <c r="F322" s="260"/>
    </row>
    <row r="323" spans="1:6" x14ac:dyDescent="0.25">
      <c r="A323" s="262" t="s">
        <v>320</v>
      </c>
      <c r="B323" s="262"/>
      <c r="C323" s="176" t="s">
        <v>321</v>
      </c>
      <c r="D323" s="176" t="s">
        <v>354</v>
      </c>
      <c r="E323" s="176" t="s">
        <v>355</v>
      </c>
      <c r="F323" s="177" t="s">
        <v>356</v>
      </c>
    </row>
    <row r="324" spans="1:6" x14ac:dyDescent="0.25">
      <c r="A324" s="173"/>
      <c r="B324" s="178" t="s">
        <v>357</v>
      </c>
      <c r="C324" s="86"/>
      <c r="D324" s="2"/>
      <c r="E324" s="2"/>
      <c r="F324" s="179"/>
    </row>
    <row r="325" spans="1:6" s="173" customFormat="1" x14ac:dyDescent="0.25">
      <c r="A325" s="86"/>
      <c r="B325" s="180" t="s">
        <v>400</v>
      </c>
      <c r="C325" s="181" t="s">
        <v>28</v>
      </c>
      <c r="D325" s="2">
        <v>0.03</v>
      </c>
      <c r="E325" s="182">
        <v>87900</v>
      </c>
      <c r="F325" s="179">
        <f t="shared" ref="F325:F327" si="9">ROUND(D325*E325, 2)</f>
        <v>2637</v>
      </c>
    </row>
    <row r="326" spans="1:6" x14ac:dyDescent="0.25">
      <c r="A326" s="173"/>
      <c r="B326" s="180"/>
      <c r="C326" s="181"/>
      <c r="D326" s="2"/>
      <c r="E326" s="190"/>
      <c r="F326" s="179">
        <f t="shared" si="9"/>
        <v>0</v>
      </c>
    </row>
    <row r="327" spans="1:6" x14ac:dyDescent="0.25">
      <c r="A327" s="173"/>
      <c r="B327" s="183"/>
      <c r="C327" s="86"/>
      <c r="D327" s="2"/>
      <c r="E327" s="190"/>
      <c r="F327" s="179">
        <f t="shared" si="9"/>
        <v>0</v>
      </c>
    </row>
    <row r="328" spans="1:6" x14ac:dyDescent="0.25">
      <c r="A328" s="173"/>
      <c r="B328" s="183"/>
      <c r="C328" s="86"/>
      <c r="D328" s="2"/>
      <c r="E328" s="184" t="s">
        <v>368</v>
      </c>
      <c r="F328" s="185">
        <f>SUM(F325:F327)</f>
        <v>2637</v>
      </c>
    </row>
    <row r="329" spans="1:6" x14ac:dyDescent="0.25">
      <c r="A329" s="173"/>
      <c r="B329" s="178" t="s">
        <v>369</v>
      </c>
      <c r="C329" s="86"/>
      <c r="D329" s="2"/>
      <c r="E329" s="2"/>
      <c r="F329" s="179"/>
    </row>
    <row r="330" spans="1:6" x14ac:dyDescent="0.25">
      <c r="A330" s="173"/>
      <c r="B330" s="180" t="s">
        <v>385</v>
      </c>
      <c r="C330" s="181" t="s">
        <v>386</v>
      </c>
      <c r="D330" s="2">
        <v>5</v>
      </c>
      <c r="E330" s="182">
        <f>F336</f>
        <v>8161.53</v>
      </c>
      <c r="F330" s="179">
        <f>ROUND(D330*E330/100, 2)</f>
        <v>408.08</v>
      </c>
    </row>
    <row r="331" spans="1:6" x14ac:dyDescent="0.25">
      <c r="A331" s="173"/>
      <c r="B331" s="183"/>
      <c r="C331" s="86"/>
      <c r="D331" s="2"/>
      <c r="E331" s="184" t="s">
        <v>368</v>
      </c>
      <c r="F331" s="185">
        <f>SUM(F330:F330)</f>
        <v>408.08</v>
      </c>
    </row>
    <row r="332" spans="1:6" x14ac:dyDescent="0.25">
      <c r="A332" s="173"/>
      <c r="B332" s="178" t="s">
        <v>379</v>
      </c>
      <c r="C332" s="86"/>
      <c r="D332" s="2"/>
      <c r="E332" s="2"/>
      <c r="F332" s="179"/>
    </row>
    <row r="333" spans="1:6" x14ac:dyDescent="0.25">
      <c r="A333" s="173"/>
      <c r="B333" s="180"/>
      <c r="C333" s="181"/>
      <c r="D333" s="2"/>
      <c r="E333" s="182"/>
      <c r="F333" s="179"/>
    </row>
    <row r="334" spans="1:6" x14ac:dyDescent="0.25">
      <c r="A334" s="173"/>
      <c r="B334" s="183"/>
      <c r="C334" s="86"/>
      <c r="D334" s="2"/>
      <c r="E334" s="184" t="s">
        <v>368</v>
      </c>
      <c r="F334" s="185">
        <f>SUM(F333:F333)</f>
        <v>0</v>
      </c>
    </row>
    <row r="335" spans="1:6" x14ac:dyDescent="0.25">
      <c r="A335" s="173"/>
      <c r="B335" s="178" t="s">
        <v>381</v>
      </c>
      <c r="C335" s="86"/>
      <c r="D335" s="2"/>
      <c r="E335" s="2"/>
      <c r="F335" s="179"/>
    </row>
    <row r="336" spans="1:6" x14ac:dyDescent="0.25">
      <c r="A336" s="173"/>
      <c r="B336" s="183" t="s">
        <v>382</v>
      </c>
      <c r="C336" s="86" t="s">
        <v>371</v>
      </c>
      <c r="D336" s="2">
        <v>3.6929999999999998E-2</v>
      </c>
      <c r="E336" s="182">
        <v>221000</v>
      </c>
      <c r="F336" s="179">
        <f>ROUND(D336*E336, 2)</f>
        <v>8161.53</v>
      </c>
    </row>
    <row r="337" spans="1:6" x14ac:dyDescent="0.25">
      <c r="A337" s="173"/>
      <c r="B337" s="183"/>
      <c r="C337" s="86"/>
      <c r="D337" s="2"/>
      <c r="E337" s="184" t="s">
        <v>368</v>
      </c>
      <c r="F337" s="185">
        <f>SUM(F336:F336)</f>
        <v>8161.53</v>
      </c>
    </row>
    <row r="338" spans="1:6" x14ac:dyDescent="0.25">
      <c r="A338" s="173"/>
      <c r="B338" s="183"/>
      <c r="C338" s="86"/>
      <c r="D338" s="2"/>
      <c r="E338" s="2"/>
      <c r="F338" s="179"/>
    </row>
    <row r="339" spans="1:6" x14ac:dyDescent="0.25">
      <c r="A339" s="173"/>
      <c r="B339" s="183"/>
      <c r="C339" s="86"/>
      <c r="D339" s="2"/>
      <c r="E339" s="186" t="s">
        <v>383</v>
      </c>
      <c r="F339" s="187">
        <f>ROUND(SUM(F324:F337)/2, 0)+1</f>
        <v>11208</v>
      </c>
    </row>
    <row r="340" spans="1:6" x14ac:dyDescent="0.25">
      <c r="A340" s="173"/>
      <c r="B340" s="183"/>
      <c r="C340" s="86"/>
      <c r="D340" s="2"/>
      <c r="E340" s="186"/>
      <c r="F340" s="187"/>
    </row>
    <row r="341" spans="1:6" ht="45" x14ac:dyDescent="0.25">
      <c r="A341" s="174" t="str">
        <f>'[2]ACTA 3'!A163</f>
        <v>NP 3.8</v>
      </c>
      <c r="B341" s="188" t="str">
        <f>'[2]ACTA 3'!B163</f>
        <v>Construcción de dinteles en concreto reforzado; incluye formaleta y todos los elementos necesarios para su correcta ejecución.</v>
      </c>
      <c r="C341" s="260" t="s">
        <v>404</v>
      </c>
      <c r="D341" s="260"/>
      <c r="E341" s="260"/>
      <c r="F341" s="260"/>
    </row>
    <row r="342" spans="1:6" x14ac:dyDescent="0.25">
      <c r="A342" s="262" t="s">
        <v>320</v>
      </c>
      <c r="B342" s="262"/>
      <c r="C342" s="176" t="s">
        <v>321</v>
      </c>
      <c r="D342" s="176" t="s">
        <v>354</v>
      </c>
      <c r="E342" s="176" t="s">
        <v>355</v>
      </c>
      <c r="F342" s="177" t="s">
        <v>356</v>
      </c>
    </row>
    <row r="343" spans="1:6" x14ac:dyDescent="0.25">
      <c r="A343" s="173"/>
      <c r="B343" s="178" t="s">
        <v>357</v>
      </c>
      <c r="C343" s="86"/>
      <c r="D343" s="2"/>
      <c r="E343" s="2"/>
      <c r="F343" s="179"/>
    </row>
    <row r="344" spans="1:6" x14ac:dyDescent="0.25">
      <c r="A344" s="173"/>
      <c r="B344" s="183" t="s">
        <v>406</v>
      </c>
      <c r="C344" s="181" t="s">
        <v>70</v>
      </c>
      <c r="D344" s="2">
        <v>0.05</v>
      </c>
      <c r="E344" s="182">
        <v>636070</v>
      </c>
      <c r="F344" s="179">
        <f>ROUND(D344*E344, 2)</f>
        <v>31803.5</v>
      </c>
    </row>
    <row r="345" spans="1:6" x14ac:dyDescent="0.25">
      <c r="A345" s="173"/>
      <c r="B345" s="180" t="s">
        <v>407</v>
      </c>
      <c r="C345" s="181" t="s">
        <v>403</v>
      </c>
      <c r="D345" s="2">
        <v>0.56999999999999995</v>
      </c>
      <c r="E345" s="190">
        <v>3709</v>
      </c>
      <c r="F345" s="179">
        <f t="shared" ref="F345:F346" si="10">ROUND(D345*E345, 2)</f>
        <v>2114.13</v>
      </c>
    </row>
    <row r="346" spans="1:6" x14ac:dyDescent="0.25">
      <c r="A346" s="173"/>
      <c r="B346" s="183" t="s">
        <v>408</v>
      </c>
      <c r="C346" s="86" t="s">
        <v>409</v>
      </c>
      <c r="D346" s="2">
        <v>1</v>
      </c>
      <c r="E346" s="190">
        <v>14500</v>
      </c>
      <c r="F346" s="179">
        <f t="shared" si="10"/>
        <v>14500</v>
      </c>
    </row>
    <row r="347" spans="1:6" x14ac:dyDescent="0.25">
      <c r="A347" s="173"/>
      <c r="B347" s="183"/>
      <c r="C347" s="86"/>
      <c r="D347" s="2"/>
      <c r="E347" s="184" t="s">
        <v>368</v>
      </c>
      <c r="F347" s="185">
        <f>SUM(F344:F346)</f>
        <v>48417.63</v>
      </c>
    </row>
    <row r="348" spans="1:6" x14ac:dyDescent="0.25">
      <c r="A348" s="173"/>
      <c r="B348" s="178" t="s">
        <v>369</v>
      </c>
      <c r="C348" s="86"/>
      <c r="D348" s="2"/>
      <c r="E348" s="2"/>
      <c r="F348" s="179"/>
    </row>
    <row r="349" spans="1:6" x14ac:dyDescent="0.25">
      <c r="A349" s="173"/>
      <c r="B349" s="180" t="s">
        <v>385</v>
      </c>
      <c r="C349" s="181" t="s">
        <v>386</v>
      </c>
      <c r="D349" s="2">
        <v>5</v>
      </c>
      <c r="E349" s="182">
        <f>F355</f>
        <v>11528.02</v>
      </c>
      <c r="F349" s="179">
        <f>ROUND(D349*E349/100, 2)</f>
        <v>576.4</v>
      </c>
    </row>
    <row r="350" spans="1:6" x14ac:dyDescent="0.25">
      <c r="A350" s="173"/>
      <c r="B350" s="183"/>
      <c r="C350" s="86"/>
      <c r="D350" s="2"/>
      <c r="E350" s="184" t="s">
        <v>368</v>
      </c>
      <c r="F350" s="185">
        <f>SUM(F349:F349)</f>
        <v>576.4</v>
      </c>
    </row>
    <row r="351" spans="1:6" x14ac:dyDescent="0.25">
      <c r="A351" s="173"/>
      <c r="B351" s="178" t="s">
        <v>379</v>
      </c>
      <c r="C351" s="86"/>
      <c r="D351" s="2"/>
      <c r="E351" s="2"/>
      <c r="F351" s="179"/>
    </row>
    <row r="352" spans="1:6" x14ac:dyDescent="0.25">
      <c r="A352" s="173"/>
      <c r="B352" s="180"/>
      <c r="C352" s="181"/>
      <c r="D352" s="2"/>
      <c r="E352" s="182"/>
      <c r="F352" s="179"/>
    </row>
    <row r="353" spans="1:6" x14ac:dyDescent="0.25">
      <c r="A353" s="173"/>
      <c r="B353" s="183"/>
      <c r="C353" s="86"/>
      <c r="D353" s="2"/>
      <c r="E353" s="184" t="s">
        <v>368</v>
      </c>
      <c r="F353" s="185">
        <f>SUM(F352:F352)</f>
        <v>0</v>
      </c>
    </row>
    <row r="354" spans="1:6" x14ac:dyDescent="0.25">
      <c r="A354" s="173"/>
      <c r="B354" s="178" t="s">
        <v>381</v>
      </c>
      <c r="C354" s="86"/>
      <c r="D354" s="2"/>
      <c r="E354" s="2"/>
      <c r="F354" s="179"/>
    </row>
    <row r="355" spans="1:6" x14ac:dyDescent="0.25">
      <c r="A355" s="173"/>
      <c r="B355" s="183" t="s">
        <v>382</v>
      </c>
      <c r="C355" s="86" t="s">
        <v>371</v>
      </c>
      <c r="D355" s="2">
        <v>5.2163000000000001E-2</v>
      </c>
      <c r="E355" s="182">
        <v>221000</v>
      </c>
      <c r="F355" s="179">
        <f>ROUND(D355*E355, 2)</f>
        <v>11528.02</v>
      </c>
    </row>
    <row r="356" spans="1:6" x14ac:dyDescent="0.25">
      <c r="A356" s="173"/>
      <c r="B356" s="183"/>
      <c r="C356" s="86"/>
      <c r="D356" s="2"/>
      <c r="E356" s="184" t="s">
        <v>368</v>
      </c>
      <c r="F356" s="185">
        <f>SUM(F355:F355)</f>
        <v>11528.02</v>
      </c>
    </row>
    <row r="357" spans="1:6" x14ac:dyDescent="0.25">
      <c r="A357" s="173"/>
      <c r="B357" s="183"/>
      <c r="C357" s="86"/>
      <c r="D357" s="2"/>
      <c r="E357" s="2"/>
      <c r="F357" s="179"/>
    </row>
    <row r="358" spans="1:6" x14ac:dyDescent="0.25">
      <c r="A358" s="173"/>
      <c r="B358" s="183"/>
      <c r="C358" s="86"/>
      <c r="D358" s="2"/>
      <c r="E358" s="186" t="s">
        <v>383</v>
      </c>
      <c r="F358" s="187">
        <f>ROUND(SUM(F343:F356)/2, 0)+1</f>
        <v>60523</v>
      </c>
    </row>
    <row r="359" spans="1:6" s="173" customFormat="1" ht="10.5" customHeight="1" x14ac:dyDescent="0.25"/>
    <row r="360" spans="1:6" ht="37.15" customHeight="1" x14ac:dyDescent="0.25">
      <c r="A360" s="174" t="str">
        <f>'[2]ACTA 3'!A164</f>
        <v>NP 4.1</v>
      </c>
      <c r="B360" s="188" t="str">
        <f>'[2]ACTA 3'!B164</f>
        <v>Suministro e instalación de enchape cerámico</v>
      </c>
      <c r="C360" s="260" t="s">
        <v>353</v>
      </c>
      <c r="D360" s="260"/>
      <c r="E360" s="260"/>
      <c r="F360" s="260"/>
    </row>
    <row r="361" spans="1:6" x14ac:dyDescent="0.25">
      <c r="A361" s="262" t="s">
        <v>320</v>
      </c>
      <c r="B361" s="262"/>
      <c r="C361" s="176" t="s">
        <v>321</v>
      </c>
      <c r="D361" s="176" t="s">
        <v>354</v>
      </c>
      <c r="E361" s="176" t="s">
        <v>355</v>
      </c>
      <c r="F361" s="177" t="s">
        <v>356</v>
      </c>
    </row>
    <row r="362" spans="1:6" x14ac:dyDescent="0.25">
      <c r="A362" s="173"/>
      <c r="B362" s="178" t="s">
        <v>357</v>
      </c>
      <c r="C362" s="86"/>
      <c r="D362" s="2"/>
      <c r="E362" s="2"/>
      <c r="F362" s="179"/>
    </row>
    <row r="363" spans="1:6" x14ac:dyDescent="0.25">
      <c r="A363" s="173"/>
      <c r="B363" s="180" t="s">
        <v>410</v>
      </c>
      <c r="C363" s="181" t="s">
        <v>21</v>
      </c>
      <c r="D363" s="2">
        <v>1.01</v>
      </c>
      <c r="E363" s="182">
        <v>53800</v>
      </c>
      <c r="F363" s="179">
        <f t="shared" ref="F363:F368" si="11">ROUND(D363*E363, 2)</f>
        <v>54338</v>
      </c>
    </row>
    <row r="364" spans="1:6" x14ac:dyDescent="0.25">
      <c r="A364" s="173"/>
      <c r="B364" s="180" t="s">
        <v>411</v>
      </c>
      <c r="C364" s="181" t="s">
        <v>403</v>
      </c>
      <c r="D364" s="2">
        <v>0.25</v>
      </c>
      <c r="E364" s="182">
        <v>90500</v>
      </c>
      <c r="F364" s="179">
        <f t="shared" si="11"/>
        <v>22625</v>
      </c>
    </row>
    <row r="365" spans="1:6" x14ac:dyDescent="0.25">
      <c r="A365" s="173"/>
      <c r="B365" s="180" t="s">
        <v>412</v>
      </c>
      <c r="C365" s="181" t="s">
        <v>403</v>
      </c>
      <c r="D365" s="2">
        <v>7.0000000000000007E-2</v>
      </c>
      <c r="E365" s="182">
        <v>20900</v>
      </c>
      <c r="F365" s="179">
        <f t="shared" si="11"/>
        <v>1463</v>
      </c>
    </row>
    <row r="366" spans="1:6" x14ac:dyDescent="0.25">
      <c r="A366" s="173"/>
      <c r="B366" s="180" t="s">
        <v>413</v>
      </c>
      <c r="C366" s="181" t="s">
        <v>403</v>
      </c>
      <c r="D366" s="2">
        <v>0.7</v>
      </c>
      <c r="E366" s="182">
        <v>11211</v>
      </c>
      <c r="F366" s="179">
        <f t="shared" si="11"/>
        <v>7847.7</v>
      </c>
    </row>
    <row r="367" spans="1:6" x14ac:dyDescent="0.25">
      <c r="A367" s="173"/>
      <c r="B367" s="180" t="s">
        <v>414</v>
      </c>
      <c r="C367" s="181" t="s">
        <v>28</v>
      </c>
      <c r="D367" s="2">
        <v>12</v>
      </c>
      <c r="E367" s="182">
        <v>104.5</v>
      </c>
      <c r="F367" s="179">
        <f t="shared" si="11"/>
        <v>1254</v>
      </c>
    </row>
    <row r="368" spans="1:6" x14ac:dyDescent="0.25">
      <c r="A368" s="173"/>
      <c r="B368" s="180" t="s">
        <v>415</v>
      </c>
      <c r="C368" s="181" t="s">
        <v>403</v>
      </c>
      <c r="D368" s="2">
        <v>0.5</v>
      </c>
      <c r="E368" s="182">
        <v>2109</v>
      </c>
      <c r="F368" s="179">
        <f t="shared" si="11"/>
        <v>1054.5</v>
      </c>
    </row>
    <row r="369" spans="1:6" x14ac:dyDescent="0.25">
      <c r="A369" s="173"/>
      <c r="B369" s="183"/>
      <c r="C369" s="86"/>
      <c r="D369" s="2"/>
      <c r="E369" s="184" t="s">
        <v>368</v>
      </c>
      <c r="F369" s="185">
        <f>SUM(F363:F366)</f>
        <v>86273.7</v>
      </c>
    </row>
    <row r="370" spans="1:6" x14ac:dyDescent="0.25">
      <c r="A370" s="173"/>
      <c r="B370" s="178" t="s">
        <v>369</v>
      </c>
      <c r="C370" s="86"/>
      <c r="D370" s="2"/>
      <c r="E370" s="2"/>
      <c r="F370" s="179"/>
    </row>
    <row r="371" spans="1:6" x14ac:dyDescent="0.25">
      <c r="A371" s="173"/>
      <c r="B371" s="180" t="s">
        <v>385</v>
      </c>
      <c r="C371" s="181" t="s">
        <v>386</v>
      </c>
      <c r="D371" s="2">
        <v>5</v>
      </c>
      <c r="E371" s="182">
        <f>F379</f>
        <v>26520</v>
      </c>
      <c r="F371" s="179">
        <f>ROUND(D371*E371/100, 2)</f>
        <v>1326</v>
      </c>
    </row>
    <row r="372" spans="1:6" x14ac:dyDescent="0.25">
      <c r="A372" s="173"/>
      <c r="B372" s="180"/>
      <c r="C372" s="181"/>
      <c r="D372" s="2"/>
      <c r="E372" s="182"/>
      <c r="F372" s="179"/>
    </row>
    <row r="373" spans="1:6" x14ac:dyDescent="0.25">
      <c r="A373" s="173"/>
      <c r="B373" s="183"/>
      <c r="C373" s="86"/>
      <c r="D373" s="2"/>
      <c r="E373" s="184" t="s">
        <v>368</v>
      </c>
      <c r="F373" s="185">
        <f>SUM(F371:F371)</f>
        <v>1326</v>
      </c>
    </row>
    <row r="374" spans="1:6" x14ac:dyDescent="0.25">
      <c r="A374" s="173"/>
      <c r="B374" s="178" t="s">
        <v>379</v>
      </c>
      <c r="C374" s="86"/>
      <c r="D374" s="2"/>
      <c r="E374" s="2"/>
      <c r="F374" s="179"/>
    </row>
    <row r="375" spans="1:6" x14ac:dyDescent="0.25">
      <c r="A375" s="173"/>
      <c r="B375" s="180" t="s">
        <v>380</v>
      </c>
      <c r="C375" s="181" t="s">
        <v>204</v>
      </c>
      <c r="D375" s="2">
        <v>0.109</v>
      </c>
      <c r="E375" s="182">
        <v>64688</v>
      </c>
      <c r="F375" s="179">
        <f>ROUND(D375*E375, 2)</f>
        <v>7050.99</v>
      </c>
    </row>
    <row r="376" spans="1:6" x14ac:dyDescent="0.25">
      <c r="A376" s="173"/>
      <c r="B376" s="180" t="s">
        <v>394</v>
      </c>
      <c r="C376" s="181" t="s">
        <v>204</v>
      </c>
      <c r="D376" s="2">
        <v>0.12</v>
      </c>
      <c r="E376" s="182">
        <v>9500</v>
      </c>
      <c r="F376" s="179">
        <f>ROUND(D376*E376, 2)</f>
        <v>1140</v>
      </c>
    </row>
    <row r="377" spans="1:6" x14ac:dyDescent="0.25">
      <c r="A377" s="173"/>
      <c r="B377" s="183"/>
      <c r="C377" s="86"/>
      <c r="D377" s="2"/>
      <c r="E377" s="184" t="s">
        <v>368</v>
      </c>
      <c r="F377" s="185">
        <f>SUM(F375:F375)</f>
        <v>7050.99</v>
      </c>
    </row>
    <row r="378" spans="1:6" x14ac:dyDescent="0.25">
      <c r="A378" s="173"/>
      <c r="B378" s="178" t="s">
        <v>381</v>
      </c>
      <c r="C378" s="86"/>
      <c r="D378" s="2"/>
      <c r="E378" s="2"/>
      <c r="F378" s="179"/>
    </row>
    <row r="379" spans="1:6" x14ac:dyDescent="0.25">
      <c r="A379" s="173"/>
      <c r="B379" s="183" t="s">
        <v>382</v>
      </c>
      <c r="C379" s="86" t="s">
        <v>371</v>
      </c>
      <c r="D379" s="2">
        <v>0.12</v>
      </c>
      <c r="E379" s="182">
        <v>221000</v>
      </c>
      <c r="F379" s="179">
        <f>ROUND(D379*E379, 2)</f>
        <v>26520</v>
      </c>
    </row>
    <row r="380" spans="1:6" x14ac:dyDescent="0.25">
      <c r="A380" s="173"/>
      <c r="B380" s="183"/>
      <c r="C380" s="86"/>
      <c r="D380" s="2"/>
      <c r="E380" s="184" t="s">
        <v>368</v>
      </c>
      <c r="F380" s="185">
        <f>SUM(F379:F379)</f>
        <v>26520</v>
      </c>
    </row>
    <row r="381" spans="1:6" x14ac:dyDescent="0.25">
      <c r="A381" s="173"/>
      <c r="B381" s="183"/>
      <c r="C381" s="86"/>
      <c r="D381" s="2"/>
      <c r="E381" s="2"/>
      <c r="F381" s="179"/>
    </row>
    <row r="382" spans="1:6" x14ac:dyDescent="0.25">
      <c r="A382" s="173"/>
      <c r="B382" s="183"/>
      <c r="C382" s="86"/>
      <c r="D382" s="2"/>
      <c r="E382" s="186" t="s">
        <v>383</v>
      </c>
      <c r="F382" s="187">
        <f>ROUND(SUM(F362:F380)/2, 0)</f>
        <v>122895</v>
      </c>
    </row>
    <row r="383" spans="1:6" x14ac:dyDescent="0.25">
      <c r="A383" s="173"/>
      <c r="B383" s="183"/>
      <c r="C383" s="86"/>
      <c r="D383" s="2"/>
      <c r="E383" s="186"/>
      <c r="F383" s="187"/>
    </row>
    <row r="384" spans="1:6" ht="35.450000000000003" customHeight="1" x14ac:dyDescent="0.25">
      <c r="A384" s="174" t="str">
        <f>'[2]ACTA 3'!A165</f>
        <v>NP 5.1</v>
      </c>
      <c r="B384" s="175" t="str">
        <f>'[2]ACTA 3'!B165</f>
        <v>Suministro e instalación de cielo raso en PVC</v>
      </c>
      <c r="C384" s="260" t="s">
        <v>353</v>
      </c>
      <c r="D384" s="260"/>
      <c r="E384" s="260"/>
      <c r="F384" s="260"/>
    </row>
    <row r="385" spans="1:6" x14ac:dyDescent="0.25">
      <c r="A385" s="262" t="s">
        <v>320</v>
      </c>
      <c r="B385" s="262"/>
      <c r="C385" s="176" t="s">
        <v>321</v>
      </c>
      <c r="D385" s="176" t="s">
        <v>354</v>
      </c>
      <c r="E385" s="176" t="s">
        <v>355</v>
      </c>
      <c r="F385" s="177" t="s">
        <v>356</v>
      </c>
    </row>
    <row r="386" spans="1:6" x14ac:dyDescent="0.25">
      <c r="A386" s="173"/>
      <c r="B386" s="178" t="s">
        <v>357</v>
      </c>
      <c r="C386" s="86"/>
      <c r="D386" s="2"/>
      <c r="E386" s="2"/>
      <c r="F386" s="179"/>
    </row>
    <row r="387" spans="1:6" x14ac:dyDescent="0.25">
      <c r="A387" s="173"/>
      <c r="B387" s="180" t="s">
        <v>416</v>
      </c>
      <c r="C387" s="181" t="s">
        <v>28</v>
      </c>
      <c r="D387" s="2">
        <v>1.05</v>
      </c>
      <c r="E387" s="182">
        <v>22900</v>
      </c>
      <c r="F387" s="179">
        <f t="shared" ref="F387:F394" si="12">ROUND(D387*E387, 2)</f>
        <v>24045</v>
      </c>
    </row>
    <row r="388" spans="1:6" x14ac:dyDescent="0.25">
      <c r="A388" s="173"/>
      <c r="B388" s="180" t="s">
        <v>417</v>
      </c>
      <c r="C388" s="181" t="s">
        <v>28</v>
      </c>
      <c r="D388" s="2">
        <v>0.6</v>
      </c>
      <c r="E388" s="182">
        <v>4500</v>
      </c>
      <c r="F388" s="179">
        <f t="shared" si="12"/>
        <v>2700</v>
      </c>
    </row>
    <row r="389" spans="1:6" x14ac:dyDescent="0.25">
      <c r="A389" s="173"/>
      <c r="B389" s="180" t="s">
        <v>418</v>
      </c>
      <c r="C389" s="181" t="s">
        <v>28</v>
      </c>
      <c r="D389" s="2">
        <v>0.4</v>
      </c>
      <c r="E389" s="182">
        <v>4500</v>
      </c>
      <c r="F389" s="179">
        <f t="shared" si="12"/>
        <v>1800</v>
      </c>
    </row>
    <row r="390" spans="1:6" x14ac:dyDescent="0.25">
      <c r="A390" s="173"/>
      <c r="B390" s="180" t="s">
        <v>419</v>
      </c>
      <c r="C390" s="181" t="s">
        <v>28</v>
      </c>
      <c r="D390" s="2">
        <v>0.4</v>
      </c>
      <c r="E390" s="182">
        <v>2800</v>
      </c>
      <c r="F390" s="179">
        <f t="shared" si="12"/>
        <v>1120</v>
      </c>
    </row>
    <row r="391" spans="1:6" x14ac:dyDescent="0.25">
      <c r="A391" s="173"/>
      <c r="B391" s="180" t="s">
        <v>362</v>
      </c>
      <c r="C391" s="181" t="s">
        <v>28</v>
      </c>
      <c r="D391" s="2">
        <v>11</v>
      </c>
      <c r="E391" s="182">
        <v>85</v>
      </c>
      <c r="F391" s="179">
        <f t="shared" si="12"/>
        <v>935</v>
      </c>
    </row>
    <row r="392" spans="1:6" x14ac:dyDescent="0.25">
      <c r="A392" s="173"/>
      <c r="B392" s="180" t="s">
        <v>361</v>
      </c>
      <c r="C392" s="181" t="s">
        <v>28</v>
      </c>
      <c r="D392" s="2">
        <v>10</v>
      </c>
      <c r="E392" s="182">
        <v>278</v>
      </c>
      <c r="F392" s="179">
        <f t="shared" si="12"/>
        <v>2780</v>
      </c>
    </row>
    <row r="393" spans="1:6" x14ac:dyDescent="0.25">
      <c r="A393" s="173"/>
      <c r="B393" s="180" t="s">
        <v>420</v>
      </c>
      <c r="C393" s="181" t="s">
        <v>28</v>
      </c>
      <c r="D393" s="2">
        <v>0.03</v>
      </c>
      <c r="E393" s="182">
        <v>26900</v>
      </c>
      <c r="F393" s="179">
        <f t="shared" si="12"/>
        <v>807</v>
      </c>
    </row>
    <row r="394" spans="1:6" x14ac:dyDescent="0.25">
      <c r="A394" s="173"/>
      <c r="B394" s="180" t="s">
        <v>421</v>
      </c>
      <c r="C394" s="181" t="s">
        <v>28</v>
      </c>
      <c r="D394" s="2">
        <v>0.03</v>
      </c>
      <c r="E394" s="182">
        <v>10800</v>
      </c>
      <c r="F394" s="179">
        <f t="shared" si="12"/>
        <v>324</v>
      </c>
    </row>
    <row r="395" spans="1:6" x14ac:dyDescent="0.25">
      <c r="A395" s="173"/>
      <c r="B395" s="183"/>
      <c r="C395" s="86"/>
      <c r="D395" s="2"/>
      <c r="E395" s="184" t="s">
        <v>368</v>
      </c>
      <c r="F395" s="185">
        <f>SUM(F387:F394)</f>
        <v>34511</v>
      </c>
    </row>
    <row r="396" spans="1:6" x14ac:dyDescent="0.25">
      <c r="A396" s="173"/>
      <c r="B396" s="178" t="s">
        <v>369</v>
      </c>
      <c r="C396" s="86"/>
      <c r="D396" s="2"/>
      <c r="E396" s="2"/>
      <c r="F396" s="179"/>
    </row>
    <row r="397" spans="1:6" x14ac:dyDescent="0.25">
      <c r="A397" s="173"/>
      <c r="B397" s="183" t="s">
        <v>370</v>
      </c>
      <c r="C397" s="86" t="s">
        <v>371</v>
      </c>
      <c r="D397" s="2">
        <v>0.2</v>
      </c>
      <c r="E397" s="182">
        <v>5246</v>
      </c>
      <c r="F397" s="179">
        <f t="shared" ref="F397:F404" si="13">ROUND(D397*E397, 2)</f>
        <v>1049.2</v>
      </c>
    </row>
    <row r="398" spans="1:6" x14ac:dyDescent="0.25">
      <c r="A398" s="173"/>
      <c r="B398" s="180" t="s">
        <v>372</v>
      </c>
      <c r="C398" s="86" t="s">
        <v>371</v>
      </c>
      <c r="D398" s="2">
        <v>0.2</v>
      </c>
      <c r="E398" s="182">
        <v>2233</v>
      </c>
      <c r="F398" s="179">
        <f t="shared" si="13"/>
        <v>446.6</v>
      </c>
    </row>
    <row r="399" spans="1:6" x14ac:dyDescent="0.25">
      <c r="A399" s="173"/>
      <c r="B399" s="180" t="s">
        <v>373</v>
      </c>
      <c r="C399" s="181" t="s">
        <v>28</v>
      </c>
      <c r="D399" s="2">
        <f>0.0018</f>
        <v>1.8E-3</v>
      </c>
      <c r="E399" s="182">
        <v>611537</v>
      </c>
      <c r="F399" s="179">
        <f t="shared" si="13"/>
        <v>1100.77</v>
      </c>
    </row>
    <row r="400" spans="1:6" x14ac:dyDescent="0.25">
      <c r="A400" s="173"/>
      <c r="B400" s="180" t="s">
        <v>374</v>
      </c>
      <c r="C400" s="181" t="s">
        <v>28</v>
      </c>
      <c r="D400" s="2">
        <f>0.0018</f>
        <v>1.8E-3</v>
      </c>
      <c r="E400" s="182">
        <v>77490</v>
      </c>
      <c r="F400" s="179">
        <f t="shared" si="13"/>
        <v>139.47999999999999</v>
      </c>
    </row>
    <row r="401" spans="1:6" x14ac:dyDescent="0.25">
      <c r="A401" s="173"/>
      <c r="B401" s="180" t="s">
        <v>375</v>
      </c>
      <c r="C401" s="181" t="s">
        <v>28</v>
      </c>
      <c r="D401" s="2">
        <f>0.0018</f>
        <v>1.8E-3</v>
      </c>
      <c r="E401" s="182">
        <v>62851</v>
      </c>
      <c r="F401" s="179">
        <f t="shared" si="13"/>
        <v>113.13</v>
      </c>
    </row>
    <row r="402" spans="1:6" x14ac:dyDescent="0.25">
      <c r="A402" s="173"/>
      <c r="B402" s="180" t="s">
        <v>376</v>
      </c>
      <c r="C402" s="181" t="s">
        <v>28</v>
      </c>
      <c r="D402" s="2">
        <f>0.0018</f>
        <v>1.8E-3</v>
      </c>
      <c r="E402" s="182">
        <v>600941</v>
      </c>
      <c r="F402" s="179">
        <f t="shared" si="13"/>
        <v>1081.69</v>
      </c>
    </row>
    <row r="403" spans="1:6" x14ac:dyDescent="0.25">
      <c r="A403" s="173"/>
      <c r="B403" s="180" t="s">
        <v>377</v>
      </c>
      <c r="C403" s="181" t="s">
        <v>28</v>
      </c>
      <c r="D403" s="2">
        <f>0.0018</f>
        <v>1.8E-3</v>
      </c>
      <c r="E403" s="182">
        <v>31265</v>
      </c>
      <c r="F403" s="179">
        <f t="shared" si="13"/>
        <v>56.28</v>
      </c>
    </row>
    <row r="404" spans="1:6" x14ac:dyDescent="0.25">
      <c r="A404" s="173"/>
      <c r="B404" s="180" t="s">
        <v>422</v>
      </c>
      <c r="C404" s="181" t="s">
        <v>28</v>
      </c>
      <c r="D404" s="2">
        <v>1.8E-3</v>
      </c>
      <c r="E404" s="182">
        <v>699900</v>
      </c>
      <c r="F404" s="179">
        <f t="shared" si="13"/>
        <v>1259.82</v>
      </c>
    </row>
    <row r="405" spans="1:6" x14ac:dyDescent="0.25">
      <c r="A405" s="173"/>
      <c r="B405" s="183"/>
      <c r="C405" s="86"/>
      <c r="D405" s="2"/>
      <c r="E405" s="184" t="s">
        <v>368</v>
      </c>
      <c r="F405" s="185">
        <f>SUM(F397:F404)</f>
        <v>5246.97</v>
      </c>
    </row>
    <row r="406" spans="1:6" x14ac:dyDescent="0.25">
      <c r="A406" s="173"/>
      <c r="B406" s="178" t="s">
        <v>379</v>
      </c>
      <c r="C406" s="86"/>
      <c r="D406" s="2"/>
      <c r="E406" s="2"/>
      <c r="F406" s="179"/>
    </row>
    <row r="407" spans="1:6" x14ac:dyDescent="0.25">
      <c r="A407" s="173"/>
      <c r="B407" s="180" t="s">
        <v>380</v>
      </c>
      <c r="C407" s="181" t="s">
        <v>204</v>
      </c>
      <c r="D407" s="2">
        <v>0.08</v>
      </c>
      <c r="E407" s="182">
        <v>64688</v>
      </c>
      <c r="F407" s="179">
        <f>ROUND(D407*E407, 2)</f>
        <v>5175.04</v>
      </c>
    </row>
    <row r="408" spans="1:6" x14ac:dyDescent="0.25">
      <c r="A408" s="173"/>
      <c r="B408" s="183" t="s">
        <v>394</v>
      </c>
      <c r="C408" s="86" t="s">
        <v>204</v>
      </c>
      <c r="D408" s="2">
        <v>0.1007</v>
      </c>
      <c r="E408" s="182">
        <v>9500</v>
      </c>
      <c r="F408" s="179">
        <f>ROUND(D408*E408, 2)</f>
        <v>956.65</v>
      </c>
    </row>
    <row r="409" spans="1:6" x14ac:dyDescent="0.25">
      <c r="A409" s="173"/>
      <c r="B409" s="183"/>
      <c r="C409" s="86"/>
      <c r="D409" s="2"/>
      <c r="E409" s="184" t="s">
        <v>368</v>
      </c>
      <c r="F409" s="185">
        <f>SUM(F407:F408)</f>
        <v>6131.69</v>
      </c>
    </row>
    <row r="410" spans="1:6" x14ac:dyDescent="0.25">
      <c r="A410" s="173"/>
      <c r="B410" s="178" t="s">
        <v>381</v>
      </c>
      <c r="C410" s="86"/>
      <c r="D410" s="2"/>
      <c r="E410" s="2"/>
      <c r="F410" s="179"/>
    </row>
    <row r="411" spans="1:6" x14ac:dyDescent="0.25">
      <c r="A411" s="173"/>
      <c r="B411" s="183" t="s">
        <v>382</v>
      </c>
      <c r="C411" s="86" t="s">
        <v>371</v>
      </c>
      <c r="D411" s="2">
        <v>0.14799999999999999</v>
      </c>
      <c r="E411" s="182">
        <v>221000</v>
      </c>
      <c r="F411" s="179">
        <f>ROUND(D411*E411, 2)</f>
        <v>32708</v>
      </c>
    </row>
    <row r="412" spans="1:6" x14ac:dyDescent="0.25">
      <c r="A412" s="173"/>
      <c r="B412" s="183"/>
      <c r="C412" s="86"/>
      <c r="D412" s="2"/>
      <c r="E412" s="184" t="s">
        <v>368</v>
      </c>
      <c r="F412" s="185">
        <f>SUM(F411:F411)</f>
        <v>32708</v>
      </c>
    </row>
    <row r="413" spans="1:6" x14ac:dyDescent="0.25">
      <c r="A413" s="173"/>
      <c r="B413" s="183"/>
      <c r="C413" s="86"/>
      <c r="D413" s="2"/>
      <c r="E413" s="2"/>
      <c r="F413" s="179"/>
    </row>
    <row r="414" spans="1:6" x14ac:dyDescent="0.25">
      <c r="A414" s="173"/>
      <c r="B414" s="183"/>
      <c r="C414" s="86"/>
      <c r="D414" s="2"/>
      <c r="E414" s="186" t="s">
        <v>383</v>
      </c>
      <c r="F414" s="187">
        <f>ROUND(SUM(F386:F412)/2, 0)</f>
        <v>78598</v>
      </c>
    </row>
    <row r="415" spans="1:6" x14ac:dyDescent="0.25">
      <c r="A415" s="173"/>
    </row>
    <row r="416" spans="1:6" s="173" customFormat="1" ht="60" x14ac:dyDescent="0.25">
      <c r="A416" s="174" t="str">
        <f>'[2]ACTA 3'!A166</f>
        <v>NP 6.1</v>
      </c>
      <c r="B416" s="188" t="str">
        <f>'[2]ACTA 3'!B166</f>
        <v>Construcción de base para carcamos técnicos de los equipos de flouroscopia y mamografía; incluye malla de refuerzo, excavación, conformación de brecha, formaleteado y vaciado de concreto en sitio</v>
      </c>
      <c r="C416" s="260" t="s">
        <v>388</v>
      </c>
      <c r="D416" s="260"/>
      <c r="E416" s="260"/>
      <c r="F416" s="260"/>
    </row>
    <row r="417" spans="1:6" s="173" customFormat="1" x14ac:dyDescent="0.25">
      <c r="A417" s="262" t="s">
        <v>320</v>
      </c>
      <c r="B417" s="262"/>
      <c r="C417" s="176" t="s">
        <v>321</v>
      </c>
      <c r="D417" s="176" t="s">
        <v>354</v>
      </c>
      <c r="E417" s="176" t="s">
        <v>355</v>
      </c>
      <c r="F417" s="177" t="s">
        <v>356</v>
      </c>
    </row>
    <row r="418" spans="1:6" s="173" customFormat="1" x14ac:dyDescent="0.25">
      <c r="A418" s="86"/>
      <c r="B418" s="178" t="s">
        <v>357</v>
      </c>
      <c r="C418" s="86"/>
      <c r="D418" s="2"/>
      <c r="E418" s="2"/>
      <c r="F418" s="179"/>
    </row>
    <row r="419" spans="1:6" x14ac:dyDescent="0.25">
      <c r="B419" s="183" t="s">
        <v>423</v>
      </c>
      <c r="C419" s="86" t="s">
        <v>70</v>
      </c>
      <c r="D419" s="2">
        <v>0.22</v>
      </c>
      <c r="E419" s="182">
        <v>636070</v>
      </c>
      <c r="F419" s="179">
        <f>ROUND(D419*E419, 2)</f>
        <v>139935.4</v>
      </c>
    </row>
    <row r="420" spans="1:6" x14ac:dyDescent="0.25">
      <c r="B420" s="183" t="s">
        <v>408</v>
      </c>
      <c r="C420" s="86" t="s">
        <v>409</v>
      </c>
      <c r="D420" s="2">
        <v>1.5</v>
      </c>
      <c r="E420" s="182">
        <v>14500</v>
      </c>
      <c r="F420" s="179">
        <f>ROUND(D420*E420, 2)</f>
        <v>21750</v>
      </c>
    </row>
    <row r="421" spans="1:6" s="173" customFormat="1" x14ac:dyDescent="0.25">
      <c r="A421" s="86"/>
      <c r="B421" s="183" t="s">
        <v>424</v>
      </c>
      <c r="C421" s="86" t="s">
        <v>21</v>
      </c>
      <c r="D421" s="2">
        <v>1</v>
      </c>
      <c r="E421" s="182">
        <v>5850</v>
      </c>
      <c r="F421" s="179">
        <f>ROUND(D421*E421, 2)</f>
        <v>5850</v>
      </c>
    </row>
    <row r="422" spans="1:6" s="173" customFormat="1" x14ac:dyDescent="0.25">
      <c r="A422" s="86"/>
      <c r="B422" s="183"/>
      <c r="C422" s="86"/>
      <c r="D422" s="2"/>
      <c r="E422" s="184" t="s">
        <v>368</v>
      </c>
      <c r="F422" s="185">
        <f>SUM(F419:F421)</f>
        <v>167535.4</v>
      </c>
    </row>
    <row r="423" spans="1:6" s="173" customFormat="1" x14ac:dyDescent="0.25">
      <c r="A423" s="86"/>
      <c r="B423" s="178" t="s">
        <v>369</v>
      </c>
      <c r="C423" s="86"/>
      <c r="D423" s="2"/>
      <c r="E423" s="2"/>
      <c r="F423" s="179"/>
    </row>
    <row r="424" spans="1:6" s="173" customFormat="1" ht="17.45" customHeight="1" x14ac:dyDescent="0.25">
      <c r="A424" s="86"/>
      <c r="B424" s="180" t="s">
        <v>385</v>
      </c>
      <c r="C424" s="181" t="s">
        <v>386</v>
      </c>
      <c r="D424" s="2">
        <v>5</v>
      </c>
      <c r="E424" s="182">
        <f>F432</f>
        <v>57892.72</v>
      </c>
      <c r="F424" s="179">
        <f>ROUND(D424*E424/100, 2)</f>
        <v>2894.64</v>
      </c>
    </row>
    <row r="425" spans="1:6" s="173" customFormat="1" x14ac:dyDescent="0.25">
      <c r="A425" s="86"/>
      <c r="B425" s="183"/>
      <c r="C425" s="86"/>
      <c r="D425" s="2"/>
      <c r="E425" s="184" t="s">
        <v>368</v>
      </c>
      <c r="F425" s="185">
        <f>SUM(F424)</f>
        <v>2894.64</v>
      </c>
    </row>
    <row r="426" spans="1:6" s="173" customFormat="1" x14ac:dyDescent="0.25">
      <c r="A426" s="86"/>
      <c r="B426" s="178" t="s">
        <v>379</v>
      </c>
      <c r="C426" s="86"/>
      <c r="D426" s="2"/>
      <c r="E426" s="2"/>
      <c r="F426" s="179"/>
    </row>
    <row r="427" spans="1:6" x14ac:dyDescent="0.25">
      <c r="B427" s="180" t="s">
        <v>380</v>
      </c>
      <c r="C427" s="181" t="s">
        <v>204</v>
      </c>
      <c r="D427" s="2">
        <v>0.2</v>
      </c>
      <c r="E427" s="182">
        <v>64688</v>
      </c>
      <c r="F427" s="179">
        <f>ROUND(D427*E427, 2)</f>
        <v>12937.6</v>
      </c>
    </row>
    <row r="428" spans="1:6" x14ac:dyDescent="0.25">
      <c r="B428" s="183" t="s">
        <v>394</v>
      </c>
      <c r="C428" s="86" t="s">
        <v>204</v>
      </c>
      <c r="D428" s="2">
        <v>0.4</v>
      </c>
      <c r="E428" s="182">
        <v>9500</v>
      </c>
      <c r="F428" s="179">
        <f>ROUND(D428*E428, 2)</f>
        <v>3800</v>
      </c>
    </row>
    <row r="429" spans="1:6" s="173" customFormat="1" x14ac:dyDescent="0.25">
      <c r="A429" s="86"/>
      <c r="B429" s="180"/>
      <c r="C429" s="181"/>
      <c r="D429" s="2"/>
      <c r="E429" s="182"/>
      <c r="F429" s="179">
        <f>D429*E429</f>
        <v>0</v>
      </c>
    </row>
    <row r="430" spans="1:6" s="173" customFormat="1" x14ac:dyDescent="0.25">
      <c r="A430" s="86"/>
      <c r="B430" s="183"/>
      <c r="C430" s="86"/>
      <c r="D430" s="2"/>
      <c r="E430" s="184" t="s">
        <v>368</v>
      </c>
      <c r="F430" s="185">
        <f>SUM(F427:F429)</f>
        <v>16737.599999999999</v>
      </c>
    </row>
    <row r="431" spans="1:6" s="173" customFormat="1" x14ac:dyDescent="0.25">
      <c r="A431" s="86"/>
      <c r="B431" s="178" t="s">
        <v>381</v>
      </c>
      <c r="C431" s="86"/>
      <c r="D431" s="2"/>
      <c r="E431" s="2"/>
      <c r="F431" s="179"/>
    </row>
    <row r="432" spans="1:6" s="173" customFormat="1" x14ac:dyDescent="0.25">
      <c r="A432" s="86"/>
      <c r="B432" s="180" t="s">
        <v>382</v>
      </c>
      <c r="C432" s="86" t="s">
        <v>371</v>
      </c>
      <c r="D432" s="2">
        <v>0.26195800000000002</v>
      </c>
      <c r="E432" s="182">
        <v>221000</v>
      </c>
      <c r="F432" s="179">
        <f>ROUND(D432*E432, 2)</f>
        <v>57892.72</v>
      </c>
    </row>
    <row r="433" spans="1:6" s="173" customFormat="1" x14ac:dyDescent="0.25">
      <c r="A433" s="86"/>
      <c r="B433" s="183"/>
      <c r="C433" s="86"/>
      <c r="D433" s="2"/>
      <c r="E433" s="184" t="s">
        <v>368</v>
      </c>
      <c r="F433" s="185">
        <f>SUM(F432:F432)</f>
        <v>57892.72</v>
      </c>
    </row>
    <row r="434" spans="1:6" s="173" customFormat="1" x14ac:dyDescent="0.25">
      <c r="A434" s="86"/>
      <c r="B434" s="183"/>
      <c r="C434" s="86"/>
      <c r="D434" s="2"/>
      <c r="E434" s="2"/>
      <c r="F434" s="179"/>
    </row>
    <row r="435" spans="1:6" s="173" customFormat="1" x14ac:dyDescent="0.25">
      <c r="A435" s="86"/>
      <c r="B435" s="183"/>
      <c r="C435" s="86"/>
      <c r="D435" s="2"/>
      <c r="E435" s="186" t="s">
        <v>383</v>
      </c>
      <c r="F435" s="187">
        <f>ROUND(SUM(F418:F433)/2, 0)</f>
        <v>245060</v>
      </c>
    </row>
    <row r="436" spans="1:6" s="173" customFormat="1" x14ac:dyDescent="0.25">
      <c r="A436" s="86"/>
      <c r="B436" s="183"/>
      <c r="C436" s="86"/>
      <c r="D436" s="2"/>
      <c r="E436" s="186"/>
      <c r="F436" s="187"/>
    </row>
    <row r="437" spans="1:6" s="173" customFormat="1" ht="36" customHeight="1" x14ac:dyDescent="0.25">
      <c r="A437" s="174" t="str">
        <f>'[2]ACTA 3'!A167</f>
        <v>NP 6.2</v>
      </c>
      <c r="B437" s="191" t="str">
        <f>'[2]ACTA 3'!B167</f>
        <v>Suministro e instalación de zocalo recto</v>
      </c>
      <c r="C437" s="260" t="s">
        <v>404</v>
      </c>
      <c r="D437" s="260"/>
      <c r="E437" s="260"/>
      <c r="F437" s="260"/>
    </row>
    <row r="438" spans="1:6" s="173" customFormat="1" x14ac:dyDescent="0.25">
      <c r="A438" s="262" t="s">
        <v>320</v>
      </c>
      <c r="B438" s="262"/>
      <c r="C438" s="176" t="s">
        <v>321</v>
      </c>
      <c r="D438" s="176" t="s">
        <v>354</v>
      </c>
      <c r="E438" s="176" t="s">
        <v>355</v>
      </c>
      <c r="F438" s="177" t="s">
        <v>356</v>
      </c>
    </row>
    <row r="439" spans="1:6" s="173" customFormat="1" x14ac:dyDescent="0.25">
      <c r="A439" s="86"/>
      <c r="B439" s="178" t="s">
        <v>357</v>
      </c>
      <c r="C439" s="86"/>
      <c r="D439" s="2"/>
      <c r="E439" s="2"/>
      <c r="F439" s="179"/>
    </row>
    <row r="440" spans="1:6" s="173" customFormat="1" x14ac:dyDescent="0.25">
      <c r="A440" s="86"/>
      <c r="B440" s="183" t="s">
        <v>425</v>
      </c>
      <c r="C440" s="86" t="s">
        <v>21</v>
      </c>
      <c r="D440" s="2">
        <v>0.14000000000000001</v>
      </c>
      <c r="E440" s="182">
        <v>90025</v>
      </c>
      <c r="F440" s="179">
        <f t="shared" ref="F440:F442" si="14">ROUND(D440*E440, 2)</f>
        <v>12603.5</v>
      </c>
    </row>
    <row r="441" spans="1:6" s="173" customFormat="1" x14ac:dyDescent="0.25">
      <c r="A441" s="86"/>
      <c r="B441" s="180" t="s">
        <v>413</v>
      </c>
      <c r="C441" s="181" t="s">
        <v>403</v>
      </c>
      <c r="D441" s="2">
        <v>0.1</v>
      </c>
      <c r="E441" s="182">
        <v>11211</v>
      </c>
      <c r="F441" s="179">
        <f t="shared" si="14"/>
        <v>1121.0999999999999</v>
      </c>
    </row>
    <row r="442" spans="1:6" s="173" customFormat="1" x14ac:dyDescent="0.25">
      <c r="A442" s="86"/>
      <c r="B442" s="183" t="s">
        <v>426</v>
      </c>
      <c r="C442" s="86" t="s">
        <v>403</v>
      </c>
      <c r="D442" s="2">
        <v>1</v>
      </c>
      <c r="E442" s="182">
        <v>4900</v>
      </c>
      <c r="F442" s="179">
        <f t="shared" si="14"/>
        <v>4900</v>
      </c>
    </row>
    <row r="443" spans="1:6" s="173" customFormat="1" x14ac:dyDescent="0.25">
      <c r="A443" s="86"/>
      <c r="B443" s="183"/>
      <c r="C443" s="86"/>
      <c r="D443" s="2"/>
      <c r="E443" s="184" t="s">
        <v>368</v>
      </c>
      <c r="F443" s="185">
        <f>SUM(F440:F442)</f>
        <v>18624.599999999999</v>
      </c>
    </row>
    <row r="444" spans="1:6" s="173" customFormat="1" x14ac:dyDescent="0.25">
      <c r="A444" s="86"/>
      <c r="B444" s="178" t="s">
        <v>369</v>
      </c>
      <c r="C444" s="86"/>
      <c r="D444" s="2"/>
      <c r="E444" s="2"/>
      <c r="F444" s="179"/>
    </row>
    <row r="445" spans="1:6" s="173" customFormat="1" x14ac:dyDescent="0.25">
      <c r="A445" s="86"/>
      <c r="B445" s="180" t="s">
        <v>385</v>
      </c>
      <c r="C445" s="181" t="s">
        <v>386</v>
      </c>
      <c r="D445" s="2">
        <v>5</v>
      </c>
      <c r="E445" s="182">
        <f>F451</f>
        <v>1022.07</v>
      </c>
      <c r="F445" s="179">
        <f>ROUND(D445*E445/100, 2)</f>
        <v>51.1</v>
      </c>
    </row>
    <row r="446" spans="1:6" s="173" customFormat="1" x14ac:dyDescent="0.25">
      <c r="A446" s="86"/>
      <c r="B446" s="180"/>
      <c r="C446" s="86"/>
      <c r="D446" s="2"/>
      <c r="E446" s="182"/>
      <c r="F446" s="179">
        <f t="shared" ref="F446:F447" si="15">ROUND(D446*E446, 2)</f>
        <v>0</v>
      </c>
    </row>
    <row r="447" spans="1:6" s="173" customFormat="1" x14ac:dyDescent="0.25">
      <c r="A447" s="86"/>
      <c r="B447" s="180"/>
      <c r="C447" s="181"/>
      <c r="D447" s="2"/>
      <c r="E447" s="182"/>
      <c r="F447" s="179">
        <f t="shared" si="15"/>
        <v>0</v>
      </c>
    </row>
    <row r="448" spans="1:6" s="173" customFormat="1" x14ac:dyDescent="0.25">
      <c r="A448" s="86"/>
      <c r="B448" s="183"/>
      <c r="C448" s="86"/>
      <c r="D448" s="2"/>
      <c r="E448" s="184" t="s">
        <v>368</v>
      </c>
      <c r="F448" s="185">
        <f>SUM(F445:F447)</f>
        <v>51.1</v>
      </c>
    </row>
    <row r="449" spans="1:6" s="173" customFormat="1" x14ac:dyDescent="0.25">
      <c r="A449" s="86"/>
      <c r="B449" s="178" t="s">
        <v>379</v>
      </c>
      <c r="C449" s="86"/>
      <c r="D449" s="2"/>
      <c r="E449" s="2"/>
      <c r="F449" s="179"/>
    </row>
    <row r="450" spans="1:6" s="173" customFormat="1" x14ac:dyDescent="0.25">
      <c r="A450" s="86"/>
      <c r="B450" s="180" t="s">
        <v>380</v>
      </c>
      <c r="C450" s="181" t="s">
        <v>204</v>
      </c>
      <c r="D450" s="2">
        <v>1.5800000000000002E-2</v>
      </c>
      <c r="E450" s="182">
        <v>64688</v>
      </c>
      <c r="F450" s="179">
        <f>ROUND(D450*E450, 2)</f>
        <v>1022.07</v>
      </c>
    </row>
    <row r="451" spans="1:6" s="173" customFormat="1" x14ac:dyDescent="0.25">
      <c r="A451" s="86"/>
      <c r="B451" s="183"/>
      <c r="C451" s="86"/>
      <c r="D451" s="2"/>
      <c r="E451" s="184" t="s">
        <v>368</v>
      </c>
      <c r="F451" s="185">
        <f>SUM(F450:F450)</f>
        <v>1022.07</v>
      </c>
    </row>
    <row r="452" spans="1:6" s="173" customFormat="1" x14ac:dyDescent="0.25">
      <c r="A452" s="86"/>
      <c r="B452" s="178" t="s">
        <v>381</v>
      </c>
      <c r="C452" s="86"/>
      <c r="D452" s="2"/>
      <c r="E452" s="2"/>
      <c r="F452" s="179"/>
    </row>
    <row r="453" spans="1:6" s="173" customFormat="1" x14ac:dyDescent="0.25">
      <c r="A453" s="86"/>
      <c r="B453" s="180" t="s">
        <v>382</v>
      </c>
      <c r="C453" s="86" t="s">
        <v>371</v>
      </c>
      <c r="D453" s="2">
        <v>0.18</v>
      </c>
      <c r="E453" s="182">
        <v>221000</v>
      </c>
      <c r="F453" s="179">
        <f>ROUND(D453*E453, 2)</f>
        <v>39780</v>
      </c>
    </row>
    <row r="454" spans="1:6" s="173" customFormat="1" x14ac:dyDescent="0.25">
      <c r="A454" s="86"/>
      <c r="B454" s="183"/>
      <c r="C454" s="86"/>
      <c r="D454" s="2"/>
      <c r="E454" s="184" t="s">
        <v>368</v>
      </c>
      <c r="F454" s="185">
        <f>SUM(F453:F453)</f>
        <v>39780</v>
      </c>
    </row>
    <row r="455" spans="1:6" s="173" customFormat="1" x14ac:dyDescent="0.25">
      <c r="A455" s="86"/>
      <c r="B455" s="183"/>
      <c r="C455" s="86"/>
      <c r="D455" s="2"/>
      <c r="E455" s="2"/>
      <c r="F455" s="179"/>
    </row>
    <row r="456" spans="1:6" s="173" customFormat="1" x14ac:dyDescent="0.25">
      <c r="A456" s="86"/>
      <c r="B456" s="183"/>
      <c r="C456" s="86"/>
      <c r="D456" s="2"/>
      <c r="E456" s="186" t="s">
        <v>383</v>
      </c>
      <c r="F456" s="187">
        <f>ROUND(SUM(F439:F454)/2, 0)-1</f>
        <v>59477</v>
      </c>
    </row>
    <row r="457" spans="1:6" s="173" customFormat="1" ht="10.5" customHeight="1" x14ac:dyDescent="0.25">
      <c r="A457" s="86"/>
      <c r="B457" s="180"/>
      <c r="C457" s="181"/>
      <c r="D457" s="2"/>
      <c r="E457" s="182"/>
      <c r="F457" s="179"/>
    </row>
    <row r="458" spans="1:6" s="173" customFormat="1" x14ac:dyDescent="0.25">
      <c r="A458" s="86"/>
      <c r="B458" s="183"/>
      <c r="C458" s="86"/>
      <c r="D458" s="2"/>
      <c r="E458" s="186"/>
      <c r="F458" s="187"/>
    </row>
    <row r="459" spans="1:6" s="173" customFormat="1" ht="60" x14ac:dyDescent="0.25">
      <c r="A459" s="174" t="str">
        <f>'[2]ACTA 3'!A168</f>
        <v>NP 6.3</v>
      </c>
      <c r="B459" s="188" t="str">
        <f>'[2]ACTA 3'!B168</f>
        <v>Suministro, transporte y colocación de concreto de 12MPA para solado (sin refuerzo).  Incluye limpieza de superficie y todos los elementos necesarios para su correcta instalación y funcionamiento</v>
      </c>
      <c r="C459" s="260" t="s">
        <v>384</v>
      </c>
      <c r="D459" s="260"/>
      <c r="E459" s="260"/>
      <c r="F459" s="260"/>
    </row>
    <row r="460" spans="1:6" s="173" customFormat="1" x14ac:dyDescent="0.25">
      <c r="A460" s="262" t="s">
        <v>320</v>
      </c>
      <c r="B460" s="262"/>
      <c r="C460" s="176" t="s">
        <v>321</v>
      </c>
      <c r="D460" s="176" t="s">
        <v>354</v>
      </c>
      <c r="E460" s="176" t="s">
        <v>355</v>
      </c>
      <c r="F460" s="177" t="s">
        <v>356</v>
      </c>
    </row>
    <row r="461" spans="1:6" s="173" customFormat="1" x14ac:dyDescent="0.25">
      <c r="A461" s="86"/>
      <c r="B461" s="178" t="s">
        <v>357</v>
      </c>
      <c r="C461" s="86"/>
      <c r="D461" s="2"/>
      <c r="E461" s="2"/>
      <c r="F461" s="179"/>
    </row>
    <row r="462" spans="1:6" x14ac:dyDescent="0.25">
      <c r="B462" s="183" t="s">
        <v>427</v>
      </c>
      <c r="C462" s="86" t="s">
        <v>70</v>
      </c>
      <c r="D462" s="2">
        <v>7.0000000000000007E-2</v>
      </c>
      <c r="E462" s="182">
        <v>306070</v>
      </c>
      <c r="F462" s="179">
        <f>ROUND(D462*E462, 2)</f>
        <v>21424.9</v>
      </c>
    </row>
    <row r="463" spans="1:6" s="173" customFormat="1" x14ac:dyDescent="0.25">
      <c r="A463" s="86"/>
      <c r="B463" s="183"/>
      <c r="C463" s="86"/>
      <c r="D463" s="2"/>
      <c r="E463" s="184" t="s">
        <v>368</v>
      </c>
      <c r="F463" s="185">
        <f>SUM(F462:F462)</f>
        <v>21424.9</v>
      </c>
    </row>
    <row r="464" spans="1:6" s="173" customFormat="1" x14ac:dyDescent="0.25">
      <c r="A464" s="86"/>
      <c r="B464" s="178" t="s">
        <v>369</v>
      </c>
      <c r="C464" s="86"/>
      <c r="D464" s="2"/>
      <c r="E464" s="2"/>
      <c r="F464" s="179"/>
    </row>
    <row r="465" spans="1:6" s="173" customFormat="1" x14ac:dyDescent="0.25">
      <c r="A465" s="86"/>
      <c r="B465" s="180" t="s">
        <v>385</v>
      </c>
      <c r="C465" s="181" t="s">
        <v>386</v>
      </c>
      <c r="D465" s="2">
        <v>5</v>
      </c>
      <c r="E465" s="182">
        <f>F473</f>
        <v>14905.35</v>
      </c>
      <c r="F465" s="179">
        <f>ROUND(D465*E465/100, 2)</f>
        <v>745.27</v>
      </c>
    </row>
    <row r="466" spans="1:6" s="173" customFormat="1" x14ac:dyDescent="0.25">
      <c r="A466" s="86"/>
      <c r="B466" s="180"/>
      <c r="C466" s="86"/>
      <c r="D466" s="2"/>
      <c r="E466" s="182"/>
      <c r="F466" s="179"/>
    </row>
    <row r="467" spans="1:6" s="173" customFormat="1" x14ac:dyDescent="0.25">
      <c r="A467" s="86"/>
      <c r="B467" s="180"/>
      <c r="C467" s="181"/>
      <c r="D467" s="2"/>
      <c r="E467" s="182"/>
      <c r="F467" s="179"/>
    </row>
    <row r="468" spans="1:6" s="173" customFormat="1" x14ac:dyDescent="0.25">
      <c r="A468" s="86"/>
      <c r="B468" s="183"/>
      <c r="C468" s="86"/>
      <c r="D468" s="2"/>
      <c r="E468" s="184" t="s">
        <v>368</v>
      </c>
      <c r="F468" s="185">
        <f>SUM(F465:F466)</f>
        <v>745.27</v>
      </c>
    </row>
    <row r="469" spans="1:6" s="173" customFormat="1" x14ac:dyDescent="0.25">
      <c r="A469" s="86"/>
      <c r="B469" s="178" t="s">
        <v>379</v>
      </c>
      <c r="C469" s="86"/>
      <c r="D469" s="2"/>
      <c r="E469" s="2"/>
      <c r="F469" s="179"/>
    </row>
    <row r="470" spans="1:6" s="173" customFormat="1" x14ac:dyDescent="0.25">
      <c r="A470" s="86"/>
      <c r="B470" s="180"/>
      <c r="C470" s="181"/>
      <c r="D470" s="2"/>
      <c r="E470" s="182"/>
      <c r="F470" s="179">
        <f>D470*E470</f>
        <v>0</v>
      </c>
    </row>
    <row r="471" spans="1:6" s="173" customFormat="1" x14ac:dyDescent="0.25">
      <c r="A471" s="86"/>
      <c r="B471" s="183"/>
      <c r="C471" s="86"/>
      <c r="D471" s="2"/>
      <c r="E471" s="184" t="s">
        <v>368</v>
      </c>
      <c r="F471" s="185">
        <f>SUM(F470:F470)</f>
        <v>0</v>
      </c>
    </row>
    <row r="472" spans="1:6" s="173" customFormat="1" x14ac:dyDescent="0.25">
      <c r="A472" s="86"/>
      <c r="B472" s="178" t="s">
        <v>381</v>
      </c>
      <c r="C472" s="86"/>
      <c r="D472" s="2"/>
      <c r="E472" s="2"/>
      <c r="F472" s="179"/>
    </row>
    <row r="473" spans="1:6" s="173" customFormat="1" x14ac:dyDescent="0.25">
      <c r="A473" s="86"/>
      <c r="B473" s="180" t="s">
        <v>382</v>
      </c>
      <c r="C473" s="86" t="s">
        <v>371</v>
      </c>
      <c r="D473" s="2">
        <v>6.7445000000000005E-2</v>
      </c>
      <c r="E473" s="182">
        <v>221000</v>
      </c>
      <c r="F473" s="179">
        <f>ROUND(D473*E473, 2)</f>
        <v>14905.35</v>
      </c>
    </row>
    <row r="474" spans="1:6" s="173" customFormat="1" x14ac:dyDescent="0.25">
      <c r="A474" s="86"/>
      <c r="B474" s="183"/>
      <c r="C474" s="86"/>
      <c r="D474" s="2"/>
      <c r="E474" s="184" t="s">
        <v>368</v>
      </c>
      <c r="F474" s="185">
        <f>SUM(F473:F473)</f>
        <v>14905.35</v>
      </c>
    </row>
    <row r="475" spans="1:6" s="173" customFormat="1" x14ac:dyDescent="0.25">
      <c r="A475" s="86"/>
      <c r="B475" s="183"/>
      <c r="C475" s="86"/>
      <c r="D475" s="2"/>
      <c r="E475" s="2"/>
      <c r="F475" s="179"/>
    </row>
    <row r="476" spans="1:6" s="173" customFormat="1" x14ac:dyDescent="0.25">
      <c r="A476" s="86"/>
      <c r="B476" s="183"/>
      <c r="C476" s="86"/>
      <c r="D476" s="2"/>
      <c r="E476" s="186" t="s">
        <v>383</v>
      </c>
      <c r="F476" s="187">
        <f>ROUND(SUM(F461:F474)/2, 0)</f>
        <v>37076</v>
      </c>
    </row>
    <row r="477" spans="1:6" s="173" customFormat="1" x14ac:dyDescent="0.25">
      <c r="A477" s="86"/>
      <c r="B477" s="183"/>
      <c r="C477" s="86"/>
      <c r="D477" s="2"/>
      <c r="E477" s="186"/>
      <c r="F477" s="187"/>
    </row>
    <row r="478" spans="1:6" ht="68.45" customHeight="1" x14ac:dyDescent="0.25">
      <c r="A478" s="192" t="str">
        <f>'[2]ACTA 3'!A169</f>
        <v>NP 6.4</v>
      </c>
      <c r="B478" s="188" t="str">
        <f>'[2]ACTA 3'!B169</f>
        <v>Suministro, transporte y colocación de concreto de 21MPA para losa de contrapiso de espesor de 0,10m.  Incluye suministro, transporte e instalación del concreto. No incluye refuerzo.</v>
      </c>
      <c r="C478" s="260" t="s">
        <v>353</v>
      </c>
      <c r="D478" s="260"/>
      <c r="E478" s="260"/>
      <c r="F478" s="260"/>
    </row>
    <row r="479" spans="1:6" x14ac:dyDescent="0.25">
      <c r="A479" s="262" t="s">
        <v>320</v>
      </c>
      <c r="B479" s="262"/>
      <c r="C479" s="176" t="s">
        <v>321</v>
      </c>
      <c r="D479" s="176" t="s">
        <v>354</v>
      </c>
      <c r="E479" s="176" t="s">
        <v>355</v>
      </c>
      <c r="F479" s="177" t="s">
        <v>356</v>
      </c>
    </row>
    <row r="480" spans="1:6" x14ac:dyDescent="0.25">
      <c r="B480" s="193" t="s">
        <v>357</v>
      </c>
      <c r="C480" s="91"/>
      <c r="D480" s="19"/>
      <c r="E480" s="19"/>
      <c r="F480" s="194"/>
    </row>
    <row r="481" spans="2:6" x14ac:dyDescent="0.25">
      <c r="B481" s="183" t="s">
        <v>423</v>
      </c>
      <c r="C481" s="86" t="s">
        <v>70</v>
      </c>
      <c r="D481" s="2">
        <v>0.105</v>
      </c>
      <c r="E481" s="182">
        <v>636070</v>
      </c>
      <c r="F481" s="179">
        <f>ROUND(D481*E481, 2)</f>
        <v>66787.350000000006</v>
      </c>
    </row>
    <row r="482" spans="2:6" x14ac:dyDescent="0.25">
      <c r="B482" s="183" t="s">
        <v>428</v>
      </c>
      <c r="C482" s="86" t="s">
        <v>403</v>
      </c>
      <c r="D482" s="2">
        <v>0.08</v>
      </c>
      <c r="E482" s="182">
        <v>9200</v>
      </c>
      <c r="F482" s="179">
        <f>ROUND(D482*E482, 2)</f>
        <v>736</v>
      </c>
    </row>
    <row r="483" spans="2:6" x14ac:dyDescent="0.25">
      <c r="B483" s="183" t="s">
        <v>429</v>
      </c>
      <c r="C483" s="86" t="s">
        <v>403</v>
      </c>
      <c r="D483" s="2">
        <v>2.5000000000000001E-2</v>
      </c>
      <c r="E483" s="182">
        <v>21650</v>
      </c>
      <c r="F483" s="179">
        <f>ROUND(D483*E483, 2)</f>
        <v>541.25</v>
      </c>
    </row>
    <row r="484" spans="2:6" x14ac:dyDescent="0.25">
      <c r="B484" s="183" t="s">
        <v>408</v>
      </c>
      <c r="C484" s="86" t="s">
        <v>409</v>
      </c>
      <c r="D484" s="2">
        <v>0.25</v>
      </c>
      <c r="E484" s="182">
        <v>14500</v>
      </c>
      <c r="F484" s="179">
        <f>ROUND(D484*E484, 2)</f>
        <v>3625</v>
      </c>
    </row>
    <row r="485" spans="2:6" x14ac:dyDescent="0.25">
      <c r="B485" s="195"/>
      <c r="C485" s="91"/>
      <c r="D485" s="19"/>
      <c r="E485" s="196" t="s">
        <v>368</v>
      </c>
      <c r="F485" s="197">
        <f>SUM(F481:F484)</f>
        <v>71689.600000000006</v>
      </c>
    </row>
    <row r="486" spans="2:6" x14ac:dyDescent="0.25">
      <c r="B486" s="193" t="s">
        <v>369</v>
      </c>
      <c r="C486" s="91"/>
      <c r="D486" s="19"/>
      <c r="E486" s="19"/>
      <c r="F486" s="194"/>
    </row>
    <row r="487" spans="2:6" x14ac:dyDescent="0.25">
      <c r="B487" s="195" t="s">
        <v>385</v>
      </c>
      <c r="C487" s="91" t="s">
        <v>386</v>
      </c>
      <c r="D487" s="19">
        <v>5</v>
      </c>
      <c r="E487" s="198">
        <f>F496</f>
        <v>44200</v>
      </c>
      <c r="F487" s="194">
        <f>ROUND(D487*E487/100, 2)</f>
        <v>2210</v>
      </c>
    </row>
    <row r="488" spans="2:6" x14ac:dyDescent="0.25">
      <c r="B488" s="195" t="s">
        <v>430</v>
      </c>
      <c r="C488" s="91" t="s">
        <v>431</v>
      </c>
      <c r="D488" s="19">
        <v>0.1</v>
      </c>
      <c r="E488" s="198">
        <v>60000</v>
      </c>
      <c r="F488" s="179">
        <f t="shared" ref="F488" si="16">ROUND(D488*E488, 2)</f>
        <v>6000</v>
      </c>
    </row>
    <row r="489" spans="2:6" x14ac:dyDescent="0.25">
      <c r="B489" s="195"/>
      <c r="C489" s="91"/>
      <c r="D489" s="19"/>
      <c r="E489" s="196" t="s">
        <v>368</v>
      </c>
      <c r="F489" s="197">
        <f>SUM(F487:F488)</f>
        <v>8210</v>
      </c>
    </row>
    <row r="490" spans="2:6" x14ac:dyDescent="0.25">
      <c r="B490" s="193" t="s">
        <v>379</v>
      </c>
      <c r="C490" s="91"/>
      <c r="D490" s="19"/>
      <c r="E490" s="19"/>
      <c r="F490" s="194"/>
    </row>
    <row r="491" spans="2:6" x14ac:dyDescent="0.25">
      <c r="B491" s="180" t="s">
        <v>380</v>
      </c>
      <c r="C491" s="181" t="s">
        <v>204</v>
      </c>
      <c r="D491" s="2">
        <v>0.02</v>
      </c>
      <c r="E491" s="182">
        <v>64688</v>
      </c>
      <c r="F491" s="179">
        <f>ROUND(D491*E491, 2)</f>
        <v>1293.76</v>
      </c>
    </row>
    <row r="492" spans="2:6" x14ac:dyDescent="0.25">
      <c r="B492" s="183" t="s">
        <v>394</v>
      </c>
      <c r="C492" s="86" t="s">
        <v>204</v>
      </c>
      <c r="D492" s="2">
        <v>0.6</v>
      </c>
      <c r="E492" s="182">
        <v>9500</v>
      </c>
      <c r="F492" s="179">
        <f>ROUND(D492*E492, 2)</f>
        <v>5700</v>
      </c>
    </row>
    <row r="493" spans="2:6" x14ac:dyDescent="0.25">
      <c r="B493" s="195"/>
      <c r="C493" s="91"/>
      <c r="D493" s="19"/>
      <c r="E493" s="196" t="s">
        <v>368</v>
      </c>
      <c r="F493" s="197">
        <f>SUM(F491:F492)</f>
        <v>6993.76</v>
      </c>
    </row>
    <row r="494" spans="2:6" x14ac:dyDescent="0.25">
      <c r="B494" s="193" t="s">
        <v>381</v>
      </c>
      <c r="C494" s="91"/>
      <c r="D494" s="19"/>
      <c r="E494" s="19"/>
      <c r="F494" s="194"/>
    </row>
    <row r="495" spans="2:6" x14ac:dyDescent="0.25">
      <c r="B495" s="195" t="s">
        <v>382</v>
      </c>
      <c r="C495" s="91" t="s">
        <v>371</v>
      </c>
      <c r="D495" s="19">
        <v>0.2</v>
      </c>
      <c r="E495" s="199">
        <v>221000</v>
      </c>
      <c r="F495" s="194">
        <f>ROUND(D495*E495, 2)</f>
        <v>44200</v>
      </c>
    </row>
    <row r="496" spans="2:6" x14ac:dyDescent="0.25">
      <c r="B496" s="195"/>
      <c r="C496" s="91"/>
      <c r="D496" s="19"/>
      <c r="E496" s="196" t="s">
        <v>368</v>
      </c>
      <c r="F496" s="197">
        <f>SUM(F495:F495)</f>
        <v>44200</v>
      </c>
    </row>
    <row r="497" spans="1:6" x14ac:dyDescent="0.25">
      <c r="B497" s="195"/>
      <c r="C497" s="91"/>
      <c r="D497" s="19"/>
      <c r="E497" s="19"/>
      <c r="F497" s="194"/>
    </row>
    <row r="498" spans="1:6" x14ac:dyDescent="0.25">
      <c r="B498" s="195"/>
      <c r="C498" s="91"/>
      <c r="D498" s="19"/>
      <c r="E498" s="200" t="s">
        <v>383</v>
      </c>
      <c r="F498" s="201">
        <f>ROUND(SUM(F480:F496)/2, 0)</f>
        <v>131093</v>
      </c>
    </row>
    <row r="499" spans="1:6" x14ac:dyDescent="0.25">
      <c r="B499" s="183"/>
      <c r="C499" s="86"/>
      <c r="D499" s="2"/>
      <c r="E499" s="186"/>
      <c r="F499" s="187"/>
    </row>
    <row r="500" spans="1:6" ht="45" x14ac:dyDescent="0.25">
      <c r="A500" s="192" t="str">
        <f>'[2]ACTA 3'!A170</f>
        <v>NP 6.5</v>
      </c>
      <c r="B500" s="188" t="str">
        <f>'[2]ACTA 3'!B170</f>
        <v>Suministro, transporte y colocación de concreto de 28MPA para losa de contrapiso de 10cm.  Incluye suministro, transporte e instalación del concreto. No incluye refuerzo.</v>
      </c>
      <c r="C500" s="260" t="s">
        <v>353</v>
      </c>
      <c r="D500" s="260"/>
      <c r="E500" s="260"/>
      <c r="F500" s="260"/>
    </row>
    <row r="501" spans="1:6" x14ac:dyDescent="0.25">
      <c r="A501" s="262" t="s">
        <v>320</v>
      </c>
      <c r="B501" s="262"/>
      <c r="C501" s="176" t="s">
        <v>321</v>
      </c>
      <c r="D501" s="176" t="s">
        <v>354</v>
      </c>
      <c r="E501" s="176" t="s">
        <v>355</v>
      </c>
      <c r="F501" s="177" t="s">
        <v>356</v>
      </c>
    </row>
    <row r="502" spans="1:6" x14ac:dyDescent="0.25">
      <c r="B502" s="193" t="s">
        <v>357</v>
      </c>
      <c r="C502" s="91"/>
      <c r="D502" s="19"/>
      <c r="E502" s="19"/>
      <c r="F502" s="194"/>
    </row>
    <row r="503" spans="1:6" x14ac:dyDescent="0.25">
      <c r="B503" s="183" t="s">
        <v>432</v>
      </c>
      <c r="C503" s="86" t="s">
        <v>70</v>
      </c>
      <c r="D503" s="2">
        <v>0.105</v>
      </c>
      <c r="E503" s="182">
        <v>854670</v>
      </c>
      <c r="F503" s="179">
        <f>ROUND(D503*E503, 2)</f>
        <v>89740.35</v>
      </c>
    </row>
    <row r="504" spans="1:6" x14ac:dyDescent="0.25">
      <c r="B504" s="183" t="s">
        <v>428</v>
      </c>
      <c r="C504" s="86" t="s">
        <v>403</v>
      </c>
      <c r="D504" s="2">
        <v>0.08</v>
      </c>
      <c r="E504" s="182">
        <v>9200</v>
      </c>
      <c r="F504" s="179">
        <f>ROUND(D504*E504, 2)</f>
        <v>736</v>
      </c>
    </row>
    <row r="505" spans="1:6" x14ac:dyDescent="0.25">
      <c r="B505" s="183" t="s">
        <v>429</v>
      </c>
      <c r="C505" s="86" t="s">
        <v>403</v>
      </c>
      <c r="D505" s="2">
        <v>2.5000000000000001E-2</v>
      </c>
      <c r="E505" s="182">
        <v>21650</v>
      </c>
      <c r="F505" s="179">
        <f>ROUND(D505*E505, 2)</f>
        <v>541.25</v>
      </c>
    </row>
    <row r="506" spans="1:6" x14ac:dyDescent="0.25">
      <c r="B506" s="183" t="s">
        <v>408</v>
      </c>
      <c r="C506" s="86" t="s">
        <v>409</v>
      </c>
      <c r="D506" s="2">
        <v>0.25</v>
      </c>
      <c r="E506" s="182">
        <v>14500</v>
      </c>
      <c r="F506" s="179">
        <f>ROUND(D506*E506, 2)</f>
        <v>3625</v>
      </c>
    </row>
    <row r="507" spans="1:6" x14ac:dyDescent="0.25">
      <c r="B507" s="195"/>
      <c r="C507" s="91"/>
      <c r="D507" s="19"/>
      <c r="E507" s="196" t="s">
        <v>368</v>
      </c>
      <c r="F507" s="197">
        <f>SUM(F503:F506)</f>
        <v>94642.6</v>
      </c>
    </row>
    <row r="508" spans="1:6" x14ac:dyDescent="0.25">
      <c r="B508" s="193" t="s">
        <v>369</v>
      </c>
      <c r="C508" s="91"/>
      <c r="D508" s="19"/>
      <c r="E508" s="19"/>
      <c r="F508" s="194"/>
    </row>
    <row r="509" spans="1:6" x14ac:dyDescent="0.25">
      <c r="B509" s="195" t="s">
        <v>385</v>
      </c>
      <c r="C509" s="91" t="s">
        <v>386</v>
      </c>
      <c r="D509" s="19">
        <v>5</v>
      </c>
      <c r="E509" s="198">
        <f>F518</f>
        <v>44200</v>
      </c>
      <c r="F509" s="194">
        <f>ROUND(D509*E509/100, 2)</f>
        <v>2210</v>
      </c>
    </row>
    <row r="510" spans="1:6" x14ac:dyDescent="0.25">
      <c r="B510" s="195" t="s">
        <v>430</v>
      </c>
      <c r="C510" s="91" t="s">
        <v>431</v>
      </c>
      <c r="D510" s="19">
        <v>0.1</v>
      </c>
      <c r="E510" s="198">
        <v>60000</v>
      </c>
      <c r="F510" s="179">
        <f t="shared" ref="F510" si="17">ROUND(D510*E510, 2)</f>
        <v>6000</v>
      </c>
    </row>
    <row r="511" spans="1:6" x14ac:dyDescent="0.25">
      <c r="B511" s="195"/>
      <c r="C511" s="91"/>
      <c r="D511" s="19"/>
      <c r="E511" s="196" t="s">
        <v>368</v>
      </c>
      <c r="F511" s="197">
        <f>SUM(F509:F510)</f>
        <v>8210</v>
      </c>
    </row>
    <row r="512" spans="1:6" x14ac:dyDescent="0.25">
      <c r="B512" s="193" t="s">
        <v>379</v>
      </c>
      <c r="C512" s="91"/>
      <c r="D512" s="19"/>
      <c r="E512" s="19"/>
      <c r="F512" s="194"/>
    </row>
    <row r="513" spans="1:6" x14ac:dyDescent="0.25">
      <c r="B513" s="180" t="s">
        <v>380</v>
      </c>
      <c r="C513" s="181" t="s">
        <v>204</v>
      </c>
      <c r="D513" s="2">
        <v>0.02</v>
      </c>
      <c r="E513" s="182">
        <v>64688</v>
      </c>
      <c r="F513" s="179">
        <f>ROUND(D513*E513, 2)</f>
        <v>1293.76</v>
      </c>
    </row>
    <row r="514" spans="1:6" x14ac:dyDescent="0.25">
      <c r="B514" s="183" t="s">
        <v>394</v>
      </c>
      <c r="C514" s="86" t="s">
        <v>204</v>
      </c>
      <c r="D514" s="2">
        <v>0.6</v>
      </c>
      <c r="E514" s="182">
        <v>9500</v>
      </c>
      <c r="F514" s="179">
        <f>ROUND(D514*E514, 2)</f>
        <v>5700</v>
      </c>
    </row>
    <row r="515" spans="1:6" x14ac:dyDescent="0.25">
      <c r="B515" s="195"/>
      <c r="C515" s="91"/>
      <c r="D515" s="19"/>
      <c r="E515" s="196" t="s">
        <v>368</v>
      </c>
      <c r="F515" s="197">
        <f>SUM(F513:F514)</f>
        <v>6993.76</v>
      </c>
    </row>
    <row r="516" spans="1:6" x14ac:dyDescent="0.25">
      <c r="B516" s="193" t="s">
        <v>381</v>
      </c>
      <c r="C516" s="91"/>
      <c r="D516" s="19"/>
      <c r="E516" s="19"/>
      <c r="F516" s="194"/>
    </row>
    <row r="517" spans="1:6" x14ac:dyDescent="0.25">
      <c r="B517" s="195" t="s">
        <v>382</v>
      </c>
      <c r="C517" s="91" t="s">
        <v>371</v>
      </c>
      <c r="D517" s="19">
        <v>0.2</v>
      </c>
      <c r="E517" s="199">
        <v>221000</v>
      </c>
      <c r="F517" s="194">
        <f>ROUND(D517*E517, 2)</f>
        <v>44200</v>
      </c>
    </row>
    <row r="518" spans="1:6" x14ac:dyDescent="0.25">
      <c r="B518" s="195"/>
      <c r="C518" s="91"/>
      <c r="D518" s="19"/>
      <c r="E518" s="196" t="s">
        <v>368</v>
      </c>
      <c r="F518" s="197">
        <f>SUM(F517:F517)</f>
        <v>44200</v>
      </c>
    </row>
    <row r="519" spans="1:6" x14ac:dyDescent="0.25">
      <c r="B519" s="195"/>
      <c r="C519" s="91"/>
      <c r="D519" s="19"/>
      <c r="E519" s="19"/>
      <c r="F519" s="194"/>
    </row>
    <row r="520" spans="1:6" x14ac:dyDescent="0.25">
      <c r="B520" s="195"/>
      <c r="C520" s="91"/>
      <c r="D520" s="19"/>
      <c r="E520" s="200" t="s">
        <v>383</v>
      </c>
      <c r="F520" s="201">
        <f>ROUND(SUM(F502:F518)/2, 0)</f>
        <v>154046</v>
      </c>
    </row>
    <row r="521" spans="1:6" x14ac:dyDescent="0.25">
      <c r="B521" s="183"/>
      <c r="C521" s="86"/>
      <c r="D521" s="2"/>
      <c r="E521" s="186"/>
      <c r="F521" s="187"/>
    </row>
    <row r="522" spans="1:6" ht="60" x14ac:dyDescent="0.25">
      <c r="A522" s="192" t="str">
        <f>'[2]ACTA 3'!A171</f>
        <v>NP 6.6</v>
      </c>
      <c r="B522" s="188" t="str">
        <f>'[2]ACTA 3'!B171</f>
        <v>Suministro, transporte y colocación de concreto de 28MPA para losa de contrapiso de 25cm.  Incluye conformación, formaleta, suministro, transporte e instalación del concreto. No incluye refuerzo.</v>
      </c>
      <c r="C522" s="260" t="s">
        <v>353</v>
      </c>
      <c r="D522" s="260"/>
      <c r="E522" s="260"/>
      <c r="F522" s="260"/>
    </row>
    <row r="523" spans="1:6" x14ac:dyDescent="0.25">
      <c r="A523" s="262" t="s">
        <v>320</v>
      </c>
      <c r="B523" s="262"/>
      <c r="C523" s="176" t="s">
        <v>321</v>
      </c>
      <c r="D523" s="176" t="s">
        <v>354</v>
      </c>
      <c r="E523" s="176" t="s">
        <v>355</v>
      </c>
      <c r="F523" s="177" t="s">
        <v>356</v>
      </c>
    </row>
    <row r="524" spans="1:6" x14ac:dyDescent="0.25">
      <c r="B524" s="193" t="s">
        <v>357</v>
      </c>
      <c r="C524" s="91"/>
      <c r="D524" s="19"/>
      <c r="E524" s="19"/>
      <c r="F524" s="194"/>
    </row>
    <row r="525" spans="1:6" x14ac:dyDescent="0.25">
      <c r="B525" s="183" t="s">
        <v>432</v>
      </c>
      <c r="C525" s="86" t="s">
        <v>70</v>
      </c>
      <c r="D525" s="2">
        <v>0.25</v>
      </c>
      <c r="E525" s="182">
        <v>854670</v>
      </c>
      <c r="F525" s="179">
        <f>ROUND(D525*E525, 2)</f>
        <v>213667.5</v>
      </c>
    </row>
    <row r="526" spans="1:6" x14ac:dyDescent="0.25">
      <c r="B526" s="183" t="s">
        <v>428</v>
      </c>
      <c r="C526" s="86" t="s">
        <v>403</v>
      </c>
      <c r="D526" s="2">
        <v>0.5</v>
      </c>
      <c r="E526" s="182">
        <v>9200</v>
      </c>
      <c r="F526" s="179">
        <f>ROUND(D526*E526, 2)</f>
        <v>4600</v>
      </c>
    </row>
    <row r="527" spans="1:6" x14ac:dyDescent="0.25">
      <c r="B527" s="183" t="s">
        <v>429</v>
      </c>
      <c r="C527" s="86" t="s">
        <v>403</v>
      </c>
      <c r="D527" s="2">
        <v>0.1</v>
      </c>
      <c r="E527" s="182">
        <v>21650</v>
      </c>
      <c r="F527" s="179">
        <f>ROUND(D527*E527, 2)</f>
        <v>2165</v>
      </c>
    </row>
    <row r="528" spans="1:6" x14ac:dyDescent="0.25">
      <c r="B528" s="183" t="s">
        <v>408</v>
      </c>
      <c r="C528" s="86" t="s">
        <v>409</v>
      </c>
      <c r="D528" s="2">
        <v>4</v>
      </c>
      <c r="E528" s="182">
        <v>14500</v>
      </c>
      <c r="F528" s="179">
        <f>ROUND(D528*E528, 2)</f>
        <v>58000</v>
      </c>
    </row>
    <row r="529" spans="1:6" x14ac:dyDescent="0.25">
      <c r="B529" s="195"/>
      <c r="C529" s="91"/>
      <c r="D529" s="19"/>
      <c r="E529" s="196" t="s">
        <v>368</v>
      </c>
      <c r="F529" s="197">
        <f>SUM(F525:F528)</f>
        <v>278432.5</v>
      </c>
    </row>
    <row r="530" spans="1:6" x14ac:dyDescent="0.25">
      <c r="B530" s="193" t="s">
        <v>369</v>
      </c>
      <c r="C530" s="91"/>
      <c r="D530" s="19"/>
      <c r="E530" s="19"/>
      <c r="F530" s="194"/>
    </row>
    <row r="531" spans="1:6" x14ac:dyDescent="0.25">
      <c r="B531" s="195" t="s">
        <v>385</v>
      </c>
      <c r="C531" s="91" t="s">
        <v>386</v>
      </c>
      <c r="D531" s="19">
        <v>5</v>
      </c>
      <c r="E531" s="198">
        <f>F540</f>
        <v>165750</v>
      </c>
      <c r="F531" s="194">
        <f>ROUND(D531*E531/100, 2)</f>
        <v>8287.5</v>
      </c>
    </row>
    <row r="532" spans="1:6" x14ac:dyDescent="0.25">
      <c r="B532" s="195" t="s">
        <v>430</v>
      </c>
      <c r="C532" s="91" t="s">
        <v>431</v>
      </c>
      <c r="D532" s="19">
        <v>0.4</v>
      </c>
      <c r="E532" s="198">
        <v>60000</v>
      </c>
      <c r="F532" s="179">
        <f t="shared" ref="F532" si="18">ROUND(D532*E532, 2)</f>
        <v>24000</v>
      </c>
    </row>
    <row r="533" spans="1:6" x14ac:dyDescent="0.25">
      <c r="B533" s="195"/>
      <c r="C533" s="91"/>
      <c r="D533" s="19"/>
      <c r="E533" s="196" t="s">
        <v>368</v>
      </c>
      <c r="F533" s="197">
        <f>SUM(F531:F532)</f>
        <v>32287.5</v>
      </c>
    </row>
    <row r="534" spans="1:6" x14ac:dyDescent="0.25">
      <c r="B534" s="193" t="s">
        <v>379</v>
      </c>
      <c r="C534" s="91"/>
      <c r="D534" s="19"/>
      <c r="E534" s="19"/>
      <c r="F534" s="194"/>
    </row>
    <row r="535" spans="1:6" x14ac:dyDescent="0.25">
      <c r="B535" s="180" t="s">
        <v>380</v>
      </c>
      <c r="C535" s="181" t="s">
        <v>204</v>
      </c>
      <c r="D535" s="2">
        <v>0.06</v>
      </c>
      <c r="E535" s="182">
        <v>64688</v>
      </c>
      <c r="F535" s="179">
        <f>ROUND(D535*E535, 2)</f>
        <v>3881.28</v>
      </c>
    </row>
    <row r="536" spans="1:6" x14ac:dyDescent="0.25">
      <c r="B536" s="183" t="s">
        <v>394</v>
      </c>
      <c r="C536" s="86" t="s">
        <v>204</v>
      </c>
      <c r="D536" s="2">
        <v>1.5</v>
      </c>
      <c r="E536" s="182">
        <v>9500</v>
      </c>
      <c r="F536" s="179">
        <f>ROUND(D536*E536, 2)</f>
        <v>14250</v>
      </c>
    </row>
    <row r="537" spans="1:6" x14ac:dyDescent="0.25">
      <c r="B537" s="195"/>
      <c r="C537" s="91"/>
      <c r="D537" s="19"/>
      <c r="E537" s="196" t="s">
        <v>368</v>
      </c>
      <c r="F537" s="197">
        <f>SUM(F535:F536)</f>
        <v>18131.28</v>
      </c>
    </row>
    <row r="538" spans="1:6" x14ac:dyDescent="0.25">
      <c r="B538" s="193" t="s">
        <v>381</v>
      </c>
      <c r="C538" s="91"/>
      <c r="D538" s="19"/>
      <c r="E538" s="19"/>
      <c r="F538" s="194"/>
    </row>
    <row r="539" spans="1:6" x14ac:dyDescent="0.25">
      <c r="B539" s="195" t="s">
        <v>382</v>
      </c>
      <c r="C539" s="91" t="s">
        <v>371</v>
      </c>
      <c r="D539" s="19">
        <v>0.75</v>
      </c>
      <c r="E539" s="199">
        <v>221000</v>
      </c>
      <c r="F539" s="194">
        <f>ROUND(D539*E539, 2)</f>
        <v>165750</v>
      </c>
    </row>
    <row r="540" spans="1:6" x14ac:dyDescent="0.25">
      <c r="B540" s="195"/>
      <c r="C540" s="91"/>
      <c r="D540" s="19"/>
      <c r="E540" s="196" t="s">
        <v>368</v>
      </c>
      <c r="F540" s="197">
        <f>SUM(F539:F539)</f>
        <v>165750</v>
      </c>
    </row>
    <row r="541" spans="1:6" x14ac:dyDescent="0.25">
      <c r="B541" s="195"/>
      <c r="C541" s="91"/>
      <c r="D541" s="19"/>
      <c r="E541" s="19"/>
      <c r="F541" s="194"/>
    </row>
    <row r="542" spans="1:6" x14ac:dyDescent="0.25">
      <c r="B542" s="195"/>
      <c r="C542" s="91"/>
      <c r="D542" s="19"/>
      <c r="E542" s="200" t="s">
        <v>383</v>
      </c>
      <c r="F542" s="201">
        <f>ROUND(SUM(F524:F540)/2, 0)</f>
        <v>494601</v>
      </c>
    </row>
    <row r="543" spans="1:6" x14ac:dyDescent="0.25">
      <c r="B543" s="183"/>
      <c r="C543" s="86"/>
      <c r="D543" s="2"/>
      <c r="E543" s="186"/>
      <c r="F543" s="187"/>
    </row>
    <row r="544" spans="1:6" ht="60" x14ac:dyDescent="0.25">
      <c r="A544" s="192" t="str">
        <f>'[2]ACTA 3'!A172</f>
        <v>NP 6.7</v>
      </c>
      <c r="B544" s="188" t="str">
        <f>'[2]ACTA 3'!B172</f>
        <v>Suministro, transporte y colocación de concreto de 21MPA para viga de fundación de 20x20cm.  Incluye limpieza de superficie y todos los elementos necesarios para su correcta instalación y funcionamiento</v>
      </c>
      <c r="C544" s="260" t="s">
        <v>404</v>
      </c>
      <c r="D544" s="260"/>
      <c r="E544" s="260"/>
      <c r="F544" s="260"/>
    </row>
    <row r="545" spans="1:6" x14ac:dyDescent="0.25">
      <c r="A545" s="262" t="s">
        <v>320</v>
      </c>
      <c r="B545" s="262"/>
      <c r="C545" s="176" t="s">
        <v>321</v>
      </c>
      <c r="D545" s="176" t="s">
        <v>354</v>
      </c>
      <c r="E545" s="176" t="s">
        <v>355</v>
      </c>
      <c r="F545" s="177" t="s">
        <v>356</v>
      </c>
    </row>
    <row r="546" spans="1:6" x14ac:dyDescent="0.25">
      <c r="B546" s="193" t="s">
        <v>357</v>
      </c>
      <c r="C546" s="91"/>
      <c r="D546" s="19"/>
      <c r="E546" s="19"/>
      <c r="F546" s="194"/>
    </row>
    <row r="547" spans="1:6" x14ac:dyDescent="0.25">
      <c r="B547" s="183" t="s">
        <v>423</v>
      </c>
      <c r="C547" s="86" t="s">
        <v>70</v>
      </c>
      <c r="D547" s="2">
        <v>0.06</v>
      </c>
      <c r="E547" s="182">
        <v>636070</v>
      </c>
      <c r="F547" s="179">
        <f>ROUND(D547*E547, 2)</f>
        <v>38164.199999999997</v>
      </c>
    </row>
    <row r="548" spans="1:6" x14ac:dyDescent="0.25">
      <c r="B548" s="183" t="s">
        <v>408</v>
      </c>
      <c r="C548" s="86" t="s">
        <v>409</v>
      </c>
      <c r="D548" s="2">
        <v>1.5</v>
      </c>
      <c r="E548" s="182">
        <v>14500</v>
      </c>
      <c r="F548" s="179">
        <f>ROUND(D548*E548, 2)</f>
        <v>21750</v>
      </c>
    </row>
    <row r="549" spans="1:6" x14ac:dyDescent="0.25">
      <c r="B549" s="195"/>
      <c r="C549" s="91"/>
      <c r="D549" s="19"/>
      <c r="E549" s="196" t="s">
        <v>368</v>
      </c>
      <c r="F549" s="197">
        <f>SUM(F547:F548)</f>
        <v>59914.2</v>
      </c>
    </row>
    <row r="550" spans="1:6" x14ac:dyDescent="0.25">
      <c r="B550" s="193" t="s">
        <v>369</v>
      </c>
      <c r="C550" s="91"/>
      <c r="D550" s="19"/>
      <c r="E550" s="19"/>
      <c r="F550" s="194"/>
    </row>
    <row r="551" spans="1:6" x14ac:dyDescent="0.25">
      <c r="B551" s="195" t="s">
        <v>385</v>
      </c>
      <c r="C551" s="91" t="s">
        <v>386</v>
      </c>
      <c r="D551" s="19">
        <v>5</v>
      </c>
      <c r="E551" s="198">
        <f>F560</f>
        <v>36605.11</v>
      </c>
      <c r="F551" s="194">
        <f>ROUND(D551*E551/100, 2)</f>
        <v>1830.26</v>
      </c>
    </row>
    <row r="552" spans="1:6" x14ac:dyDescent="0.25">
      <c r="B552" s="195" t="s">
        <v>430</v>
      </c>
      <c r="C552" s="91" t="s">
        <v>431</v>
      </c>
      <c r="D552" s="19">
        <v>0.02</v>
      </c>
      <c r="E552" s="198">
        <v>60000</v>
      </c>
      <c r="F552" s="194">
        <f t="shared" ref="F552" si="19">ROUND(D552*E552/100, 2)</f>
        <v>12</v>
      </c>
    </row>
    <row r="553" spans="1:6" x14ac:dyDescent="0.25">
      <c r="B553" s="195"/>
      <c r="C553" s="91"/>
      <c r="D553" s="19"/>
      <c r="E553" s="196" t="s">
        <v>368</v>
      </c>
      <c r="F553" s="197">
        <f>SUM(F551:F552)</f>
        <v>1842.26</v>
      </c>
    </row>
    <row r="554" spans="1:6" x14ac:dyDescent="0.25">
      <c r="B554" s="193" t="s">
        <v>379</v>
      </c>
      <c r="C554" s="91"/>
      <c r="D554" s="19"/>
      <c r="E554" s="19"/>
      <c r="F554" s="194"/>
    </row>
    <row r="555" spans="1:6" x14ac:dyDescent="0.25">
      <c r="B555" s="180" t="s">
        <v>380</v>
      </c>
      <c r="C555" s="181" t="s">
        <v>204</v>
      </c>
      <c r="D555" s="2">
        <v>0.1</v>
      </c>
      <c r="E555" s="182">
        <v>64688</v>
      </c>
      <c r="F555" s="179">
        <f>ROUND(D555*E555, 2)</f>
        <v>6468.8</v>
      </c>
    </row>
    <row r="556" spans="1:6" x14ac:dyDescent="0.25">
      <c r="B556" s="183" t="s">
        <v>394</v>
      </c>
      <c r="C556" s="86" t="s">
        <v>204</v>
      </c>
      <c r="D556" s="2">
        <v>0.1</v>
      </c>
      <c r="E556" s="182">
        <v>9500</v>
      </c>
      <c r="F556" s="179">
        <f>ROUND(D556*E556, 2)</f>
        <v>950</v>
      </c>
    </row>
    <row r="557" spans="1:6" x14ac:dyDescent="0.25">
      <c r="B557" s="195"/>
      <c r="C557" s="91"/>
      <c r="D557" s="19"/>
      <c r="E557" s="196" t="s">
        <v>368</v>
      </c>
      <c r="F557" s="197">
        <f>SUM(F555:F556)</f>
        <v>7418.8</v>
      </c>
    </row>
    <row r="558" spans="1:6" x14ac:dyDescent="0.25">
      <c r="B558" s="193" t="s">
        <v>381</v>
      </c>
      <c r="C558" s="91"/>
      <c r="D558" s="19"/>
      <c r="E558" s="19"/>
      <c r="F558" s="194"/>
    </row>
    <row r="559" spans="1:6" x14ac:dyDescent="0.25">
      <c r="B559" s="195" t="s">
        <v>382</v>
      </c>
      <c r="C559" s="91" t="s">
        <v>371</v>
      </c>
      <c r="D559" s="19">
        <v>0.165634</v>
      </c>
      <c r="E559" s="199">
        <v>221000</v>
      </c>
      <c r="F559" s="194">
        <f>ROUND(D559*E559, 2)</f>
        <v>36605.11</v>
      </c>
    </row>
    <row r="560" spans="1:6" x14ac:dyDescent="0.25">
      <c r="B560" s="195"/>
      <c r="C560" s="91"/>
      <c r="D560" s="19"/>
      <c r="E560" s="196" t="s">
        <v>368</v>
      </c>
      <c r="F560" s="197">
        <f>SUM(F559:F559)</f>
        <v>36605.11</v>
      </c>
    </row>
    <row r="561" spans="1:6" x14ac:dyDescent="0.25">
      <c r="B561" s="195"/>
      <c r="C561" s="91"/>
      <c r="D561" s="19"/>
      <c r="E561" s="19"/>
      <c r="F561" s="194"/>
    </row>
    <row r="562" spans="1:6" x14ac:dyDescent="0.25">
      <c r="B562" s="195"/>
      <c r="C562" s="91"/>
      <c r="D562" s="19"/>
      <c r="E562" s="200" t="s">
        <v>383</v>
      </c>
      <c r="F562" s="201">
        <f>ROUND(SUM(F546:F560)/2, 0)</f>
        <v>105780</v>
      </c>
    </row>
    <row r="563" spans="1:6" x14ac:dyDescent="0.25">
      <c r="B563" s="183"/>
      <c r="C563" s="86"/>
      <c r="D563" s="2"/>
      <c r="E563" s="186"/>
      <c r="F563" s="187"/>
    </row>
    <row r="564" spans="1:6" ht="36" customHeight="1" x14ac:dyDescent="0.25">
      <c r="A564" s="174" t="str">
        <f>'[2]ACTA 3'!A173</f>
        <v>NP 6.8</v>
      </c>
      <c r="B564" s="191" t="str">
        <f>'[2]ACTA 3'!B173</f>
        <v>Suministro e instalación de piso en porcelanato de 60x60; incluye adhesivo cementoso con latex, lechada y todo lo necesario para su correcta instalación</v>
      </c>
      <c r="C564" s="260" t="s">
        <v>353</v>
      </c>
      <c r="D564" s="260"/>
      <c r="E564" s="260"/>
      <c r="F564" s="260"/>
    </row>
    <row r="565" spans="1:6" x14ac:dyDescent="0.25">
      <c r="A565" s="262" t="s">
        <v>320</v>
      </c>
      <c r="B565" s="262"/>
      <c r="C565" s="176" t="s">
        <v>321</v>
      </c>
      <c r="D565" s="176" t="s">
        <v>354</v>
      </c>
      <c r="E565" s="176" t="s">
        <v>355</v>
      </c>
      <c r="F565" s="177" t="s">
        <v>356</v>
      </c>
    </row>
    <row r="566" spans="1:6" x14ac:dyDescent="0.25">
      <c r="A566" s="173"/>
      <c r="B566" s="178" t="s">
        <v>357</v>
      </c>
      <c r="C566" s="86"/>
      <c r="D566" s="2"/>
      <c r="E566" s="2"/>
      <c r="F566" s="179"/>
    </row>
    <row r="567" spans="1:6" x14ac:dyDescent="0.25">
      <c r="A567" s="173"/>
      <c r="B567" s="183" t="s">
        <v>433</v>
      </c>
      <c r="C567" s="86" t="s">
        <v>21</v>
      </c>
      <c r="D567" s="2">
        <v>1.01</v>
      </c>
      <c r="E567" s="182">
        <v>90025</v>
      </c>
      <c r="F567" s="179">
        <f>ROUND(D567*E567, 2)</f>
        <v>90925.25</v>
      </c>
    </row>
    <row r="568" spans="1:6" x14ac:dyDescent="0.25">
      <c r="A568" s="173"/>
      <c r="B568" s="180" t="s">
        <v>413</v>
      </c>
      <c r="C568" s="181" t="s">
        <v>403</v>
      </c>
      <c r="D568" s="2">
        <v>0.7</v>
      </c>
      <c r="E568" s="182">
        <v>11211</v>
      </c>
      <c r="F568" s="179">
        <f>ROUND(D568*E568, 2)</f>
        <v>7847.7</v>
      </c>
    </row>
    <row r="569" spans="1:6" x14ac:dyDescent="0.25">
      <c r="A569" s="173"/>
      <c r="B569" s="180"/>
      <c r="C569" s="181" t="s">
        <v>28</v>
      </c>
      <c r="D569" s="2"/>
      <c r="E569" s="182"/>
      <c r="F569" s="179">
        <f>ROUND(D569*E569, 2)</f>
        <v>0</v>
      </c>
    </row>
    <row r="570" spans="1:6" x14ac:dyDescent="0.25">
      <c r="A570" s="173"/>
      <c r="B570" s="183"/>
      <c r="C570" s="86"/>
      <c r="D570" s="2"/>
      <c r="E570" s="184" t="s">
        <v>368</v>
      </c>
      <c r="F570" s="185">
        <f>SUM(F567:F569)</f>
        <v>98772.95</v>
      </c>
    </row>
    <row r="571" spans="1:6" x14ac:dyDescent="0.25">
      <c r="A571" s="173"/>
      <c r="B571" s="178" t="s">
        <v>369</v>
      </c>
      <c r="C571" s="86"/>
      <c r="D571" s="2"/>
      <c r="E571" s="2"/>
      <c r="F571" s="179"/>
    </row>
    <row r="572" spans="1:6" x14ac:dyDescent="0.25">
      <c r="A572" s="173"/>
      <c r="B572" s="180" t="s">
        <v>385</v>
      </c>
      <c r="C572" s="181" t="s">
        <v>386</v>
      </c>
      <c r="D572" s="2">
        <v>5</v>
      </c>
      <c r="E572" s="182">
        <f>F578</f>
        <v>1293.76</v>
      </c>
      <c r="F572" s="179">
        <f>ROUND(D572*E572/100, 2)</f>
        <v>64.69</v>
      </c>
    </row>
    <row r="573" spans="1:6" x14ac:dyDescent="0.25">
      <c r="A573" s="173"/>
      <c r="B573" s="180"/>
      <c r="C573" s="86"/>
      <c r="D573" s="2"/>
      <c r="E573" s="182"/>
      <c r="F573" s="179">
        <f>ROUND(D573*E573, 2)</f>
        <v>0</v>
      </c>
    </row>
    <row r="574" spans="1:6" x14ac:dyDescent="0.25">
      <c r="A574" s="173"/>
      <c r="B574" s="180"/>
      <c r="C574" s="181"/>
      <c r="D574" s="2"/>
      <c r="E574" s="182"/>
      <c r="F574" s="179">
        <f>ROUND(D574*E574, 2)</f>
        <v>0</v>
      </c>
    </row>
    <row r="575" spans="1:6" x14ac:dyDescent="0.25">
      <c r="A575" s="173"/>
      <c r="B575" s="183"/>
      <c r="C575" s="86"/>
      <c r="D575" s="2"/>
      <c r="E575" s="184" t="s">
        <v>368</v>
      </c>
      <c r="F575" s="185">
        <f>SUM(F572:F574)</f>
        <v>64.69</v>
      </c>
    </row>
    <row r="576" spans="1:6" x14ac:dyDescent="0.25">
      <c r="A576" s="173"/>
      <c r="B576" s="178" t="s">
        <v>379</v>
      </c>
      <c r="C576" s="86"/>
      <c r="D576" s="2"/>
      <c r="E576" s="2"/>
      <c r="F576" s="179"/>
    </row>
    <row r="577" spans="1:6" x14ac:dyDescent="0.25">
      <c r="A577" s="173"/>
      <c r="B577" s="180" t="s">
        <v>380</v>
      </c>
      <c r="C577" s="181" t="s">
        <v>204</v>
      </c>
      <c r="D577" s="2">
        <v>0.02</v>
      </c>
      <c r="E577" s="182">
        <v>64688</v>
      </c>
      <c r="F577" s="179">
        <f>ROUND(D577*E577, 2)</f>
        <v>1293.76</v>
      </c>
    </row>
    <row r="578" spans="1:6" x14ac:dyDescent="0.25">
      <c r="A578" s="173"/>
      <c r="B578" s="183"/>
      <c r="C578" s="86"/>
      <c r="D578" s="2"/>
      <c r="E578" s="184" t="s">
        <v>368</v>
      </c>
      <c r="F578" s="185">
        <f>SUM(F577:F577)</f>
        <v>1293.76</v>
      </c>
    </row>
    <row r="579" spans="1:6" x14ac:dyDescent="0.25">
      <c r="A579" s="173"/>
      <c r="B579" s="178" t="s">
        <v>381</v>
      </c>
      <c r="C579" s="86"/>
      <c r="D579" s="2"/>
      <c r="E579" s="2"/>
      <c r="F579" s="179"/>
    </row>
    <row r="580" spans="1:6" x14ac:dyDescent="0.25">
      <c r="A580" s="173"/>
      <c r="B580" s="180" t="s">
        <v>382</v>
      </c>
      <c r="C580" s="86" t="s">
        <v>371</v>
      </c>
      <c r="D580" s="2">
        <v>0.3</v>
      </c>
      <c r="E580" s="182">
        <v>221000</v>
      </c>
      <c r="F580" s="179">
        <f>ROUND(D580*E580, 2)</f>
        <v>66300</v>
      </c>
    </row>
    <row r="581" spans="1:6" x14ac:dyDescent="0.25">
      <c r="A581" s="173"/>
      <c r="B581" s="183"/>
      <c r="C581" s="86"/>
      <c r="D581" s="2"/>
      <c r="E581" s="184" t="s">
        <v>368</v>
      </c>
      <c r="F581" s="185">
        <f>SUM(F580:F580)</f>
        <v>66300</v>
      </c>
    </row>
    <row r="582" spans="1:6" x14ac:dyDescent="0.25">
      <c r="A582" s="173"/>
      <c r="B582" s="183"/>
      <c r="C582" s="86"/>
      <c r="D582" s="2"/>
      <c r="E582" s="2"/>
      <c r="F582" s="179"/>
    </row>
    <row r="583" spans="1:6" x14ac:dyDescent="0.25">
      <c r="A583" s="173"/>
      <c r="B583" s="183"/>
      <c r="C583" s="86"/>
      <c r="D583" s="2"/>
      <c r="E583" s="186" t="s">
        <v>383</v>
      </c>
      <c r="F583" s="187">
        <f>ROUND(SUM(F566:F581)/2, 0)</f>
        <v>166431</v>
      </c>
    </row>
    <row r="584" spans="1:6" x14ac:dyDescent="0.25">
      <c r="A584" s="173"/>
    </row>
    <row r="585" spans="1:6" s="173" customFormat="1" ht="45" x14ac:dyDescent="0.25">
      <c r="A585" s="174" t="str">
        <f>'[2]ACTA 3'!A174</f>
        <v>NP 6.9</v>
      </c>
      <c r="B585" s="188" t="str">
        <f>'[2]ACTA 3'!B174</f>
        <v>Suministro, transporte, corte, figuración, colocación y amarre de malla electrosoldada XX-084 para losa, incluye alambre y todos los elementos necesarios para su correcta instalación.</v>
      </c>
      <c r="C585" s="260" t="s">
        <v>384</v>
      </c>
      <c r="D585" s="260"/>
      <c r="E585" s="260"/>
      <c r="F585" s="260"/>
    </row>
    <row r="586" spans="1:6" s="173" customFormat="1" x14ac:dyDescent="0.25">
      <c r="A586" s="262" t="s">
        <v>320</v>
      </c>
      <c r="B586" s="262"/>
      <c r="C586" s="176" t="s">
        <v>321</v>
      </c>
      <c r="D586" s="176" t="s">
        <v>354</v>
      </c>
      <c r="E586" s="176" t="s">
        <v>355</v>
      </c>
      <c r="F586" s="177" t="s">
        <v>356</v>
      </c>
    </row>
    <row r="587" spans="1:6" s="173" customFormat="1" x14ac:dyDescent="0.25">
      <c r="A587" s="86"/>
      <c r="B587" s="178" t="s">
        <v>357</v>
      </c>
      <c r="C587" s="86"/>
      <c r="D587" s="2"/>
      <c r="E587" s="2"/>
      <c r="F587" s="179"/>
    </row>
    <row r="588" spans="1:6" s="173" customFormat="1" x14ac:dyDescent="0.25">
      <c r="A588" s="86"/>
      <c r="B588" s="183" t="s">
        <v>424</v>
      </c>
      <c r="C588" s="86" t="s">
        <v>21</v>
      </c>
      <c r="D588" s="2">
        <v>0.08</v>
      </c>
      <c r="E588" s="182">
        <v>102900</v>
      </c>
      <c r="F588" s="179">
        <f>E588*D588</f>
        <v>8232</v>
      </c>
    </row>
    <row r="589" spans="1:6" s="173" customFormat="1" x14ac:dyDescent="0.25">
      <c r="A589" s="86"/>
      <c r="B589" s="183"/>
      <c r="C589" s="86"/>
      <c r="D589" s="2"/>
      <c r="E589" s="184" t="s">
        <v>368</v>
      </c>
      <c r="F589" s="185">
        <f>SUM(F588:F588)</f>
        <v>8232</v>
      </c>
    </row>
    <row r="590" spans="1:6" s="173" customFormat="1" x14ac:dyDescent="0.25">
      <c r="A590" s="86"/>
      <c r="B590" s="178" t="s">
        <v>369</v>
      </c>
      <c r="C590" s="86"/>
      <c r="D590" s="2"/>
      <c r="E590" s="2"/>
      <c r="F590" s="179"/>
    </row>
    <row r="591" spans="1:6" s="173" customFormat="1" x14ac:dyDescent="0.25">
      <c r="A591" s="86"/>
      <c r="B591" s="180" t="s">
        <v>385</v>
      </c>
      <c r="C591" s="181" t="s">
        <v>386</v>
      </c>
      <c r="D591" s="2">
        <v>5</v>
      </c>
      <c r="E591" s="182">
        <f>F598</f>
        <v>8347.0300000000007</v>
      </c>
      <c r="F591" s="179">
        <f>ROUND(D591*E591/100, 2)</f>
        <v>417.35</v>
      </c>
    </row>
    <row r="592" spans="1:6" s="173" customFormat="1" x14ac:dyDescent="0.25">
      <c r="A592" s="86"/>
      <c r="B592" s="180"/>
      <c r="C592" s="181"/>
      <c r="D592" s="2"/>
      <c r="E592" s="182"/>
      <c r="F592" s="179"/>
    </row>
    <row r="593" spans="1:6" s="173" customFormat="1" x14ac:dyDescent="0.25">
      <c r="A593" s="86"/>
      <c r="B593" s="183"/>
      <c r="C593" s="86"/>
      <c r="D593" s="2"/>
      <c r="E593" s="184" t="s">
        <v>368</v>
      </c>
      <c r="F593" s="185">
        <f>SUM(F591:F591)</f>
        <v>417.35</v>
      </c>
    </row>
    <row r="594" spans="1:6" s="173" customFormat="1" x14ac:dyDescent="0.25">
      <c r="A594" s="86"/>
      <c r="B594" s="178" t="s">
        <v>379</v>
      </c>
      <c r="C594" s="86"/>
      <c r="D594" s="2"/>
      <c r="E594" s="2"/>
      <c r="F594" s="179"/>
    </row>
    <row r="595" spans="1:6" x14ac:dyDescent="0.25">
      <c r="A595" s="173"/>
      <c r="B595" s="180" t="s">
        <v>380</v>
      </c>
      <c r="C595" s="181" t="s">
        <v>204</v>
      </c>
      <c r="D595" s="2">
        <v>0.02</v>
      </c>
      <c r="E595" s="182">
        <v>64688</v>
      </c>
      <c r="F595" s="179">
        <f>ROUND(D595*E595, 2)</f>
        <v>1293.76</v>
      </c>
    </row>
    <row r="596" spans="1:6" s="173" customFormat="1" x14ac:dyDescent="0.25">
      <c r="A596" s="86"/>
      <c r="B596" s="183"/>
      <c r="C596" s="86"/>
      <c r="D596" s="2"/>
      <c r="E596" s="184" t="s">
        <v>368</v>
      </c>
      <c r="F596" s="185">
        <f>SUM(F595:F595)</f>
        <v>1293.76</v>
      </c>
    </row>
    <row r="597" spans="1:6" s="173" customFormat="1" x14ac:dyDescent="0.25">
      <c r="A597" s="86"/>
      <c r="B597" s="178" t="s">
        <v>381</v>
      </c>
      <c r="C597" s="86"/>
      <c r="D597" s="2"/>
      <c r="E597" s="2"/>
      <c r="F597" s="179"/>
    </row>
    <row r="598" spans="1:6" s="173" customFormat="1" x14ac:dyDescent="0.25">
      <c r="A598" s="86"/>
      <c r="B598" s="183" t="s">
        <v>387</v>
      </c>
      <c r="C598" s="86" t="s">
        <v>371</v>
      </c>
      <c r="D598" s="2">
        <v>4.6455000000000003E-2</v>
      </c>
      <c r="E598" s="182">
        <f>2*89840</f>
        <v>179680</v>
      </c>
      <c r="F598" s="179">
        <f>ROUND(D598*E598, 2)</f>
        <v>8347.0300000000007</v>
      </c>
    </row>
    <row r="599" spans="1:6" s="173" customFormat="1" x14ac:dyDescent="0.25">
      <c r="A599" s="86"/>
      <c r="B599" s="183"/>
      <c r="C599" s="86"/>
      <c r="D599" s="2"/>
      <c r="E599" s="184" t="s">
        <v>368</v>
      </c>
      <c r="F599" s="185">
        <f>SUM(F598:F598)</f>
        <v>8347.0300000000007</v>
      </c>
    </row>
    <row r="600" spans="1:6" s="173" customFormat="1" x14ac:dyDescent="0.25">
      <c r="A600" s="86"/>
      <c r="B600" s="183"/>
      <c r="C600" s="86"/>
      <c r="D600" s="2"/>
      <c r="E600" s="2"/>
      <c r="F600" s="179"/>
    </row>
    <row r="601" spans="1:6" s="173" customFormat="1" x14ac:dyDescent="0.25">
      <c r="A601" s="86"/>
      <c r="B601" s="183"/>
      <c r="C601" s="86"/>
      <c r="D601" s="2"/>
      <c r="E601" s="186" t="s">
        <v>383</v>
      </c>
      <c r="F601" s="187">
        <f>ROUND(SUM(F587:F599)/2, 0)</f>
        <v>18290</v>
      </c>
    </row>
    <row r="602" spans="1:6" s="173" customFormat="1" x14ac:dyDescent="0.25">
      <c r="A602" s="86"/>
      <c r="B602" s="183"/>
      <c r="C602" s="86"/>
      <c r="D602" s="2"/>
      <c r="E602" s="186"/>
      <c r="F602" s="187"/>
    </row>
    <row r="603" spans="1:6" s="173" customFormat="1" x14ac:dyDescent="0.25">
      <c r="A603" s="86"/>
      <c r="B603" s="183"/>
      <c r="C603" s="86"/>
      <c r="D603" s="2"/>
      <c r="E603" s="186"/>
      <c r="F603" s="187"/>
    </row>
    <row r="604" spans="1:6" s="173" customFormat="1" ht="30" x14ac:dyDescent="0.25">
      <c r="A604" s="174" t="str">
        <f>'[2]ACTA 3'!A175</f>
        <v>NP 6.10</v>
      </c>
      <c r="B604" s="188" t="str">
        <f>'[2]ACTA 3'!B175</f>
        <v>Suministro, figuración e instalacion de acero de refuerzo figurado Fy=420.</v>
      </c>
      <c r="C604" s="260" t="s">
        <v>434</v>
      </c>
      <c r="D604" s="260"/>
      <c r="E604" s="260"/>
      <c r="F604" s="260"/>
    </row>
    <row r="605" spans="1:6" s="173" customFormat="1" x14ac:dyDescent="0.25">
      <c r="A605" s="262" t="s">
        <v>320</v>
      </c>
      <c r="B605" s="262"/>
      <c r="C605" s="176" t="s">
        <v>321</v>
      </c>
      <c r="D605" s="176" t="s">
        <v>354</v>
      </c>
      <c r="E605" s="176" t="s">
        <v>355</v>
      </c>
      <c r="F605" s="177" t="s">
        <v>356</v>
      </c>
    </row>
    <row r="606" spans="1:6" s="173" customFormat="1" x14ac:dyDescent="0.25">
      <c r="A606" s="86"/>
      <c r="B606" s="178" t="s">
        <v>357</v>
      </c>
      <c r="C606" s="86"/>
      <c r="D606" s="2"/>
      <c r="E606" s="2"/>
      <c r="F606" s="179"/>
    </row>
    <row r="607" spans="1:6" s="173" customFormat="1" x14ac:dyDescent="0.25">
      <c r="A607" s="86"/>
      <c r="B607" s="183" t="s">
        <v>435</v>
      </c>
      <c r="C607" s="86" t="s">
        <v>403</v>
      </c>
      <c r="D607" s="2">
        <v>1.05</v>
      </c>
      <c r="E607" s="182">
        <v>4750</v>
      </c>
      <c r="F607" s="179">
        <f>E607*D607</f>
        <v>4987.5</v>
      </c>
    </row>
    <row r="608" spans="1:6" s="173" customFormat="1" x14ac:dyDescent="0.25">
      <c r="A608" s="86"/>
      <c r="B608" s="183"/>
      <c r="C608" s="86"/>
      <c r="D608" s="2"/>
      <c r="E608" s="184" t="s">
        <v>368</v>
      </c>
      <c r="F608" s="185">
        <f>SUM(F607:F607)</f>
        <v>4987.5</v>
      </c>
    </row>
    <row r="609" spans="1:6" s="173" customFormat="1" x14ac:dyDescent="0.25">
      <c r="A609" s="86"/>
      <c r="B609" s="178" t="s">
        <v>369</v>
      </c>
      <c r="C609" s="86"/>
      <c r="D609" s="2"/>
      <c r="E609" s="2"/>
      <c r="F609" s="179"/>
    </row>
    <row r="610" spans="1:6" s="173" customFormat="1" x14ac:dyDescent="0.25">
      <c r="A610" s="86"/>
      <c r="B610" s="180" t="s">
        <v>385</v>
      </c>
      <c r="C610" s="181" t="s">
        <v>386</v>
      </c>
      <c r="D610" s="2">
        <v>5</v>
      </c>
      <c r="E610" s="182">
        <f>F618</f>
        <v>4061.1</v>
      </c>
      <c r="F610" s="179">
        <f>ROUND(D610*E610/100, 2)</f>
        <v>203.06</v>
      </c>
    </row>
    <row r="611" spans="1:6" s="173" customFormat="1" x14ac:dyDescent="0.25">
      <c r="A611" s="86"/>
      <c r="B611" s="180"/>
      <c r="C611" s="86"/>
      <c r="D611" s="2"/>
      <c r="E611" s="182"/>
      <c r="F611" s="179"/>
    </row>
    <row r="612" spans="1:6" s="173" customFormat="1" x14ac:dyDescent="0.25">
      <c r="A612" s="86"/>
      <c r="B612" s="180"/>
      <c r="C612" s="181"/>
      <c r="D612" s="2"/>
      <c r="E612" s="182"/>
      <c r="F612" s="179"/>
    </row>
    <row r="613" spans="1:6" s="173" customFormat="1" x14ac:dyDescent="0.25">
      <c r="A613" s="86"/>
      <c r="B613" s="183"/>
      <c r="C613" s="86"/>
      <c r="D613" s="2"/>
      <c r="E613" s="184" t="s">
        <v>368</v>
      </c>
      <c r="F613" s="185">
        <f>SUM(F610:F611)</f>
        <v>203.06</v>
      </c>
    </row>
    <row r="614" spans="1:6" s="173" customFormat="1" x14ac:dyDescent="0.25">
      <c r="A614" s="86"/>
      <c r="B614" s="178" t="s">
        <v>379</v>
      </c>
      <c r="C614" s="86"/>
      <c r="D614" s="2"/>
      <c r="E614" s="2"/>
      <c r="F614" s="179"/>
    </row>
    <row r="615" spans="1:6" s="173" customFormat="1" x14ac:dyDescent="0.25">
      <c r="A615" s="86"/>
      <c r="B615" s="180"/>
      <c r="C615" s="181"/>
      <c r="D615" s="2"/>
      <c r="E615" s="182"/>
      <c r="F615" s="179">
        <f>D615*E615</f>
        <v>0</v>
      </c>
    </row>
    <row r="616" spans="1:6" s="173" customFormat="1" x14ac:dyDescent="0.25">
      <c r="A616" s="86"/>
      <c r="B616" s="183"/>
      <c r="C616" s="86"/>
      <c r="D616" s="2"/>
      <c r="E616" s="184" t="s">
        <v>368</v>
      </c>
      <c r="F616" s="185">
        <f>SUM(F615:F615)</f>
        <v>0</v>
      </c>
    </row>
    <row r="617" spans="1:6" s="173" customFormat="1" x14ac:dyDescent="0.25">
      <c r="A617" s="86"/>
      <c r="B617" s="178" t="s">
        <v>381</v>
      </c>
      <c r="C617" s="86"/>
      <c r="D617" s="2"/>
      <c r="E617" s="2"/>
      <c r="F617" s="179"/>
    </row>
    <row r="618" spans="1:6" x14ac:dyDescent="0.25">
      <c r="A618" s="173"/>
      <c r="B618" s="180" t="s">
        <v>382</v>
      </c>
      <c r="C618" s="86" t="s">
        <v>371</v>
      </c>
      <c r="D618" s="2">
        <v>1.8376E-2</v>
      </c>
      <c r="E618" s="182">
        <v>221000</v>
      </c>
      <c r="F618" s="179">
        <f>ROUND(D618*E618, 2)</f>
        <v>4061.1</v>
      </c>
    </row>
    <row r="619" spans="1:6" s="173" customFormat="1" x14ac:dyDescent="0.25">
      <c r="A619" s="86"/>
      <c r="B619" s="183"/>
      <c r="C619" s="86"/>
      <c r="D619" s="2"/>
      <c r="E619" s="184" t="s">
        <v>368</v>
      </c>
      <c r="F619" s="185">
        <f>SUM(F618:F618)</f>
        <v>4061.1</v>
      </c>
    </row>
    <row r="620" spans="1:6" s="173" customFormat="1" x14ac:dyDescent="0.25">
      <c r="A620" s="86"/>
      <c r="B620" s="183"/>
      <c r="C620" s="86"/>
      <c r="D620" s="2"/>
      <c r="E620" s="2"/>
      <c r="F620" s="179"/>
    </row>
    <row r="621" spans="1:6" s="173" customFormat="1" x14ac:dyDescent="0.25">
      <c r="A621" s="86"/>
      <c r="B621" s="183"/>
      <c r="C621" s="86"/>
      <c r="D621" s="2"/>
      <c r="E621" s="186" t="s">
        <v>383</v>
      </c>
      <c r="F621" s="187">
        <f>ROUND(SUM(F606:F619)/2, 0)</f>
        <v>9252</v>
      </c>
    </row>
    <row r="622" spans="1:6" s="173" customFormat="1" x14ac:dyDescent="0.25">
      <c r="A622" s="86"/>
      <c r="B622" s="183"/>
      <c r="C622" s="86"/>
      <c r="D622" s="2"/>
      <c r="E622" s="186"/>
      <c r="F622" s="187"/>
    </row>
    <row r="623" spans="1:6" s="173" customFormat="1" x14ac:dyDescent="0.25">
      <c r="A623" s="86"/>
      <c r="B623" s="183"/>
      <c r="C623" s="86"/>
      <c r="D623" s="2"/>
      <c r="E623" s="186"/>
      <c r="F623" s="187"/>
    </row>
    <row r="624" spans="1:6" s="173" customFormat="1" x14ac:dyDescent="0.25">
      <c r="A624" s="174" t="str">
        <f>'[2]ACTA 3'!A176</f>
        <v>NP 7.1</v>
      </c>
      <c r="B624" s="189" t="str">
        <f>'[2]ACTA 3'!B176</f>
        <v>Reinstalacion de mueble en acero inoxidable</v>
      </c>
      <c r="C624" s="260" t="s">
        <v>397</v>
      </c>
      <c r="D624" s="260"/>
      <c r="E624" s="260"/>
      <c r="F624" s="260"/>
    </row>
    <row r="625" spans="1:6" s="173" customFormat="1" x14ac:dyDescent="0.25">
      <c r="A625" s="262" t="s">
        <v>320</v>
      </c>
      <c r="B625" s="262"/>
      <c r="C625" s="176" t="s">
        <v>321</v>
      </c>
      <c r="D625" s="176" t="s">
        <v>354</v>
      </c>
      <c r="E625" s="176" t="s">
        <v>355</v>
      </c>
      <c r="F625" s="177" t="s">
        <v>356</v>
      </c>
    </row>
    <row r="626" spans="1:6" s="173" customFormat="1" x14ac:dyDescent="0.25">
      <c r="A626" s="86"/>
      <c r="B626" s="178" t="s">
        <v>357</v>
      </c>
      <c r="C626" s="86"/>
      <c r="D626" s="2"/>
      <c r="E626" s="2"/>
      <c r="F626" s="179"/>
    </row>
    <row r="627" spans="1:6" s="173" customFormat="1" x14ac:dyDescent="0.25">
      <c r="A627" s="86"/>
      <c r="B627" s="180"/>
      <c r="C627" s="181"/>
      <c r="D627" s="2"/>
      <c r="E627" s="182"/>
      <c r="F627" s="179"/>
    </row>
    <row r="628" spans="1:6" s="173" customFormat="1" x14ac:dyDescent="0.25">
      <c r="A628" s="86"/>
      <c r="B628" s="183"/>
      <c r="C628" s="86"/>
      <c r="D628" s="2"/>
      <c r="E628" s="184" t="s">
        <v>368</v>
      </c>
      <c r="F628" s="185">
        <f>SUM(F627:F627)</f>
        <v>0</v>
      </c>
    </row>
    <row r="629" spans="1:6" s="173" customFormat="1" x14ac:dyDescent="0.25">
      <c r="A629" s="86"/>
      <c r="B629" s="178" t="s">
        <v>369</v>
      </c>
      <c r="C629" s="86"/>
      <c r="D629" s="2"/>
      <c r="E629" s="2"/>
      <c r="F629" s="179"/>
    </row>
    <row r="630" spans="1:6" s="173" customFormat="1" x14ac:dyDescent="0.25">
      <c r="A630" s="86"/>
      <c r="B630" s="180" t="s">
        <v>385</v>
      </c>
      <c r="C630" s="181" t="s">
        <v>386</v>
      </c>
      <c r="D630" s="2">
        <v>5</v>
      </c>
      <c r="E630" s="182">
        <f>F637</f>
        <v>114285.73</v>
      </c>
      <c r="F630" s="179">
        <f>ROUND(D630*E630/100, 2)</f>
        <v>5714.29</v>
      </c>
    </row>
    <row r="631" spans="1:6" s="173" customFormat="1" x14ac:dyDescent="0.25">
      <c r="A631" s="86"/>
      <c r="B631" s="180"/>
      <c r="C631" s="181"/>
      <c r="D631" s="2"/>
      <c r="E631" s="182"/>
      <c r="F631" s="179"/>
    </row>
    <row r="632" spans="1:6" s="173" customFormat="1" x14ac:dyDescent="0.25">
      <c r="A632" s="86"/>
      <c r="B632" s="183"/>
      <c r="C632" s="86"/>
      <c r="D632" s="2"/>
      <c r="E632" s="184" t="s">
        <v>368</v>
      </c>
      <c r="F632" s="185">
        <f>SUM(F630:F630)</f>
        <v>5714.29</v>
      </c>
    </row>
    <row r="633" spans="1:6" s="173" customFormat="1" x14ac:dyDescent="0.25">
      <c r="A633" s="86"/>
      <c r="B633" s="178" t="s">
        <v>379</v>
      </c>
      <c r="C633" s="86"/>
      <c r="D633" s="2"/>
      <c r="E633" s="2"/>
      <c r="F633" s="179"/>
    </row>
    <row r="634" spans="1:6" s="173" customFormat="1" x14ac:dyDescent="0.25">
      <c r="A634" s="86"/>
      <c r="B634" s="180"/>
      <c r="C634" s="181"/>
      <c r="D634" s="2"/>
      <c r="E634" s="182"/>
      <c r="F634" s="179">
        <f>D634*E634</f>
        <v>0</v>
      </c>
    </row>
    <row r="635" spans="1:6" s="173" customFormat="1" x14ac:dyDescent="0.25">
      <c r="A635" s="86"/>
      <c r="B635" s="183"/>
      <c r="C635" s="86"/>
      <c r="D635" s="2"/>
      <c r="E635" s="184" t="s">
        <v>368</v>
      </c>
      <c r="F635" s="185">
        <f>SUM(F634:F634)</f>
        <v>0</v>
      </c>
    </row>
    <row r="636" spans="1:6" s="173" customFormat="1" x14ac:dyDescent="0.25">
      <c r="A636" s="86"/>
      <c r="B636" s="178" t="s">
        <v>381</v>
      </c>
      <c r="C636" s="86"/>
      <c r="D636" s="2"/>
      <c r="E636" s="2"/>
      <c r="F636" s="179"/>
    </row>
    <row r="637" spans="1:6" s="173" customFormat="1" x14ac:dyDescent="0.25">
      <c r="A637" s="86"/>
      <c r="B637" s="183" t="s">
        <v>382</v>
      </c>
      <c r="C637" s="86" t="s">
        <v>371</v>
      </c>
      <c r="D637" s="2">
        <v>0.51712999999999998</v>
      </c>
      <c r="E637" s="182">
        <v>221000</v>
      </c>
      <c r="F637" s="179">
        <f>ROUND(D637*E637, 2)</f>
        <v>114285.73</v>
      </c>
    </row>
    <row r="638" spans="1:6" s="173" customFormat="1" x14ac:dyDescent="0.25">
      <c r="A638" s="86"/>
      <c r="B638" s="183"/>
      <c r="C638" s="86"/>
      <c r="D638" s="2"/>
      <c r="E638" s="184" t="s">
        <v>368</v>
      </c>
      <c r="F638" s="185">
        <f>SUM(F637:F637)</f>
        <v>114285.73</v>
      </c>
    </row>
    <row r="639" spans="1:6" s="173" customFormat="1" x14ac:dyDescent="0.25">
      <c r="A639" s="86"/>
      <c r="B639" s="183"/>
      <c r="C639" s="86"/>
      <c r="D639" s="2"/>
      <c r="E639" s="2"/>
      <c r="F639" s="179"/>
    </row>
    <row r="640" spans="1:6" s="173" customFormat="1" x14ac:dyDescent="0.25">
      <c r="A640" s="86"/>
      <c r="B640" s="183"/>
      <c r="C640" s="86"/>
      <c r="D640" s="2"/>
      <c r="E640" s="186" t="s">
        <v>383</v>
      </c>
      <c r="F640" s="187">
        <f>ROUND(SUM(F626:F638)/2, 0)</f>
        <v>120000</v>
      </c>
    </row>
    <row r="641" spans="1:6" s="173" customFormat="1" x14ac:dyDescent="0.25">
      <c r="A641" s="86"/>
      <c r="B641" s="183"/>
      <c r="C641" s="86"/>
      <c r="D641" s="2"/>
      <c r="E641" s="186"/>
      <c r="F641" s="187"/>
    </row>
    <row r="642" spans="1:6" s="173" customFormat="1" ht="45" x14ac:dyDescent="0.25">
      <c r="A642" s="174" t="str">
        <f>'[2]ACTA 3'!A177</f>
        <v>NP 7.2</v>
      </c>
      <c r="B642" s="188" t="str">
        <f>'[2]ACTA 3'!B177</f>
        <v>Suministro e instalación de bandeja metalica en acero inoxidable, incluyendo tramos de tapa de registro desmontable, en acero.</v>
      </c>
      <c r="C642" s="260" t="s">
        <v>404</v>
      </c>
      <c r="D642" s="260"/>
      <c r="E642" s="260"/>
      <c r="F642" s="260"/>
    </row>
    <row r="643" spans="1:6" s="173" customFormat="1" x14ac:dyDescent="0.25">
      <c r="A643" s="262" t="s">
        <v>320</v>
      </c>
      <c r="B643" s="262"/>
      <c r="C643" s="176" t="s">
        <v>321</v>
      </c>
      <c r="D643" s="176" t="s">
        <v>354</v>
      </c>
      <c r="E643" s="176" t="s">
        <v>355</v>
      </c>
      <c r="F643" s="177" t="s">
        <v>356</v>
      </c>
    </row>
    <row r="644" spans="1:6" s="173" customFormat="1" x14ac:dyDescent="0.25">
      <c r="A644" s="86"/>
      <c r="B644" s="178" t="s">
        <v>357</v>
      </c>
      <c r="C644" s="86"/>
      <c r="D644" s="2"/>
      <c r="E644" s="2"/>
      <c r="F644" s="179"/>
    </row>
    <row r="645" spans="1:6" s="173" customFormat="1" ht="45" x14ac:dyDescent="0.25">
      <c r="A645" s="86"/>
      <c r="B645" s="180" t="str">
        <f>B642</f>
        <v>Suministro e instalación de bandeja metalica en acero inoxidable, incluyendo tramos de tapa de registro desmontable, en acero.</v>
      </c>
      <c r="C645" s="86" t="s">
        <v>18</v>
      </c>
      <c r="D645" s="2">
        <v>1</v>
      </c>
      <c r="E645" s="182">
        <v>743000</v>
      </c>
      <c r="F645" s="179">
        <f>E645*D645</f>
        <v>743000</v>
      </c>
    </row>
    <row r="646" spans="1:6" s="173" customFormat="1" x14ac:dyDescent="0.25">
      <c r="A646" s="86"/>
      <c r="B646" s="183"/>
      <c r="C646" s="86"/>
      <c r="D646" s="2"/>
      <c r="E646" s="184" t="s">
        <v>368</v>
      </c>
      <c r="F646" s="185">
        <f>SUM(F645:F645)</f>
        <v>743000</v>
      </c>
    </row>
    <row r="647" spans="1:6" s="173" customFormat="1" x14ac:dyDescent="0.25">
      <c r="A647" s="86"/>
      <c r="B647" s="178" t="s">
        <v>369</v>
      </c>
      <c r="C647" s="86"/>
      <c r="D647" s="2"/>
      <c r="E647" s="2"/>
      <c r="F647" s="179"/>
    </row>
    <row r="648" spans="1:6" s="173" customFormat="1" x14ac:dyDescent="0.25">
      <c r="A648" s="86"/>
      <c r="B648" s="180" t="s">
        <v>385</v>
      </c>
      <c r="C648" s="181" t="s">
        <v>386</v>
      </c>
      <c r="D648" s="2">
        <v>5</v>
      </c>
      <c r="E648" s="182">
        <f>F655</f>
        <v>58010.29</v>
      </c>
      <c r="F648" s="179">
        <f>ROUND(D648*E648/100, 2)</f>
        <v>2900.51</v>
      </c>
    </row>
    <row r="649" spans="1:6" s="173" customFormat="1" x14ac:dyDescent="0.25">
      <c r="A649" s="86"/>
      <c r="B649" s="180"/>
      <c r="C649" s="181"/>
      <c r="D649" s="2"/>
      <c r="E649" s="182"/>
      <c r="F649" s="179"/>
    </row>
    <row r="650" spans="1:6" s="173" customFormat="1" x14ac:dyDescent="0.25">
      <c r="A650" s="86"/>
      <c r="B650" s="183"/>
      <c r="C650" s="86"/>
      <c r="D650" s="2"/>
      <c r="E650" s="184" t="s">
        <v>368</v>
      </c>
      <c r="F650" s="185">
        <f>SUM(F648:F648)</f>
        <v>2900.51</v>
      </c>
    </row>
    <row r="651" spans="1:6" s="173" customFormat="1" x14ac:dyDescent="0.25">
      <c r="A651" s="86"/>
      <c r="B651" s="178" t="s">
        <v>379</v>
      </c>
      <c r="C651" s="86"/>
      <c r="D651" s="2"/>
      <c r="E651" s="2"/>
      <c r="F651" s="179"/>
    </row>
    <row r="652" spans="1:6" s="173" customFormat="1" x14ac:dyDescent="0.25">
      <c r="A652" s="86"/>
      <c r="B652" s="180"/>
      <c r="C652" s="181"/>
      <c r="D652" s="2"/>
      <c r="E652" s="182"/>
      <c r="F652" s="179">
        <f>D652*E652</f>
        <v>0</v>
      </c>
    </row>
    <row r="653" spans="1:6" s="173" customFormat="1" x14ac:dyDescent="0.25">
      <c r="A653" s="86"/>
      <c r="B653" s="183"/>
      <c r="C653" s="86"/>
      <c r="D653" s="2"/>
      <c r="E653" s="184" t="s">
        <v>368</v>
      </c>
      <c r="F653" s="185">
        <f>SUM(F652:F652)</f>
        <v>0</v>
      </c>
    </row>
    <row r="654" spans="1:6" s="173" customFormat="1" x14ac:dyDescent="0.25">
      <c r="A654" s="86"/>
      <c r="B654" s="178" t="s">
        <v>381</v>
      </c>
      <c r="C654" s="86"/>
      <c r="D654" s="2"/>
      <c r="E654" s="2"/>
      <c r="F654" s="179"/>
    </row>
    <row r="655" spans="1:6" s="173" customFormat="1" x14ac:dyDescent="0.25">
      <c r="A655" s="86"/>
      <c r="B655" s="183" t="s">
        <v>382</v>
      </c>
      <c r="C655" s="86" t="s">
        <v>371</v>
      </c>
      <c r="D655" s="2">
        <v>0.26249</v>
      </c>
      <c r="E655" s="182">
        <v>221000</v>
      </c>
      <c r="F655" s="179">
        <f>ROUND(D655*E655, 2)</f>
        <v>58010.29</v>
      </c>
    </row>
    <row r="656" spans="1:6" s="173" customFormat="1" x14ac:dyDescent="0.25">
      <c r="A656" s="86"/>
      <c r="B656" s="183"/>
      <c r="C656" s="86"/>
      <c r="D656" s="2"/>
      <c r="E656" s="184" t="s">
        <v>368</v>
      </c>
      <c r="F656" s="185">
        <f>SUM(F655:F655)</f>
        <v>58010.29</v>
      </c>
    </row>
    <row r="657" spans="1:6" s="173" customFormat="1" x14ac:dyDescent="0.25">
      <c r="A657" s="86"/>
      <c r="B657" s="183"/>
      <c r="C657" s="86"/>
      <c r="D657" s="2"/>
      <c r="E657" s="2"/>
      <c r="F657" s="179"/>
    </row>
    <row r="658" spans="1:6" s="173" customFormat="1" x14ac:dyDescent="0.25">
      <c r="A658" s="86"/>
      <c r="B658" s="183"/>
      <c r="C658" s="86"/>
      <c r="D658" s="2"/>
      <c r="E658" s="186" t="s">
        <v>383</v>
      </c>
      <c r="F658" s="187">
        <f>ROUND(SUM(F644:F656)/2, 0)</f>
        <v>803911</v>
      </c>
    </row>
    <row r="659" spans="1:6" s="173" customFormat="1" x14ac:dyDescent="0.25">
      <c r="A659" s="86"/>
      <c r="B659" s="183"/>
      <c r="C659" s="86"/>
      <c r="D659" s="2"/>
      <c r="E659" s="186"/>
      <c r="F659" s="187"/>
    </row>
    <row r="660" spans="1:6" s="173" customFormat="1" x14ac:dyDescent="0.25">
      <c r="A660" s="86"/>
      <c r="B660" s="183"/>
      <c r="C660" s="86"/>
      <c r="D660" s="2"/>
      <c r="E660" s="186"/>
      <c r="F660" s="187"/>
    </row>
    <row r="661" spans="1:6" s="173" customFormat="1" ht="60" x14ac:dyDescent="0.25">
      <c r="A661" s="174" t="str">
        <f>'[2]ACTA 3'!A178</f>
        <v>NP 7.3</v>
      </c>
      <c r="B661" s="188" t="str">
        <f>'[2]ACTA 3'!B178</f>
        <v>Readeacuación, restauración e instalacion de puerta blindada corrediza de 1,20x2,10m,  incluyendo contramarcos, cenefas, manijas en acero inoxidable y todo para su instalación adecuada</v>
      </c>
      <c r="C661" s="260" t="s">
        <v>397</v>
      </c>
      <c r="D661" s="260"/>
      <c r="E661" s="260"/>
      <c r="F661" s="260"/>
    </row>
    <row r="662" spans="1:6" s="173" customFormat="1" x14ac:dyDescent="0.25">
      <c r="A662" s="262" t="s">
        <v>320</v>
      </c>
      <c r="B662" s="262"/>
      <c r="C662" s="176" t="s">
        <v>321</v>
      </c>
      <c r="D662" s="176" t="s">
        <v>354</v>
      </c>
      <c r="E662" s="176" t="s">
        <v>355</v>
      </c>
      <c r="F662" s="177" t="s">
        <v>356</v>
      </c>
    </row>
    <row r="663" spans="1:6" s="173" customFormat="1" x14ac:dyDescent="0.25">
      <c r="A663" s="86"/>
      <c r="B663" s="178" t="s">
        <v>357</v>
      </c>
      <c r="C663" s="86"/>
      <c r="D663" s="2"/>
      <c r="E663" s="2"/>
      <c r="F663" s="179"/>
    </row>
    <row r="664" spans="1:6" s="173" customFormat="1" ht="60" x14ac:dyDescent="0.25">
      <c r="A664" s="86"/>
      <c r="B664" s="180" t="str">
        <f>B661</f>
        <v>Readeacuación, restauración e instalacion de puerta blindada corrediza de 1,20x2,10m,  incluyendo contramarcos, cenefas, manijas en acero inoxidable y todo para su instalación adecuada</v>
      </c>
      <c r="C664" s="86" t="s">
        <v>28</v>
      </c>
      <c r="D664" s="2">
        <v>1</v>
      </c>
      <c r="E664" s="182">
        <v>4423397</v>
      </c>
      <c r="F664" s="179">
        <f>E664*D664</f>
        <v>4423397</v>
      </c>
    </row>
    <row r="665" spans="1:6" s="173" customFormat="1" x14ac:dyDescent="0.25">
      <c r="A665" s="86"/>
      <c r="B665" s="183"/>
      <c r="C665" s="86"/>
      <c r="D665" s="2"/>
      <c r="E665" s="184" t="s">
        <v>368</v>
      </c>
      <c r="F665" s="185">
        <f>SUM(F664:F664)</f>
        <v>4423397</v>
      </c>
    </row>
    <row r="666" spans="1:6" s="173" customFormat="1" x14ac:dyDescent="0.25">
      <c r="A666" s="86"/>
      <c r="B666" s="178" t="s">
        <v>369</v>
      </c>
      <c r="C666" s="86"/>
      <c r="D666" s="2"/>
      <c r="E666" s="2"/>
      <c r="F666" s="179"/>
    </row>
    <row r="667" spans="1:6" s="173" customFormat="1" x14ac:dyDescent="0.25">
      <c r="A667" s="86"/>
      <c r="B667" s="180"/>
      <c r="C667" s="181"/>
      <c r="D667" s="2"/>
      <c r="E667" s="182"/>
      <c r="F667" s="179"/>
    </row>
    <row r="668" spans="1:6" s="173" customFormat="1" x14ac:dyDescent="0.25">
      <c r="A668" s="86"/>
      <c r="B668" s="180"/>
      <c r="C668" s="181"/>
      <c r="D668" s="2"/>
      <c r="E668" s="182"/>
      <c r="F668" s="179"/>
    </row>
    <row r="669" spans="1:6" s="173" customFormat="1" x14ac:dyDescent="0.25">
      <c r="A669" s="86"/>
      <c r="B669" s="183"/>
      <c r="C669" s="86"/>
      <c r="D669" s="2"/>
      <c r="E669" s="184" t="s">
        <v>368</v>
      </c>
      <c r="F669" s="185">
        <f>SUM(F667:F667)</f>
        <v>0</v>
      </c>
    </row>
    <row r="670" spans="1:6" s="173" customFormat="1" x14ac:dyDescent="0.25">
      <c r="A670" s="86"/>
      <c r="B670" s="178" t="s">
        <v>379</v>
      </c>
      <c r="C670" s="86"/>
      <c r="D670" s="2"/>
      <c r="E670" s="2"/>
      <c r="F670" s="179"/>
    </row>
    <row r="671" spans="1:6" s="173" customFormat="1" x14ac:dyDescent="0.25">
      <c r="A671" s="86"/>
      <c r="B671" s="180"/>
      <c r="C671" s="181"/>
      <c r="D671" s="2"/>
      <c r="E671" s="182"/>
      <c r="F671" s="179">
        <f>D671*E671</f>
        <v>0</v>
      </c>
    </row>
    <row r="672" spans="1:6" s="173" customFormat="1" x14ac:dyDescent="0.25">
      <c r="A672" s="86"/>
      <c r="B672" s="183"/>
      <c r="C672" s="86"/>
      <c r="D672" s="2"/>
      <c r="E672" s="184" t="s">
        <v>368</v>
      </c>
      <c r="F672" s="185">
        <f>SUM(F671:F671)</f>
        <v>0</v>
      </c>
    </row>
    <row r="673" spans="1:6" s="173" customFormat="1" x14ac:dyDescent="0.25">
      <c r="A673" s="86"/>
      <c r="B673" s="178" t="s">
        <v>381</v>
      </c>
      <c r="C673" s="86"/>
      <c r="D673" s="2"/>
      <c r="E673" s="2"/>
      <c r="F673" s="179"/>
    </row>
    <row r="674" spans="1:6" s="173" customFormat="1" ht="13.15" customHeight="1" x14ac:dyDescent="0.25">
      <c r="A674" s="86"/>
      <c r="B674" s="183"/>
      <c r="C674" s="86"/>
      <c r="D674" s="2"/>
      <c r="E674" s="182"/>
      <c r="F674" s="179"/>
    </row>
    <row r="675" spans="1:6" s="173" customFormat="1" x14ac:dyDescent="0.25">
      <c r="A675" s="86"/>
      <c r="B675" s="183"/>
      <c r="C675" s="86"/>
      <c r="D675" s="2"/>
      <c r="E675" s="184" t="s">
        <v>368</v>
      </c>
      <c r="F675" s="185">
        <f>SUM(F674:F674)</f>
        <v>0</v>
      </c>
    </row>
    <row r="676" spans="1:6" s="173" customFormat="1" x14ac:dyDescent="0.25">
      <c r="A676" s="86"/>
      <c r="B676" s="183"/>
      <c r="C676" s="86"/>
      <c r="D676" s="2"/>
      <c r="E676" s="2"/>
      <c r="F676" s="179"/>
    </row>
    <row r="677" spans="1:6" s="173" customFormat="1" x14ac:dyDescent="0.25">
      <c r="A677" s="86"/>
      <c r="B677" s="183"/>
      <c r="C677" s="86"/>
      <c r="D677" s="2"/>
      <c r="E677" s="186" t="s">
        <v>383</v>
      </c>
      <c r="F677" s="187">
        <f>ROUND(SUM(F663:F675)/2, 0)</f>
        <v>4423397</v>
      </c>
    </row>
    <row r="678" spans="1:6" s="173" customFormat="1" x14ac:dyDescent="0.25">
      <c r="A678" s="86"/>
      <c r="B678" s="183"/>
      <c r="C678" s="86"/>
      <c r="D678" s="2"/>
      <c r="E678" s="186"/>
      <c r="F678" s="187"/>
    </row>
    <row r="679" spans="1:6" s="173" customFormat="1" ht="30" x14ac:dyDescent="0.25">
      <c r="A679" s="174" t="str">
        <f>'[2]ACTA 3'!A179</f>
        <v>NP 7.4</v>
      </c>
      <c r="B679" s="188" t="str">
        <f>'[2]ACTA 3'!B179</f>
        <v>Suministro e instalacion de puerta batiente blindada de 0,85x2,10m</v>
      </c>
      <c r="C679" s="260" t="s">
        <v>397</v>
      </c>
      <c r="D679" s="260"/>
      <c r="E679" s="260"/>
      <c r="F679" s="260"/>
    </row>
    <row r="680" spans="1:6" s="173" customFormat="1" x14ac:dyDescent="0.25">
      <c r="A680" s="262" t="s">
        <v>320</v>
      </c>
      <c r="B680" s="262"/>
      <c r="C680" s="176" t="s">
        <v>321</v>
      </c>
      <c r="D680" s="176" t="s">
        <v>354</v>
      </c>
      <c r="E680" s="176" t="s">
        <v>355</v>
      </c>
      <c r="F680" s="177" t="s">
        <v>356</v>
      </c>
    </row>
    <row r="681" spans="1:6" s="173" customFormat="1" x14ac:dyDescent="0.25">
      <c r="A681" s="86"/>
      <c r="B681" s="178" t="s">
        <v>357</v>
      </c>
      <c r="C681" s="86"/>
      <c r="D681" s="2"/>
      <c r="E681" s="2"/>
      <c r="F681" s="179"/>
    </row>
    <row r="682" spans="1:6" s="173" customFormat="1" x14ac:dyDescent="0.25">
      <c r="A682" s="86"/>
      <c r="B682" s="202" t="str">
        <f>B679</f>
        <v>Suministro e instalacion de puerta batiente blindada de 0,85x2,10m</v>
      </c>
      <c r="C682" s="86" t="s">
        <v>28</v>
      </c>
      <c r="D682" s="2">
        <v>1</v>
      </c>
      <c r="E682" s="182">
        <v>7885102</v>
      </c>
      <c r="F682" s="179">
        <f>E682*D682</f>
        <v>7885102</v>
      </c>
    </row>
    <row r="683" spans="1:6" s="173" customFormat="1" x14ac:dyDescent="0.25">
      <c r="A683" s="86"/>
      <c r="B683" s="183"/>
      <c r="C683" s="86"/>
      <c r="D683" s="2"/>
      <c r="E683" s="184" t="s">
        <v>368</v>
      </c>
      <c r="F683" s="185">
        <f>SUM(F682:F682)</f>
        <v>7885102</v>
      </c>
    </row>
    <row r="684" spans="1:6" s="173" customFormat="1" x14ac:dyDescent="0.25">
      <c r="A684" s="86"/>
      <c r="B684" s="178" t="s">
        <v>369</v>
      </c>
      <c r="C684" s="86"/>
      <c r="D684" s="2"/>
      <c r="E684" s="2"/>
      <c r="F684" s="179"/>
    </row>
    <row r="685" spans="1:6" s="173" customFormat="1" x14ac:dyDescent="0.25">
      <c r="A685" s="86"/>
      <c r="B685" s="183"/>
      <c r="C685" s="86"/>
      <c r="D685" s="2"/>
      <c r="E685" s="182"/>
      <c r="F685" s="179"/>
    </row>
    <row r="686" spans="1:6" s="173" customFormat="1" x14ac:dyDescent="0.25">
      <c r="A686" s="86"/>
      <c r="B686" s="180"/>
      <c r="C686" s="181"/>
      <c r="D686" s="2"/>
      <c r="E686" s="182"/>
      <c r="F686" s="179"/>
    </row>
    <row r="687" spans="1:6" s="173" customFormat="1" x14ac:dyDescent="0.25">
      <c r="A687" s="86"/>
      <c r="B687" s="180"/>
      <c r="C687" s="181"/>
      <c r="D687" s="2"/>
      <c r="E687" s="182"/>
      <c r="F687" s="179"/>
    </row>
    <row r="688" spans="1:6" s="173" customFormat="1" x14ac:dyDescent="0.25">
      <c r="A688" s="86"/>
      <c r="B688" s="183"/>
      <c r="C688" s="86"/>
      <c r="D688" s="2"/>
      <c r="E688" s="184" t="s">
        <v>368</v>
      </c>
      <c r="F688" s="185">
        <f>SUM(F685:F686)</f>
        <v>0</v>
      </c>
    </row>
    <row r="689" spans="1:6" s="173" customFormat="1" x14ac:dyDescent="0.25">
      <c r="A689" s="86"/>
      <c r="B689" s="178" t="s">
        <v>379</v>
      </c>
      <c r="C689" s="86"/>
      <c r="D689" s="2"/>
      <c r="E689" s="2"/>
      <c r="F689" s="179"/>
    </row>
    <row r="690" spans="1:6" s="173" customFormat="1" x14ac:dyDescent="0.25">
      <c r="A690" s="86"/>
      <c r="B690" s="180"/>
      <c r="C690" s="181"/>
      <c r="D690" s="2"/>
      <c r="E690" s="182"/>
      <c r="F690" s="179">
        <f>D690*E690</f>
        <v>0</v>
      </c>
    </row>
    <row r="691" spans="1:6" s="173" customFormat="1" x14ac:dyDescent="0.25">
      <c r="A691" s="86"/>
      <c r="B691" s="183"/>
      <c r="C691" s="86"/>
      <c r="D691" s="2"/>
      <c r="E691" s="184" t="s">
        <v>368</v>
      </c>
      <c r="F691" s="185">
        <f>SUM(F690:F690)</f>
        <v>0</v>
      </c>
    </row>
    <row r="692" spans="1:6" s="173" customFormat="1" x14ac:dyDescent="0.25">
      <c r="A692" s="86"/>
      <c r="B692" s="178" t="s">
        <v>381</v>
      </c>
      <c r="C692" s="86"/>
      <c r="D692" s="2"/>
      <c r="E692" s="2"/>
      <c r="F692" s="179"/>
    </row>
    <row r="693" spans="1:6" s="173" customFormat="1" x14ac:dyDescent="0.25">
      <c r="A693" s="86"/>
      <c r="B693" s="183"/>
      <c r="C693" s="86"/>
      <c r="D693" s="2"/>
      <c r="E693" s="182"/>
      <c r="F693" s="179"/>
    </row>
    <row r="694" spans="1:6" s="173" customFormat="1" x14ac:dyDescent="0.25">
      <c r="A694" s="86"/>
      <c r="B694" s="183"/>
      <c r="C694" s="86"/>
      <c r="D694" s="2"/>
      <c r="E694" s="184" t="s">
        <v>368</v>
      </c>
      <c r="F694" s="185">
        <f>SUM(F693:F693)</f>
        <v>0</v>
      </c>
    </row>
    <row r="695" spans="1:6" s="173" customFormat="1" x14ac:dyDescent="0.25">
      <c r="A695" s="86"/>
      <c r="B695" s="183"/>
      <c r="C695" s="86"/>
      <c r="D695" s="2"/>
      <c r="E695" s="2"/>
      <c r="F695" s="179"/>
    </row>
    <row r="696" spans="1:6" s="173" customFormat="1" x14ac:dyDescent="0.25">
      <c r="A696" s="86"/>
      <c r="B696" s="183"/>
      <c r="C696" s="86"/>
      <c r="D696" s="2"/>
      <c r="E696" s="186" t="s">
        <v>383</v>
      </c>
      <c r="F696" s="187">
        <f>ROUND(SUM(F681:F694)/2, 0)</f>
        <v>7885102</v>
      </c>
    </row>
    <row r="697" spans="1:6" s="173" customFormat="1" x14ac:dyDescent="0.25">
      <c r="A697" s="86"/>
      <c r="B697" s="183"/>
      <c r="C697" s="86"/>
      <c r="D697" s="2"/>
      <c r="E697" s="186"/>
      <c r="F697" s="187"/>
    </row>
    <row r="698" spans="1:6" s="173" customFormat="1" x14ac:dyDescent="0.25">
      <c r="A698" s="86"/>
      <c r="B698" s="183"/>
      <c r="C698" s="86"/>
      <c r="D698" s="2"/>
      <c r="E698" s="186"/>
      <c r="F698" s="187"/>
    </row>
    <row r="699" spans="1:6" s="173" customFormat="1" ht="30" x14ac:dyDescent="0.25">
      <c r="A699" s="174" t="str">
        <f>'[2]ACTA 3'!A180</f>
        <v>NP 7.5</v>
      </c>
      <c r="B699" s="188" t="str">
        <f>'[2]ACTA 3'!B180</f>
        <v>Suministro e instalacion de puerta vidriera batiente de 1,20x2,50m, incluye bisagra de piso.</v>
      </c>
      <c r="C699" s="260" t="s">
        <v>397</v>
      </c>
      <c r="D699" s="260"/>
      <c r="E699" s="260"/>
      <c r="F699" s="260"/>
    </row>
    <row r="700" spans="1:6" s="173" customFormat="1" x14ac:dyDescent="0.25">
      <c r="A700" s="262" t="s">
        <v>320</v>
      </c>
      <c r="B700" s="262"/>
      <c r="C700" s="176" t="s">
        <v>321</v>
      </c>
      <c r="D700" s="176" t="s">
        <v>354</v>
      </c>
      <c r="E700" s="176" t="s">
        <v>355</v>
      </c>
      <c r="F700" s="177" t="s">
        <v>356</v>
      </c>
    </row>
    <row r="701" spans="1:6" s="173" customFormat="1" x14ac:dyDescent="0.25">
      <c r="A701" s="86"/>
      <c r="B701" s="178" t="s">
        <v>357</v>
      </c>
      <c r="C701" s="86"/>
      <c r="D701" s="2"/>
      <c r="E701" s="2"/>
      <c r="F701" s="179"/>
    </row>
    <row r="702" spans="1:6" s="173" customFormat="1" ht="30" x14ac:dyDescent="0.25">
      <c r="A702" s="86"/>
      <c r="B702" s="180" t="str">
        <f>B699</f>
        <v>Suministro e instalacion de puerta vidriera batiente de 1,20x2,50m, incluye bisagra de piso.</v>
      </c>
      <c r="C702" s="86" t="s">
        <v>28</v>
      </c>
      <c r="D702" s="2">
        <v>1</v>
      </c>
      <c r="E702" s="182">
        <v>4710332</v>
      </c>
      <c r="F702" s="179">
        <f>E702*D702</f>
        <v>4710332</v>
      </c>
    </row>
    <row r="703" spans="1:6" s="173" customFormat="1" x14ac:dyDescent="0.25">
      <c r="A703" s="86"/>
      <c r="B703" s="183"/>
      <c r="C703" s="86"/>
      <c r="D703" s="2"/>
      <c r="E703" s="184" t="s">
        <v>368</v>
      </c>
      <c r="F703" s="185">
        <f>SUM(F702:F702)</f>
        <v>4710332</v>
      </c>
    </row>
    <row r="704" spans="1:6" s="173" customFormat="1" x14ac:dyDescent="0.25">
      <c r="A704" s="86"/>
      <c r="B704" s="178" t="s">
        <v>369</v>
      </c>
      <c r="C704" s="86"/>
      <c r="D704" s="2"/>
      <c r="E704" s="2"/>
      <c r="F704" s="179"/>
    </row>
    <row r="705" spans="1:6" s="173" customFormat="1" x14ac:dyDescent="0.25">
      <c r="A705" s="86"/>
      <c r="B705" s="180"/>
      <c r="C705" s="181"/>
      <c r="D705" s="2"/>
      <c r="E705" s="182"/>
      <c r="F705" s="179"/>
    </row>
    <row r="706" spans="1:6" s="173" customFormat="1" x14ac:dyDescent="0.25">
      <c r="A706" s="86"/>
      <c r="B706" s="180"/>
      <c r="C706" s="181"/>
      <c r="D706" s="2"/>
      <c r="E706" s="182"/>
      <c r="F706" s="179"/>
    </row>
    <row r="707" spans="1:6" s="173" customFormat="1" x14ac:dyDescent="0.25">
      <c r="A707" s="86"/>
      <c r="B707" s="183"/>
      <c r="C707" s="86"/>
      <c r="D707" s="2"/>
      <c r="E707" s="184" t="s">
        <v>368</v>
      </c>
      <c r="F707" s="185">
        <f>SUM(F705:F705)</f>
        <v>0</v>
      </c>
    </row>
    <row r="708" spans="1:6" s="173" customFormat="1" x14ac:dyDescent="0.25">
      <c r="A708" s="86"/>
      <c r="B708" s="178" t="s">
        <v>379</v>
      </c>
      <c r="C708" s="86"/>
      <c r="D708" s="2"/>
      <c r="E708" s="2"/>
      <c r="F708" s="179"/>
    </row>
    <row r="709" spans="1:6" s="173" customFormat="1" x14ac:dyDescent="0.25">
      <c r="A709" s="86"/>
      <c r="B709" s="180"/>
      <c r="C709" s="181"/>
      <c r="D709" s="2"/>
      <c r="E709" s="182"/>
      <c r="F709" s="179">
        <f>D709*E709</f>
        <v>0</v>
      </c>
    </row>
    <row r="710" spans="1:6" s="173" customFormat="1" x14ac:dyDescent="0.25">
      <c r="A710" s="86"/>
      <c r="B710" s="183"/>
      <c r="C710" s="86"/>
      <c r="D710" s="2"/>
      <c r="E710" s="184" t="s">
        <v>368</v>
      </c>
      <c r="F710" s="185">
        <f>SUM(F709:F709)</f>
        <v>0</v>
      </c>
    </row>
    <row r="711" spans="1:6" s="173" customFormat="1" x14ac:dyDescent="0.25">
      <c r="A711" s="86"/>
      <c r="B711" s="178" t="s">
        <v>381</v>
      </c>
      <c r="C711" s="86"/>
      <c r="D711" s="2"/>
      <c r="E711" s="2"/>
      <c r="F711" s="179"/>
    </row>
    <row r="712" spans="1:6" s="173" customFormat="1" x14ac:dyDescent="0.25">
      <c r="A712" s="86"/>
      <c r="B712" s="183"/>
      <c r="C712" s="86"/>
      <c r="D712" s="2"/>
      <c r="E712" s="182"/>
      <c r="F712" s="179"/>
    </row>
    <row r="713" spans="1:6" s="173" customFormat="1" x14ac:dyDescent="0.25">
      <c r="A713" s="86"/>
      <c r="B713" s="183"/>
      <c r="C713" s="86"/>
      <c r="D713" s="2"/>
      <c r="E713" s="184" t="s">
        <v>368</v>
      </c>
      <c r="F713" s="185">
        <f>SUM(F712:F712)</f>
        <v>0</v>
      </c>
    </row>
    <row r="714" spans="1:6" s="173" customFormat="1" x14ac:dyDescent="0.25">
      <c r="A714" s="86"/>
      <c r="B714" s="183"/>
      <c r="C714" s="86"/>
      <c r="D714" s="2"/>
      <c r="E714" s="2"/>
      <c r="F714" s="179"/>
    </row>
    <row r="715" spans="1:6" s="173" customFormat="1" x14ac:dyDescent="0.25">
      <c r="A715" s="86"/>
      <c r="B715" s="183"/>
      <c r="C715" s="86"/>
      <c r="D715" s="2"/>
      <c r="E715" s="186" t="s">
        <v>383</v>
      </c>
      <c r="F715" s="187">
        <f>ROUND(SUM(F701:F713)/2, 0)</f>
        <v>4710332</v>
      </c>
    </row>
    <row r="716" spans="1:6" s="173" customFormat="1" x14ac:dyDescent="0.25">
      <c r="A716" s="86"/>
      <c r="B716" s="183"/>
      <c r="C716" s="86"/>
      <c r="D716" s="2"/>
      <c r="E716" s="186"/>
      <c r="F716" s="187"/>
    </row>
    <row r="717" spans="1:6" s="173" customFormat="1" x14ac:dyDescent="0.25">
      <c r="A717" s="86"/>
      <c r="B717" s="183"/>
      <c r="C717" s="86"/>
      <c r="D717" s="2"/>
      <c r="E717" s="186"/>
      <c r="F717" s="187"/>
    </row>
    <row r="718" spans="1:6" s="173" customFormat="1" ht="30" x14ac:dyDescent="0.25">
      <c r="A718" s="174" t="str">
        <f>'[2]ACTA 3'!A181</f>
        <v>NP 7.6</v>
      </c>
      <c r="B718" s="188" t="str">
        <f>'[2]ACTA 3'!B181</f>
        <v>Suministro e instalacion de ventana de tres cuerpos fijos, con perfileria en aluminio, vidrio laminado 3+3mm incoloro.</v>
      </c>
      <c r="C718" s="260" t="s">
        <v>384</v>
      </c>
      <c r="D718" s="260"/>
      <c r="E718" s="260"/>
      <c r="F718" s="260"/>
    </row>
    <row r="719" spans="1:6" s="173" customFormat="1" x14ac:dyDescent="0.25">
      <c r="A719" s="262" t="s">
        <v>320</v>
      </c>
      <c r="B719" s="262"/>
      <c r="C719" s="176" t="s">
        <v>321</v>
      </c>
      <c r="D719" s="176" t="s">
        <v>354</v>
      </c>
      <c r="E719" s="176" t="s">
        <v>355</v>
      </c>
      <c r="F719" s="177" t="s">
        <v>356</v>
      </c>
    </row>
    <row r="720" spans="1:6" s="173" customFormat="1" x14ac:dyDescent="0.25">
      <c r="A720" s="86"/>
      <c r="B720" s="178" t="s">
        <v>357</v>
      </c>
      <c r="C720" s="86"/>
      <c r="D720" s="2"/>
      <c r="E720" s="2"/>
      <c r="F720" s="179"/>
    </row>
    <row r="721" spans="1:6" s="173" customFormat="1" ht="30" x14ac:dyDescent="0.25">
      <c r="A721" s="86"/>
      <c r="B721" s="180" t="str">
        <f>B718</f>
        <v>Suministro e instalacion de ventana de tres cuerpos fijos, con perfileria en aluminio, vidrio laminado 3+3mm incoloro.</v>
      </c>
      <c r="C721" s="86" t="s">
        <v>21</v>
      </c>
      <c r="D721" s="2">
        <v>1</v>
      </c>
      <c r="E721" s="182">
        <v>495320</v>
      </c>
      <c r="F721" s="179">
        <f>E721*D721</f>
        <v>495320</v>
      </c>
    </row>
    <row r="722" spans="1:6" s="173" customFormat="1" x14ac:dyDescent="0.25">
      <c r="A722" s="86"/>
      <c r="B722" s="183"/>
      <c r="C722" s="86"/>
      <c r="D722" s="2"/>
      <c r="E722" s="184" t="s">
        <v>368</v>
      </c>
      <c r="F722" s="185">
        <f>SUM(F721:F721)</f>
        <v>495320</v>
      </c>
    </row>
    <row r="723" spans="1:6" s="173" customFormat="1" x14ac:dyDescent="0.25">
      <c r="A723" s="86"/>
      <c r="B723" s="178" t="s">
        <v>369</v>
      </c>
      <c r="C723" s="86"/>
      <c r="D723" s="2"/>
      <c r="E723" s="2"/>
      <c r="F723" s="179"/>
    </row>
    <row r="724" spans="1:6" s="173" customFormat="1" x14ac:dyDescent="0.25">
      <c r="A724" s="86"/>
      <c r="B724" s="180"/>
      <c r="C724" s="181"/>
      <c r="D724" s="2"/>
      <c r="E724" s="182"/>
      <c r="F724" s="179"/>
    </row>
    <row r="725" spans="1:6" s="173" customFormat="1" x14ac:dyDescent="0.25">
      <c r="A725" s="86"/>
      <c r="B725" s="180"/>
      <c r="C725" s="181"/>
      <c r="D725" s="2"/>
      <c r="E725" s="182"/>
      <c r="F725" s="179"/>
    </row>
    <row r="726" spans="1:6" s="173" customFormat="1" x14ac:dyDescent="0.25">
      <c r="A726" s="86"/>
      <c r="B726" s="183"/>
      <c r="C726" s="86"/>
      <c r="D726" s="2"/>
      <c r="E726" s="184" t="s">
        <v>368</v>
      </c>
      <c r="F726" s="185">
        <f>SUM(F724:F724)</f>
        <v>0</v>
      </c>
    </row>
    <row r="727" spans="1:6" s="173" customFormat="1" x14ac:dyDescent="0.25">
      <c r="A727" s="86"/>
      <c r="B727" s="178" t="s">
        <v>379</v>
      </c>
      <c r="C727" s="86"/>
      <c r="D727" s="2"/>
      <c r="E727" s="2"/>
      <c r="F727" s="179"/>
    </row>
    <row r="728" spans="1:6" s="173" customFormat="1" x14ac:dyDescent="0.25">
      <c r="A728" s="86"/>
      <c r="B728" s="180"/>
      <c r="C728" s="181"/>
      <c r="D728" s="2"/>
      <c r="E728" s="182"/>
      <c r="F728" s="179">
        <f>D728*E728</f>
        <v>0</v>
      </c>
    </row>
    <row r="729" spans="1:6" s="173" customFormat="1" x14ac:dyDescent="0.25">
      <c r="A729" s="86"/>
      <c r="B729" s="183"/>
      <c r="C729" s="86"/>
      <c r="D729" s="2"/>
      <c r="E729" s="184" t="s">
        <v>368</v>
      </c>
      <c r="F729" s="185">
        <f>SUM(F728:F728)</f>
        <v>0</v>
      </c>
    </row>
    <row r="730" spans="1:6" s="173" customFormat="1" x14ac:dyDescent="0.25">
      <c r="A730" s="86"/>
      <c r="B730" s="178" t="s">
        <v>381</v>
      </c>
      <c r="C730" s="86"/>
      <c r="D730" s="2"/>
      <c r="E730" s="2"/>
      <c r="F730" s="179"/>
    </row>
    <row r="731" spans="1:6" s="173" customFormat="1" x14ac:dyDescent="0.25">
      <c r="A731" s="86"/>
      <c r="B731" s="183"/>
      <c r="C731" s="86"/>
      <c r="D731" s="2"/>
      <c r="E731" s="182"/>
      <c r="F731" s="179"/>
    </row>
    <row r="732" spans="1:6" s="173" customFormat="1" x14ac:dyDescent="0.25">
      <c r="A732" s="86"/>
      <c r="B732" s="183"/>
      <c r="C732" s="86"/>
      <c r="D732" s="2"/>
      <c r="E732" s="184" t="s">
        <v>368</v>
      </c>
      <c r="F732" s="185">
        <f>SUM(F731:F731)</f>
        <v>0</v>
      </c>
    </row>
    <row r="733" spans="1:6" s="173" customFormat="1" x14ac:dyDescent="0.25">
      <c r="A733" s="86"/>
      <c r="B733" s="183"/>
      <c r="C733" s="86"/>
      <c r="D733" s="2"/>
      <c r="E733" s="2"/>
      <c r="F733" s="179"/>
    </row>
    <row r="734" spans="1:6" s="173" customFormat="1" x14ac:dyDescent="0.25">
      <c r="A734" s="86"/>
      <c r="B734" s="183"/>
      <c r="C734" s="86"/>
      <c r="D734" s="2"/>
      <c r="E734" s="186" t="s">
        <v>383</v>
      </c>
      <c r="F734" s="187">
        <f>ROUND(SUM(F720:F732)/2, 0)</f>
        <v>495320</v>
      </c>
    </row>
    <row r="735" spans="1:6" s="173" customFormat="1" x14ac:dyDescent="0.25">
      <c r="A735" s="86"/>
      <c r="B735" s="183"/>
      <c r="C735" s="86"/>
      <c r="D735" s="2"/>
      <c r="E735" s="186"/>
      <c r="F735" s="187"/>
    </row>
    <row r="736" spans="1:6" s="173" customFormat="1" x14ac:dyDescent="0.25">
      <c r="A736" s="86"/>
      <c r="B736" s="183"/>
      <c r="C736" s="86"/>
      <c r="D736" s="2"/>
      <c r="E736" s="186"/>
      <c r="F736" s="187"/>
    </row>
    <row r="737" spans="1:6" s="173" customFormat="1" ht="30" x14ac:dyDescent="0.25">
      <c r="A737" s="174" t="str">
        <f>'[2]ACTA 3'!A182</f>
        <v>NP 7.7</v>
      </c>
      <c r="B737" s="188" t="str">
        <f>'[2]ACTA 3'!B182</f>
        <v>Suministro e instalacion de marco plomado para reutilización de ventana blindada en área de control de flouroscopia.</v>
      </c>
      <c r="C737" s="260" t="s">
        <v>397</v>
      </c>
      <c r="D737" s="260"/>
      <c r="E737" s="260"/>
      <c r="F737" s="260"/>
    </row>
    <row r="738" spans="1:6" s="173" customFormat="1" x14ac:dyDescent="0.25">
      <c r="A738" s="262" t="s">
        <v>320</v>
      </c>
      <c r="B738" s="262"/>
      <c r="C738" s="176" t="s">
        <v>321</v>
      </c>
      <c r="D738" s="176" t="s">
        <v>354</v>
      </c>
      <c r="E738" s="176" t="s">
        <v>355</v>
      </c>
      <c r="F738" s="177" t="s">
        <v>356</v>
      </c>
    </row>
    <row r="739" spans="1:6" s="173" customFormat="1" x14ac:dyDescent="0.25">
      <c r="A739" s="86"/>
      <c r="B739" s="178" t="s">
        <v>357</v>
      </c>
      <c r="C739" s="86"/>
      <c r="D739" s="2"/>
      <c r="E739" s="2"/>
      <c r="F739" s="179"/>
    </row>
    <row r="740" spans="1:6" s="173" customFormat="1" ht="30" x14ac:dyDescent="0.25">
      <c r="A740" s="86"/>
      <c r="B740" s="180" t="str">
        <f>B737</f>
        <v>Suministro e instalacion de marco plomado para reutilización de ventana blindada en área de control de flouroscopia.</v>
      </c>
      <c r="C740" s="86" t="s">
        <v>28</v>
      </c>
      <c r="D740" s="2">
        <v>1</v>
      </c>
      <c r="E740" s="182">
        <v>1395740</v>
      </c>
      <c r="F740" s="179">
        <f>E740</f>
        <v>1395740</v>
      </c>
    </row>
    <row r="741" spans="1:6" s="173" customFormat="1" x14ac:dyDescent="0.25">
      <c r="A741" s="86"/>
      <c r="B741" s="183"/>
      <c r="C741" s="86"/>
      <c r="D741" s="2"/>
      <c r="E741" s="184" t="s">
        <v>368</v>
      </c>
      <c r="F741" s="185">
        <f>SUM(F740:F740)</f>
        <v>1395740</v>
      </c>
    </row>
    <row r="742" spans="1:6" s="173" customFormat="1" x14ac:dyDescent="0.25">
      <c r="A742" s="86"/>
      <c r="B742" s="178" t="s">
        <v>369</v>
      </c>
      <c r="C742" s="86"/>
      <c r="D742" s="2"/>
      <c r="E742" s="2"/>
      <c r="F742" s="179"/>
    </row>
    <row r="743" spans="1:6" s="173" customFormat="1" x14ac:dyDescent="0.25">
      <c r="A743" s="86"/>
      <c r="B743" s="180"/>
      <c r="C743" s="181"/>
      <c r="D743" s="2"/>
      <c r="E743" s="182"/>
      <c r="F743" s="179"/>
    </row>
    <row r="744" spans="1:6" s="173" customFormat="1" x14ac:dyDescent="0.25">
      <c r="A744" s="86"/>
      <c r="B744" s="183"/>
      <c r="C744" s="86"/>
      <c r="D744" s="2"/>
      <c r="E744" s="184" t="s">
        <v>368</v>
      </c>
      <c r="F744" s="185"/>
    </row>
    <row r="745" spans="1:6" s="173" customFormat="1" x14ac:dyDescent="0.25">
      <c r="A745" s="86"/>
      <c r="B745" s="178" t="s">
        <v>379</v>
      </c>
      <c r="C745" s="86"/>
      <c r="D745" s="2"/>
      <c r="E745" s="2"/>
      <c r="F745" s="179"/>
    </row>
    <row r="746" spans="1:6" s="173" customFormat="1" x14ac:dyDescent="0.25">
      <c r="A746" s="86"/>
      <c r="B746" s="180"/>
      <c r="C746" s="181"/>
      <c r="D746" s="2"/>
      <c r="E746" s="182"/>
      <c r="F746" s="179">
        <f>D746*E746</f>
        <v>0</v>
      </c>
    </row>
    <row r="747" spans="1:6" s="173" customFormat="1" x14ac:dyDescent="0.25">
      <c r="A747" s="86"/>
      <c r="B747" s="183"/>
      <c r="C747" s="86"/>
      <c r="D747" s="2"/>
      <c r="E747" s="184" t="s">
        <v>368</v>
      </c>
      <c r="F747" s="185">
        <f>SUM(F746:F746)</f>
        <v>0</v>
      </c>
    </row>
    <row r="748" spans="1:6" s="173" customFormat="1" x14ac:dyDescent="0.25">
      <c r="A748" s="86"/>
      <c r="B748" s="178" t="s">
        <v>381</v>
      </c>
      <c r="C748" s="86"/>
      <c r="D748" s="2"/>
      <c r="E748" s="2"/>
      <c r="F748" s="179"/>
    </row>
    <row r="749" spans="1:6" s="173" customFormat="1" x14ac:dyDescent="0.25">
      <c r="A749" s="86"/>
      <c r="B749" s="183"/>
      <c r="C749" s="86"/>
      <c r="D749" s="2"/>
      <c r="E749" s="182"/>
      <c r="F749" s="179"/>
    </row>
    <row r="750" spans="1:6" s="173" customFormat="1" x14ac:dyDescent="0.25">
      <c r="A750" s="86"/>
      <c r="B750" s="183"/>
      <c r="C750" s="86"/>
      <c r="D750" s="2"/>
      <c r="E750" s="184" t="s">
        <v>368</v>
      </c>
      <c r="F750" s="185">
        <f>SUM(F749:F749)</f>
        <v>0</v>
      </c>
    </row>
    <row r="751" spans="1:6" s="173" customFormat="1" x14ac:dyDescent="0.25">
      <c r="A751" s="86"/>
      <c r="B751" s="183"/>
      <c r="C751" s="86"/>
      <c r="D751" s="2"/>
      <c r="E751" s="2"/>
      <c r="F751" s="179"/>
    </row>
    <row r="752" spans="1:6" s="173" customFormat="1" x14ac:dyDescent="0.25">
      <c r="A752" s="86"/>
      <c r="B752" s="183"/>
      <c r="C752" s="86"/>
      <c r="D752" s="2"/>
      <c r="E752" s="186" t="s">
        <v>383</v>
      </c>
      <c r="F752" s="187">
        <f>ROUND(SUM(F739:F750)/2, 0)</f>
        <v>1395740</v>
      </c>
    </row>
    <row r="753" spans="1:6" s="173" customFormat="1" x14ac:dyDescent="0.25">
      <c r="A753" s="86"/>
      <c r="B753" s="183"/>
      <c r="C753" s="86"/>
      <c r="D753" s="2"/>
      <c r="E753" s="186"/>
      <c r="F753" s="187"/>
    </row>
    <row r="754" spans="1:6" s="173" customFormat="1" x14ac:dyDescent="0.25">
      <c r="A754" s="86"/>
      <c r="B754" s="183"/>
      <c r="C754" s="86"/>
      <c r="D754" s="2"/>
      <c r="E754" s="186"/>
      <c r="F754" s="187"/>
    </row>
    <row r="755" spans="1:6" s="173" customFormat="1" ht="60" x14ac:dyDescent="0.25">
      <c r="A755" s="174" t="str">
        <f>'[2]ACTA 3'!A183</f>
        <v>NP 7.8</v>
      </c>
      <c r="B755" s="188" t="str">
        <f>'[2]ACTA 3'!B183</f>
        <v>Suministro e instalacion de puerta batiente con marco, acabado en poliuretano blanco, incluyendo cerradura, contramarco y monstante, donde sea necesario, con ancho variable entre 0,85 y 1,10, y altura variable entre 2,10 y 2,50.</v>
      </c>
      <c r="C755" s="260" t="s">
        <v>397</v>
      </c>
      <c r="D755" s="260"/>
      <c r="E755" s="260"/>
      <c r="F755" s="260"/>
    </row>
    <row r="756" spans="1:6" s="173" customFormat="1" x14ac:dyDescent="0.25">
      <c r="A756" s="262" t="s">
        <v>320</v>
      </c>
      <c r="B756" s="262"/>
      <c r="C756" s="176" t="s">
        <v>321</v>
      </c>
      <c r="D756" s="176" t="s">
        <v>354</v>
      </c>
      <c r="E756" s="176" t="s">
        <v>355</v>
      </c>
      <c r="F756" s="177" t="s">
        <v>356</v>
      </c>
    </row>
    <row r="757" spans="1:6" s="173" customFormat="1" x14ac:dyDescent="0.25">
      <c r="A757" s="86"/>
      <c r="B757" s="178" t="s">
        <v>357</v>
      </c>
      <c r="C757" s="86"/>
      <c r="D757" s="2"/>
      <c r="E757" s="2"/>
      <c r="F757" s="179"/>
    </row>
    <row r="758" spans="1:6" s="173" customFormat="1" ht="60" x14ac:dyDescent="0.25">
      <c r="A758" s="86"/>
      <c r="B758" s="180" t="str">
        <f>B755</f>
        <v>Suministro e instalacion de puerta batiente con marco, acabado en poliuretano blanco, incluyendo cerradura, contramarco y monstante, donde sea necesario, con ancho variable entre 0,85 y 1,10, y altura variable entre 2,10 y 2,50.</v>
      </c>
      <c r="C758" s="86" t="s">
        <v>28</v>
      </c>
      <c r="D758" s="2">
        <v>1</v>
      </c>
      <c r="E758" s="182">
        <v>1866400</v>
      </c>
      <c r="F758" s="179">
        <f>E758*D758</f>
        <v>1866400</v>
      </c>
    </row>
    <row r="759" spans="1:6" s="173" customFormat="1" x14ac:dyDescent="0.25">
      <c r="A759" s="86"/>
      <c r="B759" s="183"/>
      <c r="C759" s="86"/>
      <c r="D759" s="2"/>
      <c r="E759" s="184" t="s">
        <v>368</v>
      </c>
      <c r="F759" s="185">
        <f>SUM(F758:F758)</f>
        <v>1866400</v>
      </c>
    </row>
    <row r="760" spans="1:6" s="173" customFormat="1" x14ac:dyDescent="0.25">
      <c r="A760" s="86"/>
      <c r="B760" s="178" t="s">
        <v>369</v>
      </c>
      <c r="C760" s="86"/>
      <c r="D760" s="2"/>
      <c r="E760" s="2"/>
      <c r="F760" s="179"/>
    </row>
    <row r="761" spans="1:6" s="173" customFormat="1" x14ac:dyDescent="0.25">
      <c r="A761" s="86"/>
      <c r="B761" s="180"/>
      <c r="C761" s="181"/>
      <c r="D761" s="2"/>
      <c r="E761" s="182"/>
      <c r="F761" s="179"/>
    </row>
    <row r="762" spans="1:6" s="173" customFormat="1" x14ac:dyDescent="0.25">
      <c r="A762" s="86"/>
      <c r="B762" s="180"/>
      <c r="C762" s="181"/>
      <c r="D762" s="2"/>
      <c r="E762" s="182"/>
      <c r="F762" s="179"/>
    </row>
    <row r="763" spans="1:6" s="173" customFormat="1" x14ac:dyDescent="0.25">
      <c r="A763" s="86"/>
      <c r="B763" s="183"/>
      <c r="C763" s="86"/>
      <c r="D763" s="2"/>
      <c r="E763" s="184" t="s">
        <v>368</v>
      </c>
      <c r="F763" s="185">
        <f>SUM(F761:F761)</f>
        <v>0</v>
      </c>
    </row>
    <row r="764" spans="1:6" s="173" customFormat="1" x14ac:dyDescent="0.25">
      <c r="A764" s="86"/>
      <c r="B764" s="178" t="s">
        <v>379</v>
      </c>
      <c r="C764" s="86"/>
      <c r="D764" s="2"/>
      <c r="E764" s="2"/>
      <c r="F764" s="179"/>
    </row>
    <row r="765" spans="1:6" s="173" customFormat="1" x14ac:dyDescent="0.25">
      <c r="A765" s="86"/>
      <c r="B765" s="180"/>
      <c r="C765" s="181"/>
      <c r="D765" s="2"/>
      <c r="E765" s="182"/>
      <c r="F765" s="179">
        <f>D765*E765</f>
        <v>0</v>
      </c>
    </row>
    <row r="766" spans="1:6" s="173" customFormat="1" x14ac:dyDescent="0.25">
      <c r="A766" s="86"/>
      <c r="B766" s="183"/>
      <c r="C766" s="86"/>
      <c r="D766" s="2"/>
      <c r="E766" s="184" t="s">
        <v>368</v>
      </c>
      <c r="F766" s="185">
        <f>SUM(F765:F765)</f>
        <v>0</v>
      </c>
    </row>
    <row r="767" spans="1:6" s="173" customFormat="1" x14ac:dyDescent="0.25">
      <c r="A767" s="86"/>
      <c r="B767" s="178" t="s">
        <v>381</v>
      </c>
      <c r="C767" s="86"/>
      <c r="D767" s="2"/>
      <c r="E767" s="2"/>
      <c r="F767" s="179"/>
    </row>
    <row r="768" spans="1:6" s="173" customFormat="1" x14ac:dyDescent="0.25">
      <c r="A768" s="86"/>
      <c r="B768" s="183"/>
      <c r="C768" s="86"/>
      <c r="D768" s="2"/>
      <c r="E768" s="182"/>
      <c r="F768" s="179"/>
    </row>
    <row r="769" spans="1:6" s="173" customFormat="1" x14ac:dyDescent="0.25">
      <c r="A769" s="86"/>
      <c r="B769" s="183"/>
      <c r="C769" s="86"/>
      <c r="D769" s="2"/>
      <c r="E769" s="184" t="s">
        <v>368</v>
      </c>
      <c r="F769" s="185">
        <f>SUM(F768:F768)</f>
        <v>0</v>
      </c>
    </row>
    <row r="770" spans="1:6" s="173" customFormat="1" x14ac:dyDescent="0.25">
      <c r="A770" s="86"/>
      <c r="B770" s="183"/>
      <c r="C770" s="86"/>
      <c r="D770" s="2"/>
      <c r="E770" s="2"/>
      <c r="F770" s="179"/>
    </row>
    <row r="771" spans="1:6" s="173" customFormat="1" x14ac:dyDescent="0.25">
      <c r="A771" s="86"/>
      <c r="B771" s="183"/>
      <c r="C771" s="86"/>
      <c r="D771" s="2"/>
      <c r="E771" s="186" t="s">
        <v>383</v>
      </c>
      <c r="F771" s="187">
        <f>ROUND(SUM(F757:F769)/2, 0)</f>
        <v>1866400</v>
      </c>
    </row>
    <row r="772" spans="1:6" s="173" customFormat="1" x14ac:dyDescent="0.25">
      <c r="A772" s="86"/>
      <c r="B772" s="183"/>
      <c r="C772" s="86"/>
      <c r="D772" s="2"/>
      <c r="E772" s="186"/>
      <c r="F772" s="187"/>
    </row>
    <row r="773" spans="1:6" s="173" customFormat="1" ht="45" x14ac:dyDescent="0.25">
      <c r="A773" s="174" t="str">
        <f>+'[2]ACTA 3'!A184</f>
        <v>NP 7.9</v>
      </c>
      <c r="B773" s="188" t="str">
        <f>+'[2]ACTA 3'!B184</f>
        <v>Suministro, transporte  e instalacion de marco en en madecor laminado, acolillado, color sagano, según diseño, para ventana de cuarto de monitoreo del resonador magnético.</v>
      </c>
      <c r="C773" s="260" t="s">
        <v>397</v>
      </c>
      <c r="D773" s="260"/>
      <c r="E773" s="260"/>
      <c r="F773" s="260"/>
    </row>
    <row r="774" spans="1:6" s="173" customFormat="1" x14ac:dyDescent="0.25">
      <c r="A774" s="262" t="s">
        <v>320</v>
      </c>
      <c r="B774" s="262"/>
      <c r="C774" s="176" t="s">
        <v>321</v>
      </c>
      <c r="D774" s="176" t="s">
        <v>354</v>
      </c>
      <c r="E774" s="176" t="s">
        <v>355</v>
      </c>
      <c r="F774" s="177" t="s">
        <v>356</v>
      </c>
    </row>
    <row r="775" spans="1:6" s="173" customFormat="1" x14ac:dyDescent="0.25">
      <c r="A775" s="86"/>
      <c r="B775" s="178" t="s">
        <v>357</v>
      </c>
      <c r="C775" s="86"/>
      <c r="D775" s="2"/>
      <c r="E775" s="2"/>
      <c r="F775" s="179"/>
    </row>
    <row r="776" spans="1:6" s="173" customFormat="1" ht="57.6" customHeight="1" x14ac:dyDescent="0.25">
      <c r="A776" s="86"/>
      <c r="B776" s="180" t="str">
        <f>B773</f>
        <v>Suministro, transporte  e instalacion de marco en en madecor laminado, acolillado, color sagano, según diseño, para ventana de cuarto de monitoreo del resonador magnético.</v>
      </c>
      <c r="C776" s="86" t="s">
        <v>28</v>
      </c>
      <c r="D776" s="2">
        <v>1</v>
      </c>
      <c r="E776" s="182">
        <v>1895150</v>
      </c>
      <c r="F776" s="179">
        <f>E776*D776</f>
        <v>1895150</v>
      </c>
    </row>
    <row r="777" spans="1:6" s="173" customFormat="1" x14ac:dyDescent="0.25">
      <c r="A777" s="86"/>
      <c r="B777" s="183"/>
      <c r="C777" s="86"/>
      <c r="D777" s="2"/>
      <c r="E777" s="184" t="s">
        <v>368</v>
      </c>
      <c r="F777" s="185">
        <f>SUM(F776:F776)</f>
        <v>1895150</v>
      </c>
    </row>
    <row r="778" spans="1:6" s="173" customFormat="1" x14ac:dyDescent="0.25">
      <c r="A778" s="86"/>
      <c r="B778" s="178" t="s">
        <v>369</v>
      </c>
      <c r="C778" s="86"/>
      <c r="D778" s="2"/>
      <c r="E778" s="2"/>
      <c r="F778" s="179"/>
    </row>
    <row r="779" spans="1:6" s="173" customFormat="1" x14ac:dyDescent="0.25">
      <c r="A779" s="86"/>
      <c r="B779" s="180"/>
      <c r="C779" s="181"/>
      <c r="D779" s="2"/>
      <c r="E779" s="182"/>
      <c r="F779" s="179"/>
    </row>
    <row r="780" spans="1:6" s="173" customFormat="1" x14ac:dyDescent="0.25">
      <c r="A780" s="86"/>
      <c r="B780" s="180"/>
      <c r="C780" s="181"/>
      <c r="D780" s="2"/>
      <c r="E780" s="182"/>
      <c r="F780" s="179"/>
    </row>
    <row r="781" spans="1:6" s="173" customFormat="1" x14ac:dyDescent="0.25">
      <c r="A781" s="86"/>
      <c r="B781" s="183"/>
      <c r="C781" s="86"/>
      <c r="D781" s="2"/>
      <c r="E781" s="184" t="s">
        <v>368</v>
      </c>
      <c r="F781" s="185">
        <f>SUM(F779:F779)</f>
        <v>0</v>
      </c>
    </row>
    <row r="782" spans="1:6" s="173" customFormat="1" x14ac:dyDescent="0.25">
      <c r="A782" s="86"/>
      <c r="B782" s="178" t="s">
        <v>379</v>
      </c>
      <c r="C782" s="86"/>
      <c r="D782" s="2"/>
      <c r="E782" s="2"/>
      <c r="F782" s="179"/>
    </row>
    <row r="783" spans="1:6" s="173" customFormat="1" x14ac:dyDescent="0.25">
      <c r="A783" s="86"/>
      <c r="B783" s="180"/>
      <c r="C783" s="181"/>
      <c r="D783" s="2"/>
      <c r="E783" s="182"/>
      <c r="F783" s="179">
        <f>D783*E783</f>
        <v>0</v>
      </c>
    </row>
    <row r="784" spans="1:6" s="173" customFormat="1" x14ac:dyDescent="0.25">
      <c r="A784" s="86"/>
      <c r="B784" s="183"/>
      <c r="C784" s="86"/>
      <c r="D784" s="2"/>
      <c r="E784" s="184" t="s">
        <v>368</v>
      </c>
      <c r="F784" s="185">
        <f>SUM(F783:F783)</f>
        <v>0</v>
      </c>
    </row>
    <row r="785" spans="1:6" s="173" customFormat="1" x14ac:dyDescent="0.25">
      <c r="A785" s="86"/>
      <c r="B785" s="178" t="s">
        <v>381</v>
      </c>
      <c r="C785" s="86"/>
      <c r="D785" s="2"/>
      <c r="E785" s="2"/>
      <c r="F785" s="179"/>
    </row>
    <row r="786" spans="1:6" s="173" customFormat="1" x14ac:dyDescent="0.25">
      <c r="A786" s="86"/>
      <c r="B786" s="183"/>
      <c r="C786" s="86"/>
      <c r="D786" s="2"/>
      <c r="E786" s="182"/>
      <c r="F786" s="179"/>
    </row>
    <row r="787" spans="1:6" s="173" customFormat="1" x14ac:dyDescent="0.25">
      <c r="A787" s="86"/>
      <c r="B787" s="183"/>
      <c r="C787" s="86"/>
      <c r="D787" s="2"/>
      <c r="E787" s="184" t="s">
        <v>368</v>
      </c>
      <c r="F787" s="185">
        <f>SUM(F786:F786)</f>
        <v>0</v>
      </c>
    </row>
    <row r="788" spans="1:6" s="173" customFormat="1" x14ac:dyDescent="0.25">
      <c r="A788" s="86"/>
      <c r="B788" s="183"/>
      <c r="C788" s="86"/>
      <c r="D788" s="2"/>
      <c r="E788" s="2"/>
      <c r="F788" s="179"/>
    </row>
    <row r="789" spans="1:6" s="173" customFormat="1" x14ac:dyDescent="0.25">
      <c r="A789" s="86"/>
      <c r="B789" s="183"/>
      <c r="C789" s="86"/>
      <c r="D789" s="2"/>
      <c r="E789" s="186" t="s">
        <v>383</v>
      </c>
      <c r="F789" s="187">
        <f>ROUND(SUM(F775:F787)/2, 0)</f>
        <v>1895150</v>
      </c>
    </row>
    <row r="790" spans="1:6" s="173" customFormat="1" x14ac:dyDescent="0.25">
      <c r="A790" s="86"/>
      <c r="B790" s="183"/>
      <c r="C790" s="86"/>
      <c r="D790" s="2"/>
      <c r="E790" s="186"/>
      <c r="F790" s="187"/>
    </row>
    <row r="791" spans="1:6" s="173" customFormat="1" ht="45" x14ac:dyDescent="0.25">
      <c r="A791" s="174" t="str">
        <f>+'[2]ACTA 3'!A185</f>
        <v>NP 7.10</v>
      </c>
      <c r="B791" s="188" t="str">
        <f>+'[2]ACTA 3'!B185</f>
        <v>Suministro, transporte  e instalacion de marco en en madecor laminado, acolillado, color sagano, según diseño, para puerta de acceso al resonador magnético.</v>
      </c>
      <c r="C791" s="260" t="s">
        <v>397</v>
      </c>
      <c r="D791" s="260"/>
      <c r="E791" s="260"/>
      <c r="F791" s="260"/>
    </row>
    <row r="792" spans="1:6" s="173" customFormat="1" x14ac:dyDescent="0.25">
      <c r="A792" s="262" t="s">
        <v>320</v>
      </c>
      <c r="B792" s="262"/>
      <c r="C792" s="176" t="s">
        <v>321</v>
      </c>
      <c r="D792" s="176" t="s">
        <v>354</v>
      </c>
      <c r="E792" s="176" t="s">
        <v>355</v>
      </c>
      <c r="F792" s="177" t="s">
        <v>356</v>
      </c>
    </row>
    <row r="793" spans="1:6" s="173" customFormat="1" x14ac:dyDescent="0.25">
      <c r="A793" s="86"/>
      <c r="B793" s="178" t="s">
        <v>357</v>
      </c>
      <c r="C793" s="86"/>
      <c r="D793" s="2"/>
      <c r="E793" s="2"/>
      <c r="F793" s="179"/>
    </row>
    <row r="794" spans="1:6" s="173" customFormat="1" ht="45" x14ac:dyDescent="0.25">
      <c r="A794" s="86"/>
      <c r="B794" s="180" t="str">
        <f>B791</f>
        <v>Suministro, transporte  e instalacion de marco en en madecor laminado, acolillado, color sagano, según diseño, para puerta de acceso al resonador magnético.</v>
      </c>
      <c r="C794" s="86" t="s">
        <v>28</v>
      </c>
      <c r="D794" s="2">
        <v>1</v>
      </c>
      <c r="E794" s="182">
        <v>2513464</v>
      </c>
      <c r="F794" s="179">
        <f>E794*D794</f>
        <v>2513464</v>
      </c>
    </row>
    <row r="795" spans="1:6" s="173" customFormat="1" x14ac:dyDescent="0.25">
      <c r="A795" s="86"/>
      <c r="B795" s="183"/>
      <c r="C795" s="86"/>
      <c r="D795" s="2"/>
      <c r="E795" s="184" t="s">
        <v>368</v>
      </c>
      <c r="F795" s="185">
        <f>SUM(F794:F794)</f>
        <v>2513464</v>
      </c>
    </row>
    <row r="796" spans="1:6" s="173" customFormat="1" x14ac:dyDescent="0.25">
      <c r="A796" s="86"/>
      <c r="B796" s="178" t="s">
        <v>369</v>
      </c>
      <c r="C796" s="86"/>
      <c r="D796" s="2"/>
      <c r="E796" s="2"/>
      <c r="F796" s="179"/>
    </row>
    <row r="797" spans="1:6" s="173" customFormat="1" x14ac:dyDescent="0.25">
      <c r="A797" s="86"/>
      <c r="B797" s="180"/>
      <c r="C797" s="181"/>
      <c r="D797" s="2"/>
      <c r="E797" s="182"/>
      <c r="F797" s="179"/>
    </row>
    <row r="798" spans="1:6" s="173" customFormat="1" x14ac:dyDescent="0.25">
      <c r="A798" s="86"/>
      <c r="B798" s="180"/>
      <c r="C798" s="181"/>
      <c r="D798" s="2"/>
      <c r="E798" s="182"/>
      <c r="F798" s="179"/>
    </row>
    <row r="799" spans="1:6" s="173" customFormat="1" x14ac:dyDescent="0.25">
      <c r="A799" s="86"/>
      <c r="B799" s="183"/>
      <c r="C799" s="86"/>
      <c r="D799" s="2"/>
      <c r="E799" s="184" t="s">
        <v>368</v>
      </c>
      <c r="F799" s="185">
        <f>SUM(F797:F797)</f>
        <v>0</v>
      </c>
    </row>
    <row r="800" spans="1:6" s="173" customFormat="1" x14ac:dyDescent="0.25">
      <c r="A800" s="86"/>
      <c r="B800" s="178" t="s">
        <v>379</v>
      </c>
      <c r="C800" s="86"/>
      <c r="D800" s="2"/>
      <c r="E800" s="2"/>
      <c r="F800" s="179"/>
    </row>
    <row r="801" spans="1:6" s="173" customFormat="1" x14ac:dyDescent="0.25">
      <c r="A801" s="86"/>
      <c r="B801" s="180"/>
      <c r="C801" s="181"/>
      <c r="D801" s="2"/>
      <c r="E801" s="182"/>
      <c r="F801" s="179">
        <f>D801*E801</f>
        <v>0</v>
      </c>
    </row>
    <row r="802" spans="1:6" s="173" customFormat="1" x14ac:dyDescent="0.25">
      <c r="A802" s="86"/>
      <c r="B802" s="183"/>
      <c r="C802" s="86"/>
      <c r="D802" s="2"/>
      <c r="E802" s="184" t="s">
        <v>368</v>
      </c>
      <c r="F802" s="185">
        <f>SUM(F801:F801)</f>
        <v>0</v>
      </c>
    </row>
    <row r="803" spans="1:6" s="173" customFormat="1" x14ac:dyDescent="0.25">
      <c r="A803" s="86"/>
      <c r="B803" s="178" t="s">
        <v>381</v>
      </c>
      <c r="C803" s="86"/>
      <c r="D803" s="2"/>
      <c r="E803" s="2"/>
      <c r="F803" s="179"/>
    </row>
    <row r="804" spans="1:6" s="173" customFormat="1" x14ac:dyDescent="0.25">
      <c r="A804" s="86"/>
      <c r="B804" s="183"/>
      <c r="C804" s="86"/>
      <c r="D804" s="2"/>
      <c r="E804" s="182"/>
      <c r="F804" s="179"/>
    </row>
    <row r="805" spans="1:6" s="173" customFormat="1" x14ac:dyDescent="0.25">
      <c r="A805" s="86"/>
      <c r="B805" s="183"/>
      <c r="C805" s="86"/>
      <c r="D805" s="2"/>
      <c r="E805" s="184" t="s">
        <v>368</v>
      </c>
      <c r="F805" s="185">
        <f>SUM(F804:F804)</f>
        <v>0</v>
      </c>
    </row>
    <row r="806" spans="1:6" s="173" customFormat="1" x14ac:dyDescent="0.25">
      <c r="A806" s="86"/>
      <c r="B806" s="183"/>
      <c r="C806" s="86"/>
      <c r="D806" s="2"/>
      <c r="E806" s="2"/>
      <c r="F806" s="179"/>
    </row>
    <row r="807" spans="1:6" s="173" customFormat="1" x14ac:dyDescent="0.25">
      <c r="A807" s="86"/>
      <c r="B807" s="183"/>
      <c r="C807" s="86"/>
      <c r="D807" s="2"/>
      <c r="E807" s="186" t="s">
        <v>383</v>
      </c>
      <c r="F807" s="187">
        <f>ROUND(SUM(F793:F805)/2, 0)</f>
        <v>2513464</v>
      </c>
    </row>
    <row r="808" spans="1:6" s="173" customFormat="1" x14ac:dyDescent="0.25">
      <c r="A808" s="86"/>
      <c r="B808" s="183"/>
      <c r="C808" s="86"/>
      <c r="D808" s="2"/>
      <c r="E808" s="186"/>
      <c r="F808" s="187"/>
    </row>
    <row r="809" spans="1:6" s="173" customFormat="1" ht="30" x14ac:dyDescent="0.25">
      <c r="A809" s="174" t="str">
        <f>+'[2]ACTA 3'!A186</f>
        <v>NP 7.11</v>
      </c>
      <c r="B809" s="188" t="str">
        <f>+'[2]ACTA 3'!B186</f>
        <v>Suministro, transporte e instalacion de boca puerta de piso en roble macizo para puerta de acceso al resonador magnético.</v>
      </c>
      <c r="C809" s="260" t="s">
        <v>397</v>
      </c>
      <c r="D809" s="260"/>
      <c r="E809" s="260"/>
      <c r="F809" s="260"/>
    </row>
    <row r="810" spans="1:6" s="173" customFormat="1" x14ac:dyDescent="0.25">
      <c r="A810" s="262" t="s">
        <v>320</v>
      </c>
      <c r="B810" s="262"/>
      <c r="C810" s="176" t="s">
        <v>321</v>
      </c>
      <c r="D810" s="176" t="s">
        <v>354</v>
      </c>
      <c r="E810" s="176" t="s">
        <v>355</v>
      </c>
      <c r="F810" s="177" t="s">
        <v>356</v>
      </c>
    </row>
    <row r="811" spans="1:6" s="173" customFormat="1" x14ac:dyDescent="0.25">
      <c r="A811" s="86"/>
      <c r="B811" s="178" t="s">
        <v>357</v>
      </c>
      <c r="C811" s="86"/>
      <c r="D811" s="2"/>
      <c r="E811" s="2"/>
      <c r="F811" s="179"/>
    </row>
    <row r="812" spans="1:6" s="173" customFormat="1" ht="30" x14ac:dyDescent="0.25">
      <c r="A812" s="86"/>
      <c r="B812" s="180" t="str">
        <f>B809</f>
        <v>Suministro, transporte e instalacion de boca puerta de piso en roble macizo para puerta de acceso al resonador magnético.</v>
      </c>
      <c r="C812" s="86" t="s">
        <v>28</v>
      </c>
      <c r="D812" s="2">
        <v>1</v>
      </c>
      <c r="E812" s="182">
        <v>1296005</v>
      </c>
      <c r="F812" s="179">
        <f>E812*D812</f>
        <v>1296005</v>
      </c>
    </row>
    <row r="813" spans="1:6" s="173" customFormat="1" x14ac:dyDescent="0.25">
      <c r="A813" s="86"/>
      <c r="B813" s="183"/>
      <c r="C813" s="86"/>
      <c r="D813" s="2"/>
      <c r="E813" s="184" t="s">
        <v>368</v>
      </c>
      <c r="F813" s="185">
        <f>SUM(F812:F812)</f>
        <v>1296005</v>
      </c>
    </row>
    <row r="814" spans="1:6" s="173" customFormat="1" x14ac:dyDescent="0.25">
      <c r="A814" s="86"/>
      <c r="B814" s="178" t="s">
        <v>369</v>
      </c>
      <c r="C814" s="86"/>
      <c r="D814" s="2"/>
      <c r="E814" s="2"/>
      <c r="F814" s="179"/>
    </row>
    <row r="815" spans="1:6" s="173" customFormat="1" x14ac:dyDescent="0.25">
      <c r="A815" s="86"/>
      <c r="B815" s="180"/>
      <c r="C815" s="181"/>
      <c r="D815" s="2"/>
      <c r="E815" s="182"/>
      <c r="F815" s="179"/>
    </row>
    <row r="816" spans="1:6" s="173" customFormat="1" x14ac:dyDescent="0.25">
      <c r="A816" s="86"/>
      <c r="B816" s="180"/>
      <c r="C816" s="181"/>
      <c r="D816" s="2"/>
      <c r="E816" s="182"/>
      <c r="F816" s="179"/>
    </row>
    <row r="817" spans="1:6" s="173" customFormat="1" x14ac:dyDescent="0.25">
      <c r="A817" s="86"/>
      <c r="B817" s="183"/>
      <c r="C817" s="86"/>
      <c r="D817" s="2"/>
      <c r="E817" s="184" t="s">
        <v>368</v>
      </c>
      <c r="F817" s="185">
        <f>SUM(F815:F815)</f>
        <v>0</v>
      </c>
    </row>
    <row r="818" spans="1:6" s="173" customFormat="1" x14ac:dyDescent="0.25">
      <c r="A818" s="86"/>
      <c r="B818" s="178" t="s">
        <v>379</v>
      </c>
      <c r="C818" s="86"/>
      <c r="D818" s="2"/>
      <c r="E818" s="2"/>
      <c r="F818" s="179"/>
    </row>
    <row r="819" spans="1:6" s="173" customFormat="1" x14ac:dyDescent="0.25">
      <c r="A819" s="86"/>
      <c r="B819" s="180"/>
      <c r="C819" s="181"/>
      <c r="D819" s="2"/>
      <c r="E819" s="182"/>
      <c r="F819" s="179">
        <f>D819*E819</f>
        <v>0</v>
      </c>
    </row>
    <row r="820" spans="1:6" s="173" customFormat="1" x14ac:dyDescent="0.25">
      <c r="A820" s="86"/>
      <c r="B820" s="183"/>
      <c r="C820" s="86"/>
      <c r="D820" s="2"/>
      <c r="E820" s="184" t="s">
        <v>368</v>
      </c>
      <c r="F820" s="185">
        <f>SUM(F819:F819)</f>
        <v>0</v>
      </c>
    </row>
    <row r="821" spans="1:6" s="173" customFormat="1" x14ac:dyDescent="0.25">
      <c r="A821" s="86"/>
      <c r="B821" s="178" t="s">
        <v>381</v>
      </c>
      <c r="C821" s="86"/>
      <c r="D821" s="2"/>
      <c r="E821" s="2"/>
      <c r="F821" s="179"/>
    </row>
    <row r="822" spans="1:6" s="173" customFormat="1" x14ac:dyDescent="0.25">
      <c r="A822" s="86"/>
      <c r="B822" s="183"/>
      <c r="C822" s="86"/>
      <c r="D822" s="2"/>
      <c r="E822" s="182"/>
      <c r="F822" s="179"/>
    </row>
    <row r="823" spans="1:6" s="173" customFormat="1" x14ac:dyDescent="0.25">
      <c r="A823" s="86"/>
      <c r="B823" s="183"/>
      <c r="C823" s="86"/>
      <c r="D823" s="2"/>
      <c r="E823" s="184" t="s">
        <v>368</v>
      </c>
      <c r="F823" s="185">
        <f>SUM(F822:F822)</f>
        <v>0</v>
      </c>
    </row>
    <row r="824" spans="1:6" s="173" customFormat="1" x14ac:dyDescent="0.25">
      <c r="A824" s="86"/>
      <c r="B824" s="183"/>
      <c r="C824" s="86"/>
      <c r="D824" s="2"/>
      <c r="E824" s="2"/>
      <c r="F824" s="179"/>
    </row>
    <row r="825" spans="1:6" s="173" customFormat="1" x14ac:dyDescent="0.25">
      <c r="A825" s="86"/>
      <c r="B825" s="183"/>
      <c r="C825" s="86"/>
      <c r="D825" s="2"/>
      <c r="E825" s="186" t="s">
        <v>383</v>
      </c>
      <c r="F825" s="187">
        <f>ROUND(SUM(F811:F823)/2, 0)</f>
        <v>1296005</v>
      </c>
    </row>
    <row r="826" spans="1:6" s="173" customFormat="1" x14ac:dyDescent="0.25">
      <c r="A826" s="86"/>
      <c r="B826" s="183"/>
      <c r="C826" s="86"/>
      <c r="D826" s="2"/>
      <c r="E826" s="186"/>
      <c r="F826" s="187"/>
    </row>
    <row r="827" spans="1:6" s="173" customFormat="1" x14ac:dyDescent="0.25">
      <c r="A827" s="174" t="str">
        <f>'[2]ACTA 3'!A187</f>
        <v>NP 10.1</v>
      </c>
      <c r="B827" s="189" t="str">
        <f>'[2]ACTA 3'!B187</f>
        <v>Caja de control zonal de 3 gases</v>
      </c>
      <c r="C827" s="260" t="s">
        <v>397</v>
      </c>
      <c r="D827" s="260"/>
      <c r="E827" s="260"/>
      <c r="F827" s="260"/>
    </row>
    <row r="828" spans="1:6" s="173" customFormat="1" ht="14.45" customHeight="1" x14ac:dyDescent="0.25">
      <c r="A828" s="262" t="s">
        <v>320</v>
      </c>
      <c r="B828" s="262"/>
      <c r="C828" s="176" t="s">
        <v>321</v>
      </c>
      <c r="D828" s="176" t="s">
        <v>354</v>
      </c>
      <c r="E828" s="176" t="s">
        <v>355</v>
      </c>
      <c r="F828" s="177" t="s">
        <v>356</v>
      </c>
    </row>
    <row r="829" spans="1:6" s="173" customFormat="1" x14ac:dyDescent="0.25">
      <c r="A829" s="86"/>
      <c r="B829" s="178" t="s">
        <v>357</v>
      </c>
      <c r="C829" s="86"/>
      <c r="D829" s="2"/>
      <c r="E829" s="2"/>
      <c r="F829" s="179"/>
    </row>
    <row r="830" spans="1:6" s="173" customFormat="1" x14ac:dyDescent="0.25">
      <c r="A830" s="86"/>
      <c r="B830" s="180" t="str">
        <f>B827</f>
        <v>Caja de control zonal de 3 gases</v>
      </c>
      <c r="C830" s="86" t="s">
        <v>28</v>
      </c>
      <c r="D830" s="2">
        <v>1</v>
      </c>
      <c r="E830" s="182">
        <v>1486000</v>
      </c>
      <c r="F830" s="179">
        <f>E830*D830</f>
        <v>1486000</v>
      </c>
    </row>
    <row r="831" spans="1:6" s="173" customFormat="1" x14ac:dyDescent="0.25">
      <c r="A831" s="86"/>
      <c r="B831" s="183"/>
      <c r="C831" s="86"/>
      <c r="D831" s="2"/>
      <c r="E831" s="184" t="s">
        <v>368</v>
      </c>
      <c r="F831" s="185">
        <f>SUM(F830:F830)</f>
        <v>1486000</v>
      </c>
    </row>
    <row r="832" spans="1:6" s="173" customFormat="1" x14ac:dyDescent="0.25">
      <c r="A832" s="86"/>
      <c r="B832" s="178" t="s">
        <v>369</v>
      </c>
      <c r="C832" s="86"/>
      <c r="D832" s="2"/>
      <c r="E832" s="2"/>
      <c r="F832" s="179"/>
    </row>
    <row r="833" spans="1:6" s="173" customFormat="1" x14ac:dyDescent="0.25">
      <c r="A833" s="86"/>
      <c r="B833" s="180"/>
      <c r="C833" s="181"/>
      <c r="D833" s="2"/>
      <c r="E833" s="182"/>
      <c r="F833" s="179"/>
    </row>
    <row r="834" spans="1:6" s="173" customFormat="1" x14ac:dyDescent="0.25">
      <c r="A834" s="86"/>
      <c r="B834" s="180"/>
      <c r="C834" s="181"/>
      <c r="D834" s="2"/>
      <c r="E834" s="182"/>
      <c r="F834" s="179"/>
    </row>
    <row r="835" spans="1:6" s="173" customFormat="1" x14ac:dyDescent="0.25">
      <c r="A835" s="86"/>
      <c r="B835" s="183"/>
      <c r="C835" s="86"/>
      <c r="D835" s="2"/>
      <c r="E835" s="184" t="s">
        <v>368</v>
      </c>
      <c r="F835" s="185">
        <f>SUM(F833:F833)</f>
        <v>0</v>
      </c>
    </row>
    <row r="836" spans="1:6" s="173" customFormat="1" x14ac:dyDescent="0.25">
      <c r="A836" s="86"/>
      <c r="B836" s="178" t="s">
        <v>379</v>
      </c>
      <c r="C836" s="86"/>
      <c r="D836" s="2"/>
      <c r="E836" s="2"/>
      <c r="F836" s="179"/>
    </row>
    <row r="837" spans="1:6" s="173" customFormat="1" x14ac:dyDescent="0.25">
      <c r="A837" s="86"/>
      <c r="B837" s="180"/>
      <c r="C837" s="181"/>
      <c r="D837" s="2"/>
      <c r="E837" s="182"/>
      <c r="F837" s="179">
        <f>D837*E837</f>
        <v>0</v>
      </c>
    </row>
    <row r="838" spans="1:6" s="173" customFormat="1" x14ac:dyDescent="0.25">
      <c r="A838" s="86"/>
      <c r="B838" s="183"/>
      <c r="C838" s="86"/>
      <c r="D838" s="2"/>
      <c r="E838" s="184" t="s">
        <v>368</v>
      </c>
      <c r="F838" s="185">
        <f>SUM(F837:F837)</f>
        <v>0</v>
      </c>
    </row>
    <row r="839" spans="1:6" s="173" customFormat="1" x14ac:dyDescent="0.25">
      <c r="A839" s="86"/>
      <c r="B839" s="178" t="s">
        <v>381</v>
      </c>
      <c r="C839" s="86"/>
      <c r="D839" s="2"/>
      <c r="E839" s="2"/>
      <c r="F839" s="179"/>
    </row>
    <row r="840" spans="1:6" s="173" customFormat="1" x14ac:dyDescent="0.25">
      <c r="A840" s="86"/>
      <c r="B840" s="183"/>
      <c r="C840" s="86"/>
      <c r="D840" s="2"/>
      <c r="E840" s="182"/>
      <c r="F840" s="179"/>
    </row>
    <row r="841" spans="1:6" s="173" customFormat="1" x14ac:dyDescent="0.25">
      <c r="A841" s="86"/>
      <c r="B841" s="183"/>
      <c r="C841" s="86"/>
      <c r="D841" s="2"/>
      <c r="E841" s="184" t="s">
        <v>368</v>
      </c>
      <c r="F841" s="185">
        <f>SUM(F840:F840)</f>
        <v>0</v>
      </c>
    </row>
    <row r="842" spans="1:6" s="173" customFormat="1" x14ac:dyDescent="0.25">
      <c r="A842" s="86"/>
      <c r="B842" s="183"/>
      <c r="C842" s="86"/>
      <c r="D842" s="2"/>
      <c r="E842" s="2"/>
      <c r="F842" s="179"/>
    </row>
    <row r="843" spans="1:6" s="173" customFormat="1" x14ac:dyDescent="0.25">
      <c r="A843" s="86"/>
      <c r="B843" s="183"/>
      <c r="C843" s="86"/>
      <c r="D843" s="2"/>
      <c r="E843" s="186" t="s">
        <v>383</v>
      </c>
      <c r="F843" s="187">
        <f>ROUND(SUM(F829:F841)/2, 0)</f>
        <v>1486000</v>
      </c>
    </row>
    <row r="844" spans="1:6" s="173" customFormat="1" x14ac:dyDescent="0.25">
      <c r="A844" s="86"/>
      <c r="B844" s="183"/>
      <c r="C844" s="86"/>
      <c r="D844" s="2"/>
      <c r="E844" s="186"/>
      <c r="F844" s="187"/>
    </row>
    <row r="845" spans="1:6" s="173" customFormat="1" x14ac:dyDescent="0.25">
      <c r="A845" s="86"/>
      <c r="B845" s="183"/>
      <c r="C845" s="86"/>
      <c r="D845" s="2"/>
      <c r="E845" s="186"/>
      <c r="F845" s="187"/>
    </row>
    <row r="846" spans="1:6" s="173" customFormat="1" x14ac:dyDescent="0.25">
      <c r="A846" s="174" t="str">
        <f>'[2]ACTA 3'!A188</f>
        <v>NP 10.2</v>
      </c>
      <c r="B846" s="189" t="str">
        <f>'[2]ACTA 3'!B188</f>
        <v>Tubería flexible 5/8" para ingreso a cajas de control</v>
      </c>
      <c r="C846" s="260" t="s">
        <v>388</v>
      </c>
      <c r="D846" s="260"/>
      <c r="E846" s="260"/>
      <c r="F846" s="260"/>
    </row>
    <row r="847" spans="1:6" s="173" customFormat="1" x14ac:dyDescent="0.25">
      <c r="A847" s="262" t="s">
        <v>320</v>
      </c>
      <c r="B847" s="262"/>
      <c r="C847" s="176" t="s">
        <v>321</v>
      </c>
      <c r="D847" s="176" t="s">
        <v>354</v>
      </c>
      <c r="E847" s="176" t="s">
        <v>355</v>
      </c>
      <c r="F847" s="177" t="s">
        <v>356</v>
      </c>
    </row>
    <row r="848" spans="1:6" s="173" customFormat="1" x14ac:dyDescent="0.25">
      <c r="A848" s="86"/>
      <c r="B848" s="178" t="s">
        <v>357</v>
      </c>
      <c r="C848" s="86"/>
      <c r="D848" s="2"/>
      <c r="E848" s="2"/>
      <c r="F848" s="179"/>
    </row>
    <row r="849" spans="1:6" s="173" customFormat="1" x14ac:dyDescent="0.25">
      <c r="A849" s="86"/>
      <c r="B849" s="180" t="str">
        <f>B846</f>
        <v>Tubería flexible 5/8" para ingreso a cajas de control</v>
      </c>
      <c r="C849" s="86" t="s">
        <v>28</v>
      </c>
      <c r="D849" s="2">
        <v>1</v>
      </c>
      <c r="E849" s="182">
        <v>89978</v>
      </c>
      <c r="F849" s="179">
        <f>E849*D849</f>
        <v>89978</v>
      </c>
    </row>
    <row r="850" spans="1:6" s="173" customFormat="1" x14ac:dyDescent="0.25">
      <c r="A850" s="86"/>
      <c r="B850" s="183"/>
      <c r="C850" s="86"/>
      <c r="D850" s="2"/>
      <c r="E850" s="184" t="s">
        <v>368</v>
      </c>
      <c r="F850" s="185">
        <f>SUM(F849:F849)</f>
        <v>89978</v>
      </c>
    </row>
    <row r="851" spans="1:6" s="173" customFormat="1" x14ac:dyDescent="0.25">
      <c r="A851" s="86"/>
      <c r="B851" s="178" t="s">
        <v>369</v>
      </c>
      <c r="C851" s="86"/>
      <c r="D851" s="2"/>
      <c r="E851" s="2"/>
      <c r="F851" s="179"/>
    </row>
    <row r="852" spans="1:6" s="173" customFormat="1" x14ac:dyDescent="0.25">
      <c r="A852" s="86"/>
      <c r="B852" s="180"/>
      <c r="C852" s="181"/>
      <c r="D852" s="2"/>
      <c r="E852" s="182"/>
      <c r="F852" s="179"/>
    </row>
    <row r="853" spans="1:6" s="173" customFormat="1" x14ac:dyDescent="0.25">
      <c r="A853" s="86"/>
      <c r="B853" s="180"/>
      <c r="C853" s="181"/>
      <c r="D853" s="2"/>
      <c r="E853" s="182"/>
      <c r="F853" s="179"/>
    </row>
    <row r="854" spans="1:6" s="173" customFormat="1" x14ac:dyDescent="0.25">
      <c r="A854" s="86"/>
      <c r="B854" s="183"/>
      <c r="C854" s="86"/>
      <c r="D854" s="2"/>
      <c r="E854" s="184" t="s">
        <v>368</v>
      </c>
      <c r="F854" s="185">
        <f>SUM(F852:F852)</f>
        <v>0</v>
      </c>
    </row>
    <row r="855" spans="1:6" s="173" customFormat="1" x14ac:dyDescent="0.25">
      <c r="A855" s="86"/>
      <c r="B855" s="178" t="s">
        <v>379</v>
      </c>
      <c r="C855" s="86"/>
      <c r="D855" s="2"/>
      <c r="E855" s="2"/>
      <c r="F855" s="179"/>
    </row>
    <row r="856" spans="1:6" s="173" customFormat="1" x14ac:dyDescent="0.25">
      <c r="A856" s="86"/>
      <c r="B856" s="180"/>
      <c r="C856" s="181"/>
      <c r="D856" s="2"/>
      <c r="E856" s="182"/>
      <c r="F856" s="179">
        <f>D856*E856</f>
        <v>0</v>
      </c>
    </row>
    <row r="857" spans="1:6" s="173" customFormat="1" x14ac:dyDescent="0.25">
      <c r="A857" s="86"/>
      <c r="B857" s="183"/>
      <c r="C857" s="86"/>
      <c r="D857" s="2"/>
      <c r="E857" s="184" t="s">
        <v>368</v>
      </c>
      <c r="F857" s="185">
        <f>SUM(F856:F856)</f>
        <v>0</v>
      </c>
    </row>
    <row r="858" spans="1:6" s="173" customFormat="1" x14ac:dyDescent="0.25">
      <c r="A858" s="86"/>
      <c r="B858" s="178" t="s">
        <v>381</v>
      </c>
      <c r="C858" s="86"/>
      <c r="D858" s="2"/>
      <c r="E858" s="2"/>
      <c r="F858" s="179"/>
    </row>
    <row r="859" spans="1:6" s="173" customFormat="1" x14ac:dyDescent="0.25">
      <c r="A859" s="86"/>
      <c r="B859" s="183"/>
      <c r="C859" s="86"/>
      <c r="D859" s="2"/>
      <c r="E859" s="182"/>
      <c r="F859" s="179"/>
    </row>
    <row r="860" spans="1:6" s="173" customFormat="1" x14ac:dyDescent="0.25">
      <c r="A860" s="86"/>
      <c r="B860" s="183"/>
      <c r="C860" s="86"/>
      <c r="D860" s="2"/>
      <c r="E860" s="184" t="s">
        <v>368</v>
      </c>
      <c r="F860" s="185">
        <f>SUM(F859:F859)</f>
        <v>0</v>
      </c>
    </row>
    <row r="861" spans="1:6" s="173" customFormat="1" x14ac:dyDescent="0.25">
      <c r="A861" s="86"/>
      <c r="B861" s="183"/>
      <c r="C861" s="86"/>
      <c r="D861" s="2"/>
      <c r="E861" s="2"/>
      <c r="F861" s="179"/>
    </row>
    <row r="862" spans="1:6" s="173" customFormat="1" x14ac:dyDescent="0.25">
      <c r="A862" s="86"/>
      <c r="B862" s="183"/>
      <c r="C862" s="86"/>
      <c r="D862" s="2"/>
      <c r="E862" s="186" t="s">
        <v>383</v>
      </c>
      <c r="F862" s="187">
        <f>ROUND(SUM(F848:F860)/2, 0)</f>
        <v>89978</v>
      </c>
    </row>
    <row r="863" spans="1:6" s="173" customFormat="1" x14ac:dyDescent="0.25">
      <c r="A863" s="86"/>
      <c r="B863" s="183"/>
      <c r="C863" s="86"/>
      <c r="D863" s="2"/>
      <c r="E863" s="186"/>
      <c r="F863" s="187"/>
    </row>
    <row r="864" spans="1:6" s="173" customFormat="1" x14ac:dyDescent="0.25">
      <c r="A864" s="86"/>
      <c r="B864" s="183"/>
      <c r="C864" s="86"/>
      <c r="D864" s="2"/>
      <c r="E864" s="186"/>
      <c r="F864" s="187"/>
    </row>
    <row r="865" spans="1:6" s="173" customFormat="1" x14ac:dyDescent="0.25">
      <c r="A865" s="174" t="str">
        <f>'[2]ACTA 3'!A189</f>
        <v>NP 10.3</v>
      </c>
      <c r="B865" s="189" t="str">
        <f>'[2]ACTA 3'!B189</f>
        <v>Valvulas de sensor de 1/2"</v>
      </c>
      <c r="C865" s="260" t="s">
        <v>397</v>
      </c>
      <c r="D865" s="260"/>
      <c r="E865" s="260"/>
      <c r="F865" s="260"/>
    </row>
    <row r="866" spans="1:6" s="173" customFormat="1" x14ac:dyDescent="0.25">
      <c r="A866" s="262" t="s">
        <v>320</v>
      </c>
      <c r="B866" s="262"/>
      <c r="C866" s="176" t="s">
        <v>321</v>
      </c>
      <c r="D866" s="176" t="s">
        <v>354</v>
      </c>
      <c r="E866" s="176" t="s">
        <v>355</v>
      </c>
      <c r="F866" s="177" t="s">
        <v>356</v>
      </c>
    </row>
    <row r="867" spans="1:6" s="173" customFormat="1" x14ac:dyDescent="0.25">
      <c r="A867" s="86"/>
      <c r="B867" s="178" t="s">
        <v>357</v>
      </c>
      <c r="C867" s="86"/>
      <c r="D867" s="2"/>
      <c r="E867" s="2"/>
      <c r="F867" s="179"/>
    </row>
    <row r="868" spans="1:6" s="173" customFormat="1" x14ac:dyDescent="0.25">
      <c r="A868" s="86"/>
      <c r="B868" s="180" t="str">
        <f>B865</f>
        <v>Valvulas de sensor de 1/2"</v>
      </c>
      <c r="C868" s="86" t="s">
        <v>28</v>
      </c>
      <c r="D868" s="2">
        <v>1</v>
      </c>
      <c r="E868" s="182">
        <v>158074</v>
      </c>
      <c r="F868" s="179">
        <f>E868*D868</f>
        <v>158074</v>
      </c>
    </row>
    <row r="869" spans="1:6" s="173" customFormat="1" x14ac:dyDescent="0.25">
      <c r="A869" s="86"/>
      <c r="B869" s="183"/>
      <c r="C869" s="86"/>
      <c r="D869" s="2"/>
      <c r="E869" s="184" t="s">
        <v>368</v>
      </c>
      <c r="F869" s="185">
        <f>SUM(F868:F868)</f>
        <v>158074</v>
      </c>
    </row>
    <row r="870" spans="1:6" s="173" customFormat="1" x14ac:dyDescent="0.25">
      <c r="A870" s="86"/>
      <c r="B870" s="178" t="s">
        <v>369</v>
      </c>
      <c r="C870" s="86"/>
      <c r="D870" s="2"/>
      <c r="E870" s="2"/>
      <c r="F870" s="179"/>
    </row>
    <row r="871" spans="1:6" s="173" customFormat="1" x14ac:dyDescent="0.25">
      <c r="A871" s="86"/>
      <c r="B871" s="180"/>
      <c r="C871" s="181"/>
      <c r="D871" s="2"/>
      <c r="E871" s="182"/>
      <c r="F871" s="179"/>
    </row>
    <row r="872" spans="1:6" s="173" customFormat="1" x14ac:dyDescent="0.25">
      <c r="A872" s="86"/>
      <c r="B872" s="180"/>
      <c r="C872" s="181"/>
      <c r="D872" s="2"/>
      <c r="E872" s="182"/>
      <c r="F872" s="179"/>
    </row>
    <row r="873" spans="1:6" s="173" customFormat="1" x14ac:dyDescent="0.25">
      <c r="A873" s="86"/>
      <c r="B873" s="183"/>
      <c r="C873" s="86"/>
      <c r="D873" s="2"/>
      <c r="E873" s="184" t="s">
        <v>368</v>
      </c>
      <c r="F873" s="185">
        <f>SUM(F871:F871)</f>
        <v>0</v>
      </c>
    </row>
    <row r="874" spans="1:6" s="173" customFormat="1" x14ac:dyDescent="0.25">
      <c r="A874" s="86"/>
      <c r="B874" s="178" t="s">
        <v>379</v>
      </c>
      <c r="C874" s="86"/>
      <c r="D874" s="2"/>
      <c r="E874" s="2"/>
      <c r="F874" s="179"/>
    </row>
    <row r="875" spans="1:6" s="173" customFormat="1" x14ac:dyDescent="0.25">
      <c r="A875" s="86"/>
      <c r="B875" s="180"/>
      <c r="C875" s="181"/>
      <c r="D875" s="2"/>
      <c r="E875" s="182"/>
      <c r="F875" s="179">
        <f>D875*E875</f>
        <v>0</v>
      </c>
    </row>
    <row r="876" spans="1:6" s="173" customFormat="1" x14ac:dyDescent="0.25">
      <c r="A876" s="86"/>
      <c r="B876" s="183"/>
      <c r="C876" s="86"/>
      <c r="D876" s="2"/>
      <c r="E876" s="184" t="s">
        <v>368</v>
      </c>
      <c r="F876" s="185">
        <f>SUM(F875:F875)</f>
        <v>0</v>
      </c>
    </row>
    <row r="877" spans="1:6" s="173" customFormat="1" x14ac:dyDescent="0.25">
      <c r="A877" s="86"/>
      <c r="B877" s="178" t="s">
        <v>381</v>
      </c>
      <c r="C877" s="86"/>
      <c r="D877" s="2"/>
      <c r="E877" s="2"/>
      <c r="F877" s="179"/>
    </row>
    <row r="878" spans="1:6" s="173" customFormat="1" x14ac:dyDescent="0.25">
      <c r="A878" s="86"/>
      <c r="B878" s="183"/>
      <c r="C878" s="86"/>
      <c r="D878" s="2"/>
      <c r="E878" s="182"/>
      <c r="F878" s="179"/>
    </row>
    <row r="879" spans="1:6" s="173" customFormat="1" x14ac:dyDescent="0.25">
      <c r="A879" s="86"/>
      <c r="B879" s="183"/>
      <c r="C879" s="86"/>
      <c r="D879" s="2"/>
      <c r="E879" s="184" t="s">
        <v>368</v>
      </c>
      <c r="F879" s="185">
        <f>SUM(F878:F878)</f>
        <v>0</v>
      </c>
    </row>
    <row r="880" spans="1:6" s="173" customFormat="1" x14ac:dyDescent="0.25">
      <c r="A880" s="86"/>
      <c r="B880" s="183"/>
      <c r="C880" s="86"/>
      <c r="D880" s="2"/>
      <c r="E880" s="2"/>
      <c r="F880" s="179"/>
    </row>
    <row r="881" spans="1:6" s="173" customFormat="1" x14ac:dyDescent="0.25">
      <c r="A881" s="86"/>
      <c r="B881" s="183"/>
      <c r="C881" s="86"/>
      <c r="D881" s="2"/>
      <c r="E881" s="186" t="s">
        <v>383</v>
      </c>
      <c r="F881" s="187">
        <f>ROUND(SUM(F867:F879)/2, 0)</f>
        <v>158074</v>
      </c>
    </row>
    <row r="882" spans="1:6" s="173" customFormat="1" x14ac:dyDescent="0.25">
      <c r="A882" s="86"/>
      <c r="B882" s="183"/>
      <c r="C882" s="86"/>
      <c r="D882" s="2"/>
      <c r="E882" s="186"/>
      <c r="F882" s="187"/>
    </row>
    <row r="883" spans="1:6" s="173" customFormat="1" x14ac:dyDescent="0.25">
      <c r="A883" s="86"/>
      <c r="B883" s="183"/>
      <c r="C883" s="86"/>
      <c r="D883" s="2"/>
      <c r="E883" s="186"/>
      <c r="F883" s="187"/>
    </row>
  </sheetData>
  <mergeCells count="89">
    <mergeCell ref="A828:B828"/>
    <mergeCell ref="C846:F846"/>
    <mergeCell ref="A847:B847"/>
    <mergeCell ref="C865:F865"/>
    <mergeCell ref="A866:B866"/>
    <mergeCell ref="C827:F827"/>
    <mergeCell ref="A719:B719"/>
    <mergeCell ref="C737:F737"/>
    <mergeCell ref="A738:B738"/>
    <mergeCell ref="C755:F755"/>
    <mergeCell ref="A756:B756"/>
    <mergeCell ref="C773:F773"/>
    <mergeCell ref="A774:B774"/>
    <mergeCell ref="C791:F791"/>
    <mergeCell ref="A792:B792"/>
    <mergeCell ref="C809:F809"/>
    <mergeCell ref="A810:B810"/>
    <mergeCell ref="C718:F718"/>
    <mergeCell ref="A605:B605"/>
    <mergeCell ref="C624:F624"/>
    <mergeCell ref="A625:B625"/>
    <mergeCell ref="C642:F642"/>
    <mergeCell ref="A643:B643"/>
    <mergeCell ref="C661:F661"/>
    <mergeCell ref="A662:B662"/>
    <mergeCell ref="C679:F679"/>
    <mergeCell ref="A680:B680"/>
    <mergeCell ref="C699:F699"/>
    <mergeCell ref="A700:B700"/>
    <mergeCell ref="C604:F604"/>
    <mergeCell ref="A479:B479"/>
    <mergeCell ref="C500:F500"/>
    <mergeCell ref="A501:B501"/>
    <mergeCell ref="C522:F522"/>
    <mergeCell ref="A523:B523"/>
    <mergeCell ref="C544:F544"/>
    <mergeCell ref="A545:B545"/>
    <mergeCell ref="C564:F564"/>
    <mergeCell ref="A565:B565"/>
    <mergeCell ref="C585:F585"/>
    <mergeCell ref="A586:B586"/>
    <mergeCell ref="C478:F478"/>
    <mergeCell ref="A342:B342"/>
    <mergeCell ref="C360:F360"/>
    <mergeCell ref="A361:B361"/>
    <mergeCell ref="C384:F384"/>
    <mergeCell ref="A385:B385"/>
    <mergeCell ref="C416:F416"/>
    <mergeCell ref="A417:B417"/>
    <mergeCell ref="C437:F437"/>
    <mergeCell ref="A438:B438"/>
    <mergeCell ref="C459:F459"/>
    <mergeCell ref="A460:B460"/>
    <mergeCell ref="C341:F341"/>
    <mergeCell ref="A211:B211"/>
    <mergeCell ref="C228:F228"/>
    <mergeCell ref="A229:B229"/>
    <mergeCell ref="C249:F249"/>
    <mergeCell ref="A250:B250"/>
    <mergeCell ref="C286:F286"/>
    <mergeCell ref="A287:B287"/>
    <mergeCell ref="C304:F304"/>
    <mergeCell ref="A305:B305"/>
    <mergeCell ref="C322:F322"/>
    <mergeCell ref="A323:B323"/>
    <mergeCell ref="C210:F210"/>
    <mergeCell ref="A108:B108"/>
    <mergeCell ref="C122:F122"/>
    <mergeCell ref="A123:B123"/>
    <mergeCell ref="C140:F140"/>
    <mergeCell ref="A141:B141"/>
    <mergeCell ref="C157:F157"/>
    <mergeCell ref="A158:B158"/>
    <mergeCell ref="C173:F173"/>
    <mergeCell ref="A174:B174"/>
    <mergeCell ref="C192:F192"/>
    <mergeCell ref="A193:B193"/>
    <mergeCell ref="C107:F107"/>
    <mergeCell ref="A1:F1"/>
    <mergeCell ref="C2:F2"/>
    <mergeCell ref="A3:B3"/>
    <mergeCell ref="C36:F36"/>
    <mergeCell ref="A37:B37"/>
    <mergeCell ref="C55:F55"/>
    <mergeCell ref="A56:B56"/>
    <mergeCell ref="C74:F74"/>
    <mergeCell ref="A75:B75"/>
    <mergeCell ref="C91:F91"/>
    <mergeCell ref="A92:B92"/>
  </mergeCells>
  <pageMargins left="0.7" right="0.7" top="0.75" bottom="0.75" header="0.3" footer="0.3"/>
  <pageSetup paperSize="9" scale="55" orientation="portrait" horizontalDpi="1200" verticalDpi="1200" r:id="rId1"/>
  <rowBreaks count="2" manualBreakCount="2">
    <brk id="622" max="5" man="1"/>
    <brk id="855" max="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ACTA FINAL</vt:lpstr>
      <vt:lpstr>RESUMEN</vt:lpstr>
      <vt:lpstr>APU NP</vt:lpstr>
      <vt:lpstr>'ACTA FINAL'!Área_de_impresión</vt:lpstr>
      <vt:lpstr>'APU NP'!Área_de_impresión</vt:lpstr>
      <vt:lpstr>'ACTA FINAL'!Títulos_a_imprimir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2026-02-18T16:59:01Z</dcterms:created>
  <dcterms:modified xsi:type="dcterms:W3CDTF">2026-02-19T18:37:41Z</dcterms:modified>
</cp:coreProperties>
</file>