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ola\Downloads\"/>
    </mc:Choice>
  </mc:AlternateContent>
  <xr:revisionPtr revIDLastSave="0" documentId="13_ncr:1_{94BFE616-8609-4B5E-9962-EFC8B7714B9D}" xr6:coauthVersionLast="47" xr6:coauthVersionMax="47" xr10:uidLastSave="{00000000-0000-0000-0000-000000000000}"/>
  <bookViews>
    <workbookView xWindow="-108" yWindow="-108" windowWidth="23256" windowHeight="12456" xr2:uid="{83E0FB22-6254-48EF-B8A4-221E814CB687}"/>
  </bookViews>
  <sheets>
    <sheet name="PRESUPUESTO 15-7" sheetId="4" r:id="rId1"/>
    <sheet name="INSUMOS" sheetId="2" state="hidden" r:id="rId2"/>
    <sheet name="Hoja1" sheetId="1" r:id="rId3"/>
  </sheets>
  <externalReferences>
    <externalReference r:id="rId4"/>
  </externalReferences>
  <definedNames>
    <definedName name="Adm">'PRESUPUESTO 15-7'!#REF!</definedName>
    <definedName name="_xlnm.Print_Area" localSheetId="0">'PRESUPUESTO 15-7'!$B$1:$Q$314</definedName>
    <definedName name="Imprev">'PRESUPUESTO 15-7'!#REF!</definedName>
    <definedName name="IvaSUtl">'PRESUPUESTO 15-7'!#REF!</definedName>
    <definedName name="SbtPpto">'PRESUPUESTO 15-7'!$H$162</definedName>
    <definedName name="_xlnm.Print_Titles" localSheetId="0">'PRESUPUESTO 15-7'!$7:$12</definedName>
    <definedName name="TtlCD">'PRESUPUESTO 15-7'!#REF!</definedName>
    <definedName name="Utilidad">'PRESUPUESTO 15-7'!#REF!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26" i="4" l="1"/>
  <c r="AR26" i="4"/>
  <c r="H26" i="4"/>
  <c r="AS26" i="4"/>
  <c r="G310" i="4"/>
  <c r="H308" i="4"/>
  <c r="H307" i="4"/>
  <c r="H301" i="4"/>
  <c r="H303" i="4"/>
  <c r="H295" i="4"/>
  <c r="H294" i="4"/>
  <c r="H293" i="4"/>
  <c r="H292" i="4"/>
  <c r="H291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65" i="4"/>
  <c r="H264" i="4"/>
  <c r="H263" i="4"/>
  <c r="H262" i="4"/>
  <c r="H261" i="4"/>
  <c r="H260" i="4"/>
  <c r="H254" i="4"/>
  <c r="H253" i="4"/>
  <c r="H252" i="4"/>
  <c r="H251" i="4"/>
  <c r="H250" i="4"/>
  <c r="H249" i="4"/>
  <c r="H248" i="4"/>
  <c r="H247" i="4"/>
  <c r="H246" i="4"/>
  <c r="H240" i="4"/>
  <c r="H239" i="4"/>
  <c r="H238" i="4"/>
  <c r="H237" i="4"/>
  <c r="H236" i="4"/>
  <c r="H235" i="4"/>
  <c r="H234" i="4"/>
  <c r="H233" i="4"/>
  <c r="H232" i="4"/>
  <c r="H231" i="4"/>
  <c r="H230" i="4"/>
  <c r="H224" i="4"/>
  <c r="H223" i="4"/>
  <c r="H222" i="4"/>
  <c r="H221" i="4"/>
  <c r="H220" i="4"/>
  <c r="H219" i="4"/>
  <c r="H218" i="4"/>
  <c r="H212" i="4"/>
  <c r="H211" i="4"/>
  <c r="H210" i="4"/>
  <c r="H209" i="4"/>
  <c r="H208" i="4"/>
  <c r="H202" i="4"/>
  <c r="H201" i="4"/>
  <c r="H200" i="4"/>
  <c r="H199" i="4"/>
  <c r="H198" i="4"/>
  <c r="H197" i="4"/>
  <c r="H196" i="4"/>
  <c r="H195" i="4"/>
  <c r="H194" i="4"/>
  <c r="G182" i="4"/>
  <c r="H181" i="4"/>
  <c r="F178" i="4"/>
  <c r="H176" i="4"/>
  <c r="G176" i="4"/>
  <c r="H174" i="4"/>
  <c r="H175" i="4"/>
  <c r="H165" i="4"/>
  <c r="H166" i="4"/>
  <c r="O166" i="4"/>
  <c r="O167" i="4"/>
  <c r="H164" i="4"/>
  <c r="O164" i="4"/>
  <c r="O165" i="4"/>
  <c r="AQ162" i="4"/>
  <c r="T150" i="4"/>
  <c r="S150" i="4"/>
  <c r="R150" i="4"/>
  <c r="Q150" i="4"/>
  <c r="S149" i="4"/>
  <c r="R149" i="4"/>
  <c r="Q149" i="4"/>
  <c r="T148" i="4"/>
  <c r="S148" i="4"/>
  <c r="R148" i="4"/>
  <c r="Q148" i="4"/>
  <c r="T147" i="4"/>
  <c r="S147" i="4"/>
  <c r="R147" i="4"/>
  <c r="Q147" i="4"/>
  <c r="S146" i="4"/>
  <c r="R146" i="4"/>
  <c r="Q146" i="4"/>
  <c r="T145" i="4"/>
  <c r="S145" i="4"/>
  <c r="R145" i="4"/>
  <c r="Q145" i="4"/>
  <c r="T144" i="4"/>
  <c r="S144" i="4"/>
  <c r="R144" i="4"/>
  <c r="Q144" i="4"/>
  <c r="T143" i="4"/>
  <c r="S143" i="4"/>
  <c r="R143" i="4"/>
  <c r="Q143" i="4"/>
  <c r="T142" i="4"/>
  <c r="S142" i="4"/>
  <c r="R142" i="4"/>
  <c r="Q142" i="4"/>
  <c r="T141" i="4"/>
  <c r="S141" i="4"/>
  <c r="R141" i="4"/>
  <c r="Q141" i="4"/>
  <c r="S140" i="4"/>
  <c r="R140" i="4"/>
  <c r="Q140" i="4"/>
  <c r="S139" i="4"/>
  <c r="R139" i="4"/>
  <c r="Q139" i="4"/>
  <c r="S138" i="4"/>
  <c r="R138" i="4"/>
  <c r="Q138" i="4"/>
  <c r="S132" i="4"/>
  <c r="R132" i="4"/>
  <c r="Q132" i="4"/>
  <c r="T131" i="4"/>
  <c r="S131" i="4"/>
  <c r="R131" i="4"/>
  <c r="Q131" i="4"/>
  <c r="T125" i="4"/>
  <c r="S125" i="4"/>
  <c r="R125" i="4"/>
  <c r="Q125" i="4"/>
  <c r="T124" i="4"/>
  <c r="S124" i="4"/>
  <c r="R124" i="4"/>
  <c r="Q124" i="4"/>
  <c r="T123" i="4"/>
  <c r="S123" i="4"/>
  <c r="R123" i="4"/>
  <c r="Q123" i="4"/>
  <c r="T122" i="4"/>
  <c r="S122" i="4"/>
  <c r="R122" i="4"/>
  <c r="Q122" i="4"/>
  <c r="T121" i="4"/>
  <c r="S121" i="4"/>
  <c r="R121" i="4"/>
  <c r="Q121" i="4"/>
  <c r="T120" i="4"/>
  <c r="S120" i="4"/>
  <c r="R120" i="4"/>
  <c r="Q120" i="4"/>
  <c r="T119" i="4"/>
  <c r="S119" i="4"/>
  <c r="R119" i="4"/>
  <c r="Q119" i="4"/>
  <c r="T118" i="4"/>
  <c r="S118" i="4"/>
  <c r="R118" i="4"/>
  <c r="Q118" i="4"/>
  <c r="T117" i="4"/>
  <c r="S117" i="4"/>
  <c r="R117" i="4"/>
  <c r="Q117" i="4"/>
  <c r="T116" i="4"/>
  <c r="S116" i="4"/>
  <c r="R116" i="4"/>
  <c r="Q116" i="4"/>
  <c r="T115" i="4"/>
  <c r="S115" i="4"/>
  <c r="R115" i="4"/>
  <c r="Q115" i="4"/>
  <c r="T114" i="4"/>
  <c r="S114" i="4"/>
  <c r="R114" i="4"/>
  <c r="Q114" i="4"/>
  <c r="T113" i="4"/>
  <c r="S113" i="4"/>
  <c r="R113" i="4"/>
  <c r="Q113" i="4"/>
  <c r="T112" i="4"/>
  <c r="S112" i="4"/>
  <c r="R112" i="4"/>
  <c r="Q112" i="4"/>
  <c r="T111" i="4"/>
  <c r="S111" i="4"/>
  <c r="R111" i="4"/>
  <c r="Q111" i="4"/>
  <c r="T110" i="4"/>
  <c r="S110" i="4"/>
  <c r="R110" i="4"/>
  <c r="Q110" i="4"/>
  <c r="T109" i="4"/>
  <c r="S109" i="4"/>
  <c r="R109" i="4"/>
  <c r="Q109" i="4"/>
  <c r="T108" i="4"/>
  <c r="S108" i="4"/>
  <c r="R108" i="4"/>
  <c r="Q108" i="4"/>
  <c r="T107" i="4"/>
  <c r="S107" i="4"/>
  <c r="R107" i="4"/>
  <c r="Q107" i="4"/>
  <c r="T106" i="4"/>
  <c r="S106" i="4"/>
  <c r="R106" i="4"/>
  <c r="Q106" i="4"/>
  <c r="T105" i="4"/>
  <c r="S105" i="4"/>
  <c r="R105" i="4"/>
  <c r="Q105" i="4"/>
  <c r="T104" i="4"/>
  <c r="S104" i="4"/>
  <c r="R104" i="4"/>
  <c r="Q104" i="4"/>
  <c r="T103" i="4"/>
  <c r="S103" i="4"/>
  <c r="R103" i="4"/>
  <c r="Q103" i="4"/>
  <c r="T97" i="4"/>
  <c r="S97" i="4"/>
  <c r="R97" i="4"/>
  <c r="Q97" i="4"/>
  <c r="T96" i="4"/>
  <c r="S96" i="4"/>
  <c r="R96" i="4"/>
  <c r="Q96" i="4"/>
  <c r="T95" i="4"/>
  <c r="S95" i="4"/>
  <c r="R95" i="4"/>
  <c r="Q95" i="4"/>
  <c r="T94" i="4"/>
  <c r="S94" i="4"/>
  <c r="R94" i="4"/>
  <c r="Q94" i="4"/>
  <c r="T93" i="4"/>
  <c r="S93" i="4"/>
  <c r="R93" i="4"/>
  <c r="Q93" i="4"/>
  <c r="T92" i="4"/>
  <c r="S92" i="4"/>
  <c r="R92" i="4"/>
  <c r="Q92" i="4"/>
  <c r="T91" i="4"/>
  <c r="S91" i="4"/>
  <c r="R91" i="4"/>
  <c r="Q91" i="4"/>
  <c r="T85" i="4"/>
  <c r="S85" i="4"/>
  <c r="R85" i="4"/>
  <c r="Q85" i="4"/>
  <c r="T84" i="4"/>
  <c r="S84" i="4"/>
  <c r="R84" i="4"/>
  <c r="Q84" i="4"/>
  <c r="T83" i="4"/>
  <c r="S83" i="4"/>
  <c r="R83" i="4"/>
  <c r="Q83" i="4"/>
  <c r="T82" i="4"/>
  <c r="S82" i="4"/>
  <c r="R82" i="4"/>
  <c r="Q82" i="4"/>
  <c r="T81" i="4"/>
  <c r="S81" i="4"/>
  <c r="R81" i="4"/>
  <c r="Q81" i="4"/>
  <c r="T80" i="4"/>
  <c r="S80" i="4"/>
  <c r="R80" i="4"/>
  <c r="Q80" i="4"/>
  <c r="T79" i="4"/>
  <c r="S79" i="4"/>
  <c r="R79" i="4"/>
  <c r="Q79" i="4"/>
  <c r="T73" i="4"/>
  <c r="S73" i="4"/>
  <c r="R73" i="4"/>
  <c r="Q73" i="4"/>
  <c r="T72" i="4"/>
  <c r="S72" i="4"/>
  <c r="R72" i="4"/>
  <c r="Q72" i="4"/>
  <c r="T71" i="4"/>
  <c r="S71" i="4"/>
  <c r="R71" i="4"/>
  <c r="Q71" i="4"/>
  <c r="T70" i="4"/>
  <c r="S70" i="4"/>
  <c r="R70" i="4"/>
  <c r="Q70" i="4"/>
  <c r="T69" i="4"/>
  <c r="S69" i="4"/>
  <c r="R69" i="4"/>
  <c r="Q69" i="4"/>
  <c r="T68" i="4"/>
  <c r="S68" i="4"/>
  <c r="R68" i="4"/>
  <c r="Q68" i="4"/>
  <c r="T62" i="4"/>
  <c r="S62" i="4"/>
  <c r="R62" i="4"/>
  <c r="Q62" i="4"/>
  <c r="T61" i="4"/>
  <c r="S61" i="4"/>
  <c r="R61" i="4"/>
  <c r="Q61" i="4"/>
  <c r="T60" i="4"/>
  <c r="S60" i="4"/>
  <c r="R60" i="4"/>
  <c r="Q60" i="4"/>
  <c r="S59" i="4"/>
  <c r="R59" i="4"/>
  <c r="Q59" i="4"/>
  <c r="T58" i="4"/>
  <c r="S58" i="4"/>
  <c r="R58" i="4"/>
  <c r="Q58" i="4"/>
  <c r="S57" i="4"/>
  <c r="R57" i="4"/>
  <c r="Q57" i="4"/>
  <c r="T51" i="4"/>
  <c r="S51" i="4"/>
  <c r="R51" i="4"/>
  <c r="Q51" i="4"/>
  <c r="S50" i="4"/>
  <c r="R50" i="4"/>
  <c r="Q50" i="4"/>
  <c r="S49" i="4"/>
  <c r="R49" i="4"/>
  <c r="Q49" i="4"/>
  <c r="T43" i="4"/>
  <c r="S43" i="4"/>
  <c r="R43" i="4"/>
  <c r="Q43" i="4"/>
  <c r="S42" i="4"/>
  <c r="R42" i="4"/>
  <c r="Q42" i="4"/>
  <c r="T41" i="4"/>
  <c r="S41" i="4"/>
  <c r="R41" i="4"/>
  <c r="Q41" i="4"/>
  <c r="T40" i="4"/>
  <c r="S40" i="4"/>
  <c r="R40" i="4"/>
  <c r="Q40" i="4"/>
  <c r="T39" i="4"/>
  <c r="S39" i="4"/>
  <c r="R39" i="4"/>
  <c r="Q39" i="4"/>
  <c r="T38" i="4"/>
  <c r="S38" i="4"/>
  <c r="R38" i="4"/>
  <c r="Q38" i="4"/>
  <c r="T37" i="4"/>
  <c r="S37" i="4"/>
  <c r="R37" i="4"/>
  <c r="Q37" i="4"/>
  <c r="S36" i="4"/>
  <c r="R36" i="4"/>
  <c r="Q36" i="4"/>
  <c r="S35" i="4"/>
  <c r="R35" i="4"/>
  <c r="Q35" i="4"/>
  <c r="S34" i="4"/>
  <c r="R34" i="4"/>
  <c r="Q34" i="4"/>
  <c r="S33" i="4"/>
  <c r="R33" i="4"/>
  <c r="Q33" i="4"/>
  <c r="S32" i="4"/>
  <c r="R32" i="4"/>
  <c r="Q32" i="4"/>
  <c r="T25" i="4"/>
  <c r="U25" i="4"/>
  <c r="S24" i="4"/>
  <c r="R24" i="4"/>
  <c r="Q24" i="4"/>
  <c r="S23" i="4"/>
  <c r="R23" i="4"/>
  <c r="Q23" i="4"/>
  <c r="S22" i="4"/>
  <c r="R22" i="4"/>
  <c r="Q22" i="4"/>
  <c r="T21" i="4"/>
  <c r="S21" i="4"/>
  <c r="R21" i="4"/>
  <c r="Q21" i="4"/>
  <c r="S20" i="4"/>
  <c r="R20" i="4"/>
  <c r="Q20" i="4"/>
  <c r="S19" i="4"/>
  <c r="R19" i="4"/>
  <c r="Q19" i="4"/>
  <c r="S18" i="4"/>
  <c r="R18" i="4"/>
  <c r="Q18" i="4"/>
  <c r="S17" i="4"/>
  <c r="R17" i="4"/>
  <c r="Q17" i="4"/>
  <c r="R16" i="4"/>
  <c r="Q16" i="4"/>
  <c r="AQ12" i="4"/>
  <c r="AQ3" i="4"/>
  <c r="H2" i="4"/>
  <c r="L119" i="4"/>
  <c r="L118" i="4"/>
  <c r="L111" i="4"/>
  <c r="L106" i="4"/>
  <c r="L96" i="4"/>
  <c r="L57" i="4"/>
  <c r="L41" i="4"/>
  <c r="L21" i="4"/>
  <c r="L18" i="4"/>
  <c r="J7" i="2"/>
  <c r="C7" i="2"/>
  <c r="C5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J240" i="2"/>
  <c r="J239" i="2"/>
  <c r="G240" i="2"/>
  <c r="J236" i="2"/>
  <c r="E236" i="2"/>
  <c r="J235" i="2"/>
  <c r="E235" i="2"/>
  <c r="J234" i="2"/>
  <c r="E234" i="2"/>
  <c r="J233" i="2"/>
  <c r="E233" i="2"/>
  <c r="J232" i="2"/>
  <c r="E232" i="2"/>
  <c r="J231" i="2"/>
  <c r="E231" i="2"/>
  <c r="J230" i="2"/>
  <c r="E230" i="2"/>
  <c r="J229" i="2"/>
  <c r="E229" i="2"/>
  <c r="J228" i="2"/>
  <c r="E228" i="2"/>
  <c r="J227" i="2"/>
  <c r="E227" i="2"/>
  <c r="J226" i="2"/>
  <c r="E226" i="2"/>
  <c r="J225" i="2"/>
  <c r="E225" i="2"/>
  <c r="J224" i="2"/>
  <c r="E224" i="2"/>
  <c r="J223" i="2"/>
  <c r="E223" i="2"/>
  <c r="J222" i="2"/>
  <c r="E222" i="2"/>
  <c r="J221" i="2"/>
  <c r="E221" i="2"/>
  <c r="J220" i="2"/>
  <c r="E220" i="2"/>
  <c r="J219" i="2"/>
  <c r="E219" i="2"/>
  <c r="J218" i="2"/>
  <c r="E218" i="2"/>
  <c r="J217" i="2"/>
  <c r="E217" i="2"/>
  <c r="J216" i="2"/>
  <c r="J215" i="2"/>
  <c r="G216" i="2"/>
  <c r="J212" i="2"/>
  <c r="E212" i="2"/>
  <c r="J211" i="2"/>
  <c r="E211" i="2"/>
  <c r="J210" i="2"/>
  <c r="E210" i="2"/>
  <c r="J209" i="2"/>
  <c r="E209" i="2"/>
  <c r="J208" i="2"/>
  <c r="E208" i="2"/>
  <c r="J207" i="2"/>
  <c r="E207" i="2"/>
  <c r="J206" i="2"/>
  <c r="E206" i="2"/>
  <c r="J205" i="2"/>
  <c r="E205" i="2"/>
  <c r="J204" i="2"/>
  <c r="E204" i="2"/>
  <c r="J203" i="2"/>
  <c r="E203" i="2"/>
  <c r="J202" i="2"/>
  <c r="E202" i="2"/>
  <c r="J201" i="2"/>
  <c r="E201" i="2"/>
  <c r="J200" i="2"/>
  <c r="E200" i="2"/>
  <c r="J199" i="2"/>
  <c r="E199" i="2"/>
  <c r="J198" i="2"/>
  <c r="E198" i="2"/>
  <c r="J197" i="2"/>
  <c r="E197" i="2"/>
  <c r="J196" i="2"/>
  <c r="E196" i="2"/>
  <c r="J195" i="2"/>
  <c r="E195" i="2"/>
  <c r="J194" i="2"/>
  <c r="E194" i="2"/>
  <c r="J193" i="2"/>
  <c r="E193" i="2"/>
  <c r="J192" i="2"/>
  <c r="E192" i="2"/>
  <c r="J191" i="2"/>
  <c r="E191" i="2"/>
  <c r="J190" i="2"/>
  <c r="E190" i="2"/>
  <c r="J189" i="2"/>
  <c r="E189" i="2"/>
  <c r="J188" i="2"/>
  <c r="E188" i="2"/>
  <c r="J187" i="2"/>
  <c r="E187" i="2"/>
  <c r="J186" i="2"/>
  <c r="E186" i="2"/>
  <c r="J185" i="2"/>
  <c r="E185" i="2"/>
  <c r="J184" i="2"/>
  <c r="E184" i="2"/>
  <c r="J183" i="2"/>
  <c r="E183" i="2"/>
  <c r="J182" i="2"/>
  <c r="E182" i="2"/>
  <c r="J181" i="2"/>
  <c r="E181" i="2"/>
  <c r="J180" i="2"/>
  <c r="E180" i="2"/>
  <c r="J179" i="2"/>
  <c r="E179" i="2"/>
  <c r="J178" i="2"/>
  <c r="E178" i="2"/>
  <c r="J177" i="2"/>
  <c r="E177" i="2"/>
  <c r="J176" i="2"/>
  <c r="E176" i="2"/>
  <c r="J175" i="2"/>
  <c r="E175" i="2"/>
  <c r="J174" i="2"/>
  <c r="E174" i="2"/>
  <c r="J173" i="2"/>
  <c r="E173" i="2"/>
  <c r="J172" i="2"/>
  <c r="E172" i="2"/>
  <c r="J171" i="2"/>
  <c r="E171" i="2"/>
  <c r="J170" i="2"/>
  <c r="E170" i="2"/>
  <c r="J169" i="2"/>
  <c r="E169" i="2"/>
  <c r="J168" i="2"/>
  <c r="E168" i="2"/>
  <c r="J167" i="2"/>
  <c r="E167" i="2"/>
  <c r="J166" i="2"/>
  <c r="E166" i="2"/>
  <c r="J165" i="2"/>
  <c r="E165" i="2"/>
  <c r="J164" i="2"/>
  <c r="E164" i="2"/>
  <c r="J163" i="2"/>
  <c r="E163" i="2"/>
  <c r="J162" i="2"/>
  <c r="E162" i="2"/>
  <c r="J161" i="2"/>
  <c r="E161" i="2"/>
  <c r="J160" i="2"/>
  <c r="E160" i="2"/>
  <c r="J159" i="2"/>
  <c r="E159" i="2"/>
  <c r="J158" i="2"/>
  <c r="E158" i="2"/>
  <c r="J157" i="2"/>
  <c r="E157" i="2"/>
  <c r="J156" i="2"/>
  <c r="E156" i="2"/>
  <c r="J155" i="2"/>
  <c r="E155" i="2"/>
  <c r="J154" i="2"/>
  <c r="E154" i="2"/>
  <c r="J153" i="2"/>
  <c r="E153" i="2"/>
  <c r="J152" i="2"/>
  <c r="E152" i="2"/>
  <c r="J151" i="2"/>
  <c r="E151" i="2"/>
  <c r="J150" i="2"/>
  <c r="E150" i="2"/>
  <c r="J149" i="2"/>
  <c r="E149" i="2"/>
  <c r="J148" i="2"/>
  <c r="E148" i="2"/>
  <c r="J147" i="2"/>
  <c r="E147" i="2"/>
  <c r="J146" i="2"/>
  <c r="E146" i="2"/>
  <c r="J145" i="2"/>
  <c r="E145" i="2"/>
  <c r="J144" i="2"/>
  <c r="E144" i="2"/>
  <c r="J143" i="2"/>
  <c r="E143" i="2"/>
  <c r="J142" i="2"/>
  <c r="E142" i="2"/>
  <c r="J141" i="2"/>
  <c r="E141" i="2"/>
  <c r="J140" i="2"/>
  <c r="E140" i="2"/>
  <c r="J139" i="2"/>
  <c r="E139" i="2"/>
  <c r="J138" i="2"/>
  <c r="E138" i="2"/>
  <c r="J137" i="2"/>
  <c r="E137" i="2"/>
  <c r="J136" i="2"/>
  <c r="E136" i="2"/>
  <c r="J135" i="2"/>
  <c r="E135" i="2"/>
  <c r="J134" i="2"/>
  <c r="E134" i="2"/>
  <c r="J133" i="2"/>
  <c r="E133" i="2"/>
  <c r="J132" i="2"/>
  <c r="E132" i="2"/>
  <c r="J131" i="2"/>
  <c r="E131" i="2"/>
  <c r="J130" i="2"/>
  <c r="E130" i="2"/>
  <c r="J129" i="2"/>
  <c r="E129" i="2"/>
  <c r="J128" i="2"/>
  <c r="E128" i="2"/>
  <c r="J127" i="2"/>
  <c r="E127" i="2"/>
  <c r="J126" i="2"/>
  <c r="E126" i="2"/>
  <c r="J125" i="2"/>
  <c r="E125" i="2"/>
  <c r="J124" i="2"/>
  <c r="E124" i="2"/>
  <c r="J123" i="2"/>
  <c r="E123" i="2"/>
  <c r="J122" i="2"/>
  <c r="E122" i="2"/>
  <c r="J121" i="2"/>
  <c r="E121" i="2"/>
  <c r="J120" i="2"/>
  <c r="E120" i="2"/>
  <c r="J119" i="2"/>
  <c r="E119" i="2"/>
  <c r="J118" i="2"/>
  <c r="E118" i="2"/>
  <c r="J117" i="2"/>
  <c r="E117" i="2"/>
  <c r="J116" i="2"/>
  <c r="E116" i="2"/>
  <c r="J115" i="2"/>
  <c r="E115" i="2"/>
  <c r="J114" i="2"/>
  <c r="E114" i="2"/>
  <c r="J113" i="2"/>
  <c r="E113" i="2"/>
  <c r="J112" i="2"/>
  <c r="E112" i="2"/>
  <c r="J111" i="2"/>
  <c r="E111" i="2"/>
  <c r="J110" i="2"/>
  <c r="E110" i="2"/>
  <c r="J109" i="2"/>
  <c r="E109" i="2"/>
  <c r="J108" i="2"/>
  <c r="E108" i="2"/>
  <c r="J107" i="2"/>
  <c r="E107" i="2"/>
  <c r="J106" i="2"/>
  <c r="E106" i="2"/>
  <c r="J105" i="2"/>
  <c r="E105" i="2"/>
  <c r="J104" i="2"/>
  <c r="E104" i="2"/>
  <c r="J103" i="2"/>
  <c r="E103" i="2"/>
  <c r="J102" i="2"/>
  <c r="E102" i="2"/>
  <c r="J101" i="2"/>
  <c r="E101" i="2"/>
  <c r="J100" i="2"/>
  <c r="E100" i="2"/>
  <c r="J99" i="2"/>
  <c r="E99" i="2"/>
  <c r="J98" i="2"/>
  <c r="E98" i="2"/>
  <c r="J97" i="2"/>
  <c r="E97" i="2"/>
  <c r="J96" i="2"/>
  <c r="E96" i="2"/>
  <c r="J95" i="2"/>
  <c r="E95" i="2"/>
  <c r="J94" i="2"/>
  <c r="E94" i="2"/>
  <c r="J93" i="2"/>
  <c r="E93" i="2"/>
  <c r="J92" i="2"/>
  <c r="E92" i="2"/>
  <c r="J91" i="2"/>
  <c r="E91" i="2"/>
  <c r="J90" i="2"/>
  <c r="E90" i="2"/>
  <c r="J89" i="2"/>
  <c r="E89" i="2"/>
  <c r="J88" i="2"/>
  <c r="E88" i="2"/>
  <c r="J87" i="2"/>
  <c r="E87" i="2"/>
  <c r="J86" i="2"/>
  <c r="E86" i="2"/>
  <c r="J85" i="2"/>
  <c r="E85" i="2"/>
  <c r="J84" i="2"/>
  <c r="E84" i="2"/>
  <c r="J83" i="2"/>
  <c r="E83" i="2"/>
  <c r="J82" i="2"/>
  <c r="E82" i="2"/>
  <c r="J81" i="2"/>
  <c r="E81" i="2"/>
  <c r="J80" i="2"/>
  <c r="E80" i="2"/>
  <c r="J79" i="2"/>
  <c r="E79" i="2"/>
  <c r="J78" i="2"/>
  <c r="E78" i="2"/>
  <c r="J77" i="2"/>
  <c r="E77" i="2"/>
  <c r="J76" i="2"/>
  <c r="E76" i="2"/>
  <c r="J75" i="2"/>
  <c r="E75" i="2"/>
  <c r="J74" i="2"/>
  <c r="E74" i="2"/>
  <c r="J73" i="2"/>
  <c r="E73" i="2"/>
  <c r="J72" i="2"/>
  <c r="E72" i="2"/>
  <c r="J71" i="2"/>
  <c r="E71" i="2"/>
  <c r="J70" i="2"/>
  <c r="E70" i="2"/>
  <c r="J69" i="2"/>
  <c r="E69" i="2"/>
  <c r="J68" i="2"/>
  <c r="E68" i="2"/>
  <c r="J67" i="2"/>
  <c r="E67" i="2"/>
  <c r="J66" i="2"/>
  <c r="E66" i="2"/>
  <c r="J65" i="2"/>
  <c r="E65" i="2"/>
  <c r="J64" i="2"/>
  <c r="E64" i="2"/>
  <c r="J63" i="2"/>
  <c r="E63" i="2"/>
  <c r="J62" i="2"/>
  <c r="E62" i="2"/>
  <c r="J61" i="2"/>
  <c r="E61" i="2"/>
  <c r="J60" i="2"/>
  <c r="E60" i="2"/>
  <c r="J59" i="2"/>
  <c r="E59" i="2"/>
  <c r="J58" i="2"/>
  <c r="E58" i="2"/>
  <c r="J57" i="2"/>
  <c r="E57" i="2"/>
  <c r="J56" i="2"/>
  <c r="E56" i="2"/>
  <c r="J55" i="2"/>
  <c r="E55" i="2"/>
  <c r="J54" i="2"/>
  <c r="E54" i="2"/>
  <c r="J53" i="2"/>
  <c r="E53" i="2"/>
  <c r="J52" i="2"/>
  <c r="E52" i="2"/>
  <c r="J51" i="2"/>
  <c r="E51" i="2"/>
  <c r="J50" i="2"/>
  <c r="E50" i="2"/>
  <c r="J49" i="2"/>
  <c r="E49" i="2"/>
  <c r="J48" i="2"/>
  <c r="E48" i="2"/>
  <c r="J47" i="2"/>
  <c r="E47" i="2"/>
  <c r="J46" i="2"/>
  <c r="E46" i="2"/>
  <c r="J45" i="2"/>
  <c r="E45" i="2"/>
  <c r="J44" i="2"/>
  <c r="E44" i="2"/>
  <c r="J43" i="2"/>
  <c r="E43" i="2"/>
  <c r="J42" i="2"/>
  <c r="E42" i="2"/>
  <c r="J41" i="2"/>
  <c r="E41" i="2"/>
  <c r="J40" i="2"/>
  <c r="E40" i="2"/>
  <c r="J39" i="2"/>
  <c r="E39" i="2"/>
  <c r="J38" i="2"/>
  <c r="E38" i="2"/>
  <c r="J37" i="2"/>
  <c r="E37" i="2"/>
  <c r="J36" i="2"/>
  <c r="E36" i="2"/>
  <c r="J35" i="2"/>
  <c r="E35" i="2"/>
  <c r="J34" i="2"/>
  <c r="E34" i="2"/>
  <c r="J33" i="2"/>
  <c r="E33" i="2"/>
  <c r="J32" i="2"/>
  <c r="E32" i="2"/>
  <c r="J31" i="2"/>
  <c r="E31" i="2"/>
  <c r="J30" i="2"/>
  <c r="E30" i="2"/>
  <c r="J29" i="2"/>
  <c r="E29" i="2"/>
  <c r="J28" i="2"/>
  <c r="E28" i="2"/>
  <c r="J27" i="2"/>
  <c r="E27" i="2"/>
  <c r="J26" i="2"/>
  <c r="E26" i="2"/>
  <c r="J25" i="2"/>
  <c r="E25" i="2"/>
  <c r="J24" i="2"/>
  <c r="E24" i="2"/>
  <c r="J23" i="2"/>
  <c r="E23" i="2"/>
  <c r="J22" i="2"/>
  <c r="E22" i="2"/>
  <c r="J21" i="2"/>
  <c r="E21" i="2"/>
  <c r="J20" i="2"/>
  <c r="E20" i="2"/>
  <c r="J19" i="2"/>
  <c r="E19" i="2"/>
  <c r="J18" i="2"/>
  <c r="E18" i="2"/>
  <c r="J17" i="2"/>
  <c r="E17" i="2"/>
  <c r="J16" i="2"/>
  <c r="E16" i="2"/>
  <c r="J15" i="2"/>
  <c r="G15" i="2"/>
  <c r="Q156" i="4"/>
  <c r="Q160" i="4"/>
  <c r="M184" i="4"/>
  <c r="L184" i="4"/>
  <c r="K184" i="4"/>
  <c r="I184" i="4"/>
  <c r="AS183" i="4"/>
  <c r="AS181" i="4"/>
  <c r="AS180" i="4"/>
  <c r="N180" i="4"/>
  <c r="AS179" i="4"/>
  <c r="AT178" i="4"/>
  <c r="M175" i="4"/>
  <c r="L175" i="4"/>
  <c r="K175" i="4"/>
  <c r="I175" i="4"/>
  <c r="AS174" i="4"/>
  <c r="AS172" i="4"/>
  <c r="AS171" i="4"/>
  <c r="AS170" i="4"/>
  <c r="AT169" i="4"/>
  <c r="O171" i="4"/>
  <c r="G160" i="4"/>
  <c r="AP156" i="4"/>
  <c r="AR156" i="4"/>
  <c r="AI152" i="4"/>
  <c r="AH152" i="4"/>
  <c r="AI151" i="4"/>
  <c r="AH151" i="4"/>
  <c r="AP150" i="4"/>
  <c r="AR150" i="4"/>
  <c r="AI150" i="4"/>
  <c r="AH150" i="4"/>
  <c r="AP149" i="4"/>
  <c r="AR149" i="4"/>
  <c r="AI149" i="4"/>
  <c r="AH149" i="4"/>
  <c r="AP148" i="4"/>
  <c r="AR148" i="4"/>
  <c r="AI148" i="4"/>
  <c r="AH148" i="4"/>
  <c r="AP147" i="4"/>
  <c r="AR147" i="4"/>
  <c r="AI147" i="4"/>
  <c r="AH147" i="4"/>
  <c r="AP146" i="4"/>
  <c r="AR146" i="4"/>
  <c r="AI146" i="4"/>
  <c r="AH146" i="4"/>
  <c r="AP145" i="4"/>
  <c r="AR145" i="4"/>
  <c r="AI145" i="4"/>
  <c r="AH145" i="4"/>
  <c r="AP144" i="4"/>
  <c r="AR144" i="4"/>
  <c r="AI144" i="4"/>
  <c r="AH144" i="4"/>
  <c r="AP143" i="4"/>
  <c r="AR143" i="4"/>
  <c r="AI143" i="4"/>
  <c r="AH143" i="4"/>
  <c r="AP142" i="4"/>
  <c r="AR142" i="4"/>
  <c r="AI142" i="4"/>
  <c r="AH142" i="4"/>
  <c r="AP141" i="4"/>
  <c r="AR141" i="4"/>
  <c r="AI141" i="4"/>
  <c r="AH141" i="4"/>
  <c r="AP140" i="4"/>
  <c r="AR140" i="4"/>
  <c r="AI140" i="4"/>
  <c r="AH140" i="4"/>
  <c r="AP139" i="4"/>
  <c r="AR139" i="4"/>
  <c r="AI139" i="4"/>
  <c r="AH139" i="4"/>
  <c r="AP138" i="4"/>
  <c r="AR138" i="4"/>
  <c r="AI138" i="4"/>
  <c r="AH138" i="4"/>
  <c r="AI137" i="4"/>
  <c r="AH137" i="4"/>
  <c r="AI136" i="4"/>
  <c r="AH136" i="4"/>
  <c r="AI134" i="4"/>
  <c r="AH134" i="4"/>
  <c r="AI133" i="4"/>
  <c r="AH133" i="4"/>
  <c r="AP132" i="4"/>
  <c r="AR132" i="4"/>
  <c r="AI132" i="4"/>
  <c r="AH132" i="4"/>
  <c r="AP131" i="4"/>
  <c r="AR131" i="4"/>
  <c r="AI131" i="4"/>
  <c r="AH131" i="4"/>
  <c r="AI130" i="4"/>
  <c r="AH130" i="4"/>
  <c r="AI129" i="4"/>
  <c r="AH129" i="4"/>
  <c r="AI127" i="4"/>
  <c r="AH127" i="4"/>
  <c r="AI126" i="4"/>
  <c r="AH126" i="4"/>
  <c r="AP125" i="4"/>
  <c r="AR125" i="4"/>
  <c r="AI125" i="4"/>
  <c r="AH125" i="4"/>
  <c r="AP124" i="4"/>
  <c r="AR124" i="4"/>
  <c r="AI124" i="4"/>
  <c r="AH124" i="4"/>
  <c r="AP123" i="4"/>
  <c r="AR123" i="4"/>
  <c r="AI123" i="4"/>
  <c r="AH123" i="4"/>
  <c r="AP122" i="4"/>
  <c r="AR122" i="4"/>
  <c r="AI122" i="4"/>
  <c r="AH122" i="4"/>
  <c r="AP121" i="4"/>
  <c r="AR121" i="4"/>
  <c r="AI121" i="4"/>
  <c r="AH121" i="4"/>
  <c r="AP120" i="4"/>
  <c r="AR120" i="4"/>
  <c r="AI120" i="4"/>
  <c r="AH120" i="4"/>
  <c r="AP119" i="4"/>
  <c r="AR119" i="4"/>
  <c r="AI119" i="4"/>
  <c r="AH119" i="4"/>
  <c r="AP118" i="4"/>
  <c r="AR118" i="4"/>
  <c r="AI118" i="4"/>
  <c r="AH118" i="4"/>
  <c r="AP117" i="4"/>
  <c r="AR117" i="4"/>
  <c r="AI117" i="4"/>
  <c r="AH117" i="4"/>
  <c r="AP116" i="4"/>
  <c r="AR116" i="4"/>
  <c r="AI116" i="4"/>
  <c r="AH116" i="4"/>
  <c r="AP115" i="4"/>
  <c r="AR115" i="4"/>
  <c r="AI115" i="4"/>
  <c r="AH115" i="4"/>
  <c r="AP114" i="4"/>
  <c r="AR114" i="4"/>
  <c r="AI114" i="4"/>
  <c r="AH114" i="4"/>
  <c r="AP113" i="4"/>
  <c r="AR113" i="4"/>
  <c r="AI113" i="4"/>
  <c r="AH113" i="4"/>
  <c r="AP112" i="4"/>
  <c r="AR112" i="4"/>
  <c r="AI112" i="4"/>
  <c r="AH112" i="4"/>
  <c r="AP111" i="4"/>
  <c r="AR111" i="4"/>
  <c r="AI111" i="4"/>
  <c r="AH111" i="4"/>
  <c r="AP110" i="4"/>
  <c r="AR110" i="4"/>
  <c r="AI110" i="4"/>
  <c r="AH110" i="4"/>
  <c r="AP109" i="4"/>
  <c r="AR109" i="4"/>
  <c r="AI109" i="4"/>
  <c r="AH109" i="4"/>
  <c r="AP108" i="4"/>
  <c r="AR108" i="4"/>
  <c r="AI108" i="4"/>
  <c r="AH108" i="4"/>
  <c r="AP107" i="4"/>
  <c r="AR107" i="4"/>
  <c r="AI107" i="4"/>
  <c r="AH107" i="4"/>
  <c r="AP106" i="4"/>
  <c r="AR106" i="4"/>
  <c r="AI106" i="4"/>
  <c r="AH106" i="4"/>
  <c r="AP105" i="4"/>
  <c r="AR105" i="4"/>
  <c r="AI105" i="4"/>
  <c r="AH105" i="4"/>
  <c r="AP104" i="4"/>
  <c r="AR104" i="4"/>
  <c r="AI104" i="4"/>
  <c r="AH104" i="4"/>
  <c r="AP103" i="4"/>
  <c r="AR103" i="4"/>
  <c r="AI103" i="4"/>
  <c r="AH103" i="4"/>
  <c r="AI102" i="4"/>
  <c r="AH102" i="4"/>
  <c r="AI101" i="4"/>
  <c r="AH101" i="4"/>
  <c r="AI99" i="4"/>
  <c r="AH99" i="4"/>
  <c r="AI98" i="4"/>
  <c r="AH98" i="4"/>
  <c r="AP97" i="4"/>
  <c r="AR97" i="4"/>
  <c r="AI97" i="4"/>
  <c r="AH97" i="4"/>
  <c r="AP96" i="4"/>
  <c r="AR96" i="4"/>
  <c r="AI96" i="4"/>
  <c r="AH96" i="4"/>
  <c r="AP95" i="4"/>
  <c r="AR95" i="4"/>
  <c r="AI95" i="4"/>
  <c r="AH95" i="4"/>
  <c r="AP94" i="4"/>
  <c r="AR94" i="4"/>
  <c r="AI94" i="4"/>
  <c r="AH94" i="4"/>
  <c r="AP93" i="4"/>
  <c r="AR93" i="4"/>
  <c r="AI93" i="4"/>
  <c r="AH93" i="4"/>
  <c r="AP92" i="4"/>
  <c r="AR92" i="4"/>
  <c r="AI92" i="4"/>
  <c r="AH92" i="4"/>
  <c r="AP91" i="4"/>
  <c r="AR91" i="4"/>
  <c r="AI91" i="4"/>
  <c r="AH91" i="4"/>
  <c r="AI90" i="4"/>
  <c r="AH90" i="4"/>
  <c r="AI89" i="4"/>
  <c r="AH89" i="4"/>
  <c r="AI87" i="4"/>
  <c r="AH87" i="4"/>
  <c r="AI86" i="4"/>
  <c r="AH86" i="4"/>
  <c r="AP85" i="4"/>
  <c r="AR85" i="4"/>
  <c r="AI85" i="4"/>
  <c r="AH85" i="4"/>
  <c r="AP84" i="4"/>
  <c r="AR84" i="4"/>
  <c r="AI84" i="4"/>
  <c r="AH84" i="4"/>
  <c r="AP83" i="4"/>
  <c r="AR83" i="4"/>
  <c r="AI83" i="4"/>
  <c r="AH83" i="4"/>
  <c r="AP82" i="4"/>
  <c r="AR82" i="4"/>
  <c r="AI82" i="4"/>
  <c r="AH82" i="4"/>
  <c r="AP81" i="4"/>
  <c r="AR81" i="4"/>
  <c r="AI81" i="4"/>
  <c r="AH81" i="4"/>
  <c r="AP80" i="4"/>
  <c r="AR80" i="4"/>
  <c r="AI80" i="4"/>
  <c r="AH80" i="4"/>
  <c r="AP79" i="4"/>
  <c r="AR79" i="4"/>
  <c r="AI79" i="4"/>
  <c r="AH79" i="4"/>
  <c r="AI78" i="4"/>
  <c r="AH78" i="4"/>
  <c r="AI77" i="4"/>
  <c r="AH77" i="4"/>
  <c r="AI75" i="4"/>
  <c r="AH75" i="4"/>
  <c r="AI74" i="4"/>
  <c r="AH74" i="4"/>
  <c r="AP73" i="4"/>
  <c r="AR73" i="4"/>
  <c r="AI73" i="4"/>
  <c r="AH73" i="4"/>
  <c r="AP72" i="4"/>
  <c r="AR72" i="4"/>
  <c r="AI72" i="4"/>
  <c r="AH72" i="4"/>
  <c r="AP71" i="4"/>
  <c r="AR71" i="4"/>
  <c r="AI71" i="4"/>
  <c r="AH71" i="4"/>
  <c r="AP70" i="4"/>
  <c r="AR70" i="4"/>
  <c r="AI70" i="4"/>
  <c r="AH70" i="4"/>
  <c r="AP69" i="4"/>
  <c r="AR69" i="4"/>
  <c r="AI69" i="4"/>
  <c r="AH69" i="4"/>
  <c r="AP68" i="4"/>
  <c r="AR68" i="4"/>
  <c r="AI68" i="4"/>
  <c r="AH68" i="4"/>
  <c r="AI67" i="4"/>
  <c r="AH67" i="4"/>
  <c r="AI66" i="4"/>
  <c r="AH66" i="4"/>
  <c r="AI64" i="4"/>
  <c r="AH64" i="4"/>
  <c r="AI63" i="4"/>
  <c r="AH63" i="4"/>
  <c r="AP62" i="4"/>
  <c r="AR62" i="4"/>
  <c r="AI62" i="4"/>
  <c r="AH62" i="4"/>
  <c r="AP61" i="4"/>
  <c r="AR61" i="4"/>
  <c r="AI61" i="4"/>
  <c r="AH61" i="4"/>
  <c r="AP60" i="4"/>
  <c r="AR60" i="4"/>
  <c r="AI60" i="4"/>
  <c r="AH60" i="4"/>
  <c r="AP59" i="4"/>
  <c r="AR59" i="4"/>
  <c r="AI59" i="4"/>
  <c r="AH59" i="4"/>
  <c r="AP58" i="4"/>
  <c r="AR58" i="4"/>
  <c r="AI58" i="4"/>
  <c r="AH58" i="4"/>
  <c r="AP57" i="4"/>
  <c r="AR57" i="4"/>
  <c r="AI57" i="4"/>
  <c r="AH57" i="4"/>
  <c r="AI56" i="4"/>
  <c r="AH56" i="4"/>
  <c r="AI55" i="4"/>
  <c r="AH55" i="4"/>
  <c r="AI53" i="4"/>
  <c r="AH53" i="4"/>
  <c r="AI52" i="4"/>
  <c r="AH52" i="4"/>
  <c r="AP51" i="4"/>
  <c r="AR51" i="4"/>
  <c r="AI51" i="4"/>
  <c r="AH51" i="4"/>
  <c r="AP50" i="4"/>
  <c r="AR50" i="4"/>
  <c r="AI50" i="4"/>
  <c r="AH50" i="4"/>
  <c r="AP49" i="4"/>
  <c r="AR49" i="4"/>
  <c r="AI49" i="4"/>
  <c r="AH49" i="4"/>
  <c r="AI48" i="4"/>
  <c r="AH48" i="4"/>
  <c r="AI47" i="4"/>
  <c r="AH47" i="4"/>
  <c r="AI45" i="4"/>
  <c r="AH45" i="4"/>
  <c r="AI44" i="4"/>
  <c r="AH44" i="4"/>
  <c r="AP43" i="4"/>
  <c r="AR43" i="4"/>
  <c r="AI43" i="4"/>
  <c r="AH43" i="4"/>
  <c r="AP42" i="4"/>
  <c r="AR42" i="4"/>
  <c r="AI42" i="4"/>
  <c r="AH42" i="4"/>
  <c r="AP41" i="4"/>
  <c r="AR41" i="4"/>
  <c r="AI41" i="4"/>
  <c r="AH41" i="4"/>
  <c r="AP40" i="4"/>
  <c r="AR40" i="4"/>
  <c r="AI40" i="4"/>
  <c r="AH40" i="4"/>
  <c r="AP39" i="4"/>
  <c r="AR39" i="4"/>
  <c r="AI39" i="4"/>
  <c r="AH39" i="4"/>
  <c r="AP38" i="4"/>
  <c r="AR38" i="4"/>
  <c r="AI38" i="4"/>
  <c r="AH38" i="4"/>
  <c r="AP37" i="4"/>
  <c r="AR37" i="4"/>
  <c r="AI37" i="4"/>
  <c r="AH37" i="4"/>
  <c r="AP36" i="4"/>
  <c r="AR36" i="4"/>
  <c r="AI36" i="4"/>
  <c r="AH36" i="4"/>
  <c r="AP35" i="4"/>
  <c r="AR35" i="4"/>
  <c r="AI35" i="4"/>
  <c r="AH35" i="4"/>
  <c r="AP34" i="4"/>
  <c r="AR34" i="4"/>
  <c r="AI34" i="4"/>
  <c r="AH34" i="4"/>
  <c r="AP33" i="4"/>
  <c r="AR33" i="4"/>
  <c r="AI33" i="4"/>
  <c r="AH33" i="4"/>
  <c r="AP32" i="4"/>
  <c r="AR32" i="4"/>
  <c r="AI32" i="4"/>
  <c r="AH32" i="4"/>
  <c r="AI31" i="4"/>
  <c r="AH31" i="4"/>
  <c r="AI30" i="4"/>
  <c r="AH30" i="4"/>
  <c r="AI28" i="4"/>
  <c r="AH28" i="4"/>
  <c r="AI27" i="4"/>
  <c r="AH27" i="4"/>
  <c r="AP25" i="4"/>
  <c r="AR25" i="4"/>
  <c r="AI25" i="4"/>
  <c r="AH25" i="4"/>
  <c r="AP24" i="4"/>
  <c r="AR24" i="4"/>
  <c r="AI24" i="4"/>
  <c r="AH24" i="4"/>
  <c r="AP23" i="4"/>
  <c r="AR23" i="4"/>
  <c r="AI23" i="4"/>
  <c r="AH23" i="4"/>
  <c r="AP22" i="4"/>
  <c r="AR22" i="4"/>
  <c r="AI22" i="4"/>
  <c r="AH22" i="4"/>
  <c r="AP21" i="4"/>
  <c r="AR21" i="4"/>
  <c r="AI21" i="4"/>
  <c r="AH21" i="4"/>
  <c r="AP20" i="4"/>
  <c r="AR20" i="4"/>
  <c r="AI20" i="4"/>
  <c r="AH20" i="4"/>
  <c r="AP19" i="4"/>
  <c r="AR19" i="4"/>
  <c r="AI19" i="4"/>
  <c r="AH19" i="4"/>
  <c r="AP18" i="4"/>
  <c r="AR18" i="4"/>
  <c r="AI18" i="4"/>
  <c r="AH18" i="4"/>
  <c r="AP17" i="4"/>
  <c r="AR17" i="4"/>
  <c r="AI17" i="4"/>
  <c r="AH17" i="4"/>
  <c r="AP16" i="4"/>
  <c r="AR16" i="4"/>
  <c r="AI16" i="4"/>
  <c r="AH16" i="4"/>
  <c r="AI15" i="4"/>
  <c r="AH15" i="4"/>
  <c r="AI14" i="4"/>
  <c r="AH14" i="4"/>
  <c r="O12" i="4"/>
  <c r="H12" i="4"/>
  <c r="H10" i="4"/>
  <c r="J8" i="2" s="1"/>
  <c r="AK4" i="4"/>
  <c r="AJ4" i="4"/>
  <c r="AI4" i="4"/>
  <c r="AH4" i="4"/>
  <c r="C2" i="4"/>
  <c r="P1" i="4"/>
  <c r="DO1" i="4"/>
  <c r="DQ1" i="4"/>
  <c r="DH1" i="4"/>
  <c r="DG1" i="4"/>
  <c r="CT1" i="4"/>
  <c r="CM1" i="4"/>
  <c r="CL1" i="4"/>
  <c r="CF1" i="4"/>
  <c r="DR1" i="4"/>
  <c r="G1" i="4"/>
  <c r="AT26" i="4"/>
  <c r="H299" i="4"/>
  <c r="I21" i="4"/>
  <c r="N21" i="4"/>
  <c r="H258" i="4"/>
  <c r="H267" i="4"/>
  <c r="H305" i="4"/>
  <c r="H310" i="4"/>
  <c r="H287" i="4"/>
  <c r="H269" i="4"/>
  <c r="H244" i="4"/>
  <c r="H256" i="4"/>
  <c r="H214" i="4"/>
  <c r="H206" i="4"/>
  <c r="H192" i="4"/>
  <c r="H204" i="4"/>
  <c r="H242" i="4"/>
  <c r="H228" i="4"/>
  <c r="H289" i="4"/>
  <c r="H297" i="4"/>
  <c r="H226" i="4"/>
  <c r="H216" i="4"/>
  <c r="S134" i="4"/>
  <c r="U142" i="4"/>
  <c r="U16" i="4"/>
  <c r="H183" i="4"/>
  <c r="U18" i="4"/>
  <c r="U72" i="4"/>
  <c r="U24" i="4"/>
  <c r="U41" i="4"/>
  <c r="U112" i="4"/>
  <c r="U106" i="4"/>
  <c r="U108" i="4"/>
  <c r="R53" i="4"/>
  <c r="U83" i="4"/>
  <c r="O169" i="4"/>
  <c r="U150" i="4"/>
  <c r="R64" i="4"/>
  <c r="R87" i="4"/>
  <c r="U95" i="4"/>
  <c r="O174" i="4"/>
  <c r="U20" i="4"/>
  <c r="U116" i="4"/>
  <c r="L105" i="4"/>
  <c r="AS173" i="4"/>
  <c r="AT180" i="4"/>
  <c r="U21" i="4"/>
  <c r="S64" i="4"/>
  <c r="U61" i="4"/>
  <c r="U117" i="4"/>
  <c r="U121" i="4"/>
  <c r="U143" i="4"/>
  <c r="Q53" i="4"/>
  <c r="U81" i="4"/>
  <c r="U94" i="4"/>
  <c r="U111" i="4"/>
  <c r="U119" i="4"/>
  <c r="U123" i="4"/>
  <c r="Q134" i="4"/>
  <c r="O178" i="4"/>
  <c r="U148" i="4"/>
  <c r="L142" i="4"/>
  <c r="T75" i="4"/>
  <c r="U80" i="4"/>
  <c r="U93" i="4"/>
  <c r="U97" i="4"/>
  <c r="U122" i="4"/>
  <c r="U131" i="4"/>
  <c r="S156" i="4"/>
  <c r="S160" i="4"/>
  <c r="U60" i="4"/>
  <c r="T99" i="4"/>
  <c r="L84" i="4"/>
  <c r="L141" i="4"/>
  <c r="L58" i="4"/>
  <c r="L113" i="4"/>
  <c r="L94" i="4"/>
  <c r="J14" i="2"/>
  <c r="J257" i="2"/>
  <c r="L71" i="4"/>
  <c r="L110" i="4"/>
  <c r="L80" i="4"/>
  <c r="R156" i="4"/>
  <c r="R160" i="4"/>
  <c r="L121" i="4"/>
  <c r="L124" i="4"/>
  <c r="L114" i="4"/>
  <c r="L139" i="4"/>
  <c r="I92" i="4"/>
  <c r="N92" i="4"/>
  <c r="L79" i="4"/>
  <c r="L36" i="4"/>
  <c r="I117" i="4"/>
  <c r="N117" i="4"/>
  <c r="L23" i="4"/>
  <c r="L32" i="4"/>
  <c r="I16" i="4"/>
  <c r="N16" i="4"/>
  <c r="L20" i="4"/>
  <c r="L37" i="4"/>
  <c r="T57" i="4"/>
  <c r="U57" i="4"/>
  <c r="L33" i="4"/>
  <c r="L35" i="4"/>
  <c r="I20" i="4"/>
  <c r="N20" i="4"/>
  <c r="L40" i="4"/>
  <c r="L22" i="4"/>
  <c r="L39" i="4"/>
  <c r="L62" i="4"/>
  <c r="I72" i="4"/>
  <c r="N72" i="4"/>
  <c r="I58" i="4"/>
  <c r="N58" i="4"/>
  <c r="I141" i="4"/>
  <c r="N141" i="4"/>
  <c r="I147" i="4"/>
  <c r="N147" i="4"/>
  <c r="I150" i="4"/>
  <c r="N150" i="4"/>
  <c r="I146" i="4"/>
  <c r="N146" i="4"/>
  <c r="I148" i="4"/>
  <c r="N148" i="4"/>
  <c r="I143" i="4"/>
  <c r="N143" i="4"/>
  <c r="I122" i="4"/>
  <c r="N122" i="4"/>
  <c r="I118" i="4"/>
  <c r="N118" i="4"/>
  <c r="I145" i="4"/>
  <c r="N145" i="4"/>
  <c r="I131" i="4"/>
  <c r="N131" i="4"/>
  <c r="I124" i="4"/>
  <c r="N124" i="4"/>
  <c r="I112" i="4"/>
  <c r="N112" i="4"/>
  <c r="I116" i="4"/>
  <c r="N116" i="4"/>
  <c r="I93" i="4"/>
  <c r="N93" i="4"/>
  <c r="I85" i="4"/>
  <c r="N85" i="4"/>
  <c r="I97" i="4"/>
  <c r="N97" i="4"/>
  <c r="I96" i="4"/>
  <c r="N96" i="4"/>
  <c r="I108" i="4"/>
  <c r="N108" i="4"/>
  <c r="I83" i="4"/>
  <c r="N83" i="4"/>
  <c r="I125" i="4"/>
  <c r="N125" i="4"/>
  <c r="I81" i="4"/>
  <c r="N81" i="4"/>
  <c r="I71" i="4"/>
  <c r="N71" i="4"/>
  <c r="I82" i="4"/>
  <c r="N82" i="4"/>
  <c r="L19" i="4"/>
  <c r="L34" i="4"/>
  <c r="I40" i="4"/>
  <c r="N40" i="4"/>
  <c r="L49" i="4"/>
  <c r="L50" i="4"/>
  <c r="L51" i="4"/>
  <c r="L69" i="4"/>
  <c r="L83" i="4"/>
  <c r="I19" i="4"/>
  <c r="N19" i="4"/>
  <c r="I22" i="4"/>
  <c r="N22" i="4"/>
  <c r="I24" i="4"/>
  <c r="N24" i="4"/>
  <c r="L60" i="4"/>
  <c r="I62" i="4"/>
  <c r="N62" i="4"/>
  <c r="L68" i="4"/>
  <c r="I80" i="4"/>
  <c r="N80" i="4"/>
  <c r="I91" i="4"/>
  <c r="N91" i="4"/>
  <c r="L24" i="4"/>
  <c r="L38" i="4"/>
  <c r="I41" i="4"/>
  <c r="N41" i="4"/>
  <c r="L72" i="4"/>
  <c r="L92" i="4"/>
  <c r="L17" i="4"/>
  <c r="I37" i="4"/>
  <c r="N37" i="4"/>
  <c r="L43" i="4"/>
  <c r="I68" i="4"/>
  <c r="N68" i="4"/>
  <c r="L81" i="4"/>
  <c r="I38" i="4"/>
  <c r="N38" i="4"/>
  <c r="L42" i="4"/>
  <c r="I60" i="4"/>
  <c r="N60" i="4"/>
  <c r="I61" i="4"/>
  <c r="N61" i="4"/>
  <c r="L70" i="4"/>
  <c r="T49" i="4"/>
  <c r="U49" i="4"/>
  <c r="I17" i="4"/>
  <c r="N17" i="4"/>
  <c r="I39" i="4"/>
  <c r="N39" i="4"/>
  <c r="I43" i="4"/>
  <c r="N43" i="4"/>
  <c r="L61" i="4"/>
  <c r="L73" i="4"/>
  <c r="I73" i="4"/>
  <c r="N73" i="4"/>
  <c r="L59" i="4"/>
  <c r="L93" i="4"/>
  <c r="I106" i="4"/>
  <c r="N106" i="4"/>
  <c r="I107" i="4"/>
  <c r="N107" i="4"/>
  <c r="I70" i="4"/>
  <c r="N70" i="4"/>
  <c r="I84" i="4"/>
  <c r="N84" i="4"/>
  <c r="I109" i="4"/>
  <c r="N109" i="4"/>
  <c r="L85" i="4"/>
  <c r="I114" i="4"/>
  <c r="N114" i="4"/>
  <c r="L82" i="4"/>
  <c r="L103" i="4"/>
  <c r="L104" i="4"/>
  <c r="I110" i="4"/>
  <c r="N110" i="4"/>
  <c r="L116" i="4"/>
  <c r="L108" i="4"/>
  <c r="L97" i="4"/>
  <c r="I105" i="4"/>
  <c r="N105" i="4"/>
  <c r="L117" i="4"/>
  <c r="I123" i="4"/>
  <c r="N123" i="4"/>
  <c r="L95" i="4"/>
  <c r="I103" i="4"/>
  <c r="N103" i="4"/>
  <c r="L107" i="4"/>
  <c r="L112" i="4"/>
  <c r="L122" i="4"/>
  <c r="L109" i="4"/>
  <c r="I121" i="4"/>
  <c r="N121" i="4"/>
  <c r="L123" i="4"/>
  <c r="L91" i="4"/>
  <c r="I104" i="4"/>
  <c r="N104" i="4"/>
  <c r="I113" i="4"/>
  <c r="N113" i="4"/>
  <c r="L115" i="4"/>
  <c r="L146" i="4"/>
  <c r="L138" i="4"/>
  <c r="L120" i="4"/>
  <c r="L125" i="4"/>
  <c r="L132" i="4"/>
  <c r="L131" i="4"/>
  <c r="I142" i="4"/>
  <c r="N142" i="4"/>
  <c r="L143" i="4"/>
  <c r="L144" i="4"/>
  <c r="L140" i="4"/>
  <c r="L149" i="4"/>
  <c r="I144" i="4"/>
  <c r="N144" i="4"/>
  <c r="L145" i="4"/>
  <c r="L147" i="4"/>
  <c r="L156" i="4"/>
  <c r="L150" i="4"/>
  <c r="L148" i="4"/>
  <c r="O172" i="4"/>
  <c r="S53" i="4"/>
  <c r="U71" i="4"/>
  <c r="U109" i="4"/>
  <c r="U147" i="4"/>
  <c r="T87" i="4"/>
  <c r="U103" i="4"/>
  <c r="U145" i="4"/>
  <c r="U92" i="4"/>
  <c r="U125" i="4"/>
  <c r="R134" i="4"/>
  <c r="U37" i="4"/>
  <c r="U70" i="4"/>
  <c r="T127" i="4"/>
  <c r="O179" i="4"/>
  <c r="R28" i="4"/>
  <c r="U19" i="4"/>
  <c r="S45" i="4"/>
  <c r="U40" i="4"/>
  <c r="U82" i="4"/>
  <c r="U114" i="4"/>
  <c r="U144" i="4"/>
  <c r="U22" i="4"/>
  <c r="U51" i="4"/>
  <c r="U62" i="4"/>
  <c r="U84" i="4"/>
  <c r="U96" i="4"/>
  <c r="U124" i="4"/>
  <c r="U39" i="4"/>
  <c r="DS1" i="4"/>
  <c r="T28" i="4"/>
  <c r="S28" i="4"/>
  <c r="U17" i="4"/>
  <c r="U23" i="4"/>
  <c r="Q28" i="4"/>
  <c r="CG1" i="4"/>
  <c r="CN1" i="4"/>
  <c r="R45" i="4"/>
  <c r="S127" i="4"/>
  <c r="U104" i="4"/>
  <c r="U58" i="4"/>
  <c r="R75" i="4"/>
  <c r="U69" i="4"/>
  <c r="R127" i="4"/>
  <c r="Q64" i="4"/>
  <c r="Q45" i="4"/>
  <c r="U43" i="4"/>
  <c r="S75" i="4"/>
  <c r="Q152" i="4"/>
  <c r="Q75" i="4"/>
  <c r="U38" i="4"/>
  <c r="U79" i="4"/>
  <c r="Q87" i="4"/>
  <c r="U68" i="4"/>
  <c r="U91" i="4"/>
  <c r="Q99" i="4"/>
  <c r="U120" i="4"/>
  <c r="S152" i="4"/>
  <c r="AS182" i="4"/>
  <c r="U85" i="4"/>
  <c r="Q127" i="4"/>
  <c r="U105" i="4"/>
  <c r="R152" i="4"/>
  <c r="AT172" i="4"/>
  <c r="AT174" i="4"/>
  <c r="AT175" i="4" s="1"/>
  <c r="AT188" i="4" s="1"/>
  <c r="AT170" i="4"/>
  <c r="S87" i="4"/>
  <c r="R99" i="4"/>
  <c r="U115" i="4"/>
  <c r="U118" i="4"/>
  <c r="S99" i="4"/>
  <c r="AT171" i="4"/>
  <c r="AT181" i="4"/>
  <c r="AT183" i="4"/>
  <c r="AT184" i="4" s="1"/>
  <c r="AT189" i="4" s="1"/>
  <c r="AT179" i="4"/>
  <c r="U73" i="4"/>
  <c r="U107" i="4"/>
  <c r="U110" i="4"/>
  <c r="U113" i="4"/>
  <c r="U141" i="4"/>
  <c r="U146" i="4"/>
  <c r="H312" i="4"/>
  <c r="O175" i="4"/>
  <c r="O170" i="4"/>
  <c r="O173" i="4"/>
  <c r="H157" i="4"/>
  <c r="U99" i="4"/>
  <c r="I25" i="4"/>
  <c r="N25" i="4"/>
  <c r="U28" i="4"/>
  <c r="J175" i="4"/>
  <c r="I156" i="4"/>
  <c r="N156" i="4"/>
  <c r="T156" i="4"/>
  <c r="U75" i="4"/>
  <c r="T149" i="4"/>
  <c r="U149" i="4"/>
  <c r="J21" i="4"/>
  <c r="I79" i="4"/>
  <c r="N79" i="4"/>
  <c r="I57" i="4"/>
  <c r="N57" i="4"/>
  <c r="I120" i="4"/>
  <c r="N120" i="4"/>
  <c r="I23" i="4"/>
  <c r="N23" i="4"/>
  <c r="I115" i="4"/>
  <c r="N115" i="4"/>
  <c r="I49" i="4"/>
  <c r="N49" i="4"/>
  <c r="I94" i="4"/>
  <c r="N94" i="4"/>
  <c r="I95" i="4"/>
  <c r="N95" i="4"/>
  <c r="I69" i="4"/>
  <c r="N69" i="4"/>
  <c r="I18" i="4"/>
  <c r="N18" i="4"/>
  <c r="S162" i="4"/>
  <c r="R162" i="4"/>
  <c r="AT182" i="4"/>
  <c r="Q164" i="4"/>
  <c r="Q162" i="4"/>
  <c r="O183" i="4"/>
  <c r="O181" i="4"/>
  <c r="AT173" i="4"/>
  <c r="U87" i="4"/>
  <c r="U127" i="4"/>
  <c r="J25" i="4"/>
  <c r="M25" i="4"/>
  <c r="I149" i="4"/>
  <c r="N149" i="4"/>
  <c r="I132" i="4"/>
  <c r="N132" i="4"/>
  <c r="T132" i="4"/>
  <c r="J111" i="4"/>
  <c r="I111" i="4"/>
  <c r="N111" i="4"/>
  <c r="I119" i="4"/>
  <c r="N119" i="4"/>
  <c r="J156" i="4"/>
  <c r="I51" i="4"/>
  <c r="N51" i="4"/>
  <c r="I50" i="4"/>
  <c r="N50" i="4"/>
  <c r="T50" i="4"/>
  <c r="T160" i="4"/>
  <c r="U156" i="4"/>
  <c r="U160" i="4"/>
  <c r="J84" i="4"/>
  <c r="M21" i="4"/>
  <c r="J62" i="4"/>
  <c r="J41" i="4"/>
  <c r="J116" i="4"/>
  <c r="J113" i="4"/>
  <c r="J107" i="4"/>
  <c r="J93" i="4"/>
  <c r="J71" i="4"/>
  <c r="J105" i="4"/>
  <c r="J109" i="4"/>
  <c r="J73" i="4"/>
  <c r="J131" i="4"/>
  <c r="J17" i="4"/>
  <c r="J121" i="4"/>
  <c r="J143" i="4"/>
  <c r="J146" i="4"/>
  <c r="J19" i="4"/>
  <c r="J92" i="4"/>
  <c r="J16" i="4"/>
  <c r="J39" i="4"/>
  <c r="J81" i="4"/>
  <c r="J72" i="4"/>
  <c r="J106" i="4"/>
  <c r="J22" i="4"/>
  <c r="J125" i="4"/>
  <c r="J60" i="4"/>
  <c r="J122" i="4"/>
  <c r="J97" i="4"/>
  <c r="J110" i="4"/>
  <c r="J141" i="4"/>
  <c r="J119" i="4"/>
  <c r="J82" i="4"/>
  <c r="J150" i="4"/>
  <c r="J124" i="4"/>
  <c r="J108" i="4"/>
  <c r="T59" i="4"/>
  <c r="J117" i="4"/>
  <c r="J114" i="4"/>
  <c r="J70" i="4"/>
  <c r="J142" i="4"/>
  <c r="J123" i="4"/>
  <c r="J83" i="4"/>
  <c r="J68" i="4"/>
  <c r="J104" i="4"/>
  <c r="J96" i="4"/>
  <c r="J103" i="4"/>
  <c r="J80" i="4"/>
  <c r="J43" i="4"/>
  <c r="J24" i="4"/>
  <c r="J38" i="4"/>
  <c r="J145" i="4"/>
  <c r="J91" i="4"/>
  <c r="J144" i="4"/>
  <c r="J85" i="4"/>
  <c r="J147" i="4"/>
  <c r="J148" i="4"/>
  <c r="J37" i="4"/>
  <c r="J20" i="4"/>
  <c r="J61" i="4"/>
  <c r="J40" i="4"/>
  <c r="J118" i="4"/>
  <c r="J112" i="4"/>
  <c r="J58" i="4"/>
  <c r="Q166" i="4"/>
  <c r="J132" i="4"/>
  <c r="I36" i="4"/>
  <c r="N36" i="4"/>
  <c r="T36" i="4"/>
  <c r="U36" i="4"/>
  <c r="I33" i="4"/>
  <c r="N33" i="4"/>
  <c r="T33" i="4"/>
  <c r="U33" i="4"/>
  <c r="I32" i="4"/>
  <c r="N32" i="4"/>
  <c r="T32" i="4"/>
  <c r="U50" i="4"/>
  <c r="U53" i="4"/>
  <c r="T53" i="4"/>
  <c r="I139" i="4"/>
  <c r="N139" i="4"/>
  <c r="T139" i="4"/>
  <c r="U139" i="4"/>
  <c r="I140" i="4"/>
  <c r="N140" i="4"/>
  <c r="T140" i="4"/>
  <c r="U140" i="4"/>
  <c r="T134" i="4"/>
  <c r="U132" i="4"/>
  <c r="U134" i="4"/>
  <c r="I34" i="4"/>
  <c r="N34" i="4"/>
  <c r="T34" i="4"/>
  <c r="U34" i="4"/>
  <c r="U59" i="4"/>
  <c r="U64" i="4"/>
  <c r="T64" i="4"/>
  <c r="I42" i="4"/>
  <c r="N42" i="4"/>
  <c r="T42" i="4"/>
  <c r="U42" i="4"/>
  <c r="I35" i="4"/>
  <c r="N35" i="4"/>
  <c r="T35" i="4"/>
  <c r="U35" i="4"/>
  <c r="I138" i="4"/>
  <c r="N138" i="4"/>
  <c r="T138" i="4"/>
  <c r="I59" i="4"/>
  <c r="N59" i="4"/>
  <c r="J120" i="4"/>
  <c r="M120" i="4"/>
  <c r="M37" i="4"/>
  <c r="M20" i="4"/>
  <c r="M91" i="4"/>
  <c r="M124" i="4"/>
  <c r="M110" i="4"/>
  <c r="M125" i="4"/>
  <c r="M19" i="4"/>
  <c r="M111" i="4"/>
  <c r="M112" i="4"/>
  <c r="M146" i="4"/>
  <c r="M118" i="4"/>
  <c r="M85" i="4"/>
  <c r="M24" i="4"/>
  <c r="M123" i="4"/>
  <c r="M82" i="4"/>
  <c r="M22" i="4"/>
  <c r="M39" i="4"/>
  <c r="M156" i="4"/>
  <c r="M143" i="4"/>
  <c r="M105" i="4"/>
  <c r="M41" i="4"/>
  <c r="M145" i="4"/>
  <c r="M40" i="4"/>
  <c r="M148" i="4"/>
  <c r="M43" i="4"/>
  <c r="M142" i="4"/>
  <c r="M119" i="4"/>
  <c r="M121" i="4"/>
  <c r="M71" i="4"/>
  <c r="M116" i="4"/>
  <c r="M58" i="4"/>
  <c r="M80" i="4"/>
  <c r="M103" i="4"/>
  <c r="M70" i="4"/>
  <c r="M97" i="4"/>
  <c r="M17" i="4"/>
  <c r="M93" i="4"/>
  <c r="M62" i="4"/>
  <c r="M150" i="4"/>
  <c r="M84" i="4"/>
  <c r="M96" i="4"/>
  <c r="M114" i="4"/>
  <c r="M108" i="4"/>
  <c r="M141" i="4"/>
  <c r="M122" i="4"/>
  <c r="M106" i="4"/>
  <c r="M131" i="4"/>
  <c r="M38" i="4"/>
  <c r="M104" i="4"/>
  <c r="M83" i="4"/>
  <c r="M117" i="4"/>
  <c r="M72" i="4"/>
  <c r="M73" i="4"/>
  <c r="M107" i="4"/>
  <c r="H21" i="4"/>
  <c r="O21" i="4"/>
  <c r="AS21" i="4"/>
  <c r="AT21" i="4"/>
  <c r="M16" i="4"/>
  <c r="M61" i="4"/>
  <c r="M147" i="4"/>
  <c r="M144" i="4"/>
  <c r="M68" i="4"/>
  <c r="M60" i="4"/>
  <c r="M81" i="4"/>
  <c r="M92" i="4"/>
  <c r="M109" i="4"/>
  <c r="M113" i="4"/>
  <c r="H25" i="4"/>
  <c r="O25" i="4"/>
  <c r="AS25" i="4"/>
  <c r="AT25" i="4"/>
  <c r="J18" i="4"/>
  <c r="J95" i="4"/>
  <c r="J51" i="4"/>
  <c r="J57" i="4"/>
  <c r="J49" i="4"/>
  <c r="J69" i="4"/>
  <c r="J94" i="4"/>
  <c r="J149" i="4"/>
  <c r="J79" i="4"/>
  <c r="J115" i="4"/>
  <c r="J23" i="4"/>
  <c r="J34" i="4"/>
  <c r="J42" i="4"/>
  <c r="J50" i="4"/>
  <c r="M50" i="4"/>
  <c r="J33" i="4"/>
  <c r="J140" i="4"/>
  <c r="AS120" i="4"/>
  <c r="AT120" i="4"/>
  <c r="J138" i="4"/>
  <c r="N162" i="4"/>
  <c r="J35" i="4"/>
  <c r="U32" i="4"/>
  <c r="T45" i="4"/>
  <c r="U138" i="4"/>
  <c r="U152" i="4"/>
  <c r="T152" i="4"/>
  <c r="AS83" i="4"/>
  <c r="AT83" i="4"/>
  <c r="H83" i="4"/>
  <c r="O83" i="4"/>
  <c r="AS105" i="4"/>
  <c r="AT105" i="4"/>
  <c r="H105" i="4"/>
  <c r="O105" i="4"/>
  <c r="AS85" i="4"/>
  <c r="AT85" i="4"/>
  <c r="H85" i="4"/>
  <c r="O85" i="4"/>
  <c r="AS124" i="4"/>
  <c r="AT124" i="4"/>
  <c r="H124" i="4"/>
  <c r="O124" i="4"/>
  <c r="AS109" i="4"/>
  <c r="AT109" i="4"/>
  <c r="H109" i="4"/>
  <c r="O109" i="4"/>
  <c r="M94" i="4"/>
  <c r="H93" i="4"/>
  <c r="O93" i="4"/>
  <c r="AS93" i="4"/>
  <c r="AT93" i="4"/>
  <c r="H111" i="4"/>
  <c r="O111" i="4"/>
  <c r="AS111" i="4"/>
  <c r="AT111" i="4"/>
  <c r="M18" i="4"/>
  <c r="AS92" i="4"/>
  <c r="AT92" i="4"/>
  <c r="H92" i="4"/>
  <c r="O92" i="4"/>
  <c r="H144" i="4"/>
  <c r="O144" i="4"/>
  <c r="AS144" i="4"/>
  <c r="AT144" i="4"/>
  <c r="AS73" i="4"/>
  <c r="AT73" i="4"/>
  <c r="H73" i="4"/>
  <c r="O73" i="4"/>
  <c r="AS106" i="4"/>
  <c r="AT106" i="4"/>
  <c r="H106" i="4"/>
  <c r="O106" i="4"/>
  <c r="H17" i="4"/>
  <c r="O17" i="4"/>
  <c r="AS17" i="4"/>
  <c r="AT17" i="4"/>
  <c r="H80" i="4"/>
  <c r="O80" i="4"/>
  <c r="AS80" i="4"/>
  <c r="AT80" i="4"/>
  <c r="H143" i="4"/>
  <c r="O143" i="4"/>
  <c r="AS143" i="4"/>
  <c r="AT143" i="4"/>
  <c r="H118" i="4"/>
  <c r="O118" i="4"/>
  <c r="AS118" i="4"/>
  <c r="AT118" i="4"/>
  <c r="AS19" i="4"/>
  <c r="AT19" i="4"/>
  <c r="H19" i="4"/>
  <c r="O19" i="4"/>
  <c r="H91" i="4"/>
  <c r="AS91" i="4"/>
  <c r="AT91" i="4"/>
  <c r="AS108" i="4"/>
  <c r="AT108" i="4"/>
  <c r="H108" i="4"/>
  <c r="O108" i="4"/>
  <c r="H147" i="4"/>
  <c r="O147" i="4"/>
  <c r="AS147" i="4"/>
  <c r="AT147" i="4"/>
  <c r="AS104" i="4"/>
  <c r="AT104" i="4"/>
  <c r="H104" i="4"/>
  <c r="O104" i="4"/>
  <c r="AS114" i="4"/>
  <c r="AT114" i="4"/>
  <c r="H114" i="4"/>
  <c r="O114" i="4"/>
  <c r="AS71" i="4"/>
  <c r="AT71" i="4"/>
  <c r="H71" i="4"/>
  <c r="O71" i="4"/>
  <c r="H43" i="4"/>
  <c r="O43" i="4"/>
  <c r="AS43" i="4"/>
  <c r="AT43" i="4"/>
  <c r="H145" i="4"/>
  <c r="O145" i="4"/>
  <c r="AS145" i="4"/>
  <c r="AT145" i="4"/>
  <c r="AS82" i="4"/>
  <c r="AT82" i="4"/>
  <c r="H82" i="4"/>
  <c r="O82" i="4"/>
  <c r="M149" i="4"/>
  <c r="AS103" i="4"/>
  <c r="AT103" i="4"/>
  <c r="H103" i="4"/>
  <c r="M57" i="4"/>
  <c r="M23" i="4"/>
  <c r="AS81" i="4"/>
  <c r="AT81" i="4"/>
  <c r="H81" i="4"/>
  <c r="O81" i="4"/>
  <c r="H38" i="4"/>
  <c r="O38" i="4"/>
  <c r="AS38" i="4"/>
  <c r="AT38" i="4"/>
  <c r="H122" i="4"/>
  <c r="O122" i="4"/>
  <c r="AS122" i="4"/>
  <c r="AT122" i="4"/>
  <c r="AS58" i="4"/>
  <c r="AT58" i="4"/>
  <c r="H58" i="4"/>
  <c r="O58" i="4"/>
  <c r="H123" i="4"/>
  <c r="O123" i="4"/>
  <c r="AS123" i="4"/>
  <c r="AT123" i="4"/>
  <c r="M51" i="4"/>
  <c r="H16" i="4"/>
  <c r="AS16" i="4"/>
  <c r="AT16" i="4"/>
  <c r="M95" i="4"/>
  <c r="AS107" i="4"/>
  <c r="AT107" i="4"/>
  <c r="H107" i="4"/>
  <c r="O107" i="4"/>
  <c r="AS150" i="4"/>
  <c r="AT150" i="4"/>
  <c r="H150" i="4"/>
  <c r="O150" i="4"/>
  <c r="AS142" i="4"/>
  <c r="AT142" i="4"/>
  <c r="H142" i="4"/>
  <c r="O142" i="4"/>
  <c r="AS22" i="4"/>
  <c r="AT22" i="4"/>
  <c r="H22" i="4"/>
  <c r="O22" i="4"/>
  <c r="M115" i="4"/>
  <c r="AS113" i="4"/>
  <c r="AT113" i="4"/>
  <c r="H113" i="4"/>
  <c r="O113" i="4"/>
  <c r="H60" i="4"/>
  <c r="O60" i="4"/>
  <c r="AS60" i="4"/>
  <c r="AT60" i="4"/>
  <c r="AS61" i="4"/>
  <c r="AT61" i="4"/>
  <c r="H61" i="4"/>
  <c r="O61" i="4"/>
  <c r="H72" i="4"/>
  <c r="O72" i="4"/>
  <c r="AS72" i="4"/>
  <c r="AT72" i="4"/>
  <c r="H96" i="4"/>
  <c r="O96" i="4"/>
  <c r="AS96" i="4"/>
  <c r="AT96" i="4"/>
  <c r="AS97" i="4"/>
  <c r="AT97" i="4"/>
  <c r="H97" i="4"/>
  <c r="O97" i="4"/>
  <c r="AS148" i="4"/>
  <c r="AT148" i="4"/>
  <c r="H148" i="4"/>
  <c r="O148" i="4"/>
  <c r="H156" i="4"/>
  <c r="AS156" i="4"/>
  <c r="AT156" i="4"/>
  <c r="AS146" i="4"/>
  <c r="AT146" i="4"/>
  <c r="H146" i="4"/>
  <c r="O146" i="4"/>
  <c r="AS125" i="4"/>
  <c r="AT125" i="4"/>
  <c r="H125" i="4"/>
  <c r="O125" i="4"/>
  <c r="H20" i="4"/>
  <c r="O20" i="4"/>
  <c r="AS20" i="4"/>
  <c r="AT20" i="4"/>
  <c r="M49" i="4"/>
  <c r="M132" i="4"/>
  <c r="AS141" i="4"/>
  <c r="AT141" i="4"/>
  <c r="H141" i="4"/>
  <c r="O141" i="4"/>
  <c r="AS84" i="4"/>
  <c r="AT84" i="4"/>
  <c r="H84" i="4"/>
  <c r="O84" i="4"/>
  <c r="AS70" i="4"/>
  <c r="AT70" i="4"/>
  <c r="H70" i="4"/>
  <c r="O70" i="4"/>
  <c r="AS121" i="4"/>
  <c r="AT121" i="4"/>
  <c r="H121" i="4"/>
  <c r="O121" i="4"/>
  <c r="AS24" i="4"/>
  <c r="AT24" i="4"/>
  <c r="H24" i="4"/>
  <c r="O24" i="4"/>
  <c r="AS112" i="4"/>
  <c r="AT112" i="4"/>
  <c r="H112" i="4"/>
  <c r="O112" i="4"/>
  <c r="AS131" i="4"/>
  <c r="AT131" i="4"/>
  <c r="H131" i="4"/>
  <c r="M79" i="4"/>
  <c r="M69" i="4"/>
  <c r="AS68" i="4"/>
  <c r="AT68" i="4"/>
  <c r="H68" i="4"/>
  <c r="H117" i="4"/>
  <c r="O117" i="4"/>
  <c r="AS117" i="4"/>
  <c r="AT117" i="4"/>
  <c r="H62" i="4"/>
  <c r="O62" i="4"/>
  <c r="AS62" i="4"/>
  <c r="AT62" i="4"/>
  <c r="AS116" i="4"/>
  <c r="AT116" i="4"/>
  <c r="H116" i="4"/>
  <c r="O116" i="4"/>
  <c r="AS119" i="4"/>
  <c r="AT119" i="4"/>
  <c r="H119" i="4"/>
  <c r="O119" i="4"/>
  <c r="AS40" i="4"/>
  <c r="AT40" i="4"/>
  <c r="H40" i="4"/>
  <c r="O40" i="4"/>
  <c r="AS41" i="4"/>
  <c r="AT41" i="4"/>
  <c r="H41" i="4"/>
  <c r="O41" i="4"/>
  <c r="AS39" i="4"/>
  <c r="AT39" i="4"/>
  <c r="H39" i="4"/>
  <c r="O39" i="4"/>
  <c r="H110" i="4"/>
  <c r="O110" i="4"/>
  <c r="AS110" i="4"/>
  <c r="AT110" i="4"/>
  <c r="AS37" i="4"/>
  <c r="AT37" i="4"/>
  <c r="H37" i="4"/>
  <c r="O37" i="4"/>
  <c r="J59" i="4"/>
  <c r="J139" i="4"/>
  <c r="T162" i="4"/>
  <c r="J36" i="4"/>
  <c r="M36" i="4"/>
  <c r="H120" i="4"/>
  <c r="O120" i="4"/>
  <c r="U45" i="4"/>
  <c r="U162" i="4"/>
  <c r="J32" i="4"/>
  <c r="M32" i="4"/>
  <c r="AS69" i="4"/>
  <c r="AT69" i="4"/>
  <c r="AT66" i="4"/>
  <c r="H69" i="4"/>
  <c r="O69" i="4"/>
  <c r="M140" i="4"/>
  <c r="H149" i="4"/>
  <c r="O149" i="4"/>
  <c r="AS149" i="4"/>
  <c r="AT149" i="4"/>
  <c r="M35" i="4"/>
  <c r="H79" i="4"/>
  <c r="AS79" i="4"/>
  <c r="AT79" i="4"/>
  <c r="AT87" i="4"/>
  <c r="H49" i="4"/>
  <c r="AS49" i="4"/>
  <c r="AT49" i="4"/>
  <c r="H51" i="4"/>
  <c r="O51" i="4"/>
  <c r="AS51" i="4"/>
  <c r="AT51" i="4"/>
  <c r="H57" i="4"/>
  <c r="AS57" i="4"/>
  <c r="AT57" i="4"/>
  <c r="AT160" i="4"/>
  <c r="AT154" i="4"/>
  <c r="H115" i="4"/>
  <c r="O115" i="4"/>
  <c r="AS115" i="4"/>
  <c r="AT115" i="4"/>
  <c r="AT127" i="4"/>
  <c r="O103" i="4"/>
  <c r="M33" i="4"/>
  <c r="O131" i="4"/>
  <c r="AS132" i="4"/>
  <c r="AT132" i="4"/>
  <c r="AT129" i="4"/>
  <c r="H132" i="4"/>
  <c r="O132" i="4"/>
  <c r="O156" i="4"/>
  <c r="AT101" i="4"/>
  <c r="AS94" i="4"/>
  <c r="AT94" i="4"/>
  <c r="H94" i="4"/>
  <c r="O94" i="4"/>
  <c r="O16" i="4"/>
  <c r="H18" i="4"/>
  <c r="O18" i="4"/>
  <c r="AS18" i="4"/>
  <c r="AT18" i="4"/>
  <c r="M59" i="4"/>
  <c r="M42" i="4"/>
  <c r="M139" i="4"/>
  <c r="O68" i="4"/>
  <c r="H95" i="4"/>
  <c r="O95" i="4"/>
  <c r="AS95" i="4"/>
  <c r="AT95" i="4"/>
  <c r="M138" i="4"/>
  <c r="H50" i="4"/>
  <c r="O50" i="4"/>
  <c r="AS50" i="4"/>
  <c r="AT50" i="4"/>
  <c r="M34" i="4"/>
  <c r="H23" i="4"/>
  <c r="O23" i="4"/>
  <c r="AS23" i="4"/>
  <c r="AT23" i="4"/>
  <c r="O91" i="4"/>
  <c r="AT89" i="4"/>
  <c r="AT75" i="4"/>
  <c r="H75" i="4"/>
  <c r="M162" i="4"/>
  <c r="H66" i="4"/>
  <c r="AT99" i="4"/>
  <c r="H101" i="4"/>
  <c r="H28" i="4"/>
  <c r="AT14" i="4"/>
  <c r="AT28" i="4"/>
  <c r="AT77" i="4"/>
  <c r="H89" i="4"/>
  <c r="H99" i="4"/>
  <c r="AS139" i="4"/>
  <c r="AT139" i="4"/>
  <c r="H139" i="4"/>
  <c r="O139" i="4"/>
  <c r="O99" i="4"/>
  <c r="O89" i="4"/>
  <c r="AS34" i="4"/>
  <c r="AT34" i="4"/>
  <c r="H34" i="4"/>
  <c r="O34" i="4"/>
  <c r="AT134" i="4"/>
  <c r="H129" i="4"/>
  <c r="AT47" i="4"/>
  <c r="AT53" i="4"/>
  <c r="AS36" i="4"/>
  <c r="AT36" i="4"/>
  <c r="H36" i="4"/>
  <c r="O36" i="4"/>
  <c r="H42" i="4"/>
  <c r="O42" i="4"/>
  <c r="AS42" i="4"/>
  <c r="AT42" i="4"/>
  <c r="O134" i="4"/>
  <c r="O129" i="4"/>
  <c r="O49" i="4"/>
  <c r="H53" i="4"/>
  <c r="H47" i="4"/>
  <c r="AS59" i="4"/>
  <c r="AT59" i="4"/>
  <c r="AT55" i="4"/>
  <c r="H59" i="4"/>
  <c r="O59" i="4"/>
  <c r="AS32" i="4"/>
  <c r="AT32" i="4"/>
  <c r="H32" i="4"/>
  <c r="H134" i="4"/>
  <c r="O127" i="4"/>
  <c r="O101" i="4"/>
  <c r="AS138" i="4"/>
  <c r="AT138" i="4"/>
  <c r="H138" i="4"/>
  <c r="AS33" i="4"/>
  <c r="AT33" i="4"/>
  <c r="H33" i="4"/>
  <c r="O33" i="4"/>
  <c r="O79" i="4"/>
  <c r="H87" i="4"/>
  <c r="H77" i="4"/>
  <c r="AS140" i="4"/>
  <c r="AT140" i="4"/>
  <c r="H140" i="4"/>
  <c r="O28" i="4"/>
  <c r="O14" i="4"/>
  <c r="H35" i="4"/>
  <c r="O35" i="4"/>
  <c r="AS35" i="4"/>
  <c r="AT35" i="4"/>
  <c r="O75" i="4"/>
  <c r="O66" i="4"/>
  <c r="H14" i="4"/>
  <c r="O154" i="4"/>
  <c r="O160" i="4"/>
  <c r="H127" i="4"/>
  <c r="O57" i="4"/>
  <c r="V66" i="4"/>
  <c r="V101" i="4"/>
  <c r="V129" i="4"/>
  <c r="V14" i="4"/>
  <c r="V89" i="4"/>
  <c r="AT136" i="4"/>
  <c r="N173" i="4"/>
  <c r="N182" i="4"/>
  <c r="H64" i="4"/>
  <c r="H136" i="4"/>
  <c r="O140" i="4"/>
  <c r="AT152" i="4"/>
  <c r="O138" i="4"/>
  <c r="H152" i="4"/>
  <c r="H55" i="4"/>
  <c r="AT64" i="4"/>
  <c r="O53" i="4"/>
  <c r="O47" i="4"/>
  <c r="V47" i="4"/>
  <c r="O64" i="4"/>
  <c r="O55" i="4"/>
  <c r="O87" i="4"/>
  <c r="O77" i="4"/>
  <c r="V77" i="4"/>
  <c r="O32" i="4"/>
  <c r="H30" i="4"/>
  <c r="H45" i="4"/>
  <c r="AT30" i="4"/>
  <c r="AT45" i="4"/>
  <c r="O136" i="4"/>
  <c r="V136" i="4"/>
  <c r="O152" i="4"/>
  <c r="AT162" i="4"/>
  <c r="O30" i="4"/>
  <c r="V30" i="4"/>
  <c r="O45" i="4"/>
  <c r="V55" i="4"/>
  <c r="AT1" i="4"/>
  <c r="H1" i="4"/>
  <c r="H158" i="4"/>
  <c r="H160" i="4"/>
  <c r="H162" i="4"/>
  <c r="H180" i="4"/>
  <c r="O162" i="4"/>
  <c r="O163" i="4"/>
  <c r="H187" i="4"/>
  <c r="H314" i="4"/>
  <c r="H154" i="4"/>
  <c r="V154" i="4"/>
  <c r="O180" i="4"/>
  <c r="H182" i="4"/>
  <c r="O182" i="4"/>
  <c r="H184" i="4"/>
  <c r="J184" i="4"/>
  <c r="O184" i="4"/>
  <c r="H18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Santiago</author>
  </authors>
  <commentList>
    <comment ref="B28" authorId="0" shapeId="0" xr:uid="{600CC5F7-73EC-49B5-A789-B81FFC103C4F}">
      <text>
        <r>
          <rPr>
            <sz val="8"/>
            <color indexed="81"/>
            <rFont val="Tahoma"/>
            <family val="2"/>
          </rPr>
          <t xml:space="preserve">Palabra </t>
        </r>
        <r>
          <rPr>
            <b/>
            <sz val="8"/>
            <color indexed="81"/>
            <rFont val="Tahoma"/>
            <family val="2"/>
          </rPr>
          <t>CLAVE</t>
        </r>
        <r>
          <rPr>
            <sz val="8"/>
            <color indexed="81"/>
            <rFont val="Tahoma"/>
            <family val="2"/>
          </rPr>
          <t xml:space="preserve"> No Eliminarla</t>
        </r>
      </text>
    </comment>
    <comment ref="B193" authorId="0" shapeId="0" xr:uid="{0757D926-6D91-4BBA-B952-961B971C6F1E}">
      <text>
        <r>
          <rPr>
            <sz val="8"/>
            <color indexed="81"/>
            <rFont val="Tahoma"/>
            <family val="2"/>
          </rPr>
          <t xml:space="preserve">Palabra </t>
        </r>
        <r>
          <rPr>
            <b/>
            <sz val="8"/>
            <color indexed="81"/>
            <rFont val="Tahoma"/>
            <family val="2"/>
          </rPr>
          <t>CLAVE</t>
        </r>
        <r>
          <rPr>
            <sz val="8"/>
            <color indexed="81"/>
            <rFont val="Tahoma"/>
            <family val="2"/>
          </rPr>
          <t xml:space="preserve"> No Eliminarla</t>
        </r>
      </text>
    </comment>
    <comment ref="B204" authorId="0" shapeId="0" xr:uid="{403ABB28-FB0C-413E-B7FC-72C01967683F}">
      <text>
        <r>
          <rPr>
            <sz val="8"/>
            <color indexed="81"/>
            <rFont val="Tahoma"/>
            <family val="2"/>
          </rPr>
          <t xml:space="preserve">Palabra </t>
        </r>
        <r>
          <rPr>
            <b/>
            <sz val="8"/>
            <color indexed="81"/>
            <rFont val="Tahoma"/>
            <family val="2"/>
          </rPr>
          <t>CLAVE</t>
        </r>
        <r>
          <rPr>
            <sz val="8"/>
            <color indexed="81"/>
            <rFont val="Tahoma"/>
            <family val="2"/>
          </rPr>
          <t xml:space="preserve"> No Eliminarla</t>
        </r>
      </text>
    </comment>
  </commentList>
</comments>
</file>

<file path=xl/sharedStrings.xml><?xml version="1.0" encoding="utf-8"?>
<sst xmlns="http://schemas.openxmlformats.org/spreadsheetml/2006/main" count="1644" uniqueCount="797">
  <si>
    <t>2015.1</t>
  </si>
  <si>
    <t>2025.2</t>
  </si>
  <si>
    <t>www.sagut.com</t>
  </si>
  <si>
    <t>Unit  CD</t>
  </si>
  <si>
    <t>Unit  CT</t>
  </si>
  <si>
    <t>Decimales</t>
  </si>
  <si>
    <t>Durac</t>
  </si>
  <si>
    <t>CT</t>
  </si>
  <si>
    <t>CD</t>
  </si>
  <si>
    <t>CASA</t>
  </si>
  <si>
    <t>DOBLECLIC AQUÍ PARA OCULTAR</t>
  </si>
  <si>
    <t>C1</t>
  </si>
  <si>
    <t>C2</t>
  </si>
  <si>
    <t>C3</t>
  </si>
  <si>
    <t>C4</t>
  </si>
  <si>
    <t>C5</t>
  </si>
  <si>
    <t>C6</t>
  </si>
  <si>
    <t xml:space="preserve"> </t>
  </si>
  <si>
    <t xml:space="preserve">Valor Final del Contrato  $ </t>
  </si>
  <si>
    <t>Precios Base</t>
  </si>
  <si>
    <t>Dobleclic para ocultar Cantidades Definitivas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</si>
  <si>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</si>
  <si>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</si>
  <si>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</si>
  <si>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</si>
  <si>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</si>
  <si>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</si>
  <si>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</si>
  <si>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</si>
  <si>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</si>
  <si>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</si>
  <si>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</si>
  <si>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</si>
  <si>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</si>
  <si>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</si>
  <si>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</si>
  <si>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</si>
  <si>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</si>
  <si>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</si>
  <si>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</si>
  <si>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</si>
  <si>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</si>
  <si>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</si>
  <si>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</si>
  <si>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</si>
  <si>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</si>
  <si>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</si>
  <si>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</si>
  <si>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</si>
  <si>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</si>
  <si>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</si>
  <si>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</si>
  <si>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</si>
  <si>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</si>
  <si>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</si>
  <si>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</si>
  <si>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</si>
  <si>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</si>
  <si>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</si>
  <si>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</si>
  <si>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</si>
  <si>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</si>
  <si>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</si>
  <si>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</si>
  <si>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</si>
  <si>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</si>
  <si>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</si>
  <si>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</si>
  <si>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SECRETARIA DE DESARROLLO TERRITORIAL Y PARTICIPACIÓN CIUDADANA</t>
  </si>
  <si>
    <t>ITEMS POR COMPONENTES</t>
  </si>
  <si>
    <t>CANTIDADES DEFINITIVAS DE OBRA</t>
  </si>
  <si>
    <t>PRESUPUESTO DE OBRA</t>
  </si>
  <si>
    <t>Otros</t>
  </si>
  <si>
    <t>Equipo</t>
  </si>
  <si>
    <t>M. de Obra</t>
  </si>
  <si>
    <t>Materiales</t>
  </si>
  <si>
    <t>Unit CD</t>
  </si>
  <si>
    <t>PRESUP.</t>
  </si>
  <si>
    <t>MODIF.</t>
  </si>
  <si>
    <t>CANT. DEFINIT.</t>
  </si>
  <si>
    <t>VR.UNIT.</t>
  </si>
  <si>
    <t>VR. DEFINIT.</t>
  </si>
  <si>
    <t>Objeto:</t>
  </si>
  <si>
    <t>C.A.L.I 15</t>
  </si>
  <si>
    <t>PROCESO No.</t>
  </si>
  <si>
    <t>FECHA:</t>
  </si>
  <si>
    <t>ENCAB</t>
  </si>
  <si>
    <t>ITEM</t>
  </si>
  <si>
    <t>DESCRIPCION</t>
  </si>
  <si>
    <t>UND</t>
  </si>
  <si>
    <t>CANT.</t>
  </si>
  <si>
    <t>VR. UNIT</t>
  </si>
  <si>
    <t>C.D.</t>
  </si>
  <si>
    <t>C.T.</t>
  </si>
  <si>
    <t>DURAC</t>
  </si>
  <si>
    <t>VR. TOTAL</t>
  </si>
  <si>
    <t>VR. C.D.</t>
  </si>
  <si>
    <t>CAP</t>
  </si>
  <si>
    <t>1</t>
  </si>
  <si>
    <t>PRELIMINARES 1</t>
  </si>
  <si>
    <t>.</t>
  </si>
  <si>
    <t>COD</t>
  </si>
  <si>
    <t>330107</t>
  </si>
  <si>
    <t>1.1</t>
  </si>
  <si>
    <t>CORTADORA DE LADRILLO CON DISCO (ALQUILER)</t>
  </si>
  <si>
    <t>DÍA</t>
  </si>
  <si>
    <t>100414</t>
  </si>
  <si>
    <t>1.2</t>
  </si>
  <si>
    <t>DEMOLICION CONTRAPISO CONCRETO E=5CM-10CM</t>
  </si>
  <si>
    <t>100314</t>
  </si>
  <si>
    <t>1.3</t>
  </si>
  <si>
    <t>DEMOLICION MURO LAD. SOGA</t>
  </si>
  <si>
    <t>M2</t>
  </si>
  <si>
    <t>100305</t>
  </si>
  <si>
    <t>1.4</t>
  </si>
  <si>
    <t>DEMOLICION ENCHAPE CERAMICO</t>
  </si>
  <si>
    <t>100515</t>
  </si>
  <si>
    <t>1.5</t>
  </si>
  <si>
    <t>DESMONTE MARCO + NAVE SENCILLA</t>
  </si>
  <si>
    <t>100538</t>
  </si>
  <si>
    <t>1.6</t>
  </si>
  <si>
    <t>DESMONTE MARCO DOBLE + NAVE DOBLE</t>
  </si>
  <si>
    <t>100407</t>
  </si>
  <si>
    <t>1.7</t>
  </si>
  <si>
    <t>DEMOLICION PISO ENCHAPE-BALDOSA+MORTERO</t>
  </si>
  <si>
    <t>100401</t>
  </si>
  <si>
    <t>1.8</t>
  </si>
  <si>
    <t>DEMOLICION ANDEN/CONTRAPISO CONC.E 7.6 A 12CM</t>
  </si>
  <si>
    <t>100628</t>
  </si>
  <si>
    <t>1.9</t>
  </si>
  <si>
    <t>CARGUE Y RETIRO MATERIAL VOLQUETA &lt;= 10 KM.</t>
  </si>
  <si>
    <t>M3</t>
  </si>
  <si>
    <t>010119</t>
  </si>
  <si>
    <t>1.10</t>
  </si>
  <si>
    <t>DISPOSICIÓN FINAL DE ESCOMBROS Y SOBRANTES</t>
  </si>
  <si>
    <t>STCAP</t>
  </si>
  <si>
    <t>2</t>
  </si>
  <si>
    <t>ESTRUCTURA CONCRETO</t>
  </si>
  <si>
    <t>120210</t>
  </si>
  <si>
    <t>2.1</t>
  </si>
  <si>
    <t>SOLADO ESPESOR E=0.05M 3000 PSI 210 MPA</t>
  </si>
  <si>
    <t>120213</t>
  </si>
  <si>
    <t>2.2</t>
  </si>
  <si>
    <t>ZAPATA CONCRETO 3000 PSI INC. FORMALETA</t>
  </si>
  <si>
    <t>120301</t>
  </si>
  <si>
    <t>2.3</t>
  </si>
  <si>
    <t>VIGA CIMIENTO ENLACE H=20-40CM 3100PSI</t>
  </si>
  <si>
    <t>130204</t>
  </si>
  <si>
    <t>2.4</t>
  </si>
  <si>
    <t>COLUMNA CONCRETO 3000 PSI</t>
  </si>
  <si>
    <t>130413</t>
  </si>
  <si>
    <t>2.5</t>
  </si>
  <si>
    <t>VIGA CONCRETO AEREA 3000 PSI</t>
  </si>
  <si>
    <t>120101</t>
  </si>
  <si>
    <t>2.6</t>
  </si>
  <si>
    <t>ACERO REFUERZO FLEJADO 60000 PSI 420Mpa</t>
  </si>
  <si>
    <t>KG</t>
  </si>
  <si>
    <t>131114</t>
  </si>
  <si>
    <t>2.7</t>
  </si>
  <si>
    <t>ANCLAJE HIERRO ,3/8"-PERFORACION  ,1/2" 10-15C</t>
  </si>
  <si>
    <t>PUNTO</t>
  </si>
  <si>
    <t>131116</t>
  </si>
  <si>
    <t>2.8</t>
  </si>
  <si>
    <t>ANCLAJE HIERRO ,5/8"-PERFORACION  ,3/4" 10-15C</t>
  </si>
  <si>
    <t>131119</t>
  </si>
  <si>
    <t>2.9</t>
  </si>
  <si>
    <t>ANCLAJE HIERRO ,1/2"-PERFORACION  ,5/8" 10-15C</t>
  </si>
  <si>
    <t>320601</t>
  </si>
  <si>
    <t>2.10</t>
  </si>
  <si>
    <t>ADHERENTE EPOXICO LIBRE DE SOLVENTES</t>
  </si>
  <si>
    <t>200127</t>
  </si>
  <si>
    <t>2.11</t>
  </si>
  <si>
    <t>CONTRAPISO REFORZADO E=10CM 3.000Psi</t>
  </si>
  <si>
    <t>131115</t>
  </si>
  <si>
    <t>2.12</t>
  </si>
  <si>
    <t>ANCLAJE HIERRO ,3/4"-PERFORACION  ,7/8" 16-20C</t>
  </si>
  <si>
    <t>3</t>
  </si>
  <si>
    <t>MUROS</t>
  </si>
  <si>
    <t>140220</t>
  </si>
  <si>
    <t>3.1</t>
  </si>
  <si>
    <t>MURO LADRILLO SOGA SUCIO</t>
  </si>
  <si>
    <t>190109</t>
  </si>
  <si>
    <t>3.2</t>
  </si>
  <si>
    <t>REPELLO MURO 1:3</t>
  </si>
  <si>
    <t>131213</t>
  </si>
  <si>
    <t>3.3</t>
  </si>
  <si>
    <t>ICOPOR JUNTA CONSTRUCCION E=2CM</t>
  </si>
  <si>
    <t>4</t>
  </si>
  <si>
    <t>PISOS Y ENCHAPES</t>
  </si>
  <si>
    <t>200102</t>
  </si>
  <si>
    <t>4.1</t>
  </si>
  <si>
    <t>ALISTADO PISO 5 CM</t>
  </si>
  <si>
    <t>190505</t>
  </si>
  <si>
    <t>4.2</t>
  </si>
  <si>
    <t>CERAMIC0 PISO-PARED 20-50X20-50CM</t>
  </si>
  <si>
    <t>200132</t>
  </si>
  <si>
    <t>4.3</t>
  </si>
  <si>
    <t>ANDEN CONCRETO 10CM 3000 PSI</t>
  </si>
  <si>
    <t>200215</t>
  </si>
  <si>
    <t>4.4</t>
  </si>
  <si>
    <t>PORCELANATO 50- 60X 50 -60 CM</t>
  </si>
  <si>
    <t>200813</t>
  </si>
  <si>
    <t>4.5</t>
  </si>
  <si>
    <t>GUARDAESCOBA PORCELANATO 7X30CM</t>
  </si>
  <si>
    <t>310202</t>
  </si>
  <si>
    <t>4.6</t>
  </si>
  <si>
    <t>DESTRONQUE-PULIDA-BRILLADA PISO (E)</t>
  </si>
  <si>
    <t>5</t>
  </si>
  <si>
    <t>ESTUCO Y PINTURA</t>
  </si>
  <si>
    <t>290110</t>
  </si>
  <si>
    <t>5.1</t>
  </si>
  <si>
    <t>ESTUCO PLASTICO MURO [PASTA]</t>
  </si>
  <si>
    <t>290307</t>
  </si>
  <si>
    <t>5.2</t>
  </si>
  <si>
    <t>VINILO CIELO TIPO 1 [3M]</t>
  </si>
  <si>
    <t>290304</t>
  </si>
  <si>
    <t>5.3</t>
  </si>
  <si>
    <t>VINILO MURO TIPO 1 [3M]</t>
  </si>
  <si>
    <t>291001</t>
  </si>
  <si>
    <t>5.4</t>
  </si>
  <si>
    <t>ESGRAFIADO</t>
  </si>
  <si>
    <t>290115</t>
  </si>
  <si>
    <t>5.5</t>
  </si>
  <si>
    <t>RASQUETEADA-LIJADA-RESANE</t>
  </si>
  <si>
    <t>290106</t>
  </si>
  <si>
    <t>5.6</t>
  </si>
  <si>
    <t>ESTUCO PLASTICO CIELO [PASTA]</t>
  </si>
  <si>
    <t>6</t>
  </si>
  <si>
    <t>CARPINTERIA METALICA - MADERA</t>
  </si>
  <si>
    <t>221222</t>
  </si>
  <si>
    <t>6.1</t>
  </si>
  <si>
    <t>NAVE ALUMINIO BARROTES 1,1/2"x1,1/2" BAT.</t>
  </si>
  <si>
    <t>221313</t>
  </si>
  <si>
    <t>6.2</t>
  </si>
  <si>
    <t>MARCO ALUMINIO  1.81-2.00 M LISO C/LUCETA</t>
  </si>
  <si>
    <t>210126</t>
  </si>
  <si>
    <t>6.3</t>
  </si>
  <si>
    <t xml:space="preserve">NAVE MADERA </t>
  </si>
  <si>
    <t>210901</t>
  </si>
  <si>
    <t>6.4</t>
  </si>
  <si>
    <t>MARCO MADERA 80-100 H=210CM</t>
  </si>
  <si>
    <t>221011</t>
  </si>
  <si>
    <t>6.5</t>
  </si>
  <si>
    <t>VENTANA ALUMINIO CORREDIZA 744 V-[OX]</t>
  </si>
  <si>
    <t>221237</t>
  </si>
  <si>
    <t>6.6</t>
  </si>
  <si>
    <t>NAVE ALUMINIO ENTAMBORADA-LLENA BAT.</t>
  </si>
  <si>
    <t>240316</t>
  </si>
  <si>
    <t>6.7</t>
  </si>
  <si>
    <t>DIVISION BAÑO A.INOX NAVE 57CM H=1.60M</t>
  </si>
  <si>
    <t>7</t>
  </si>
  <si>
    <t>APARATOS SANITARIOS</t>
  </si>
  <si>
    <t>250427</t>
  </si>
  <si>
    <t>7.1</t>
  </si>
  <si>
    <t>SANITARIO LINEA MEDIA DS</t>
  </si>
  <si>
    <t>250444</t>
  </si>
  <si>
    <t>7.2</t>
  </si>
  <si>
    <t>LAVAMANOS COLGAR PEDESTAL LINEA MEDIA</t>
  </si>
  <si>
    <t>JUEGO</t>
  </si>
  <si>
    <t>250507</t>
  </si>
  <si>
    <t>7.3</t>
  </si>
  <si>
    <t>GRIFO LAVAMANOS 8 PULG MEZCL</t>
  </si>
  <si>
    <t>250403</t>
  </si>
  <si>
    <t>7.4</t>
  </si>
  <si>
    <t>LAVAMANOS COLGAR AQUAJET CF HG SOPORTE</t>
  </si>
  <si>
    <t>250420</t>
  </si>
  <si>
    <t>7.5</t>
  </si>
  <si>
    <t>ORINAL GRANDE SUSPENDIDO INSTITUCIONAL</t>
  </si>
  <si>
    <t>250516</t>
  </si>
  <si>
    <t>7.6</t>
  </si>
  <si>
    <t>GRIFO ORINAL PUSH</t>
  </si>
  <si>
    <t>250611</t>
  </si>
  <si>
    <t>7.7</t>
  </si>
  <si>
    <t>REJILLA SOSCO 3"X2" ALUMINIO"</t>
  </si>
  <si>
    <t>8</t>
  </si>
  <si>
    <t>INSTALACIÓN ELÉCTRICA</t>
  </si>
  <si>
    <t>170408</t>
  </si>
  <si>
    <t>8.1</t>
  </si>
  <si>
    <t>SAL LAMP EMT</t>
  </si>
  <si>
    <t>170725</t>
  </si>
  <si>
    <t>8.2</t>
  </si>
  <si>
    <t>SAL TOMA 120 EMT ZONA HUMEDA</t>
  </si>
  <si>
    <t>170722</t>
  </si>
  <si>
    <t>8.3</t>
  </si>
  <si>
    <t>SAL TOMA 120 PVC</t>
  </si>
  <si>
    <t>170914</t>
  </si>
  <si>
    <t>8.4</t>
  </si>
  <si>
    <t>TABLERO 2F 24 CTOS TQCP</t>
  </si>
  <si>
    <t>170802</t>
  </si>
  <si>
    <t>8.5</t>
  </si>
  <si>
    <t>BREAKER 2F DESDE 15 HASTA 60 AMP</t>
  </si>
  <si>
    <t>170306</t>
  </si>
  <si>
    <t>8.6</t>
  </si>
  <si>
    <t>ACOMETIDA ELECTRICA 2F(2# 4+1# 8) 1"</t>
  </si>
  <si>
    <t>170316</t>
  </si>
  <si>
    <t>8.7</t>
  </si>
  <si>
    <t>ACOMETIDA ELECTRICA 3F(3#1/0+1#1/0)3"</t>
  </si>
  <si>
    <t>060923</t>
  </si>
  <si>
    <t>8.8</t>
  </si>
  <si>
    <t>MP - 01 MALLA DE PROTECCION</t>
  </si>
  <si>
    <t>170134</t>
  </si>
  <si>
    <t>8.9</t>
  </si>
  <si>
    <t>CABLE COBRE HF-ZH# 12</t>
  </si>
  <si>
    <t>170135</t>
  </si>
  <si>
    <t>8.10</t>
  </si>
  <si>
    <t>CABLE COBRE HF-ZH# 14</t>
  </si>
  <si>
    <t>051013</t>
  </si>
  <si>
    <t>8.11</t>
  </si>
  <si>
    <t>SAL TOMA 1F (C/T/A:3#12/TOMA REGULADO)</t>
  </si>
  <si>
    <t>170532</t>
  </si>
  <si>
    <t>8.12</t>
  </si>
  <si>
    <t>SALIDA S1 PVC</t>
  </si>
  <si>
    <t>170533</t>
  </si>
  <si>
    <t>8.13</t>
  </si>
  <si>
    <t>SALIDA S2 PVC</t>
  </si>
  <si>
    <t>170534</t>
  </si>
  <si>
    <t>8.14</t>
  </si>
  <si>
    <t>SALIDA S3 PVC</t>
  </si>
  <si>
    <t>060745</t>
  </si>
  <si>
    <t>8.15</t>
  </si>
  <si>
    <t>REFLECTOR 64 LED</t>
  </si>
  <si>
    <t>170913</t>
  </si>
  <si>
    <t>8.16</t>
  </si>
  <si>
    <t>TABLERO 2F 18 CTOS TQCP</t>
  </si>
  <si>
    <t>170912</t>
  </si>
  <si>
    <t>8.17</t>
  </si>
  <si>
    <t>TABLERO 2F 12 CTOS TQCP</t>
  </si>
  <si>
    <t>170910</t>
  </si>
  <si>
    <t>8.18</t>
  </si>
  <si>
    <t>TABLERO 2F 6 CTOS TQSP</t>
  </si>
  <si>
    <t>170911</t>
  </si>
  <si>
    <t>8.19</t>
  </si>
  <si>
    <t>TABLERO 2F 8 CTOS TQSP</t>
  </si>
  <si>
    <t>050305</t>
  </si>
  <si>
    <t>8.20</t>
  </si>
  <si>
    <t>TOMA VOZ RJ45 + VIDEO COAXIAL</t>
  </si>
  <si>
    <t>050424</t>
  </si>
  <si>
    <t>8.21</t>
  </si>
  <si>
    <t>GABINETE CON RACK 19"X43" ALT.CERRADO"</t>
  </si>
  <si>
    <t>050117</t>
  </si>
  <si>
    <t>8.22</t>
  </si>
  <si>
    <t>CABLE DATOS UTP CAT 6A</t>
  </si>
  <si>
    <t>NV1557</t>
  </si>
  <si>
    <t>8.23</t>
  </si>
  <si>
    <t>PANEL LED CUADRADO 60X60 40W</t>
  </si>
  <si>
    <t>9</t>
  </si>
  <si>
    <t>CUBIERTA</t>
  </si>
  <si>
    <t>180303</t>
  </si>
  <si>
    <t>9.1</t>
  </si>
  <si>
    <t>IMPERM.CANAL-LOSA MANTO 3MM FOIL ALUM</t>
  </si>
  <si>
    <t>200108</t>
  </si>
  <si>
    <t>9.2</t>
  </si>
  <si>
    <t>ALISTADO PISO IMPERMEABLE 5 CM</t>
  </si>
  <si>
    <t>10</t>
  </si>
  <si>
    <t>FACHADA</t>
  </si>
  <si>
    <t>120205</t>
  </si>
  <si>
    <t>10.1</t>
  </si>
  <si>
    <t>MURO CONCRETO CONTENCION 0&lt;H&lt;=1.00MTS</t>
  </si>
  <si>
    <t>120213-1</t>
  </si>
  <si>
    <t>10.2</t>
  </si>
  <si>
    <t>120210-2</t>
  </si>
  <si>
    <t>10.3</t>
  </si>
  <si>
    <t>120101-3</t>
  </si>
  <si>
    <t>10.4</t>
  </si>
  <si>
    <t>173203</t>
  </si>
  <si>
    <t>10.5</t>
  </si>
  <si>
    <t>TUBO GALV 2" X3 M.</t>
  </si>
  <si>
    <t>290430</t>
  </si>
  <si>
    <t>10.6</t>
  </si>
  <si>
    <t>ESMALTE REJAS - VENTANAS</t>
  </si>
  <si>
    <t>222306</t>
  </si>
  <si>
    <t>10.7</t>
  </si>
  <si>
    <t>NAVE REJA TUBULAR 1,1/2x1,1/2 CAL.20</t>
  </si>
  <si>
    <t>291001-4</t>
  </si>
  <si>
    <t>10.8</t>
  </si>
  <si>
    <t>100602</t>
  </si>
  <si>
    <t>10.9</t>
  </si>
  <si>
    <t>EXCAVACION EN CONGLOMERADO( MANUAL)</t>
  </si>
  <si>
    <t>290119</t>
  </si>
  <si>
    <t>10.10</t>
  </si>
  <si>
    <t>ESTUCO PLASTICO + RELLENO S/BLOQUE</t>
  </si>
  <si>
    <t>290118</t>
  </si>
  <si>
    <t>10.11</t>
  </si>
  <si>
    <t>RASQUETEADA-LAVADA SUPERFICIE</t>
  </si>
  <si>
    <t>180320</t>
  </si>
  <si>
    <t>10.12</t>
  </si>
  <si>
    <t>PREPARACION SUPERFICIE-MORTERO RELLENO</t>
  </si>
  <si>
    <t>NV1555</t>
  </si>
  <si>
    <t xml:space="preserve">SUMINISTRO E INSTALACION DE PANEL DE ALUMINIO COMPUESTO ALUARK/1500*5500/PVDF KYNAR 500 O FEVE (USO EXTERIOR)/4 MM. ICL. SUB ESTRUCTURA DE ALUMINIO TUBULAR PARA NIVELACIÓN, SILICONA, CINTADOBLE FAZ, TORNILLERIA Y ANCLAJES.INC. </t>
  </si>
  <si>
    <t>11</t>
  </si>
  <si>
    <t>EQUIPOS ESPECIALES</t>
  </si>
  <si>
    <t>NV1546</t>
  </si>
  <si>
    <t>11.1</t>
  </si>
  <si>
    <t>SUMINISTRO, INSTALACIÓN Y PUESTA EN FUNCIONAMIENTO DE AIRE ACONDICIONADO INVERTER  DE 60.000  BTU  TIPO TECHO  A 220 VOLTIOS. INCLUYE  BOMBA DE CONDENSADO</t>
  </si>
  <si>
    <t>SUBTTL</t>
  </si>
  <si>
    <t>SUBTTLOC</t>
  </si>
  <si>
    <t>VALOR COSTOS DIRECTOS OBRA CIVIL</t>
  </si>
  <si>
    <t>SUBTTLSM</t>
  </si>
  <si>
    <t>VALOR COSTOS DIRECTOS SUMINISTRO</t>
  </si>
  <si>
    <t>COSTINDOC</t>
  </si>
  <si>
    <t>COSTOS INDIRECTOS OBRA CIVIL</t>
  </si>
  <si>
    <t>TTLCDOC</t>
  </si>
  <si>
    <t>ADMOC</t>
  </si>
  <si>
    <t>ADMINISTRACION</t>
  </si>
  <si>
    <t>IMPROC</t>
  </si>
  <si>
    <t>IMPREVISTOS</t>
  </si>
  <si>
    <t>UTLOC</t>
  </si>
  <si>
    <t>UTILIDAD</t>
  </si>
  <si>
    <t>TTLAIUOC</t>
  </si>
  <si>
    <t>TOTAL AIU</t>
  </si>
  <si>
    <t>IVAOC</t>
  </si>
  <si>
    <t>IVA SOBRE LA UTILIDAD</t>
  </si>
  <si>
    <t>TTLPPTOOC</t>
  </si>
  <si>
    <t>VALOR TOTAL PRESUPUESTO DE OBRA CIVIL</t>
  </si>
  <si>
    <t>COSTINDSM</t>
  </si>
  <si>
    <t>COSTOS INDIRECTOS SUMINISTRO</t>
  </si>
  <si>
    <t>TTLCDSM</t>
  </si>
  <si>
    <t>ADMSM</t>
  </si>
  <si>
    <t>IMPRSM</t>
  </si>
  <si>
    <t>UTLSM</t>
  </si>
  <si>
    <t>TTLAIUSM</t>
  </si>
  <si>
    <t>IVASM</t>
  </si>
  <si>
    <t>TTLPPTOSM</t>
  </si>
  <si>
    <t>VALOR TOTAL PRESUPUESTO DE SUMINISTRO</t>
  </si>
  <si>
    <t>COSTIND</t>
  </si>
  <si>
    <t>COSTOS INDIRECTOS</t>
  </si>
  <si>
    <t>TTLOC</t>
  </si>
  <si>
    <t>COSTO TOTAL      OBRA CIVIL</t>
  </si>
  <si>
    <t>TTLSM</t>
  </si>
  <si>
    <t>COSTO TOTAL   SUMINISTRO</t>
  </si>
  <si>
    <t>IVA SOBRE COSTOS DIRECTOS + INDIRECTOS</t>
  </si>
  <si>
    <t>SUBTOTAL CD + IND + IVA</t>
  </si>
  <si>
    <t>INTERVENTORIA OBRA</t>
  </si>
  <si>
    <t>ITEMS  POR  FUERA  DE   AIU:</t>
  </si>
  <si>
    <t xml:space="preserve">SUBTOTAL ITEMS FUERA DE AIU:   </t>
  </si>
  <si>
    <t>IVA A ITEMS FUERA DE AIU:</t>
  </si>
  <si>
    <t>VALOR TOTAL PRESUPUESTO</t>
  </si>
  <si>
    <t>G1</t>
  </si>
  <si>
    <t>MATERIALES</t>
  </si>
  <si>
    <t>OTROS MATERIALES</t>
  </si>
  <si>
    <t>AGUA</t>
  </si>
  <si>
    <t>LT</t>
  </si>
  <si>
    <t>AGREGADOS</t>
  </si>
  <si>
    <t>ARENA MEDIA DE RIO Y/O DE TRITURACIÓN</t>
  </si>
  <si>
    <t>CEMENTOS</t>
  </si>
  <si>
    <t>CEMENTO GRIS PORTLAND</t>
  </si>
  <si>
    <t>G2</t>
  </si>
  <si>
    <t>MANO DE OBRA</t>
  </si>
  <si>
    <t>M.O. 2 AYUDANTES</t>
  </si>
  <si>
    <t>G3</t>
  </si>
  <si>
    <t>EQUIPO</t>
  </si>
  <si>
    <t>HERRAMIENTA MENOR</t>
  </si>
  <si>
    <t>% de MO</t>
  </si>
  <si>
    <t>ARENA FINA DE RIO</t>
  </si>
  <si>
    <t>ARENA DE TRITURACIÓN Y/O ARENA GRUESA DE RIO</t>
  </si>
  <si>
    <t>GRAVA TRITURADA 3/4"</t>
  </si>
  <si>
    <t>ADITIVOS</t>
  </si>
  <si>
    <t>GASOLINA CORRIENTE</t>
  </si>
  <si>
    <t>GLN</t>
  </si>
  <si>
    <t>ACEITE MOTOR 4 TIEMPOS</t>
  </si>
  <si>
    <t>M.O. 3 AYUDANTES</t>
  </si>
  <si>
    <t>M.O. 1 OFICIAL</t>
  </si>
  <si>
    <t>MEZCLADORA DE 9 PIES CUBICOS</t>
  </si>
  <si>
    <t>CORTADORA DE LADRILLO CON DISCO</t>
  </si>
  <si>
    <t>DIA</t>
  </si>
  <si>
    <t>M.O. 1 AYUDANTE</t>
  </si>
  <si>
    <t>M.O. 1 AYUDANTE + 1 OFICIAL</t>
  </si>
  <si>
    <t xml:space="preserve">ROTOMARTILLO 8-10 JLS    </t>
  </si>
  <si>
    <t>VOLQUETA O CAMION (ACARREO)</t>
  </si>
  <si>
    <t>DISPOSICION FINAL DE ESCOMBRO Y SOBRANTES</t>
  </si>
  <si>
    <t>MADERAS</t>
  </si>
  <si>
    <t>CUARTON 2" X 4" X 300 AMARILLO</t>
  </si>
  <si>
    <t>HIERROS</t>
  </si>
  <si>
    <t>PUNTILLA CON CABEZA 2-1/2"</t>
  </si>
  <si>
    <t>LB</t>
  </si>
  <si>
    <t>TABLA OTOBO 1X10X300 CM</t>
  </si>
  <si>
    <t>PUNTILLA CON CABEZA 2"</t>
  </si>
  <si>
    <t>TABLA OTOBO [2C] 1X10X300 CM</t>
  </si>
  <si>
    <t>VARETA 2"X2"X3M</t>
  </si>
  <si>
    <t>M.O. 2 AYUDANTES + 1 OFICIAL</t>
  </si>
  <si>
    <t>VIBRADOR</t>
  </si>
  <si>
    <t>ANTISOL BLANCO</t>
  </si>
  <si>
    <t>SEPAROL DESFORMALETEANTE</t>
  </si>
  <si>
    <t>PLASTIFICANTE REDUCTOR AGUA ALTO RANGO</t>
  </si>
  <si>
    <t>M.O. 3 AYUDANTES + 1 OFICIAL</t>
  </si>
  <si>
    <t>TACO METALICO EXTENSION DE 2.OM A 3.30MT</t>
  </si>
  <si>
    <t>ANDAMIO METALICO CERTIFICADO ALTURAS</t>
  </si>
  <si>
    <t>U/D</t>
  </si>
  <si>
    <t>GUADUA [TACO] 2.50-3M</t>
  </si>
  <si>
    <t>ALAMBRE NEGRO PARA AMARRE CALIBRE 18</t>
  </si>
  <si>
    <t>VARIOS</t>
  </si>
  <si>
    <t>SEGUETA SIN MARCO PARA METAL 12" X 24DDP</t>
  </si>
  <si>
    <t>ACERO DE REFUERZO 60.000 PSI 420 MPA</t>
  </si>
  <si>
    <t>ADHES. ANCL. ESTR. 600ML TIPO ANCHORFIX 3001</t>
  </si>
  <si>
    <t>ACERO DE REFUERZO 3/8" 60.000</t>
  </si>
  <si>
    <t>BROCA TUGSTENO SDS MAX 3/4" X 20" (50 CM)</t>
  </si>
  <si>
    <t>M.O. CARP.TALLER 1 AYUDANTE + 1 OFICIAL</t>
  </si>
  <si>
    <t>TALADRO PERCUTOR TIPO HILTI</t>
  </si>
  <si>
    <t>ACERO DE REFUERZO 5/8" 60.000</t>
  </si>
  <si>
    <t>ACERO DE REFUERZO 1/2" 60.000 FIGURADO</t>
  </si>
  <si>
    <t>ADHERENTE EPOX. CONCRETO SECADO LENTO</t>
  </si>
  <si>
    <t>LISTON OTOBO 1" X 4" X 300 CM</t>
  </si>
  <si>
    <t>PUNTILLA CON CABEZA 1-1/2"</t>
  </si>
  <si>
    <t>MALLA ELEC. M-0.84 / DO84</t>
  </si>
  <si>
    <t>ACERO DE REFUERZO 3/4" 60.000 FIGURADO</t>
  </si>
  <si>
    <t>BROCA TUGSTENO SDS MAX 7/8" X 18" (45 CM)</t>
  </si>
  <si>
    <t>BLOQUES - LADRILLOS</t>
  </si>
  <si>
    <t>LADRILLO SUCIO COMUN</t>
  </si>
  <si>
    <t>LAMINA ICOPOR 2CM 1.22X0.61M</t>
  </si>
  <si>
    <t>PEGACOR BLANCO</t>
  </si>
  <si>
    <t>GUAIPE</t>
  </si>
  <si>
    <t>CEMENTO BLANCO SACO 40KG</t>
  </si>
  <si>
    <t>BULTO</t>
  </si>
  <si>
    <t>CERAMICA TRAF.3 30 X 30 CM</t>
  </si>
  <si>
    <t>CERAMICA TRAF.3 33 X 33 CM</t>
  </si>
  <si>
    <t>CERAMICA TRAF.4 40 X 40 CM</t>
  </si>
  <si>
    <t>CERAMICA TRAF.4 41.7 X 41.7 CM</t>
  </si>
  <si>
    <t>ENCHAPES</t>
  </si>
  <si>
    <t>PORCELANATO 50-60 X 50-60CM</t>
  </si>
  <si>
    <t>PEGANTE PORCELANATO BAJA ABSORCION</t>
  </si>
  <si>
    <t>PISOS</t>
  </si>
  <si>
    <t>EMBOQUILLADOR</t>
  </si>
  <si>
    <t>M.O. ALB. ACABADOS 1 AYUDANTE + 1 OFICIAL</t>
  </si>
  <si>
    <t>ALFALISTO</t>
  </si>
  <si>
    <t>ALFACRIL</t>
  </si>
  <si>
    <t>CEMENTO BLANCO</t>
  </si>
  <si>
    <t>MARMOLINA BLANCA</t>
  </si>
  <si>
    <t>ACRONAL</t>
  </si>
  <si>
    <t>CERA PARA PISOS</t>
  </si>
  <si>
    <t>PULIDORA PISO 2 EJES</t>
  </si>
  <si>
    <t>PINTURAS</t>
  </si>
  <si>
    <t>ESTUCO PLASTICO PASTA</t>
  </si>
  <si>
    <t>LIJA AGUA 400 - 9"X11" (23X28CM)</t>
  </si>
  <si>
    <t>M.O. PINTURA 1 AYUDANTE + 1 OFICIAL</t>
  </si>
  <si>
    <t>BROCHA CERDA MONA 4"</t>
  </si>
  <si>
    <t>RODILLO FELPA</t>
  </si>
  <si>
    <t>CINTA ENMASCARAR 1-1/2"X40M</t>
  </si>
  <si>
    <t>ROLLO</t>
  </si>
  <si>
    <t>VINILO TIPO 1</t>
  </si>
  <si>
    <t>GRANIPLAST - ESGRAFIADO 30 KG</t>
  </si>
  <si>
    <t>BASE ESGRAFIADO</t>
  </si>
  <si>
    <t>ESTUCO PLASTICO EXTERIOR POLVO</t>
  </si>
  <si>
    <t>CARP. METALICA</t>
  </si>
  <si>
    <t>TORNILLO PAMPH 8 X 1/2"</t>
  </si>
  <si>
    <t>ALUMINIOS</t>
  </si>
  <si>
    <t>TUBULAR ALUM. 1-1/2" X 1-1/2"</t>
  </si>
  <si>
    <t>UNION ALUM. 1/8" 8X8CM</t>
  </si>
  <si>
    <t>UNION ALUM. 1/8" 4X4CM</t>
  </si>
  <si>
    <t>PERFIL A/T/L 3"X1-1/2"X6</t>
  </si>
  <si>
    <t>TENS/VAR 3/8" C.R TUERCA</t>
  </si>
  <si>
    <t>M.O. CARP.ALUMINIO 1 AYUDANTE + 1 OFICIAL</t>
  </si>
  <si>
    <t>SUBCONTRATO CARPINTERIA ALUMINIO</t>
  </si>
  <si>
    <t>GLB</t>
  </si>
  <si>
    <t>BISAGRA ALUMINIO 3"X2-1/2"</t>
  </si>
  <si>
    <t>CHAZO PLASTICO 1/4"</t>
  </si>
  <si>
    <t>PERFIL U 3" X 1-1/2" X 6M SP</t>
  </si>
  <si>
    <t>TORNILLO PAMPH 8 X 3"</t>
  </si>
  <si>
    <t>PERFIL TUB ALUM 3" X 1-1/ 2" X 6M</t>
  </si>
  <si>
    <t>LISTON AMARILLO 2" X 3" X 300 CM</t>
  </si>
  <si>
    <t>BISAGRA COBRIZADA 3"X1-1/4"</t>
  </si>
  <si>
    <t>PAR</t>
  </si>
  <si>
    <t>LAMINA TRIPLEX 4 MM</t>
  </si>
  <si>
    <t>PEGANTE A X W</t>
  </si>
  <si>
    <t>PUNTILLA SIN CABEZA 1"</t>
  </si>
  <si>
    <t>MADERA CEDRO CAQUETA</t>
  </si>
  <si>
    <t>PLG2</t>
  </si>
  <si>
    <t>M.O. CARP.MADERA 1 AYUDANTE + 1 OFICIAL</t>
  </si>
  <si>
    <t>MADERA AMARILLO O NOGAL</t>
  </si>
  <si>
    <t>TAPON MADERA CEDRO PARA TORNILLO</t>
  </si>
  <si>
    <t>PERFIL ALUM. ADAPTADOR 5020</t>
  </si>
  <si>
    <t>RODAMIENTO NYLON PC-744</t>
  </si>
  <si>
    <t>REMACHE POP 4-2 1/8"X1/8"</t>
  </si>
  <si>
    <t>CERRADURA ALUMINIO JAGUAR VENT. CORREDIZA</t>
  </si>
  <si>
    <t>PERFIL ALUM. SILLAR 7-44</t>
  </si>
  <si>
    <t>PERFIL ALUM. CABEZAL 7-44</t>
  </si>
  <si>
    <t>PERFIL ALUM. HORIZONTAL 7-44 SUP</t>
  </si>
  <si>
    <t>PERFIL ALUM. HORIZONTAL 7-44 INF</t>
  </si>
  <si>
    <t>VIDRIOS</t>
  </si>
  <si>
    <t>VIDRIO TRANSP. 4 MM</t>
  </si>
  <si>
    <t>PERFIL ALUM. ENGANCHE 7-44</t>
  </si>
  <si>
    <t>SILICONA FRIA EN TUBO - 280 ML</t>
  </si>
  <si>
    <t>PERFIL ALUM. JAMBA 7-44</t>
  </si>
  <si>
    <t>PERFIL ALUM. TRASLAPE 7-44</t>
  </si>
  <si>
    <t>TORNILLO PAMPH 8 X 1"</t>
  </si>
  <si>
    <t>EMPAQUE NEOPRENO</t>
  </si>
  <si>
    <t>GUIA PLASTICA VC-50-20</t>
  </si>
  <si>
    <t>MANIJA ALUM. OREJA BURRO</t>
  </si>
  <si>
    <t>PERF. "U" " 1-1/2"X3/4"</t>
  </si>
  <si>
    <t>PERFIL A/T/L 3"X1"X6</t>
  </si>
  <si>
    <t>PUERTA BANO A.INOX 57CM H=1.60M</t>
  </si>
  <si>
    <t>M.O. METALISTERIA 1 AYUDANTE + 1 OFICIAL</t>
  </si>
  <si>
    <t>MANGUERA FLEXIBLE GRIFLEX 40CM</t>
  </si>
  <si>
    <t>SANITARIO LINEA MEDIA</t>
  </si>
  <si>
    <t>M.O. HIDROSANIT. 1 AYUDANTE + 1 OFICIAL</t>
  </si>
  <si>
    <t>LAVAMANOS COLG. PEDEST. LINEA MEDIA</t>
  </si>
  <si>
    <t>HIDRAULICAS</t>
  </si>
  <si>
    <t>NIPLE GALV. 1/2" X 5 CM</t>
  </si>
  <si>
    <t>TEE GALV. 1/2"</t>
  </si>
  <si>
    <t>GRIFERIA LAVAM 8"</t>
  </si>
  <si>
    <t>CINTA TEFLON 18MM X 10 M</t>
  </si>
  <si>
    <t>LAVAMANOS SOPORTE BRAZOS FREE</t>
  </si>
  <si>
    <t>LAVAMANOS AQUAJET COLGAR CF HG</t>
  </si>
  <si>
    <t>SIFON LAVAM. ACOPLE BOTELLA</t>
  </si>
  <si>
    <t>SILICONA TRANSPARENTE 781</t>
  </si>
  <si>
    <t>GRIFO ORINAL PUSH ANTIVANDA</t>
  </si>
  <si>
    <t>UNION GALV. 3/4"</t>
  </si>
  <si>
    <t>REJILLA SOSCO ALUMINIO 3"X2"</t>
  </si>
  <si>
    <t>ELECTRICOS</t>
  </si>
  <si>
    <t>ALAMBRE COBRE THWN #12</t>
  </si>
  <si>
    <t>ALAMBRE COBRE THWN #14</t>
  </si>
  <si>
    <t>ALAMBRE GALVANIZADO CALIBRE 18</t>
  </si>
  <si>
    <t>GRAPA GALV.-GRUESA 3/4"</t>
  </si>
  <si>
    <t>CINTA AISLANTE #33</t>
  </si>
  <si>
    <t>TERMINAL EMT 3/4"</t>
  </si>
  <si>
    <t>UNION EMT 3/4"</t>
  </si>
  <si>
    <t>CURVA EMT 3/4"</t>
  </si>
  <si>
    <t>CAJA RAWELT 3/4"</t>
  </si>
  <si>
    <t>TUBO EMT 3/4"X 3 M</t>
  </si>
  <si>
    <t>M.O. ELECTRICA 1 AYUDANTE + 1 OFICIAL</t>
  </si>
  <si>
    <t>TOMA ZONA HUMEDA GFCI-LEVI</t>
  </si>
  <si>
    <t>SOLDADURA PVC 1/4 GLN</t>
  </si>
  <si>
    <t>ADAP. TERMINAL PVC 1/2"</t>
  </si>
  <si>
    <t>CURVA PVC 1/2"</t>
  </si>
  <si>
    <t>LIMPIADOR PVC 1/4 GLN (760 GRMS)</t>
  </si>
  <si>
    <t>TUBO PVC 1/2" X 3 M</t>
  </si>
  <si>
    <t>CAJA PVC SENCILLA RECTANGULAR 2" X 4"</t>
  </si>
  <si>
    <t>TOMA DOBLE P-T AMBIA</t>
  </si>
  <si>
    <t>TABLERO 2F-24 CTOS TBC</t>
  </si>
  <si>
    <t>BREAKER 2 X 15A</t>
  </si>
  <si>
    <t>CABLE COBRE THW #8</t>
  </si>
  <si>
    <t>CABLE COBRE THW #4</t>
  </si>
  <si>
    <t>TUBO PVC 1" X 3 M</t>
  </si>
  <si>
    <t>CABLE COBRE THW #1/0</t>
  </si>
  <si>
    <t>TUBO PVC 3" X 6 M</t>
  </si>
  <si>
    <t>ANGULAR EN V DE 18 X 48"</t>
  </si>
  <si>
    <t>BANDA COPA DOBLE 6-7" COMP</t>
  </si>
  <si>
    <t>CRUCETA MET. 3" X 3" X 3/8" X 3 M</t>
  </si>
  <si>
    <t>TORNILLO PASANTE 5/8" X 12"</t>
  </si>
  <si>
    <t>PERNO CARRIAJE CON TUERCA 5/8" X 1-1/2"</t>
  </si>
  <si>
    <t>PERNO CARRIAJE CON TUERCA 5/8" X 4"</t>
  </si>
  <si>
    <t>GUARDACABO CABLE 3/8"</t>
  </si>
  <si>
    <t>TUERCA HEXAGONAL GALV. 5/8"</t>
  </si>
  <si>
    <t>TORNILLO MAQUINA 5/8" X 2"</t>
  </si>
  <si>
    <t>CABLE ACSR NUMERO 4</t>
  </si>
  <si>
    <t>M.O. ELECTRICA 3 AYUD. + 1 OFIC. + 1 PROF.</t>
  </si>
  <si>
    <t>CABLE COBRE THW #12</t>
  </si>
  <si>
    <t>CABLE COBRE THW #14</t>
  </si>
  <si>
    <t>CABLE 3X12 AWG-7H TRENZADO</t>
  </si>
  <si>
    <t>TOMA NARANJA TIERRA AISLAD</t>
  </si>
  <si>
    <t>CINTA AISLANTE 33 SUPER X 20M</t>
  </si>
  <si>
    <t>SWITCHE SENCILLO LUNARE</t>
  </si>
  <si>
    <t>SWITCHE DOBLE AMBIA</t>
  </si>
  <si>
    <t>SWITCHE TRIPLE AMBIA</t>
  </si>
  <si>
    <t>BASE 7 PINES</t>
  </si>
  <si>
    <t>TORNILLO ANTIROBO</t>
  </si>
  <si>
    <t>TABLERO 2F-18 CTOS TBC</t>
  </si>
  <si>
    <t>TABLERO 2F-12 CTOS TBC</t>
  </si>
  <si>
    <t>TABLERO 2F- 6 CTOS TBC</t>
  </si>
  <si>
    <t>TABLERO 2F- 8 CTOS TBC</t>
  </si>
  <si>
    <t>STRIP 40-80 PARES</t>
  </si>
  <si>
    <t>GABINETE CON RACK 19"X43" ALT. CERRADO</t>
  </si>
  <si>
    <t>CABLE UTP CAT 6A</t>
  </si>
  <si>
    <t>MANO OBRA TELECOMUNIC. 1 AYUD. + 1 TECNICO</t>
  </si>
  <si>
    <t>VR. UNIT.</t>
  </si>
  <si>
    <t>PANEL LED CUADRADO 60X60 40W LUZ BLANCA</t>
  </si>
  <si>
    <t>MANTO EDIL 3 MM</t>
  </si>
  <si>
    <t>EMULSION ASFALTICA</t>
  </si>
  <si>
    <t>ADITIVO LIQ. IMPERMEAB. PARA MORTERO</t>
  </si>
  <si>
    <t>CUARTON 2" X 4" AMARILLO</t>
  </si>
  <si>
    <t>TABLERO O PLAQUETA DE 1.4MT X O.7MT</t>
  </si>
  <si>
    <t>CERCHA METALICA DE 3MTS</t>
  </si>
  <si>
    <t>TUBO CERR. GALV. 2.5MM - 2" X 3M</t>
  </si>
  <si>
    <t>CINTA AISLANTE 33 SUPER</t>
  </si>
  <si>
    <t>HEBILLAS BAN DIT 5/8"</t>
  </si>
  <si>
    <t>DISOLVENTE PARA PINTURA (TINNER)</t>
  </si>
  <si>
    <t>ESMALTE SINTETICO MATE</t>
  </si>
  <si>
    <t>BISAGRA COBRIZADA 3"X2-1/2"</t>
  </si>
  <si>
    <t>TUBO LAM CR CUAD CAL 20 - 1-1/2" X 6M</t>
  </si>
  <si>
    <t>LIJA AGUA 320 - 9"X11" (23X28CM)</t>
  </si>
  <si>
    <t>SOLDADURA 6011 X 1/8"</t>
  </si>
  <si>
    <t>ANTICORROSIVO PHCL</t>
  </si>
  <si>
    <t>SELLAPANEL DRYWALL PREMEZCLADA</t>
  </si>
  <si>
    <t>CUÑETE</t>
  </si>
  <si>
    <t>RELLENO GRUESO INTERIOR</t>
  </si>
  <si>
    <t>RELLENO FINO INTERIOR</t>
  </si>
  <si>
    <t>M.O. ALB. ACABADOS 2 AYUDANTES +1 OFICIAL</t>
  </si>
  <si>
    <t>ACIDO MURIATICO</t>
  </si>
  <si>
    <t>MORTERO DE REPARACION ESTRUCTURALES</t>
  </si>
  <si>
    <t>PULIDORA MANUAL ELECTRICA</t>
  </si>
  <si>
    <t>ACABADOS</t>
  </si>
  <si>
    <t>PANEL DE ALUMINIO COMPUESTO INCLUYE TODO LO NECESARIO PARA SU INSTALACIÓN</t>
  </si>
  <si>
    <t>AISLANTE TERMICO RUBATEX 7/8" X 1.80M</t>
  </si>
  <si>
    <t>TUBO PVC 3/4" X 3 M</t>
  </si>
  <si>
    <t>CABLE 3X14 AWG ENCAUCHETADO</t>
  </si>
  <si>
    <t>ML</t>
  </si>
  <si>
    <t>TUBO COBRE RIGIDA TIPO M 3/4"</t>
  </si>
  <si>
    <t>TUBO COBRE FLEXIBLE 3/8"</t>
  </si>
  <si>
    <t>ACCESORIOS</t>
  </si>
  <si>
    <t>BOMBA DE CONDENSADO</t>
  </si>
  <si>
    <t>CABLE ENCAUCHETADO 3X10 AWG</t>
  </si>
  <si>
    <t>BREAKER 2X40 A</t>
  </si>
  <si>
    <t>AIRE ACONDICIONADO TIPO INVERTER 60000BTU</t>
  </si>
  <si>
    <t>MANO OBRA REFRIGERACION 1 AYUD. + 1 TECNICO</t>
  </si>
  <si>
    <t>RESUMEN  DE  INSUMOS</t>
  </si>
  <si>
    <t>CODIGO</t>
  </si>
  <si>
    <t>CLASIF</t>
  </si>
  <si>
    <t>Jornal+PS</t>
  </si>
  <si>
    <t>VALOR TOTAL INSUMOS</t>
  </si>
  <si>
    <t>DEMOLICION REPELLO</t>
  </si>
  <si>
    <t>DESMONTE CUBIERTA ZINC + ENTRAMADO</t>
  </si>
  <si>
    <t>DESMONTE VENTANA EXISTENTE</t>
  </si>
  <si>
    <t>h</t>
  </si>
  <si>
    <t>REPELLO MURO IMPERMEABLE 1:3</t>
  </si>
  <si>
    <t>IMPERM.ACRILICO + FIBRA-10 AQOS</t>
  </si>
  <si>
    <t>KORAZA [3M]</t>
  </si>
  <si>
    <t>PELICULA CONTROL SOLAR-POLARIZADO</t>
  </si>
  <si>
    <t>CERRADURA BANO YALE REF.5302</t>
  </si>
  <si>
    <t>CERRADURA YALE OFICINA REF.5304 C/P</t>
  </si>
  <si>
    <t>NAVE ALUMINIO ENTAMBORADA-VIDRIO BAT.</t>
  </si>
  <si>
    <t>ESMALTE MALLA ESLABONADA 1,1/2"-1"</t>
  </si>
  <si>
    <t>PASAMANOS TUBO ALUMINIO  1,1/2 SOPORTE PARED</t>
  </si>
  <si>
    <t>EXCAVACION A MAQUINA SIN RETIRO</t>
  </si>
  <si>
    <t>CONFORM.COMPACT.SUBRASANTE CBR=95</t>
  </si>
  <si>
    <t>SUB-BASE GRANULAR CLASE A
(Analizada para tipo de gradacion SGB-50 clase A)</t>
  </si>
  <si>
    <t>BASE GRANULAR CLASE A
 (Analizada para NT3, tipo de gradacion BG 38, clase A)</t>
  </si>
  <si>
    <t>PAV.CONCR.MR=36 MEZCLA IN SITU  E=0.20,INC.JUNTA- BAKE</t>
  </si>
  <si>
    <t>ESTRUCTURA METALICA</t>
  </si>
  <si>
    <t>TEJA UPVC</t>
  </si>
  <si>
    <t>CANAL LAMINA GALVANIZADA CAL.22</t>
  </si>
  <si>
    <t>BAJANTE AGUAS LLUVIAS PVC 4</t>
  </si>
  <si>
    <t>ESMALTE CANAL LAMINA CARA INTERNA-EXTERN</t>
  </si>
  <si>
    <t>GRANITO LAVADO</t>
  </si>
  <si>
    <t>SUMINISTRO, INSTALACIÓN Y PUESTA EN FUNCIONAMIENTO DE AIRE ACONDICIONADO INVERTER  DE 24.000  BTU    A 220 VOLTIOS. INCLUYE  BOMBA DE CONDENSADO</t>
  </si>
  <si>
    <t>11.2</t>
  </si>
  <si>
    <t>11.3</t>
  </si>
  <si>
    <t>SUBTOTAL CAP. 1  PRELIMINARES 1:</t>
  </si>
  <si>
    <t>SUBTOTAL CAP. 2  ESTRUCTURA CONCRETO:</t>
  </si>
  <si>
    <t>SUBTOTAL CAP. 3  MUROS:</t>
  </si>
  <si>
    <t>SUBTOTAL CAP. 4  PISOS Y ENCHAPES:</t>
  </si>
  <si>
    <t>SUBTOTAL CAP. 5  ESTUCO Y PINTURA:</t>
  </si>
  <si>
    <t>SUBTOTAL CAP. 6  CARPINTERIA METALICA - MADERA:</t>
  </si>
  <si>
    <t>SUBTOTAL CAP. 7  APARATOS SANITARIOS:</t>
  </si>
  <si>
    <t>SUBTOTAL CAP. 8  INSTALACIÓN ELÉCTRICA:</t>
  </si>
  <si>
    <t>SUBTOTAL CAP. 9  CUBIERTA:</t>
  </si>
  <si>
    <t>SUBTOTAL CAP. 10  FACHADA:</t>
  </si>
  <si>
    <t>ESTUDIOS Y DISEÑOS</t>
  </si>
  <si>
    <t>VALOR TOTAL PRESUPUESTO C.A.L.I. 15</t>
  </si>
  <si>
    <t>VALOR OBRA C.A.L.I. 15</t>
  </si>
  <si>
    <t>COSTO TOTAL      PRESUPUESTO C.A.L.I 15</t>
  </si>
  <si>
    <t>C.A.L.I 7</t>
  </si>
  <si>
    <t>SUBTOTAL CAP. 2  PISOS Y ENCHAPES:</t>
  </si>
  <si>
    <t>SUBTOTAL CAP. 3  APARATOS SANITARIOS:</t>
  </si>
  <si>
    <t>SUBTOTAL CAP. 4  MUROS:</t>
  </si>
  <si>
    <t>CARPINTERIA METALICA-MADERA</t>
  </si>
  <si>
    <t>SUBTOTAL CAP. 5  CARPINTERIA METALICA-MADERA:</t>
  </si>
  <si>
    <t>PARQUEADERO</t>
  </si>
  <si>
    <t>SUBTOTAL CAP. 6  PARQUEADERO:</t>
  </si>
  <si>
    <t>INSTALACIÓN ELECTRICA</t>
  </si>
  <si>
    <t>SUBTOTAL CAP. 7  INSTALACIÓN ELECTRICA:</t>
  </si>
  <si>
    <t>CUBIERTA PARQUEADERO</t>
  </si>
  <si>
    <t>SUBTOTAL CAP. 8  CUBIERTA PARQUEADERO:</t>
  </si>
  <si>
    <t>ACABADO ESCALERA</t>
  </si>
  <si>
    <t>SUBTOTAL CAP. 9  ACABADO ESCALERA:</t>
  </si>
  <si>
    <t>VALOR TOTAL OBRA C.A.L.I 7</t>
  </si>
  <si>
    <t>MANTENIMIENTO CORRECTIVO Y PREVENTIVO DE LOS CENTROS DE ADMINISTRACIÓN LOCAL INTEGRADA DE LAS COMUNAS 15 Y 7 DEL DISTRITO DE SANTIAGO DE CALI</t>
  </si>
  <si>
    <t>MANTENIMIENTO Y PUESTA EN FUNCIONAMIENTO ELEVADOR (INC. TODOS LOS MATERIALES NECESARIOS)</t>
  </si>
  <si>
    <t>NV1547</t>
  </si>
  <si>
    <t>NV1548</t>
  </si>
  <si>
    <t>100319</t>
  </si>
  <si>
    <t>100524</t>
  </si>
  <si>
    <t>100520</t>
  </si>
  <si>
    <t>100624</t>
  </si>
  <si>
    <t>190118</t>
  </si>
  <si>
    <t>320805</t>
  </si>
  <si>
    <t>290619</t>
  </si>
  <si>
    <t>260402</t>
  </si>
  <si>
    <t>210119-2P</t>
  </si>
  <si>
    <t>270402</t>
  </si>
  <si>
    <t>270502</t>
  </si>
  <si>
    <t>221228</t>
  </si>
  <si>
    <t>210901-3P</t>
  </si>
  <si>
    <t>290416</t>
  </si>
  <si>
    <t>221402</t>
  </si>
  <si>
    <t>100628-1</t>
  </si>
  <si>
    <t>010203</t>
  </si>
  <si>
    <t>010212</t>
  </si>
  <si>
    <t>083201</t>
  </si>
  <si>
    <t>083301</t>
  </si>
  <si>
    <t>010302</t>
  </si>
  <si>
    <t>180101</t>
  </si>
  <si>
    <t>180922</t>
  </si>
  <si>
    <t>181105</t>
  </si>
  <si>
    <t>150202</t>
  </si>
  <si>
    <t>290402</t>
  </si>
  <si>
    <t>190716</t>
  </si>
  <si>
    <t>1.11</t>
  </si>
  <si>
    <t>ACARREO MATERIALES 10 PERS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</si>
</sst>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#,##0.00_ ;\-#,##0.00\ "/>
    <numFmt numFmtId="167" formatCode="#,##0_ ;\-#,##0\ "/>
    <numFmt numFmtId="168" formatCode="d\-mmm\-yyyy"/>
    <numFmt numFmtId="169" formatCode="_(* #,##0_);_(* \(#,##0\);_(* &quot;-&quot;??_);_(@_)"/>
  </numFmts>
  <fonts count="4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indexed="22"/>
      <name val="Arial"/>
      <family val="2"/>
    </font>
    <font>
      <b/>
      <sz val="9"/>
      <color theme="3" tint="-0.249977111117893"/>
      <name val="Arial"/>
      <family val="2"/>
    </font>
    <font>
      <b/>
      <sz val="11"/>
      <color indexed="10"/>
      <name val="Arial"/>
      <family val="2"/>
    </font>
    <font>
      <sz val="10"/>
      <color indexed="9"/>
      <name val="Arial"/>
      <family val="2"/>
    </font>
    <font>
      <u/>
      <sz val="10"/>
      <color indexed="12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8"/>
      <color theme="1" tint="0.34998626667073579"/>
      <name val="Arial Narrow"/>
      <family val="2"/>
    </font>
    <font>
      <sz val="9"/>
      <color theme="0" tint="-0.499984740745262"/>
      <name val="Arial"/>
      <family val="2"/>
    </font>
    <font>
      <sz val="10"/>
      <color indexed="22"/>
      <name val="Arial"/>
      <family val="2"/>
    </font>
    <font>
      <u/>
      <sz val="9"/>
      <color indexed="12"/>
      <name val="Arial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indexed="12"/>
      <name val="Arial"/>
      <family val="2"/>
    </font>
    <font>
      <u/>
      <sz val="8"/>
      <color rgb="FF000000"/>
      <name val="Arial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1"/>
      <color indexed="8"/>
      <name val="Arial"/>
      <family val="2"/>
    </font>
    <font>
      <sz val="9"/>
      <name val="Arial"/>
      <family val="2"/>
    </font>
    <font>
      <i/>
      <sz val="9"/>
      <color theme="0" tint="-0.34998626667073579"/>
      <name val="Arial"/>
      <family val="2"/>
    </font>
    <font>
      <b/>
      <sz val="12"/>
      <color theme="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8"/>
      <name val="Arial"/>
      <family val="2"/>
    </font>
    <font>
      <sz val="9"/>
      <name val="Arial Narrow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sz val="8"/>
      <color indexed="9"/>
      <name val="Arial"/>
      <family val="2"/>
    </font>
    <font>
      <b/>
      <sz val="13"/>
      <name val="Arial"/>
      <family val="2"/>
    </font>
    <font>
      <sz val="8"/>
      <color theme="0" tint="-0.14999847407452621"/>
      <name val="Arial"/>
      <family val="2"/>
    </font>
    <font>
      <b/>
      <sz val="11"/>
      <color theme="1"/>
      <name val="Aptos Narrow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270">
        <stop position="0">
          <color theme="0"/>
        </stop>
        <stop position="1">
          <color rgb="FFB00404"/>
        </stop>
      </gradient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CF2F8"/>
        <bgColor indexed="64"/>
      </patternFill>
    </fill>
    <fill>
      <patternFill patternType="solid">
        <fgColor rgb="FFF3FFD9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rgb="FFC5CE9A"/>
        </stop>
      </gradientFill>
    </fill>
    <fill>
      <gradientFill degree="270">
        <stop position="0">
          <color theme="0"/>
        </stop>
        <stop position="1">
          <color rgb="FFCFD6AA"/>
        </stop>
      </gradientFill>
    </fill>
    <fill>
      <patternFill patternType="solid">
        <fgColor indexed="42"/>
        <bgColor indexed="64"/>
      </patternFill>
    </fill>
    <fill>
      <gradientFill degree="270">
        <stop position="0">
          <color theme="0"/>
        </stop>
        <stop position="1">
          <color theme="7" tint="0.80001220740379042"/>
        </stop>
      </gradientFill>
    </fill>
    <fill>
      <gradientFill degree="270">
        <stop position="0">
          <color theme="0"/>
        </stop>
        <stop position="1">
          <color rgb="FFECF2F8"/>
        </stop>
      </gradientFill>
    </fill>
    <fill>
      <patternFill patternType="solid">
        <fgColor rgb="FFE4E4E4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DF2F7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rgb="FFE4ECF4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FFFDFB"/>
        <bgColor indexed="64"/>
      </patternFill>
    </fill>
    <fill>
      <patternFill patternType="solid">
        <fgColor rgb="FFE7EEF5"/>
        <bgColor indexed="64"/>
      </patternFill>
    </fill>
    <fill>
      <patternFill patternType="solid">
        <fgColor rgb="FFE8EF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2F0F6"/>
        <bgColor indexed="64"/>
      </patternFill>
    </fill>
    <fill>
      <patternFill patternType="solid">
        <fgColor rgb="FFFBF9FD"/>
        <bgColor indexed="64"/>
      </patternFill>
    </fill>
    <fill>
      <patternFill patternType="solid">
        <fgColor rgb="FFDFE9C9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auto="1"/>
      </patternFill>
    </fill>
    <fill>
      <patternFill patternType="solid">
        <fgColor theme="4" tint="0.79998168889431442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/>
      <right style="thin">
        <color indexed="64"/>
      </right>
      <top style="thick">
        <color indexed="10"/>
      </top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 style="thick">
        <color indexed="10"/>
      </right>
      <top/>
      <bottom/>
      <diagonal/>
    </border>
    <border>
      <left style="thick">
        <color indexed="10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thick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66FF"/>
      </left>
      <right style="thick">
        <color rgb="FFC00000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0066FF"/>
      </left>
      <right style="thick">
        <color rgb="FFC00000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8" fillId="0" borderId="0"/>
    <xf numFmtId="164" fontId="8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</cellStyleXfs>
  <cellXfs count="558">
    <xf numFmtId="0" fontId="0" fillId="0" borderId="0" xfId="0"/>
    <xf numFmtId="49" fontId="2" fillId="2" borderId="0" xfId="0" applyNumberFormat="1" applyFont="1" applyFill="1" applyAlignment="1">
      <alignment horizontal="center"/>
    </xf>
    <xf numFmtId="49" fontId="3" fillId="3" borderId="0" xfId="0" quotePrefix="1" applyNumberFormat="1" applyFont="1" applyFill="1" applyAlignment="1" applyProtection="1">
      <alignment horizontal="center" vertical="center"/>
      <protection hidden="1"/>
    </xf>
    <xf numFmtId="0" fontId="4" fillId="3" borderId="0" xfId="0" applyFont="1" applyFill="1" applyAlignment="1" applyProtection="1">
      <alignment horizontal="left" vertical="center"/>
      <protection hidden="1"/>
    </xf>
    <xf numFmtId="0" fontId="5" fillId="3" borderId="0" xfId="0" applyFont="1" applyFill="1" applyAlignment="1" applyProtection="1">
      <alignment vertical="center"/>
      <protection hidden="1"/>
    </xf>
    <xf numFmtId="0" fontId="7" fillId="3" borderId="1" xfId="3" applyFont="1" applyFill="1" applyBorder="1" applyAlignment="1" applyProtection="1">
      <alignment horizontal="center" wrapText="1"/>
      <protection hidden="1"/>
    </xf>
    <xf numFmtId="165" fontId="9" fillId="4" borderId="2" xfId="1" applyNumberFormat="1" applyFont="1" applyFill="1" applyBorder="1" applyAlignment="1" applyProtection="1">
      <alignment vertical="center"/>
      <protection hidden="1"/>
    </xf>
    <xf numFmtId="165" fontId="10" fillId="4" borderId="0" xfId="1" applyNumberFormat="1" applyFont="1" applyFill="1" applyAlignment="1" applyProtection="1">
      <alignment horizontal="center" vertical="center"/>
      <protection hidden="1"/>
    </xf>
    <xf numFmtId="165" fontId="11" fillId="4" borderId="0" xfId="1" applyNumberFormat="1" applyFont="1" applyFill="1" applyAlignment="1" applyProtection="1">
      <alignment horizontal="center" vertical="center"/>
      <protection hidden="1"/>
    </xf>
    <xf numFmtId="165" fontId="10" fillId="4" borderId="1" xfId="1" applyNumberFormat="1" applyFont="1" applyFill="1" applyBorder="1" applyAlignment="1" applyProtection="1">
      <alignment horizontal="center" vertical="center"/>
      <protection hidden="1"/>
    </xf>
    <xf numFmtId="165" fontId="12" fillId="4" borderId="0" xfId="1" applyNumberFormat="1" applyFont="1" applyFill="1" applyAlignment="1" applyProtection="1">
      <alignment horizontal="center" vertical="center"/>
      <protection hidden="1"/>
    </xf>
    <xf numFmtId="165" fontId="8" fillId="4" borderId="0" xfId="1" applyNumberFormat="1" applyFont="1" applyFill="1" applyAlignment="1" applyProtection="1">
      <alignment horizontal="left"/>
      <protection hidden="1"/>
    </xf>
    <xf numFmtId="165" fontId="8" fillId="4" borderId="6" xfId="1" applyNumberFormat="1" applyFont="1" applyFill="1" applyBorder="1" applyAlignment="1" applyProtection="1">
      <alignment horizontal="left"/>
      <protection hidden="1"/>
    </xf>
    <xf numFmtId="0" fontId="14" fillId="4" borderId="7" xfId="0" applyFont="1" applyFill="1" applyBorder="1" applyProtection="1">
      <protection hidden="1"/>
    </xf>
    <xf numFmtId="0" fontId="14" fillId="4" borderId="8" xfId="0" applyFont="1" applyFill="1" applyBorder="1" applyProtection="1">
      <protection hidden="1"/>
    </xf>
    <xf numFmtId="0" fontId="14" fillId="4" borderId="9" xfId="0" applyFont="1" applyFill="1" applyBorder="1" applyProtection="1">
      <protection hidden="1"/>
    </xf>
    <xf numFmtId="0" fontId="14" fillId="4" borderId="10" xfId="0" applyFont="1" applyFill="1" applyBorder="1" applyProtection="1">
      <protection hidden="1"/>
    </xf>
    <xf numFmtId="0" fontId="14" fillId="4" borderId="11" xfId="0" applyFont="1" applyFill="1" applyBorder="1" applyProtection="1">
      <protection hidden="1"/>
    </xf>
    <xf numFmtId="0" fontId="8" fillId="4" borderId="0" xfId="0" applyFont="1" applyFill="1" applyProtection="1">
      <protection hidden="1"/>
    </xf>
    <xf numFmtId="0" fontId="0" fillId="4" borderId="12" xfId="0" applyFill="1" applyBorder="1" applyProtection="1">
      <protection hidden="1"/>
    </xf>
    <xf numFmtId="0" fontId="0" fillId="4" borderId="13" xfId="0" applyFill="1" applyBorder="1" applyProtection="1">
      <protection hidden="1"/>
    </xf>
    <xf numFmtId="0" fontId="9" fillId="4" borderId="14" xfId="0" applyFont="1" applyFill="1" applyBorder="1" applyAlignment="1" applyProtection="1">
      <alignment horizontal="right" vertical="center"/>
      <protection hidden="1"/>
    </xf>
    <xf numFmtId="165" fontId="9" fillId="4" borderId="15" xfId="1" applyNumberFormat="1" applyFont="1" applyFill="1" applyBorder="1" applyAlignment="1" applyProtection="1">
      <alignment vertical="center"/>
      <protection hidden="1"/>
    </xf>
    <xf numFmtId="0" fontId="0" fillId="4" borderId="16" xfId="0" applyFill="1" applyBorder="1" applyProtection="1">
      <protection hidden="1"/>
    </xf>
    <xf numFmtId="0" fontId="0" fillId="5" borderId="17" xfId="0" applyFill="1" applyBorder="1" applyProtection="1">
      <protection hidden="1"/>
    </xf>
    <xf numFmtId="0" fontId="0" fillId="0" borderId="16" xfId="0" applyBorder="1" applyProtection="1">
      <protection hidden="1"/>
    </xf>
    <xf numFmtId="0" fontId="15" fillId="0" borderId="0" xfId="3" applyFont="1" applyAlignment="1" applyProtection="1">
      <alignment horizontal="center"/>
    </xf>
    <xf numFmtId="0" fontId="0" fillId="0" borderId="0" xfId="0" applyProtection="1">
      <protection hidden="1"/>
    </xf>
    <xf numFmtId="49" fontId="0" fillId="5" borderId="18" xfId="0" applyNumberFormat="1" applyFill="1" applyBorder="1" applyAlignment="1">
      <alignment horizontal="center" vertical="top" wrapText="1"/>
    </xf>
    <xf numFmtId="0" fontId="8" fillId="0" borderId="19" xfId="0" applyFont="1" applyBorder="1" applyAlignment="1" applyProtection="1">
      <alignment horizontal="center" vertical="top" wrapText="1"/>
      <protection locked="0" hidden="1"/>
    </xf>
    <xf numFmtId="0" fontId="17" fillId="0" borderId="20" xfId="0" applyFont="1" applyBorder="1" applyAlignment="1" applyProtection="1">
      <alignment vertical="top" wrapText="1"/>
      <protection hidden="1"/>
    </xf>
    <xf numFmtId="0" fontId="0" fillId="0" borderId="20" xfId="0" applyBorder="1" applyAlignment="1" applyProtection="1">
      <alignment horizontal="center" vertical="top" wrapText="1"/>
      <protection hidden="1"/>
    </xf>
    <xf numFmtId="0" fontId="0" fillId="0" borderId="20" xfId="0" applyBorder="1" applyAlignment="1" applyProtection="1">
      <alignment horizontal="right" vertical="top" wrapText="1"/>
      <protection hidden="1"/>
    </xf>
    <xf numFmtId="166" fontId="0" fillId="0" borderId="20" xfId="1" applyNumberFormat="1" applyFont="1" applyBorder="1" applyAlignment="1" applyProtection="1">
      <alignment horizontal="right" vertical="top" wrapText="1"/>
      <protection hidden="1"/>
    </xf>
    <xf numFmtId="166" fontId="0" fillId="0" borderId="21" xfId="1" applyNumberFormat="1" applyFont="1" applyBorder="1" applyAlignment="1" applyProtection="1">
      <alignment horizontal="right" vertical="top" wrapText="1"/>
      <protection hidden="1"/>
    </xf>
    <xf numFmtId="166" fontId="0" fillId="0" borderId="22" xfId="1" applyNumberFormat="1" applyFont="1" applyBorder="1" applyAlignment="1" applyProtection="1">
      <alignment horizontal="right" vertical="top" wrapText="1"/>
      <protection hidden="1"/>
    </xf>
    <xf numFmtId="166" fontId="0" fillId="0" borderId="23" xfId="1" applyNumberFormat="1" applyFont="1" applyBorder="1" applyAlignment="1" applyProtection="1">
      <alignment horizontal="right" vertical="top" wrapText="1"/>
      <protection hidden="1"/>
    </xf>
    <xf numFmtId="166" fontId="0" fillId="0" borderId="24" xfId="1" applyNumberFormat="1" applyFont="1" applyBorder="1" applyAlignment="1" applyProtection="1">
      <alignment horizontal="right" vertical="top" wrapText="1"/>
      <protection hidden="1"/>
    </xf>
    <xf numFmtId="165" fontId="0" fillId="0" borderId="1" xfId="1" applyNumberFormat="1" applyFont="1" applyBorder="1" applyAlignment="1" applyProtection="1">
      <alignment horizontal="right" vertical="top" wrapText="1"/>
      <protection hidden="1"/>
    </xf>
    <xf numFmtId="165" fontId="0" fillId="0" borderId="0" xfId="1" applyNumberFormat="1" applyFont="1" applyAlignment="1" applyProtection="1">
      <alignment horizontal="right" vertical="top"/>
      <protection hidden="1"/>
    </xf>
    <xf numFmtId="3" fontId="0" fillId="0" borderId="25" xfId="1" applyNumberFormat="1" applyFont="1" applyBorder="1" applyAlignment="1" applyProtection="1">
      <alignment horizontal="right" vertical="top"/>
      <protection hidden="1"/>
    </xf>
    <xf numFmtId="3" fontId="0" fillId="0" borderId="26" xfId="1" applyNumberFormat="1" applyFont="1" applyBorder="1" applyAlignment="1" applyProtection="1">
      <alignment horizontal="right" vertical="top"/>
      <protection hidden="1"/>
    </xf>
    <xf numFmtId="3" fontId="0" fillId="0" borderId="27" xfId="1" applyNumberFormat="1" applyFont="1" applyBorder="1" applyAlignment="1" applyProtection="1">
      <alignment horizontal="right" vertical="top"/>
      <protection hidden="1"/>
    </xf>
    <xf numFmtId="3" fontId="9" fillId="0" borderId="28" xfId="1" applyNumberFormat="1" applyFont="1" applyBorder="1" applyAlignment="1" applyProtection="1">
      <alignment horizontal="right" vertical="top"/>
      <protection hidden="1"/>
    </xf>
    <xf numFmtId="43" fontId="5" fillId="0" borderId="0" xfId="1" applyFont="1" applyAlignment="1" applyProtection="1">
      <alignment vertical="top"/>
      <protection hidden="1"/>
    </xf>
    <xf numFmtId="0" fontId="14" fillId="2" borderId="7" xfId="0" applyFont="1" applyFill="1" applyBorder="1" applyProtection="1">
      <protection hidden="1"/>
    </xf>
    <xf numFmtId="0" fontId="14" fillId="2" borderId="8" xfId="0" applyFont="1" applyFill="1" applyBorder="1" applyProtection="1">
      <protection hidden="1"/>
    </xf>
    <xf numFmtId="0" fontId="14" fillId="2" borderId="9" xfId="0" applyFont="1" applyFill="1" applyBorder="1" applyProtection="1">
      <protection hidden="1"/>
    </xf>
    <xf numFmtId="0" fontId="14" fillId="2" borderId="10" xfId="0" applyFont="1" applyFill="1" applyBorder="1" applyProtection="1">
      <protection hidden="1"/>
    </xf>
    <xf numFmtId="0" fontId="14" fillId="2" borderId="11" xfId="0" applyFont="1" applyFill="1" applyBorder="1" applyProtection="1">
      <protection hidden="1"/>
    </xf>
    <xf numFmtId="2" fontId="0" fillId="0" borderId="18" xfId="0" applyNumberFormat="1" applyBorder="1"/>
    <xf numFmtId="0" fontId="18" fillId="0" borderId="26" xfId="4" applyFont="1" applyBorder="1" applyAlignment="1">
      <alignment vertical="top"/>
    </xf>
    <xf numFmtId="2" fontId="0" fillId="0" borderId="29" xfId="0" applyNumberFormat="1" applyBorder="1"/>
    <xf numFmtId="4" fontId="0" fillId="0" borderId="20" xfId="0" applyNumberFormat="1" applyBorder="1"/>
    <xf numFmtId="4" fontId="0" fillId="0" borderId="30" xfId="1" applyNumberFormat="1" applyFont="1" applyBorder="1" applyAlignment="1" applyProtection="1">
      <alignment horizontal="right" vertical="top"/>
      <protection hidden="1"/>
    </xf>
    <xf numFmtId="0" fontId="0" fillId="5" borderId="31" xfId="0" applyFill="1" applyBorder="1"/>
    <xf numFmtId="49" fontId="19" fillId="3" borderId="0" xfId="0" quotePrefix="1" applyNumberFormat="1" applyFont="1" applyFill="1" applyAlignment="1" applyProtection="1">
      <alignment horizontal="center" vertical="center"/>
      <protection hidden="1"/>
    </xf>
    <xf numFmtId="0" fontId="20" fillId="3" borderId="0" xfId="0" applyFont="1" applyFill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21" fillId="3" borderId="1" xfId="3" applyFont="1" applyFill="1" applyBorder="1" applyAlignment="1" applyProtection="1">
      <alignment vertical="top" wrapText="1"/>
      <protection hidden="1"/>
    </xf>
    <xf numFmtId="165" fontId="22" fillId="4" borderId="1" xfId="0" applyNumberFormat="1" applyFont="1" applyFill="1" applyBorder="1" applyAlignment="1" applyProtection="1">
      <alignment horizontal="right" vertical="center"/>
      <protection hidden="1"/>
    </xf>
    <xf numFmtId="164" fontId="23" fillId="4" borderId="0" xfId="0" applyNumberFormat="1" applyFont="1" applyFill="1" applyAlignment="1" applyProtection="1">
      <alignment horizontal="right" vertical="center"/>
      <protection hidden="1"/>
    </xf>
    <xf numFmtId="167" fontId="24" fillId="4" borderId="1" xfId="0" applyNumberFormat="1" applyFont="1" applyFill="1" applyBorder="1" applyAlignment="1" applyProtection="1">
      <alignment horizontal="center" vertical="center"/>
      <protection hidden="1"/>
    </xf>
    <xf numFmtId="164" fontId="25" fillId="4" borderId="0" xfId="0" applyNumberFormat="1" applyFont="1" applyFill="1" applyAlignment="1" applyProtection="1">
      <alignment horizontal="right" vertical="center"/>
      <protection hidden="1"/>
    </xf>
    <xf numFmtId="164" fontId="25" fillId="4" borderId="6" xfId="0" applyNumberFormat="1" applyFont="1" applyFill="1" applyBorder="1" applyAlignment="1" applyProtection="1">
      <alignment horizontal="right" vertical="center"/>
      <protection hidden="1"/>
    </xf>
    <xf numFmtId="0" fontId="0" fillId="4" borderId="0" xfId="0" applyFill="1" applyProtection="1">
      <protection hidden="1"/>
    </xf>
    <xf numFmtId="0" fontId="0" fillId="5" borderId="31" xfId="0" applyFill="1" applyBorder="1" applyProtection="1">
      <protection hidden="1"/>
    </xf>
    <xf numFmtId="0" fontId="15" fillId="0" borderId="0" xfId="3" applyFont="1" applyAlignment="1" applyProtection="1">
      <alignment horizontal="center" wrapText="1"/>
      <protection hidden="1"/>
    </xf>
    <xf numFmtId="0" fontId="0" fillId="0" borderId="0" xfId="0" applyAlignment="1">
      <alignment horizontal="center"/>
    </xf>
    <xf numFmtId="0" fontId="21" fillId="3" borderId="36" xfId="3" applyFont="1" applyFill="1" applyBorder="1" applyAlignment="1" applyProtection="1">
      <alignment vertical="top" wrapText="1"/>
      <protection hidden="1"/>
    </xf>
    <xf numFmtId="0" fontId="7" fillId="3" borderId="0" xfId="0" applyFont="1" applyFill="1" applyAlignment="1" applyProtection="1">
      <alignment horizontal="center" wrapText="1"/>
      <protection hidden="1"/>
    </xf>
    <xf numFmtId="165" fontId="22" fillId="4" borderId="0" xfId="0" applyNumberFormat="1" applyFont="1" applyFill="1" applyAlignment="1" applyProtection="1">
      <alignment horizontal="right" vertical="center"/>
      <protection hidden="1"/>
    </xf>
    <xf numFmtId="167" fontId="24" fillId="4" borderId="0" xfId="0" applyNumberFormat="1" applyFont="1" applyFill="1" applyAlignment="1" applyProtection="1">
      <alignment horizontal="center" vertical="center"/>
      <protection hidden="1"/>
    </xf>
    <xf numFmtId="165" fontId="13" fillId="4" borderId="0" xfId="1" applyNumberFormat="1" applyFont="1" applyFill="1" applyAlignment="1" applyProtection="1">
      <alignment horizontal="center" vertical="center"/>
      <protection hidden="1"/>
    </xf>
    <xf numFmtId="164" fontId="25" fillId="0" borderId="0" xfId="0" applyNumberFormat="1" applyFont="1" applyAlignment="1" applyProtection="1">
      <alignment horizontal="right" vertical="center"/>
      <protection hidden="1"/>
    </xf>
    <xf numFmtId="164" fontId="25" fillId="0" borderId="6" xfId="0" applyNumberFormat="1" applyFont="1" applyBorder="1" applyAlignment="1" applyProtection="1">
      <alignment horizontal="right" vertical="center"/>
      <protection hidden="1"/>
    </xf>
    <xf numFmtId="0" fontId="16" fillId="7" borderId="0" xfId="0" applyFont="1" applyFill="1" applyAlignment="1" applyProtection="1">
      <alignment horizontal="center" vertical="center" wrapText="1"/>
      <protection hidden="1"/>
    </xf>
    <xf numFmtId="0" fontId="27" fillId="0" borderId="0" xfId="0" applyFont="1" applyAlignment="1" applyProtection="1">
      <alignment vertical="center"/>
      <protection hidden="1"/>
    </xf>
    <xf numFmtId="49" fontId="0" fillId="0" borderId="0" xfId="0" applyNumberFormat="1" applyAlignment="1">
      <alignment vertical="top"/>
    </xf>
    <xf numFmtId="0" fontId="28" fillId="0" borderId="0" xfId="0" applyFont="1" applyAlignment="1" applyProtection="1">
      <alignment horizontal="center" vertical="center" wrapText="1"/>
      <protection hidden="1"/>
    </xf>
    <xf numFmtId="0" fontId="28" fillId="8" borderId="37" xfId="0" applyFont="1" applyFill="1" applyBorder="1" applyAlignment="1" applyProtection="1">
      <alignment horizontal="centerContinuous" vertical="center"/>
      <protection locked="0"/>
    </xf>
    <xf numFmtId="0" fontId="28" fillId="8" borderId="38" xfId="0" applyFont="1" applyFill="1" applyBorder="1" applyAlignment="1" applyProtection="1">
      <alignment horizontal="centerContinuous" vertical="center"/>
      <protection locked="0"/>
    </xf>
    <xf numFmtId="0" fontId="28" fillId="8" borderId="39" xfId="0" applyFont="1" applyFill="1" applyBorder="1" applyAlignment="1" applyProtection="1">
      <alignment horizontal="centerContinuous" vertical="center"/>
      <protection locked="0"/>
    </xf>
    <xf numFmtId="0" fontId="29" fillId="0" borderId="0" xfId="0" applyFont="1" applyAlignment="1" applyProtection="1">
      <alignment horizontal="center" vertical="top"/>
      <protection hidden="1"/>
    </xf>
    <xf numFmtId="0" fontId="29" fillId="0" borderId="6" xfId="0" applyFont="1" applyBorder="1" applyAlignment="1" applyProtection="1">
      <alignment horizontal="center" vertical="top"/>
      <protection hidden="1"/>
    </xf>
    <xf numFmtId="0" fontId="0" fillId="0" borderId="0" xfId="0" applyProtection="1">
      <protection locked="0"/>
    </xf>
    <xf numFmtId="0" fontId="0" fillId="5" borderId="31" xfId="0" applyFill="1" applyBorder="1" applyProtection="1">
      <protection locked="0"/>
    </xf>
    <xf numFmtId="0" fontId="0" fillId="0" borderId="0" xfId="0" applyAlignment="1" applyProtection="1">
      <alignment horizontal="center"/>
      <protection hidden="1"/>
    </xf>
    <xf numFmtId="0" fontId="30" fillId="11" borderId="43" xfId="0" applyFont="1" applyFill="1" applyBorder="1" applyAlignment="1">
      <alignment horizontal="center" vertical="center"/>
    </xf>
    <xf numFmtId="0" fontId="30" fillId="11" borderId="44" xfId="0" applyFont="1" applyFill="1" applyBorder="1" applyAlignment="1">
      <alignment horizontal="center" vertical="center"/>
    </xf>
    <xf numFmtId="0" fontId="30" fillId="11" borderId="45" xfId="0" applyFont="1" applyFill="1" applyBorder="1" applyAlignment="1">
      <alignment horizontal="center" vertical="center"/>
    </xf>
    <xf numFmtId="0" fontId="31" fillId="11" borderId="43" xfId="0" applyFont="1" applyFill="1" applyBorder="1" applyAlignment="1">
      <alignment horizontal="center" vertical="center"/>
    </xf>
    <xf numFmtId="0" fontId="31" fillId="11" borderId="44" xfId="0" applyFont="1" applyFill="1" applyBorder="1" applyAlignment="1">
      <alignment horizontal="center" vertical="center"/>
    </xf>
    <xf numFmtId="0" fontId="31" fillId="11" borderId="45" xfId="0" applyFont="1" applyFill="1" applyBorder="1" applyAlignment="1">
      <alignment horizontal="center" vertical="center"/>
    </xf>
    <xf numFmtId="0" fontId="22" fillId="0" borderId="0" xfId="0" applyFont="1" applyAlignment="1" applyProtection="1">
      <alignment horizontal="center" vertical="center"/>
      <protection locked="0"/>
    </xf>
    <xf numFmtId="0" fontId="17" fillId="0" borderId="15" xfId="0" applyFont="1" applyBorder="1" applyAlignment="1" applyProtection="1">
      <alignment horizontal="center" vertical="top"/>
      <protection hidden="1"/>
    </xf>
    <xf numFmtId="168" fontId="32" fillId="0" borderId="49" xfId="1" applyNumberFormat="1" applyFont="1" applyBorder="1" applyAlignment="1" applyProtection="1">
      <alignment horizontal="center" vertical="top"/>
      <protection locked="0"/>
    </xf>
    <xf numFmtId="15" fontId="8" fillId="0" borderId="0" xfId="0" applyNumberFormat="1" applyFont="1" applyAlignment="1" applyProtection="1">
      <alignment horizontal="center" vertical="top" wrapText="1"/>
      <protection hidden="1"/>
    </xf>
    <xf numFmtId="15" fontId="8" fillId="0" borderId="35" xfId="0" applyNumberFormat="1" applyFont="1" applyBorder="1" applyAlignment="1" applyProtection="1">
      <alignment horizontal="center" vertical="top" wrapText="1"/>
      <protection hidden="1"/>
    </xf>
    <xf numFmtId="43" fontId="25" fillId="0" borderId="0" xfId="1" applyFont="1" applyAlignment="1" applyProtection="1">
      <alignment horizontal="center" vertical="top"/>
      <protection hidden="1"/>
    </xf>
    <xf numFmtId="43" fontId="25" fillId="0" borderId="6" xfId="1" applyFont="1" applyBorder="1" applyAlignment="1" applyProtection="1">
      <alignment horizontal="center" vertical="top"/>
      <protection hidden="1"/>
    </xf>
    <xf numFmtId="0" fontId="8" fillId="0" borderId="44" xfId="0" applyFont="1" applyBorder="1" applyAlignment="1" applyProtection="1">
      <alignment horizontal="center" vertical="center"/>
      <protection locked="0"/>
    </xf>
    <xf numFmtId="15" fontId="8" fillId="0" borderId="45" xfId="0" applyNumberFormat="1" applyFont="1" applyBorder="1" applyAlignment="1" applyProtection="1">
      <alignment horizontal="center" vertical="center" wrapText="1"/>
      <protection locked="0"/>
    </xf>
    <xf numFmtId="168" fontId="17" fillId="0" borderId="0" xfId="1" applyNumberFormat="1" applyFont="1" applyAlignment="1" applyProtection="1">
      <alignment horizontal="center" vertical="top"/>
      <protection hidden="1"/>
    </xf>
    <xf numFmtId="168" fontId="1" fillId="0" borderId="0" xfId="1" applyNumberFormat="1" applyAlignment="1" applyProtection="1">
      <alignment horizontal="center" vertical="top"/>
      <protection hidden="1"/>
    </xf>
    <xf numFmtId="168" fontId="1" fillId="0" borderId="6" xfId="1" applyNumberFormat="1" applyBorder="1" applyAlignment="1" applyProtection="1">
      <alignment horizontal="center" vertical="top"/>
      <protection hidden="1"/>
    </xf>
    <xf numFmtId="49" fontId="0" fillId="0" borderId="0" xfId="0" applyNumberFormat="1" applyAlignment="1" applyProtection="1">
      <alignment vertical="top"/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0" fillId="0" borderId="0" xfId="0" applyAlignment="1" applyProtection="1">
      <alignment vertical="top"/>
      <protection locked="0"/>
    </xf>
    <xf numFmtId="165" fontId="0" fillId="0" borderId="0" xfId="1" applyNumberFormat="1" applyFont="1" applyAlignment="1" applyProtection="1">
      <alignment vertical="top"/>
      <protection locked="0"/>
    </xf>
    <xf numFmtId="43" fontId="0" fillId="0" borderId="0" xfId="1" applyFont="1" applyAlignment="1" applyProtection="1">
      <alignment vertical="top"/>
      <protection hidden="1"/>
    </xf>
    <xf numFmtId="43" fontId="0" fillId="0" borderId="6" xfId="1" applyFont="1" applyBorder="1" applyAlignment="1" applyProtection="1">
      <alignment vertical="top"/>
      <protection hidden="1"/>
    </xf>
    <xf numFmtId="0" fontId="8" fillId="0" borderId="0" xfId="0" applyFont="1" applyProtection="1">
      <protection locked="0"/>
    </xf>
    <xf numFmtId="49" fontId="0" fillId="12" borderId="0" xfId="0" applyNumberFormat="1" applyFill="1" applyAlignment="1">
      <alignment vertical="top"/>
    </xf>
    <xf numFmtId="49" fontId="9" fillId="13" borderId="15" xfId="0" applyNumberFormat="1" applyFont="1" applyFill="1" applyBorder="1" applyAlignment="1" applyProtection="1">
      <alignment horizontal="center" vertical="center"/>
      <protection hidden="1"/>
    </xf>
    <xf numFmtId="0" fontId="9" fillId="13" borderId="15" xfId="0" applyFont="1" applyFill="1" applyBorder="1" applyAlignment="1" applyProtection="1">
      <alignment horizontal="center" vertical="center"/>
      <protection hidden="1"/>
    </xf>
    <xf numFmtId="4" fontId="9" fillId="13" borderId="15" xfId="0" applyNumberFormat="1" applyFont="1" applyFill="1" applyBorder="1" applyAlignment="1" applyProtection="1">
      <alignment horizontal="center" vertical="center"/>
      <protection hidden="1"/>
    </xf>
    <xf numFmtId="167" fontId="9" fillId="13" borderId="15" xfId="1" applyNumberFormat="1" applyFont="1" applyFill="1" applyBorder="1" applyAlignment="1" applyProtection="1">
      <alignment horizontal="center" vertical="center" wrapText="1"/>
      <protection hidden="1"/>
    </xf>
    <xf numFmtId="165" fontId="22" fillId="0" borderId="15" xfId="1" applyNumberFormat="1" applyFont="1" applyBorder="1" applyAlignment="1" applyProtection="1">
      <alignment horizontal="center" vertical="center"/>
      <protection hidden="1"/>
    </xf>
    <xf numFmtId="167" fontId="22" fillId="0" borderId="15" xfId="1" applyNumberFormat="1" applyFont="1" applyBorder="1" applyAlignment="1" applyProtection="1">
      <alignment horizontal="center" vertical="center"/>
      <protection hidden="1"/>
    </xf>
    <xf numFmtId="43" fontId="9" fillId="14" borderId="15" xfId="1" applyFont="1" applyFill="1" applyBorder="1" applyAlignment="1" applyProtection="1">
      <alignment horizontal="center" vertical="center" wrapText="1"/>
      <protection hidden="1"/>
    </xf>
    <xf numFmtId="43" fontId="30" fillId="15" borderId="15" xfId="1" applyFont="1" applyFill="1" applyBorder="1" applyAlignment="1" applyProtection="1">
      <alignment horizontal="center" vertical="center" wrapText="1"/>
      <protection hidden="1"/>
    </xf>
    <xf numFmtId="43" fontId="9" fillId="15" borderId="15" xfId="1" applyFont="1" applyFill="1" applyBorder="1" applyAlignment="1" applyProtection="1">
      <alignment horizontal="center" vertical="center" wrapText="1"/>
      <protection hidden="1"/>
    </xf>
    <xf numFmtId="0" fontId="31" fillId="16" borderId="15" xfId="0" applyFont="1" applyFill="1" applyBorder="1" applyAlignment="1" applyProtection="1">
      <alignment horizontal="center" vertical="center"/>
      <protection hidden="1"/>
    </xf>
    <xf numFmtId="4" fontId="31" fillId="16" borderId="15" xfId="0" applyNumberFormat="1" applyFont="1" applyFill="1" applyBorder="1" applyAlignment="1" applyProtection="1">
      <alignment horizontal="center" vertical="center"/>
      <protection hidden="1"/>
    </xf>
    <xf numFmtId="167" fontId="31" fillId="16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167" fontId="0" fillId="0" borderId="0" xfId="0" applyNumberFormat="1"/>
    <xf numFmtId="49" fontId="0" fillId="5" borderId="54" xfId="0" applyNumberFormat="1" applyFill="1" applyBorder="1" applyAlignment="1">
      <alignment horizontal="center" vertical="top"/>
    </xf>
    <xf numFmtId="49" fontId="29" fillId="17" borderId="37" xfId="0" quotePrefix="1" applyNumberFormat="1" applyFont="1" applyFill="1" applyBorder="1" applyAlignment="1" applyProtection="1">
      <alignment horizontal="center" vertical="top" wrapText="1"/>
      <protection locked="0" hidden="1"/>
    </xf>
    <xf numFmtId="0" fontId="33" fillId="17" borderId="38" xfId="0" applyFont="1" applyFill="1" applyBorder="1" applyAlignment="1" applyProtection="1">
      <alignment vertical="top"/>
      <protection locked="0"/>
    </xf>
    <xf numFmtId="0" fontId="9" fillId="17" borderId="38" xfId="0" applyFont="1" applyFill="1" applyBorder="1" applyAlignment="1" applyProtection="1">
      <alignment vertical="top" wrapText="1"/>
      <protection hidden="1"/>
    </xf>
    <xf numFmtId="167" fontId="33" fillId="17" borderId="39" xfId="0" applyNumberFormat="1" applyFont="1" applyFill="1" applyBorder="1" applyAlignment="1" applyProtection="1">
      <alignment horizontal="right" vertical="top" wrapText="1"/>
      <protection hidden="1"/>
    </xf>
    <xf numFmtId="3" fontId="33" fillId="0" borderId="41" xfId="0" applyNumberFormat="1" applyFont="1" applyBorder="1" applyAlignment="1" applyProtection="1">
      <alignment horizontal="right" vertical="top" wrapText="1"/>
      <protection hidden="1"/>
    </xf>
    <xf numFmtId="43" fontId="5" fillId="17" borderId="55" xfId="1" applyFont="1" applyFill="1" applyBorder="1" applyAlignment="1" applyProtection="1">
      <alignment vertical="top"/>
      <protection hidden="1"/>
    </xf>
    <xf numFmtId="43" fontId="5" fillId="17" borderId="56" xfId="1" applyFont="1" applyFill="1" applyBorder="1" applyAlignment="1" applyProtection="1">
      <alignment vertical="top"/>
      <protection hidden="1"/>
    </xf>
    <xf numFmtId="43" fontId="5" fillId="17" borderId="57" xfId="1" applyFont="1" applyFill="1" applyBorder="1" applyAlignment="1" applyProtection="1">
      <alignment vertical="top"/>
      <protection hidden="1"/>
    </xf>
    <xf numFmtId="43" fontId="34" fillId="17" borderId="58" xfId="1" applyFont="1" applyFill="1" applyBorder="1" applyAlignment="1" applyProtection="1">
      <alignment vertical="top"/>
      <protection hidden="1"/>
    </xf>
    <xf numFmtId="0" fontId="14" fillId="0" borderId="0" xfId="0" applyFont="1" applyProtection="1">
      <protection hidden="1"/>
    </xf>
    <xf numFmtId="0" fontId="0" fillId="5" borderId="37" xfId="0" applyFill="1" applyBorder="1" applyProtection="1">
      <protection locked="0"/>
    </xf>
    <xf numFmtId="0" fontId="0" fillId="5" borderId="38" xfId="0" applyFill="1" applyBorder="1" applyProtection="1">
      <protection locked="0"/>
    </xf>
    <xf numFmtId="4" fontId="33" fillId="5" borderId="39" xfId="0" applyNumberFormat="1" applyFont="1" applyFill="1" applyBorder="1" applyAlignment="1" applyProtection="1">
      <alignment horizontal="right" vertical="top" wrapText="1"/>
      <protection hidden="1"/>
    </xf>
    <xf numFmtId="49" fontId="0" fillId="5" borderId="59" xfId="0" applyNumberFormat="1" applyFill="1" applyBorder="1" applyAlignment="1">
      <alignment horizontal="center" vertical="top"/>
    </xf>
    <xf numFmtId="49" fontId="8" fillId="0" borderId="60" xfId="0" applyNumberFormat="1" applyFont="1" applyBorder="1" applyAlignment="1" applyProtection="1">
      <alignment horizontal="center" vertical="top"/>
      <protection locked="0" hidden="1"/>
    </xf>
    <xf numFmtId="0" fontId="17" fillId="0" borderId="56" xfId="0" applyFont="1" applyBorder="1" applyAlignment="1" applyProtection="1">
      <alignment vertical="top" wrapText="1"/>
      <protection hidden="1"/>
    </xf>
    <xf numFmtId="0" fontId="0" fillId="0" borderId="56" xfId="0" applyBorder="1" applyAlignment="1" applyProtection="1">
      <alignment horizontal="center" vertical="top"/>
      <protection hidden="1"/>
    </xf>
    <xf numFmtId="0" fontId="0" fillId="0" borderId="56" xfId="0" applyBorder="1" applyAlignment="1" applyProtection="1">
      <alignment horizontal="right" vertical="top"/>
      <protection locked="0" hidden="1"/>
    </xf>
    <xf numFmtId="165" fontId="0" fillId="0" borderId="56" xfId="1" applyNumberFormat="1" applyFont="1" applyBorder="1" applyAlignment="1" applyProtection="1">
      <alignment horizontal="right" vertical="top"/>
      <protection hidden="1"/>
    </xf>
    <xf numFmtId="167" fontId="0" fillId="0" borderId="61" xfId="1" applyNumberFormat="1" applyFont="1" applyBorder="1" applyAlignment="1" applyProtection="1">
      <alignment horizontal="right" vertical="top"/>
      <protection hidden="1"/>
    </xf>
    <xf numFmtId="165" fontId="0" fillId="0" borderId="62" xfId="1" applyNumberFormat="1" applyFont="1" applyBorder="1" applyAlignment="1" applyProtection="1">
      <alignment horizontal="right" vertical="top"/>
      <protection hidden="1"/>
    </xf>
    <xf numFmtId="165" fontId="0" fillId="0" borderId="57" xfId="1" applyNumberFormat="1" applyFont="1" applyBorder="1" applyAlignment="1" applyProtection="1">
      <alignment horizontal="right" vertical="top"/>
      <protection hidden="1"/>
    </xf>
    <xf numFmtId="165" fontId="0" fillId="0" borderId="58" xfId="1" applyNumberFormat="1" applyFont="1" applyBorder="1" applyAlignment="1" applyProtection="1">
      <alignment horizontal="right" vertical="top"/>
      <protection hidden="1"/>
    </xf>
    <xf numFmtId="165" fontId="0" fillId="0" borderId="63" xfId="1" applyNumberFormat="1" applyFont="1" applyBorder="1" applyAlignment="1" applyProtection="1">
      <alignment horizontal="right" vertical="top"/>
      <protection hidden="1"/>
    </xf>
    <xf numFmtId="165" fontId="0" fillId="0" borderId="20" xfId="0" applyNumberFormat="1" applyBorder="1"/>
    <xf numFmtId="165" fontId="0" fillId="0" borderId="30" xfId="1" applyNumberFormat="1" applyFont="1" applyFill="1" applyBorder="1" applyAlignment="1" applyProtection="1">
      <alignment horizontal="right" vertical="top"/>
      <protection hidden="1"/>
    </xf>
    <xf numFmtId="49" fontId="0" fillId="5" borderId="64" xfId="0" applyNumberFormat="1" applyFill="1" applyBorder="1" applyAlignment="1">
      <alignment horizontal="center" vertical="top" wrapText="1"/>
    </xf>
    <xf numFmtId="49" fontId="8" fillId="0" borderId="65" xfId="0" quotePrefix="1" applyNumberFormat="1" applyFont="1" applyBorder="1" applyAlignment="1" applyProtection="1">
      <alignment horizontal="center" vertical="top" wrapText="1"/>
      <protection locked="0" hidden="1"/>
    </xf>
    <xf numFmtId="0" fontId="17" fillId="0" borderId="66" xfId="0" applyFont="1" applyBorder="1" applyAlignment="1" applyProtection="1">
      <alignment vertical="top" wrapText="1"/>
      <protection hidden="1"/>
    </xf>
    <xf numFmtId="0" fontId="0" fillId="0" borderId="66" xfId="0" applyBorder="1" applyAlignment="1" applyProtection="1">
      <alignment horizontal="center" vertical="top" wrapText="1"/>
      <protection hidden="1"/>
    </xf>
    <xf numFmtId="0" fontId="0" fillId="0" borderId="66" xfId="0" applyBorder="1" applyAlignment="1" applyProtection="1">
      <alignment horizontal="right" vertical="top" wrapText="1"/>
      <protection locked="0" hidden="1"/>
    </xf>
    <xf numFmtId="49" fontId="0" fillId="5" borderId="67" xfId="0" applyNumberFormat="1" applyFill="1" applyBorder="1" applyAlignment="1">
      <alignment horizontal="center" vertical="top" wrapText="1"/>
    </xf>
    <xf numFmtId="49" fontId="8" fillId="0" borderId="68" xfId="0" quotePrefix="1" applyNumberFormat="1" applyFont="1" applyBorder="1" applyAlignment="1" applyProtection="1">
      <alignment horizontal="center" vertical="top" wrapText="1"/>
      <protection locked="0" hidden="1"/>
    </xf>
    <xf numFmtId="0" fontId="17" fillId="0" borderId="69" xfId="0" applyFont="1" applyBorder="1" applyAlignment="1" applyProtection="1">
      <alignment vertical="top" wrapText="1"/>
      <protection hidden="1"/>
    </xf>
    <xf numFmtId="0" fontId="0" fillId="0" borderId="69" xfId="0" applyBorder="1" applyAlignment="1" applyProtection="1">
      <alignment horizontal="center" vertical="top" wrapText="1"/>
      <protection hidden="1"/>
    </xf>
    <xf numFmtId="0" fontId="0" fillId="0" borderId="69" xfId="0" applyBorder="1" applyAlignment="1" applyProtection="1">
      <alignment horizontal="right" vertical="top" wrapText="1"/>
      <protection locked="0" hidden="1"/>
    </xf>
    <xf numFmtId="49" fontId="0" fillId="5" borderId="70" xfId="0" applyNumberFormat="1" applyFill="1" applyBorder="1" applyAlignment="1">
      <alignment horizontal="center" vertical="top" wrapText="1"/>
    </xf>
    <xf numFmtId="49" fontId="8" fillId="0" borderId="71" xfId="0" quotePrefix="1" applyNumberFormat="1" applyFont="1" applyBorder="1" applyAlignment="1" applyProtection="1">
      <alignment horizontal="center" vertical="top" wrapText="1"/>
      <protection locked="0" hidden="1"/>
    </xf>
    <xf numFmtId="0" fontId="17" fillId="0" borderId="72" xfId="0" applyFont="1" applyBorder="1" applyAlignment="1" applyProtection="1">
      <alignment vertical="top" wrapText="1"/>
      <protection hidden="1"/>
    </xf>
    <xf numFmtId="0" fontId="0" fillId="0" borderId="72" xfId="0" applyBorder="1" applyAlignment="1" applyProtection="1">
      <alignment horizontal="center" vertical="top" wrapText="1"/>
      <protection hidden="1"/>
    </xf>
    <xf numFmtId="0" fontId="0" fillId="0" borderId="72" xfId="0" applyBorder="1" applyAlignment="1" applyProtection="1">
      <alignment horizontal="right" vertical="top" wrapText="1"/>
      <protection locked="0" hidden="1"/>
    </xf>
    <xf numFmtId="49" fontId="0" fillId="5" borderId="73" xfId="0" applyNumberFormat="1" applyFill="1" applyBorder="1" applyAlignment="1">
      <alignment horizontal="center" vertical="top"/>
    </xf>
    <xf numFmtId="49" fontId="8" fillId="0" borderId="74" xfId="0" applyNumberFormat="1" applyFont="1" applyBorder="1" applyAlignment="1" applyProtection="1">
      <alignment horizontal="center" vertical="top"/>
      <protection locked="0" hidden="1"/>
    </xf>
    <xf numFmtId="0" fontId="17" fillId="0" borderId="26" xfId="0" applyFont="1" applyBorder="1" applyAlignment="1" applyProtection="1">
      <alignment vertical="top" wrapText="1"/>
      <protection hidden="1"/>
    </xf>
    <xf numFmtId="0" fontId="0" fillId="0" borderId="26" xfId="0" applyBorder="1" applyAlignment="1" applyProtection="1">
      <alignment horizontal="center" vertical="top"/>
      <protection hidden="1"/>
    </xf>
    <xf numFmtId="0" fontId="0" fillId="0" borderId="26" xfId="0" applyBorder="1" applyAlignment="1" applyProtection="1">
      <alignment horizontal="right" vertical="top"/>
      <protection locked="0" hidden="1"/>
    </xf>
    <xf numFmtId="165" fontId="0" fillId="0" borderId="26" xfId="1" applyNumberFormat="1" applyFont="1" applyBorder="1" applyAlignment="1" applyProtection="1">
      <alignment horizontal="right" vertical="top"/>
      <protection hidden="1"/>
    </xf>
    <xf numFmtId="167" fontId="0" fillId="0" borderId="30" xfId="1" applyNumberFormat="1" applyFont="1" applyBorder="1" applyAlignment="1" applyProtection="1">
      <alignment horizontal="right" vertical="top"/>
      <protection hidden="1"/>
    </xf>
    <xf numFmtId="165" fontId="0" fillId="0" borderId="75" xfId="1" applyNumberFormat="1" applyFont="1" applyBorder="1" applyAlignment="1" applyProtection="1">
      <alignment horizontal="right" vertical="top"/>
      <protection hidden="1"/>
    </xf>
    <xf numFmtId="165" fontId="0" fillId="0" borderId="27" xfId="1" applyNumberFormat="1" applyFont="1" applyBorder="1" applyAlignment="1" applyProtection="1">
      <alignment horizontal="right" vertical="top"/>
      <protection hidden="1"/>
    </xf>
    <xf numFmtId="165" fontId="0" fillId="0" borderId="28" xfId="1" applyNumberFormat="1" applyFont="1" applyBorder="1" applyAlignment="1" applyProtection="1">
      <alignment horizontal="right" vertical="top"/>
      <protection hidden="1"/>
    </xf>
    <xf numFmtId="165" fontId="0" fillId="0" borderId="76" xfId="1" applyNumberFormat="1" applyFont="1" applyBorder="1" applyAlignment="1" applyProtection="1">
      <alignment horizontal="right" vertical="top"/>
      <protection hidden="1"/>
    </xf>
    <xf numFmtId="49" fontId="0" fillId="5" borderId="77" xfId="0" applyNumberFormat="1" applyFill="1" applyBorder="1" applyAlignment="1">
      <alignment horizontal="center" vertical="top"/>
    </xf>
    <xf numFmtId="49" fontId="8" fillId="18" borderId="78" xfId="0" applyNumberFormat="1" applyFont="1" applyFill="1" applyBorder="1" applyAlignment="1" applyProtection="1">
      <alignment horizontal="center" vertical="top"/>
      <protection locked="0" hidden="1"/>
    </xf>
    <xf numFmtId="0" fontId="17" fillId="18" borderId="79" xfId="0" applyFont="1" applyFill="1" applyBorder="1" applyAlignment="1" applyProtection="1">
      <alignment vertical="top" wrapText="1"/>
      <protection hidden="1"/>
    </xf>
    <xf numFmtId="0" fontId="0" fillId="18" borderId="79" xfId="0" applyFill="1" applyBorder="1" applyAlignment="1" applyProtection="1">
      <alignment horizontal="center" vertical="top"/>
      <protection hidden="1"/>
    </xf>
    <xf numFmtId="0" fontId="0" fillId="18" borderId="79" xfId="0" applyFill="1" applyBorder="1" applyAlignment="1" applyProtection="1">
      <alignment horizontal="right" vertical="top"/>
      <protection locked="0" hidden="1"/>
    </xf>
    <xf numFmtId="165" fontId="9" fillId="18" borderId="79" xfId="1" applyNumberFormat="1" applyFont="1" applyFill="1" applyBorder="1" applyAlignment="1" applyProtection="1">
      <alignment horizontal="right" vertical="top"/>
      <protection hidden="1"/>
    </xf>
    <xf numFmtId="167" fontId="33" fillId="18" borderId="80" xfId="1" applyNumberFormat="1" applyFont="1" applyFill="1" applyBorder="1" applyAlignment="1" applyProtection="1">
      <alignment horizontal="right" vertical="top"/>
      <protection hidden="1"/>
    </xf>
    <xf numFmtId="165" fontId="33" fillId="0" borderId="15" xfId="1" applyNumberFormat="1" applyFont="1" applyBorder="1" applyAlignment="1" applyProtection="1">
      <alignment horizontal="right" vertical="top"/>
      <protection hidden="1"/>
    </xf>
    <xf numFmtId="3" fontId="0" fillId="18" borderId="81" xfId="1" applyNumberFormat="1" applyFont="1" applyFill="1" applyBorder="1" applyAlignment="1" applyProtection="1">
      <alignment horizontal="right" vertical="top"/>
      <protection hidden="1"/>
    </xf>
    <xf numFmtId="3" fontId="0" fillId="18" borderId="82" xfId="1" applyNumberFormat="1" applyFont="1" applyFill="1" applyBorder="1" applyAlignment="1" applyProtection="1">
      <alignment horizontal="right" vertical="top"/>
      <protection hidden="1"/>
    </xf>
    <xf numFmtId="3" fontId="0" fillId="18" borderId="83" xfId="1" applyNumberFormat="1" applyFont="1" applyFill="1" applyBorder="1" applyAlignment="1" applyProtection="1">
      <alignment horizontal="right" vertical="top"/>
      <protection hidden="1"/>
    </xf>
    <xf numFmtId="3" fontId="9" fillId="18" borderId="84" xfId="1" applyNumberFormat="1" applyFont="1" applyFill="1" applyBorder="1" applyAlignment="1" applyProtection="1">
      <alignment horizontal="right" vertical="top"/>
      <protection hidden="1"/>
    </xf>
    <xf numFmtId="0" fontId="0" fillId="19" borderId="78" xfId="0" applyFill="1" applyBorder="1"/>
    <xf numFmtId="0" fontId="0" fillId="19" borderId="79" xfId="0" applyFill="1" applyBorder="1"/>
    <xf numFmtId="43" fontId="33" fillId="19" borderId="80" xfId="1" applyFont="1" applyFill="1" applyBorder="1" applyAlignment="1" applyProtection="1">
      <alignment horizontal="right" vertical="top"/>
      <protection hidden="1"/>
    </xf>
    <xf numFmtId="43" fontId="0" fillId="0" borderId="0" xfId="1" applyFont="1" applyAlignment="1">
      <alignment vertical="top"/>
    </xf>
    <xf numFmtId="0" fontId="29" fillId="17" borderId="37" xfId="0" quotePrefix="1" applyFont="1" applyFill="1" applyBorder="1" applyAlignment="1" applyProtection="1">
      <alignment horizontal="center" vertical="top" wrapText="1"/>
      <protection locked="0" hidden="1"/>
    </xf>
    <xf numFmtId="0" fontId="29" fillId="17" borderId="38" xfId="0" applyFont="1" applyFill="1" applyBorder="1" applyAlignment="1" applyProtection="1">
      <alignment vertical="top"/>
      <protection locked="0"/>
    </xf>
    <xf numFmtId="0" fontId="8" fillId="0" borderId="60" xfId="0" applyFont="1" applyBorder="1" applyAlignment="1" applyProtection="1">
      <alignment horizontal="center" vertical="top"/>
      <protection locked="0" hidden="1"/>
    </xf>
    <xf numFmtId="0" fontId="8" fillId="0" borderId="65" xfId="0" quotePrefix="1" applyFont="1" applyBorder="1" applyAlignment="1" applyProtection="1">
      <alignment horizontal="center" vertical="top" wrapText="1"/>
      <protection locked="0" hidden="1"/>
    </xf>
    <xf numFmtId="0" fontId="8" fillId="0" borderId="68" xfId="0" quotePrefix="1" applyFont="1" applyBorder="1" applyAlignment="1" applyProtection="1">
      <alignment horizontal="center" vertical="top" wrapText="1"/>
      <protection locked="0" hidden="1"/>
    </xf>
    <xf numFmtId="0" fontId="8" fillId="0" borderId="71" xfId="0" quotePrefix="1" applyFont="1" applyBorder="1" applyAlignment="1" applyProtection="1">
      <alignment horizontal="center" vertical="top" wrapText="1"/>
      <protection locked="0" hidden="1"/>
    </xf>
    <xf numFmtId="0" fontId="8" fillId="0" borderId="74" xfId="0" applyFont="1" applyBorder="1" applyAlignment="1" applyProtection="1">
      <alignment horizontal="center" vertical="top"/>
      <protection locked="0" hidden="1"/>
    </xf>
    <xf numFmtId="0" fontId="8" fillId="18" borderId="78" xfId="0" applyFont="1" applyFill="1" applyBorder="1" applyAlignment="1" applyProtection="1">
      <alignment horizontal="center" vertical="top"/>
      <protection locked="0" hidden="1"/>
    </xf>
    <xf numFmtId="49" fontId="0" fillId="5" borderId="67" xfId="0" quotePrefix="1" applyNumberFormat="1" applyFill="1" applyBorder="1" applyAlignment="1">
      <alignment horizontal="center" vertical="top" wrapText="1"/>
    </xf>
    <xf numFmtId="0" fontId="8" fillId="0" borderId="19" xfId="0" quotePrefix="1" applyFont="1" applyBorder="1" applyAlignment="1" applyProtection="1">
      <alignment horizontal="center" vertical="top" wrapText="1"/>
      <protection locked="0" hidden="1"/>
    </xf>
    <xf numFmtId="0" fontId="0" fillId="0" borderId="0" xfId="0" applyAlignment="1" applyProtection="1">
      <alignment vertical="center"/>
      <protection locked="0"/>
    </xf>
    <xf numFmtId="49" fontId="0" fillId="0" borderId="0" xfId="0" applyNumberFormat="1" applyAlignment="1" applyProtection="1">
      <alignment vertical="top"/>
      <protection hidden="1"/>
    </xf>
    <xf numFmtId="167" fontId="0" fillId="0" borderId="0" xfId="1" applyNumberFormat="1" applyFont="1" applyAlignment="1" applyProtection="1">
      <alignment vertical="top"/>
      <protection hidden="1"/>
    </xf>
    <xf numFmtId="167" fontId="0" fillId="0" borderId="0" xfId="0" applyNumberFormat="1" applyProtection="1">
      <protection hidden="1"/>
    </xf>
    <xf numFmtId="43" fontId="35" fillId="0" borderId="0" xfId="1" applyFont="1" applyAlignment="1" applyProtection="1">
      <alignment vertical="top"/>
      <protection hidden="1"/>
    </xf>
    <xf numFmtId="43" fontId="35" fillId="0" borderId="6" xfId="1" applyFont="1" applyBorder="1" applyAlignment="1" applyProtection="1">
      <alignment vertical="top"/>
      <protection hidden="1"/>
    </xf>
    <xf numFmtId="167" fontId="0" fillId="0" borderId="0" xfId="0" applyNumberFormat="1" applyProtection="1">
      <protection locked="0"/>
    </xf>
    <xf numFmtId="49" fontId="25" fillId="5" borderId="0" xfId="0" applyNumberFormat="1" applyFont="1" applyFill="1" applyAlignment="1">
      <alignment horizontal="center" vertical="center"/>
    </xf>
    <xf numFmtId="49" fontId="0" fillId="0" borderId="0" xfId="0" applyNumberFormat="1" applyAlignment="1" applyProtection="1">
      <alignment vertical="center"/>
      <protection hidden="1"/>
    </xf>
    <xf numFmtId="0" fontId="0" fillId="19" borderId="12" xfId="0" applyFill="1" applyBorder="1" applyAlignment="1" applyProtection="1">
      <alignment vertical="center"/>
      <protection hidden="1"/>
    </xf>
    <xf numFmtId="0" fontId="0" fillId="19" borderId="13" xfId="0" applyFill="1" applyBorder="1" applyAlignment="1" applyProtection="1">
      <alignment vertical="center"/>
      <protection hidden="1"/>
    </xf>
    <xf numFmtId="4" fontId="33" fillId="19" borderId="13" xfId="0" applyNumberFormat="1" applyFont="1" applyFill="1" applyBorder="1" applyAlignment="1" applyProtection="1">
      <alignment horizontal="right" vertical="center"/>
      <protection hidden="1"/>
    </xf>
    <xf numFmtId="4" fontId="33" fillId="19" borderId="14" xfId="1" applyNumberFormat="1" applyFont="1" applyFill="1" applyBorder="1" applyAlignment="1" applyProtection="1">
      <alignment horizontal="right" vertical="center"/>
      <protection hidden="1"/>
    </xf>
    <xf numFmtId="165" fontId="33" fillId="20" borderId="26" xfId="1" applyNumberFormat="1" applyFont="1" applyFill="1" applyBorder="1" applyAlignment="1" applyProtection="1">
      <alignment horizontal="right" vertical="center"/>
      <protection hidden="1"/>
    </xf>
    <xf numFmtId="167" fontId="30" fillId="20" borderId="26" xfId="1" applyNumberFormat="1" applyFont="1" applyFill="1" applyBorder="1" applyAlignment="1" applyProtection="1">
      <alignment horizontal="right" vertical="center"/>
      <protection hidden="1"/>
    </xf>
    <xf numFmtId="167" fontId="30" fillId="20" borderId="28" xfId="1" applyNumberFormat="1" applyFont="1" applyFill="1" applyBorder="1" applyAlignment="1" applyProtection="1">
      <alignment horizontal="right" vertical="center"/>
      <protection hidden="1"/>
    </xf>
    <xf numFmtId="3" fontId="33" fillId="20" borderId="14" xfId="1" applyNumberFormat="1" applyFont="1" applyFill="1" applyBorder="1" applyAlignment="1" applyProtection="1">
      <alignment horizontal="right" vertical="center"/>
      <protection hidden="1"/>
    </xf>
    <xf numFmtId="43" fontId="0" fillId="0" borderId="0" xfId="1" applyFont="1" applyAlignment="1" applyProtection="1">
      <alignment vertical="center"/>
      <protection hidden="1"/>
    </xf>
    <xf numFmtId="3" fontId="33" fillId="8" borderId="43" xfId="1" applyNumberFormat="1" applyFont="1" applyFill="1" applyBorder="1" applyAlignment="1" applyProtection="1">
      <alignment horizontal="right" vertical="center"/>
      <protection hidden="1"/>
    </xf>
    <xf numFmtId="0" fontId="35" fillId="0" borderId="0" xfId="0" applyFont="1" applyAlignment="1" applyProtection="1">
      <alignment vertical="center"/>
      <protection hidden="1"/>
    </xf>
    <xf numFmtId="0" fontId="35" fillId="0" borderId="6" xfId="0" applyFont="1" applyBorder="1" applyAlignment="1" applyProtection="1">
      <alignment vertical="center"/>
      <protection hidden="1"/>
    </xf>
    <xf numFmtId="0" fontId="14" fillId="2" borderId="7" xfId="0" applyFont="1" applyFill="1" applyBorder="1" applyAlignment="1" applyProtection="1">
      <alignment vertical="center"/>
      <protection hidden="1"/>
    </xf>
    <xf numFmtId="0" fontId="14" fillId="2" borderId="8" xfId="0" applyFont="1" applyFill="1" applyBorder="1" applyAlignment="1" applyProtection="1">
      <alignment vertical="center"/>
      <protection hidden="1"/>
    </xf>
    <xf numFmtId="0" fontId="14" fillId="2" borderId="9" xfId="0" applyFont="1" applyFill="1" applyBorder="1" applyAlignment="1" applyProtection="1">
      <alignment vertical="center"/>
      <protection hidden="1"/>
    </xf>
    <xf numFmtId="0" fontId="14" fillId="2" borderId="10" xfId="0" applyFont="1" applyFill="1" applyBorder="1" applyAlignment="1" applyProtection="1">
      <alignment vertical="center"/>
      <protection hidden="1"/>
    </xf>
    <xf numFmtId="0" fontId="14" fillId="2" borderId="11" xfId="0" applyFont="1" applyFill="1" applyBorder="1" applyAlignment="1" applyProtection="1">
      <alignment vertical="center"/>
      <protection hidden="1"/>
    </xf>
    <xf numFmtId="0" fontId="0" fillId="9" borderId="12" xfId="0" applyFill="1" applyBorder="1" applyAlignment="1" applyProtection="1">
      <alignment vertical="center"/>
      <protection hidden="1"/>
    </xf>
    <xf numFmtId="0" fontId="0" fillId="9" borderId="13" xfId="0" applyFill="1" applyBorder="1" applyAlignment="1" applyProtection="1">
      <alignment vertical="center"/>
      <protection hidden="1"/>
    </xf>
    <xf numFmtId="4" fontId="33" fillId="9" borderId="13" xfId="0" applyNumberFormat="1" applyFont="1" applyFill="1" applyBorder="1" applyAlignment="1" applyProtection="1">
      <alignment horizontal="right" vertical="center"/>
      <protection hidden="1"/>
    </xf>
    <xf numFmtId="4" fontId="33" fillId="9" borderId="14" xfId="1" applyNumberFormat="1" applyFont="1" applyFill="1" applyBorder="1" applyAlignment="1" applyProtection="1">
      <alignment horizontal="right" vertical="center"/>
      <protection hidden="1"/>
    </xf>
    <xf numFmtId="0" fontId="0" fillId="5" borderId="31" xfId="0" applyFill="1" applyBorder="1" applyAlignment="1" applyProtection="1">
      <alignment vertical="center"/>
      <protection locked="0"/>
    </xf>
    <xf numFmtId="0" fontId="0" fillId="21" borderId="12" xfId="0" applyFill="1" applyBorder="1" applyAlignment="1" applyProtection="1">
      <alignment vertical="center"/>
      <protection hidden="1"/>
    </xf>
    <xf numFmtId="0" fontId="0" fillId="21" borderId="13" xfId="0" applyFill="1" applyBorder="1" applyAlignment="1" applyProtection="1">
      <alignment vertical="center"/>
      <protection hidden="1"/>
    </xf>
    <xf numFmtId="165" fontId="33" fillId="21" borderId="13" xfId="0" applyNumberFormat="1" applyFont="1" applyFill="1" applyBorder="1" applyAlignment="1" applyProtection="1">
      <alignment horizontal="right" vertical="center"/>
      <protection hidden="1"/>
    </xf>
    <xf numFmtId="167" fontId="33" fillId="21" borderId="14" xfId="1" applyNumberFormat="1" applyFont="1" applyFill="1" applyBorder="1" applyAlignment="1" applyProtection="1">
      <alignment horizontal="right" vertical="center"/>
      <protection hidden="1"/>
    </xf>
    <xf numFmtId="3" fontId="33" fillId="20" borderId="43" xfId="1" applyNumberFormat="1" applyFont="1" applyFill="1" applyBorder="1" applyAlignment="1" applyProtection="1">
      <alignment horizontal="right" vertical="center"/>
      <protection hidden="1"/>
    </xf>
    <xf numFmtId="3" fontId="33" fillId="20" borderId="44" xfId="1" applyNumberFormat="1" applyFont="1" applyFill="1" applyBorder="1" applyAlignment="1" applyProtection="1">
      <alignment horizontal="right" vertical="center"/>
      <protection hidden="1"/>
    </xf>
    <xf numFmtId="0" fontId="0" fillId="22" borderId="12" xfId="0" applyFill="1" applyBorder="1" applyAlignment="1" applyProtection="1">
      <alignment vertical="center"/>
      <protection hidden="1"/>
    </xf>
    <xf numFmtId="0" fontId="0" fillId="22" borderId="13" xfId="0" applyFill="1" applyBorder="1" applyAlignment="1" applyProtection="1">
      <alignment vertical="center"/>
      <protection hidden="1"/>
    </xf>
    <xf numFmtId="165" fontId="33" fillId="22" borderId="13" xfId="0" applyNumberFormat="1" applyFont="1" applyFill="1" applyBorder="1" applyAlignment="1" applyProtection="1">
      <alignment horizontal="right" vertical="center"/>
      <protection hidden="1"/>
    </xf>
    <xf numFmtId="167" fontId="33" fillId="22" borderId="14" xfId="1" applyNumberFormat="1" applyFont="1" applyFill="1" applyBorder="1" applyAlignment="1" applyProtection="1">
      <alignment horizontal="right" vertical="center"/>
      <protection hidden="1"/>
    </xf>
    <xf numFmtId="49" fontId="25" fillId="5" borderId="0" xfId="0" applyNumberFormat="1" applyFont="1" applyFill="1" applyAlignment="1">
      <alignment horizontal="center" vertical="top"/>
    </xf>
    <xf numFmtId="167" fontId="0" fillId="23" borderId="14" xfId="1" applyNumberFormat="1" applyFont="1" applyFill="1" applyBorder="1" applyAlignment="1" applyProtection="1">
      <alignment vertical="top"/>
      <protection hidden="1"/>
    </xf>
    <xf numFmtId="43" fontId="0" fillId="0" borderId="47" xfId="1" applyFont="1" applyBorder="1" applyAlignment="1" applyProtection="1">
      <alignment vertical="top"/>
      <protection hidden="1"/>
    </xf>
    <xf numFmtId="43" fontId="0" fillId="0" borderId="35" xfId="1" applyFont="1" applyBorder="1" applyAlignment="1" applyProtection="1">
      <alignment vertical="top"/>
      <protection hidden="1"/>
    </xf>
    <xf numFmtId="167" fontId="0" fillId="0" borderId="35" xfId="1" applyNumberFormat="1" applyFont="1" applyBorder="1" applyAlignment="1" applyProtection="1">
      <alignment vertical="top"/>
      <protection hidden="1"/>
    </xf>
    <xf numFmtId="167" fontId="0" fillId="0" borderId="48" xfId="1" applyNumberFormat="1" applyFont="1" applyBorder="1" applyAlignment="1" applyProtection="1">
      <alignment vertical="top"/>
      <protection hidden="1"/>
    </xf>
    <xf numFmtId="43" fontId="0" fillId="14" borderId="14" xfId="1" applyFont="1" applyFill="1" applyBorder="1" applyAlignment="1" applyProtection="1">
      <alignment vertical="top"/>
      <protection hidden="1"/>
    </xf>
    <xf numFmtId="49" fontId="25" fillId="5" borderId="0" xfId="0" applyNumberFormat="1" applyFont="1" applyFill="1" applyAlignment="1">
      <alignment horizontal="center"/>
    </xf>
    <xf numFmtId="49" fontId="0" fillId="0" borderId="0" xfId="0" applyNumberFormat="1" applyProtection="1">
      <protection hidden="1"/>
    </xf>
    <xf numFmtId="0" fontId="0" fillId="24" borderId="86" xfId="0" applyFill="1" applyBorder="1" applyProtection="1">
      <protection hidden="1"/>
    </xf>
    <xf numFmtId="0" fontId="0" fillId="24" borderId="62" xfId="0" applyFill="1" applyBorder="1" applyProtection="1">
      <protection hidden="1"/>
    </xf>
    <xf numFmtId="0" fontId="9" fillId="24" borderId="87" xfId="0" applyFont="1" applyFill="1" applyBorder="1" applyAlignment="1" applyProtection="1">
      <alignment horizontal="right"/>
      <protection hidden="1"/>
    </xf>
    <xf numFmtId="167" fontId="9" fillId="24" borderId="58" xfId="1" applyNumberFormat="1" applyFont="1" applyFill="1" applyBorder="1" applyAlignment="1" applyProtection="1">
      <alignment vertical="top"/>
      <protection hidden="1"/>
    </xf>
    <xf numFmtId="165" fontId="9" fillId="0" borderId="0" xfId="1" applyNumberFormat="1" applyFont="1" applyAlignment="1" applyProtection="1">
      <alignment vertical="top"/>
      <protection hidden="1"/>
    </xf>
    <xf numFmtId="167" fontId="9" fillId="0" borderId="0" xfId="1" applyNumberFormat="1" applyFont="1" applyAlignment="1" applyProtection="1">
      <alignment vertical="top"/>
      <protection hidden="1"/>
    </xf>
    <xf numFmtId="167" fontId="9" fillId="0" borderId="88" xfId="1" applyNumberFormat="1" applyFont="1" applyBorder="1" applyAlignment="1" applyProtection="1">
      <alignment vertical="top"/>
      <protection hidden="1"/>
    </xf>
    <xf numFmtId="165" fontId="9" fillId="0" borderId="58" xfId="1" applyNumberFormat="1" applyFont="1" applyBorder="1" applyAlignment="1" applyProtection="1">
      <alignment vertical="top"/>
      <protection hidden="1"/>
    </xf>
    <xf numFmtId="0" fontId="0" fillId="0" borderId="6" xfId="0" applyBorder="1" applyProtection="1">
      <protection hidden="1"/>
    </xf>
    <xf numFmtId="0" fontId="0" fillId="24" borderId="89" xfId="0" applyFill="1" applyBorder="1" applyProtection="1">
      <protection hidden="1"/>
    </xf>
    <xf numFmtId="0" fontId="0" fillId="24" borderId="22" xfId="0" applyFill="1" applyBorder="1" applyProtection="1">
      <protection hidden="1"/>
    </xf>
    <xf numFmtId="0" fontId="0" fillId="24" borderId="22" xfId="0" applyFill="1" applyBorder="1" applyAlignment="1" applyProtection="1">
      <alignment horizontal="right"/>
      <protection hidden="1"/>
    </xf>
    <xf numFmtId="10" fontId="0" fillId="24" borderId="29" xfId="0" applyNumberFormat="1" applyFill="1" applyBorder="1" applyAlignment="1" applyProtection="1">
      <alignment horizontal="center"/>
      <protection hidden="1"/>
    </xf>
    <xf numFmtId="167" fontId="0" fillId="24" borderId="24" xfId="1" applyNumberFormat="1" applyFont="1" applyFill="1" applyBorder="1" applyProtection="1">
      <protection hidden="1"/>
    </xf>
    <xf numFmtId="165" fontId="0" fillId="0" borderId="0" xfId="1" applyNumberFormat="1" applyFont="1" applyProtection="1">
      <protection hidden="1"/>
    </xf>
    <xf numFmtId="167" fontId="0" fillId="0" borderId="0" xfId="1" applyNumberFormat="1" applyFont="1" applyProtection="1">
      <protection hidden="1"/>
    </xf>
    <xf numFmtId="167" fontId="0" fillId="0" borderId="88" xfId="1" applyNumberFormat="1" applyFont="1" applyBorder="1" applyProtection="1">
      <protection hidden="1"/>
    </xf>
    <xf numFmtId="165" fontId="0" fillId="0" borderId="24" xfId="1" applyNumberFormat="1" applyFont="1" applyBorder="1" applyProtection="1">
      <protection hidden="1"/>
    </xf>
    <xf numFmtId="0" fontId="0" fillId="24" borderId="90" xfId="0" applyFill="1" applyBorder="1" applyProtection="1">
      <protection hidden="1"/>
    </xf>
    <xf numFmtId="0" fontId="0" fillId="24" borderId="75" xfId="0" applyFill="1" applyBorder="1" applyProtection="1">
      <protection hidden="1"/>
    </xf>
    <xf numFmtId="0" fontId="0" fillId="24" borderId="75" xfId="0" applyFill="1" applyBorder="1" applyAlignment="1" applyProtection="1">
      <alignment horizontal="right"/>
      <protection hidden="1"/>
    </xf>
    <xf numFmtId="167" fontId="0" fillId="24" borderId="28" xfId="1" applyNumberFormat="1" applyFont="1" applyFill="1" applyBorder="1" applyProtection="1">
      <protection hidden="1"/>
    </xf>
    <xf numFmtId="167" fontId="1" fillId="0" borderId="88" xfId="1" applyNumberFormat="1" applyBorder="1" applyProtection="1">
      <protection hidden="1"/>
    </xf>
    <xf numFmtId="165" fontId="0" fillId="0" borderId="28" xfId="1" applyNumberFormat="1" applyFont="1" applyBorder="1" applyProtection="1">
      <protection hidden="1"/>
    </xf>
    <xf numFmtId="165" fontId="0" fillId="0" borderId="6" xfId="1" applyNumberFormat="1" applyFont="1" applyBorder="1" applyProtection="1">
      <protection hidden="1"/>
    </xf>
    <xf numFmtId="0" fontId="0" fillId="24" borderId="91" xfId="0" applyFill="1" applyBorder="1" applyProtection="1">
      <protection hidden="1"/>
    </xf>
    <xf numFmtId="0" fontId="0" fillId="24" borderId="92" xfId="0" applyFill="1" applyBorder="1" applyProtection="1">
      <protection hidden="1"/>
    </xf>
    <xf numFmtId="0" fontId="9" fillId="24" borderId="92" xfId="0" applyFont="1" applyFill="1" applyBorder="1" applyAlignment="1" applyProtection="1">
      <alignment horizontal="right"/>
      <protection hidden="1"/>
    </xf>
    <xf numFmtId="10" fontId="9" fillId="24" borderId="93" xfId="0" applyNumberFormat="1" applyFont="1" applyFill="1" applyBorder="1" applyAlignment="1" applyProtection="1">
      <alignment horizontal="center"/>
      <protection hidden="1"/>
    </xf>
    <xf numFmtId="167" fontId="9" fillId="24" borderId="28" xfId="1" applyNumberFormat="1" applyFont="1" applyFill="1" applyBorder="1" applyProtection="1">
      <protection hidden="1"/>
    </xf>
    <xf numFmtId="165" fontId="9" fillId="0" borderId="36" xfId="1" applyNumberFormat="1" applyFont="1" applyBorder="1" applyProtection="1">
      <protection hidden="1"/>
    </xf>
    <xf numFmtId="165" fontId="9" fillId="0" borderId="0" xfId="1" applyNumberFormat="1" applyFont="1" applyProtection="1">
      <protection hidden="1"/>
    </xf>
    <xf numFmtId="167" fontId="9" fillId="0" borderId="0" xfId="1" applyNumberFormat="1" applyFont="1" applyProtection="1">
      <protection hidden="1"/>
    </xf>
    <xf numFmtId="167" fontId="9" fillId="0" borderId="88" xfId="1" applyNumberFormat="1" applyFont="1" applyBorder="1" applyProtection="1">
      <protection hidden="1"/>
    </xf>
    <xf numFmtId="165" fontId="9" fillId="0" borderId="28" xfId="1" applyNumberFormat="1" applyFont="1" applyBorder="1" applyProtection="1">
      <protection hidden="1"/>
    </xf>
    <xf numFmtId="165" fontId="9" fillId="0" borderId="0" xfId="0" applyNumberFormat="1" applyFont="1" applyProtection="1">
      <protection hidden="1"/>
    </xf>
    <xf numFmtId="165" fontId="9" fillId="0" borderId="6" xfId="0" applyNumberFormat="1" applyFont="1" applyBorder="1" applyProtection="1">
      <protection hidden="1"/>
    </xf>
    <xf numFmtId="0" fontId="8" fillId="24" borderId="92" xfId="0" applyFont="1" applyFill="1" applyBorder="1" applyAlignment="1" applyProtection="1">
      <alignment horizontal="right"/>
      <protection hidden="1"/>
    </xf>
    <xf numFmtId="10" fontId="8" fillId="24" borderId="93" xfId="0" applyNumberFormat="1" applyFont="1" applyFill="1" applyBorder="1" applyAlignment="1" applyProtection="1">
      <alignment horizontal="center"/>
      <protection hidden="1"/>
    </xf>
    <xf numFmtId="167" fontId="9" fillId="24" borderId="94" xfId="1" applyNumberFormat="1" applyFont="1" applyFill="1" applyBorder="1" applyProtection="1">
      <protection hidden="1"/>
    </xf>
    <xf numFmtId="165" fontId="9" fillId="0" borderId="94" xfId="1" applyNumberFormat="1" applyFont="1" applyBorder="1" applyProtection="1">
      <protection hidden="1"/>
    </xf>
    <xf numFmtId="0" fontId="6" fillId="23" borderId="12" xfId="3" applyFill="1" applyBorder="1" applyAlignment="1" applyProtection="1">
      <protection hidden="1"/>
    </xf>
    <xf numFmtId="0" fontId="0" fillId="23" borderId="13" xfId="0" applyFill="1" applyBorder="1" applyProtection="1">
      <protection hidden="1"/>
    </xf>
    <xf numFmtId="0" fontId="33" fillId="23" borderId="13" xfId="0" applyFont="1" applyFill="1" applyBorder="1" applyAlignment="1" applyProtection="1">
      <alignment horizontal="right"/>
      <protection hidden="1"/>
    </xf>
    <xf numFmtId="167" fontId="33" fillId="23" borderId="14" xfId="0" applyNumberFormat="1" applyFont="1" applyFill="1" applyBorder="1" applyAlignment="1" applyProtection="1">
      <alignment horizontal="right"/>
      <protection hidden="1"/>
    </xf>
    <xf numFmtId="165" fontId="5" fillId="0" borderId="41" xfId="0" applyNumberFormat="1" applyFont="1" applyBorder="1" applyProtection="1">
      <protection hidden="1"/>
    </xf>
    <xf numFmtId="3" fontId="33" fillId="0" borderId="41" xfId="0" applyNumberFormat="1" applyFont="1" applyBorder="1" applyAlignment="1" applyProtection="1">
      <alignment horizontal="right"/>
      <protection hidden="1"/>
    </xf>
    <xf numFmtId="167" fontId="33" fillId="0" borderId="41" xfId="0" applyNumberFormat="1" applyFont="1" applyBorder="1" applyAlignment="1" applyProtection="1">
      <alignment horizontal="right"/>
      <protection hidden="1"/>
    </xf>
    <xf numFmtId="167" fontId="33" fillId="0" borderId="96" xfId="0" applyNumberFormat="1" applyFont="1" applyBorder="1" applyAlignment="1" applyProtection="1">
      <alignment horizontal="right"/>
      <protection locked="0"/>
    </xf>
    <xf numFmtId="3" fontId="33" fillId="14" borderId="14" xfId="0" applyNumberFormat="1" applyFont="1" applyFill="1" applyBorder="1" applyAlignment="1" applyProtection="1">
      <alignment horizontal="right"/>
      <protection hidden="1"/>
    </xf>
    <xf numFmtId="49" fontId="25" fillId="0" borderId="0" xfId="0" applyNumberFormat="1" applyFont="1" applyAlignment="1">
      <alignment horizontal="center"/>
    </xf>
    <xf numFmtId="0" fontId="9" fillId="0" borderId="0" xfId="0" applyFont="1" applyAlignment="1" applyProtection="1">
      <alignment horizontal="right"/>
      <protection hidden="1"/>
    </xf>
    <xf numFmtId="167" fontId="8" fillId="0" borderId="0" xfId="0" applyNumberFormat="1" applyFont="1" applyAlignment="1" applyProtection="1">
      <alignment horizontal="right"/>
      <protection hidden="1"/>
    </xf>
    <xf numFmtId="167" fontId="9" fillId="0" borderId="0" xfId="0" applyNumberFormat="1" applyFont="1" applyProtection="1">
      <protection hidden="1"/>
    </xf>
    <xf numFmtId="167" fontId="0" fillId="22" borderId="14" xfId="1" applyNumberFormat="1" applyFont="1" applyFill="1" applyBorder="1" applyAlignment="1" applyProtection="1">
      <alignment vertical="top"/>
      <protection hidden="1"/>
    </xf>
    <xf numFmtId="0" fontId="0" fillId="25" borderId="86" xfId="0" applyFill="1" applyBorder="1" applyProtection="1">
      <protection hidden="1"/>
    </xf>
    <xf numFmtId="0" fontId="0" fillId="25" borderId="62" xfId="0" applyFill="1" applyBorder="1" applyProtection="1">
      <protection hidden="1"/>
    </xf>
    <xf numFmtId="0" fontId="9" fillId="25" borderId="87" xfId="0" applyFont="1" applyFill="1" applyBorder="1" applyAlignment="1" applyProtection="1">
      <alignment horizontal="right"/>
      <protection hidden="1"/>
    </xf>
    <xf numFmtId="167" fontId="9" fillId="25" borderId="58" xfId="1" applyNumberFormat="1" applyFont="1" applyFill="1" applyBorder="1" applyAlignment="1" applyProtection="1">
      <alignment vertical="top"/>
      <protection hidden="1"/>
    </xf>
    <xf numFmtId="0" fontId="0" fillId="25" borderId="89" xfId="0" applyFill="1" applyBorder="1" applyProtection="1">
      <protection hidden="1"/>
    </xf>
    <xf numFmtId="0" fontId="0" fillId="25" borderId="22" xfId="0" applyFill="1" applyBorder="1" applyProtection="1">
      <protection hidden="1"/>
    </xf>
    <xf numFmtId="0" fontId="0" fillId="25" borderId="22" xfId="0" applyFill="1" applyBorder="1" applyAlignment="1" applyProtection="1">
      <alignment horizontal="right"/>
      <protection hidden="1"/>
    </xf>
    <xf numFmtId="10" fontId="0" fillId="25" borderId="29" xfId="0" applyNumberFormat="1" applyFill="1" applyBorder="1" applyAlignment="1" applyProtection="1">
      <alignment horizontal="center"/>
      <protection hidden="1"/>
    </xf>
    <xf numFmtId="167" fontId="0" fillId="25" borderId="24" xfId="1" applyNumberFormat="1" applyFont="1" applyFill="1" applyBorder="1" applyProtection="1">
      <protection hidden="1"/>
    </xf>
    <xf numFmtId="0" fontId="0" fillId="25" borderId="90" xfId="0" applyFill="1" applyBorder="1" applyProtection="1">
      <protection hidden="1"/>
    </xf>
    <xf numFmtId="0" fontId="0" fillId="25" borderId="75" xfId="0" applyFill="1" applyBorder="1" applyProtection="1">
      <protection hidden="1"/>
    </xf>
    <xf numFmtId="0" fontId="0" fillId="25" borderId="75" xfId="0" applyFill="1" applyBorder="1" applyAlignment="1" applyProtection="1">
      <alignment horizontal="right"/>
      <protection hidden="1"/>
    </xf>
    <xf numFmtId="10" fontId="0" fillId="25" borderId="85" xfId="0" applyNumberFormat="1" applyFill="1" applyBorder="1" applyAlignment="1" applyProtection="1">
      <alignment horizontal="center"/>
      <protection hidden="1"/>
    </xf>
    <xf numFmtId="167" fontId="0" fillId="25" borderId="28" xfId="1" applyNumberFormat="1" applyFont="1" applyFill="1" applyBorder="1" applyProtection="1">
      <protection hidden="1"/>
    </xf>
    <xf numFmtId="0" fontId="0" fillId="25" borderId="91" xfId="0" applyFill="1" applyBorder="1" applyProtection="1">
      <protection hidden="1"/>
    </xf>
    <xf numFmtId="0" fontId="0" fillId="25" borderId="92" xfId="0" applyFill="1" applyBorder="1" applyProtection="1">
      <protection hidden="1"/>
    </xf>
    <xf numFmtId="0" fontId="9" fillId="25" borderId="92" xfId="0" applyFont="1" applyFill="1" applyBorder="1" applyAlignment="1" applyProtection="1">
      <alignment horizontal="right"/>
      <protection hidden="1"/>
    </xf>
    <xf numFmtId="10" fontId="9" fillId="25" borderId="93" xfId="0" applyNumberFormat="1" applyFont="1" applyFill="1" applyBorder="1" applyAlignment="1" applyProtection="1">
      <alignment horizontal="center"/>
      <protection hidden="1"/>
    </xf>
    <xf numFmtId="167" fontId="9" fillId="25" borderId="28" xfId="1" applyNumberFormat="1" applyFont="1" applyFill="1" applyBorder="1" applyProtection="1">
      <protection hidden="1"/>
    </xf>
    <xf numFmtId="0" fontId="8" fillId="25" borderId="92" xfId="0" applyFont="1" applyFill="1" applyBorder="1" applyAlignment="1" applyProtection="1">
      <alignment horizontal="right"/>
      <protection hidden="1"/>
    </xf>
    <xf numFmtId="10" fontId="8" fillId="25" borderId="93" xfId="0" applyNumberFormat="1" applyFont="1" applyFill="1" applyBorder="1" applyAlignment="1" applyProtection="1">
      <alignment horizontal="center"/>
      <protection hidden="1"/>
    </xf>
    <xf numFmtId="167" fontId="9" fillId="25" borderId="94" xfId="1" applyNumberFormat="1" applyFont="1" applyFill="1" applyBorder="1" applyProtection="1">
      <protection hidden="1"/>
    </xf>
    <xf numFmtId="0" fontId="6" fillId="22" borderId="12" xfId="3" applyFill="1" applyBorder="1" applyAlignment="1" applyProtection="1">
      <protection hidden="1"/>
    </xf>
    <xf numFmtId="0" fontId="0" fillId="22" borderId="13" xfId="0" applyFill="1" applyBorder="1" applyProtection="1">
      <protection hidden="1"/>
    </xf>
    <xf numFmtId="0" fontId="33" fillId="22" borderId="13" xfId="0" applyFont="1" applyFill="1" applyBorder="1" applyAlignment="1" applyProtection="1">
      <alignment horizontal="right"/>
      <protection hidden="1"/>
    </xf>
    <xf numFmtId="167" fontId="33" fillId="22" borderId="14" xfId="0" applyNumberFormat="1" applyFont="1" applyFill="1" applyBorder="1" applyAlignment="1" applyProtection="1">
      <alignment horizontal="right"/>
      <protection hidden="1"/>
    </xf>
    <xf numFmtId="49" fontId="0" fillId="0" borderId="0" xfId="0" applyNumberFormat="1"/>
    <xf numFmtId="0" fontId="0" fillId="0" borderId="6" xfId="0" applyBorder="1"/>
    <xf numFmtId="43" fontId="0" fillId="0" borderId="48" xfId="1" applyFont="1" applyBorder="1" applyAlignment="1" applyProtection="1">
      <alignment vertical="top"/>
      <protection hidden="1"/>
    </xf>
    <xf numFmtId="167" fontId="0" fillId="26" borderId="14" xfId="1" applyNumberFormat="1" applyFont="1" applyFill="1" applyBorder="1" applyAlignment="1" applyProtection="1">
      <alignment vertical="top"/>
      <protection hidden="1"/>
    </xf>
    <xf numFmtId="0" fontId="0" fillId="0" borderId="91" xfId="0" applyBorder="1" applyProtection="1">
      <protection hidden="1"/>
    </xf>
    <xf numFmtId="0" fontId="0" fillId="0" borderId="92" xfId="0" applyBorder="1" applyProtection="1">
      <protection hidden="1"/>
    </xf>
    <xf numFmtId="0" fontId="9" fillId="0" borderId="92" xfId="0" applyFont="1" applyBorder="1" applyAlignment="1" applyProtection="1">
      <alignment horizontal="right"/>
      <protection hidden="1"/>
    </xf>
    <xf numFmtId="10" fontId="8" fillId="0" borderId="93" xfId="0" applyNumberFormat="1" applyFont="1" applyBorder="1" applyAlignment="1" applyProtection="1">
      <alignment horizontal="right"/>
      <protection hidden="1"/>
    </xf>
    <xf numFmtId="167" fontId="9" fillId="0" borderId="94" xfId="1" applyNumberFormat="1" applyFont="1" applyBorder="1" applyProtection="1">
      <protection hidden="1"/>
    </xf>
    <xf numFmtId="165" fontId="9" fillId="0" borderId="0" xfId="1" applyNumberFormat="1" applyFont="1" applyBorder="1" applyProtection="1">
      <protection hidden="1"/>
    </xf>
    <xf numFmtId="165" fontId="9" fillId="0" borderId="88" xfId="1" applyNumberFormat="1" applyFont="1" applyBorder="1" applyProtection="1">
      <protection hidden="1"/>
    </xf>
    <xf numFmtId="165" fontId="9" fillId="0" borderId="0" xfId="1" applyNumberFormat="1" applyFont="1" applyBorder="1" applyAlignment="1" applyProtection="1">
      <alignment vertical="top"/>
      <protection hidden="1"/>
    </xf>
    <xf numFmtId="165" fontId="0" fillId="0" borderId="0" xfId="1" applyNumberFormat="1" applyFont="1" applyBorder="1" applyProtection="1">
      <protection hidden="1"/>
    </xf>
    <xf numFmtId="0" fontId="0" fillId="5" borderId="86" xfId="0" applyFill="1" applyBorder="1"/>
    <xf numFmtId="0" fontId="0" fillId="5" borderId="62" xfId="0" applyFill="1" applyBorder="1"/>
    <xf numFmtId="0" fontId="8" fillId="5" borderId="62" xfId="0" applyFont="1" applyFill="1" applyBorder="1" applyAlignment="1">
      <alignment horizontal="right"/>
    </xf>
    <xf numFmtId="9" fontId="8" fillId="5" borderId="97" xfId="0" applyNumberFormat="1" applyFont="1" applyFill="1" applyBorder="1" applyAlignment="1">
      <alignment horizontal="center"/>
    </xf>
    <xf numFmtId="167" fontId="0" fillId="5" borderId="63" xfId="0" applyNumberFormat="1" applyFill="1" applyBorder="1"/>
    <xf numFmtId="0" fontId="0" fillId="5" borderId="95" xfId="0" applyFill="1" applyBorder="1"/>
    <xf numFmtId="0" fontId="0" fillId="5" borderId="41" xfId="0" applyFill="1" applyBorder="1"/>
    <xf numFmtId="0" fontId="8" fillId="5" borderId="41" xfId="0" applyFont="1" applyFill="1" applyBorder="1" applyAlignment="1">
      <alignment horizontal="right"/>
    </xf>
    <xf numFmtId="9" fontId="9" fillId="5" borderId="41" xfId="0" applyNumberFormat="1" applyFont="1" applyFill="1" applyBorder="1" applyAlignment="1">
      <alignment horizontal="right" indent="1"/>
    </xf>
    <xf numFmtId="167" fontId="0" fillId="5" borderId="98" xfId="0" applyNumberFormat="1" applyFill="1" applyBorder="1"/>
    <xf numFmtId="0" fontId="0" fillId="27" borderId="12" xfId="0" applyFill="1" applyBorder="1"/>
    <xf numFmtId="0" fontId="0" fillId="27" borderId="13" xfId="0" applyFill="1" applyBorder="1"/>
    <xf numFmtId="0" fontId="8" fillId="27" borderId="13" xfId="0" applyFont="1" applyFill="1" applyBorder="1" applyAlignment="1">
      <alignment horizontal="right"/>
    </xf>
    <xf numFmtId="9" fontId="0" fillId="27" borderId="14" xfId="2" applyFont="1" applyFill="1" applyBorder="1" applyAlignment="1">
      <alignment horizontal="center"/>
    </xf>
    <xf numFmtId="167" fontId="0" fillId="27" borderId="15" xfId="0" applyNumberFormat="1" applyFill="1" applyBorder="1"/>
    <xf numFmtId="0" fontId="0" fillId="28" borderId="13" xfId="0" applyFill="1" applyBorder="1" applyAlignment="1" applyProtection="1">
      <alignment horizontal="center" vertical="top"/>
      <protection hidden="1"/>
    </xf>
    <xf numFmtId="0" fontId="0" fillId="28" borderId="13" xfId="0" applyFill="1" applyBorder="1" applyAlignment="1" applyProtection="1">
      <alignment horizontal="right" vertical="top"/>
      <protection hidden="1"/>
    </xf>
    <xf numFmtId="165" fontId="0" fillId="28" borderId="13" xfId="1" applyNumberFormat="1" applyFont="1" applyFill="1" applyBorder="1" applyAlignment="1" applyProtection="1">
      <alignment horizontal="right" vertical="top"/>
      <protection hidden="1"/>
    </xf>
    <xf numFmtId="167" fontId="0" fillId="28" borderId="14" xfId="1" applyNumberFormat="1" applyFont="1" applyFill="1" applyBorder="1" applyAlignment="1" applyProtection="1">
      <alignment horizontal="right" vertical="top"/>
      <protection hidden="1"/>
    </xf>
    <xf numFmtId="167" fontId="0" fillId="0" borderId="88" xfId="1" applyNumberFormat="1" applyFont="1" applyBorder="1" applyAlignment="1" applyProtection="1">
      <alignment horizontal="right" vertical="top"/>
      <protection hidden="1"/>
    </xf>
    <xf numFmtId="0" fontId="0" fillId="29" borderId="62" xfId="0" applyFill="1" applyBorder="1" applyAlignment="1" applyProtection="1">
      <alignment horizontal="center" vertical="top"/>
      <protection hidden="1"/>
    </xf>
    <xf numFmtId="0" fontId="0" fillId="29" borderId="62" xfId="0" applyFill="1" applyBorder="1" applyAlignment="1" applyProtection="1">
      <alignment horizontal="right" vertical="top"/>
      <protection hidden="1"/>
    </xf>
    <xf numFmtId="165" fontId="9" fillId="29" borderId="62" xfId="1" applyNumberFormat="1" applyFont="1" applyFill="1" applyBorder="1" applyAlignment="1" applyProtection="1">
      <alignment horizontal="right" vertical="top"/>
      <protection hidden="1"/>
    </xf>
    <xf numFmtId="167" fontId="0" fillId="29" borderId="63" xfId="1" applyNumberFormat="1" applyFont="1" applyFill="1" applyBorder="1" applyAlignment="1" applyProtection="1">
      <alignment horizontal="right" vertical="top"/>
      <protection hidden="1"/>
    </xf>
    <xf numFmtId="0" fontId="0" fillId="30" borderId="100" xfId="0" applyFill="1" applyBorder="1" applyAlignment="1" applyProtection="1">
      <alignment horizontal="center" vertical="top"/>
      <protection hidden="1"/>
    </xf>
    <xf numFmtId="0" fontId="25" fillId="30" borderId="100" xfId="0" applyFont="1" applyFill="1" applyBorder="1" applyAlignment="1" applyProtection="1">
      <alignment horizontal="right" vertical="top"/>
      <protection hidden="1"/>
    </xf>
    <xf numFmtId="9" fontId="25" fillId="30" borderId="100" xfId="2" applyFont="1" applyFill="1" applyBorder="1" applyAlignment="1" applyProtection="1">
      <alignment horizontal="center" vertical="top"/>
      <protection hidden="1"/>
    </xf>
    <xf numFmtId="167" fontId="0" fillId="30" borderId="101" xfId="1" applyNumberFormat="1" applyFont="1" applyFill="1" applyBorder="1" applyAlignment="1" applyProtection="1">
      <alignment horizontal="right" vertical="top"/>
      <protection hidden="1"/>
    </xf>
    <xf numFmtId="0" fontId="0" fillId="28" borderId="13" xfId="0" applyFill="1" applyBorder="1"/>
    <xf numFmtId="0" fontId="9" fillId="28" borderId="13" xfId="0" applyFont="1" applyFill="1" applyBorder="1" applyAlignment="1">
      <alignment horizontal="right" indent="1"/>
    </xf>
    <xf numFmtId="167" fontId="0" fillId="28" borderId="15" xfId="0" applyNumberFormat="1" applyFill="1" applyBorder="1"/>
    <xf numFmtId="0" fontId="0" fillId="28" borderId="12" xfId="0" applyFill="1" applyBorder="1"/>
    <xf numFmtId="0" fontId="0" fillId="31" borderId="12" xfId="0" applyFill="1" applyBorder="1"/>
    <xf numFmtId="0" fontId="0" fillId="31" borderId="13" xfId="0" applyFill="1" applyBorder="1"/>
    <xf numFmtId="0" fontId="9" fillId="31" borderId="13" xfId="0" applyFont="1" applyFill="1" applyBorder="1" applyAlignment="1">
      <alignment horizontal="right"/>
    </xf>
    <xf numFmtId="167" fontId="0" fillId="31" borderId="15" xfId="0" applyNumberFormat="1" applyFill="1" applyBorder="1"/>
    <xf numFmtId="165" fontId="0" fillId="0" borderId="0" xfId="0" applyNumberFormat="1" applyProtection="1">
      <protection hidden="1"/>
    </xf>
    <xf numFmtId="49" fontId="0" fillId="0" borderId="102" xfId="0" applyNumberFormat="1" applyBorder="1"/>
    <xf numFmtId="0" fontId="0" fillId="0" borderId="103" xfId="0" applyBorder="1" applyProtection="1">
      <protection hidden="1"/>
    </xf>
    <xf numFmtId="0" fontId="0" fillId="0" borderId="102" xfId="0" applyBorder="1" applyProtection="1">
      <protection locked="0"/>
    </xf>
    <xf numFmtId="0" fontId="36" fillId="0" borderId="12" xfId="0" applyFont="1" applyBorder="1" applyAlignment="1">
      <alignment horizontal="center" vertical="top"/>
    </xf>
    <xf numFmtId="168" fontId="17" fillId="0" borderId="51" xfId="0" applyNumberFormat="1" applyFont="1" applyBorder="1" applyAlignment="1">
      <alignment horizontal="center" vertical="center"/>
    </xf>
    <xf numFmtId="168" fontId="17" fillId="0" borderId="108" xfId="0" applyNumberFormat="1" applyFont="1" applyBorder="1" applyAlignment="1">
      <alignment horizontal="center" vertical="center"/>
    </xf>
    <xf numFmtId="0" fontId="30" fillId="0" borderId="113" xfId="0" applyFont="1" applyBorder="1" applyAlignment="1">
      <alignment horizontal="center"/>
    </xf>
    <xf numFmtId="0" fontId="30" fillId="0" borderId="0" xfId="0" applyFont="1" applyAlignment="1">
      <alignment horizontal="left"/>
    </xf>
    <xf numFmtId="0" fontId="30" fillId="0" borderId="114" xfId="0" applyFont="1" applyBorder="1" applyAlignment="1">
      <alignment horizontal="center"/>
    </xf>
    <xf numFmtId="0" fontId="36" fillId="0" borderId="48" xfId="0" applyFont="1" applyBorder="1" applyAlignment="1">
      <alignment vertical="top" wrapText="1"/>
    </xf>
    <xf numFmtId="0" fontId="8" fillId="0" borderId="49" xfId="0" applyFont="1" applyBorder="1" applyAlignment="1">
      <alignment horizontal="center" vertical="top"/>
    </xf>
    <xf numFmtId="0" fontId="30" fillId="0" borderId="115" xfId="0" applyFont="1" applyBorder="1" applyAlignment="1">
      <alignment horizontal="center"/>
    </xf>
    <xf numFmtId="0" fontId="36" fillId="0" borderId="53" xfId="0" applyFont="1" applyBorder="1" applyAlignment="1">
      <alignment vertical="top" wrapText="1"/>
    </xf>
    <xf numFmtId="0" fontId="37" fillId="0" borderId="0" xfId="0" applyFont="1" applyProtection="1">
      <protection hidden="1"/>
    </xf>
    <xf numFmtId="164" fontId="8" fillId="0" borderId="0" xfId="8"/>
    <xf numFmtId="169" fontId="8" fillId="0" borderId="0" xfId="8" applyNumberFormat="1" applyAlignment="1">
      <alignment horizontal="right"/>
    </xf>
    <xf numFmtId="164" fontId="25" fillId="0" borderId="0" xfId="8" applyFont="1"/>
    <xf numFmtId="165" fontId="25" fillId="32" borderId="110" xfId="8" applyNumberFormat="1" applyFont="1" applyFill="1" applyBorder="1" applyAlignment="1">
      <alignment horizontal="center" vertical="center"/>
    </xf>
    <xf numFmtId="165" fontId="31" fillId="32" borderId="110" xfId="8" applyNumberFormat="1" applyFont="1" applyFill="1" applyBorder="1" applyAlignment="1">
      <alignment horizontal="center" vertical="center" wrapText="1"/>
    </xf>
    <xf numFmtId="165" fontId="31" fillId="32" borderId="112" xfId="8" applyNumberFormat="1" applyFont="1" applyFill="1" applyBorder="1" applyAlignment="1">
      <alignment horizontal="center" vertical="center" wrapText="1"/>
    </xf>
    <xf numFmtId="165" fontId="38" fillId="32" borderId="85" xfId="8" applyNumberFormat="1" applyFont="1" applyFill="1" applyBorder="1" applyAlignment="1" applyProtection="1">
      <alignment vertical="top"/>
      <protection hidden="1"/>
    </xf>
    <xf numFmtId="165" fontId="39" fillId="32" borderId="110" xfId="8" applyNumberFormat="1" applyFont="1" applyFill="1" applyBorder="1" applyAlignment="1">
      <alignment horizontal="center" vertical="center" wrapText="1"/>
    </xf>
    <xf numFmtId="164" fontId="31" fillId="32" borderId="110" xfId="8" applyFont="1" applyFill="1" applyBorder="1" applyAlignment="1">
      <alignment horizontal="center" vertical="center" wrapText="1"/>
    </xf>
    <xf numFmtId="169" fontId="31" fillId="32" borderId="110" xfId="8" applyNumberFormat="1" applyFont="1" applyFill="1" applyBorder="1" applyAlignment="1">
      <alignment horizontal="center" vertical="center" wrapText="1"/>
    </xf>
    <xf numFmtId="165" fontId="25" fillId="0" borderId="22" xfId="8" applyNumberFormat="1" applyFont="1" applyBorder="1" applyAlignment="1">
      <alignment horizontal="center"/>
    </xf>
    <xf numFmtId="0" fontId="40" fillId="0" borderId="0" xfId="0" applyFont="1"/>
    <xf numFmtId="0" fontId="8" fillId="0" borderId="0" xfId="0" applyFont="1"/>
    <xf numFmtId="4" fontId="33" fillId="0" borderId="0" xfId="0" applyNumberFormat="1" applyFont="1"/>
    <xf numFmtId="165" fontId="25" fillId="33" borderId="110" xfId="8" applyNumberFormat="1" applyFont="1" applyFill="1" applyBorder="1" applyAlignment="1">
      <alignment horizontal="center"/>
    </xf>
    <xf numFmtId="165" fontId="22" fillId="33" borderId="110" xfId="8" applyNumberFormat="1" applyFont="1" applyFill="1" applyBorder="1" applyAlignment="1">
      <alignment horizontal="center" vertical="center" wrapText="1"/>
    </xf>
    <xf numFmtId="165" fontId="22" fillId="33" borderId="112" xfId="8" applyNumberFormat="1" applyFont="1" applyFill="1" applyBorder="1" applyAlignment="1">
      <alignment horizontal="center" vertical="center" wrapText="1"/>
    </xf>
    <xf numFmtId="165" fontId="41" fillId="33" borderId="85" xfId="8" applyNumberFormat="1" applyFont="1" applyFill="1" applyBorder="1" applyAlignment="1">
      <alignment horizontal="center" vertical="center" wrapText="1"/>
    </xf>
    <xf numFmtId="165" fontId="41" fillId="33" borderId="110" xfId="8" applyNumberFormat="1" applyFont="1" applyFill="1" applyBorder="1" applyAlignment="1">
      <alignment horizontal="center" vertical="center" wrapText="1"/>
    </xf>
    <xf numFmtId="4" fontId="22" fillId="33" borderId="110" xfId="8" applyNumberFormat="1" applyFont="1" applyFill="1" applyBorder="1" applyAlignment="1">
      <alignment horizontal="center" vertical="center" wrapText="1"/>
    </xf>
    <xf numFmtId="0" fontId="0" fillId="0" borderId="110" xfId="0" applyBorder="1" applyAlignment="1">
      <alignment horizontal="center"/>
    </xf>
    <xf numFmtId="0" fontId="0" fillId="0" borderId="110" xfId="0" applyBorder="1"/>
    <xf numFmtId="0" fontId="0" fillId="0" borderId="112" xfId="0" applyBorder="1" applyAlignment="1">
      <alignment horizontal="center"/>
    </xf>
    <xf numFmtId="0" fontId="37" fillId="0" borderId="75" xfId="0" applyFont="1" applyBorder="1"/>
    <xf numFmtId="0" fontId="0" fillId="0" borderId="85" xfId="0" applyBorder="1"/>
    <xf numFmtId="4" fontId="0" fillId="0" borderId="110" xfId="0" applyNumberFormat="1" applyBorder="1"/>
    <xf numFmtId="4" fontId="0" fillId="0" borderId="110" xfId="8" applyNumberFormat="1" applyFont="1" applyBorder="1"/>
    <xf numFmtId="0" fontId="0" fillId="33" borderId="112" xfId="0" applyFill="1" applyBorder="1"/>
    <xf numFmtId="0" fontId="0" fillId="33" borderId="75" xfId="0" applyFill="1" applyBorder="1"/>
    <xf numFmtId="0" fontId="33" fillId="33" borderId="75" xfId="0" applyFont="1" applyFill="1" applyBorder="1" applyAlignment="1">
      <alignment horizontal="center"/>
    </xf>
    <xf numFmtId="165" fontId="33" fillId="33" borderId="75" xfId="8" applyNumberFormat="1" applyFont="1" applyFill="1" applyBorder="1"/>
    <xf numFmtId="164" fontId="33" fillId="33" borderId="75" xfId="8" applyFont="1" applyFill="1" applyBorder="1"/>
    <xf numFmtId="4" fontId="33" fillId="33" borderId="85" xfId="8" applyNumberFormat="1" applyFont="1" applyFill="1" applyBorder="1" applyAlignment="1">
      <alignment horizontal="right"/>
    </xf>
    <xf numFmtId="164" fontId="33" fillId="33" borderId="112" xfId="8" applyFont="1" applyFill="1" applyBorder="1"/>
    <xf numFmtId="43" fontId="0" fillId="0" borderId="0" xfId="0" applyNumberFormat="1"/>
    <xf numFmtId="0" fontId="0" fillId="0" borderId="20" xfId="0" applyBorder="1" applyAlignment="1" applyProtection="1">
      <alignment horizontal="center" vertical="top"/>
      <protection hidden="1"/>
    </xf>
    <xf numFmtId="0" fontId="0" fillId="0" borderId="20" xfId="0" applyBorder="1" applyAlignment="1" applyProtection="1">
      <alignment horizontal="right" vertical="top"/>
      <protection locked="0" hidden="1"/>
    </xf>
    <xf numFmtId="43" fontId="0" fillId="0" borderId="0" xfId="1" applyFont="1" applyAlignment="1" applyProtection="1">
      <alignment vertical="center"/>
      <protection locked="0"/>
    </xf>
    <xf numFmtId="3" fontId="33" fillId="19" borderId="14" xfId="1" applyNumberFormat="1" applyFont="1" applyFill="1" applyBorder="1" applyAlignment="1" applyProtection="1">
      <alignment horizontal="right" vertical="center"/>
      <protection hidden="1"/>
    </xf>
    <xf numFmtId="167" fontId="0" fillId="25" borderId="116" xfId="1" applyNumberFormat="1" applyFont="1" applyFill="1" applyBorder="1" applyProtection="1">
      <protection hidden="1"/>
    </xf>
    <xf numFmtId="167" fontId="9" fillId="25" borderId="116" xfId="1" applyNumberFormat="1" applyFont="1" applyFill="1" applyBorder="1" applyProtection="1">
      <protection hidden="1"/>
    </xf>
    <xf numFmtId="49" fontId="8" fillId="0" borderId="117" xfId="0" applyNumberFormat="1" applyFont="1" applyBorder="1" applyAlignment="1" applyProtection="1">
      <alignment horizontal="center" vertical="top" wrapText="1"/>
      <protection locked="0" hidden="1"/>
    </xf>
    <xf numFmtId="0" fontId="17" fillId="0" borderId="118" xfId="0" applyFont="1" applyBorder="1" applyAlignment="1" applyProtection="1">
      <alignment vertical="top" wrapText="1"/>
      <protection hidden="1"/>
    </xf>
    <xf numFmtId="0" fontId="0" fillId="0" borderId="118" xfId="0" applyBorder="1" applyAlignment="1" applyProtection="1">
      <alignment horizontal="center" vertical="top" wrapText="1"/>
      <protection hidden="1"/>
    </xf>
    <xf numFmtId="0" fontId="0" fillId="0" borderId="118" xfId="0" applyBorder="1" applyAlignment="1" applyProtection="1">
      <alignment horizontal="right" vertical="top" wrapText="1"/>
      <protection locked="0" hidden="1"/>
    </xf>
    <xf numFmtId="49" fontId="8" fillId="0" borderId="119" xfId="0" applyNumberFormat="1" applyFont="1" applyBorder="1" applyAlignment="1" applyProtection="1">
      <alignment horizontal="center" vertical="top" wrapText="1"/>
      <protection locked="0" hidden="1"/>
    </xf>
    <xf numFmtId="0" fontId="17" fillId="0" borderId="120" xfId="0" applyFont="1" applyBorder="1" applyAlignment="1" applyProtection="1">
      <alignment vertical="top" wrapText="1"/>
      <protection hidden="1"/>
    </xf>
    <xf numFmtId="0" fontId="0" fillId="0" borderId="120" xfId="0" applyBorder="1" applyAlignment="1" applyProtection="1">
      <alignment horizontal="center" vertical="top" wrapText="1"/>
      <protection hidden="1"/>
    </xf>
    <xf numFmtId="0" fontId="0" fillId="0" borderId="120" xfId="0" applyBorder="1" applyAlignment="1" applyProtection="1">
      <alignment horizontal="right" vertical="top" wrapText="1"/>
      <protection locked="0" hidden="1"/>
    </xf>
    <xf numFmtId="49" fontId="8" fillId="0" borderId="121" xfId="0" applyNumberFormat="1" applyFont="1" applyBorder="1" applyAlignment="1" applyProtection="1">
      <alignment horizontal="center" vertical="top" wrapText="1"/>
      <protection locked="0" hidden="1"/>
    </xf>
    <xf numFmtId="0" fontId="17" fillId="0" borderId="122" xfId="0" applyFont="1" applyBorder="1" applyAlignment="1" applyProtection="1">
      <alignment vertical="top" wrapText="1"/>
      <protection hidden="1"/>
    </xf>
    <xf numFmtId="0" fontId="0" fillId="0" borderId="122" xfId="0" applyBorder="1" applyAlignment="1" applyProtection="1">
      <alignment horizontal="center" vertical="top" wrapText="1"/>
      <protection hidden="1"/>
    </xf>
    <xf numFmtId="0" fontId="0" fillId="0" borderId="122" xfId="0" applyBorder="1" applyAlignment="1" applyProtection="1">
      <alignment horizontal="right" vertical="top" wrapText="1"/>
      <protection locked="0" hidden="1"/>
    </xf>
    <xf numFmtId="0" fontId="17" fillId="0" borderId="110" xfId="0" applyFont="1" applyBorder="1" applyAlignment="1" applyProtection="1">
      <alignment vertical="top" wrapText="1"/>
      <protection hidden="1"/>
    </xf>
    <xf numFmtId="0" fontId="0" fillId="0" borderId="110" xfId="0" applyBorder="1" applyAlignment="1" applyProtection="1">
      <alignment horizontal="center" vertical="top"/>
      <protection hidden="1"/>
    </xf>
    <xf numFmtId="0" fontId="0" fillId="0" borderId="110" xfId="0" applyBorder="1" applyAlignment="1" applyProtection="1">
      <alignment horizontal="right" vertical="top"/>
      <protection locked="0" hidden="1"/>
    </xf>
    <xf numFmtId="165" fontId="0" fillId="0" borderId="110" xfId="1" applyNumberFormat="1" applyFont="1" applyBorder="1" applyAlignment="1" applyProtection="1">
      <alignment horizontal="right" vertical="top"/>
      <protection hidden="1"/>
    </xf>
    <xf numFmtId="0" fontId="29" fillId="17" borderId="37" xfId="0" applyFont="1" applyFill="1" applyBorder="1" applyAlignment="1" applyProtection="1">
      <alignment horizontal="center" vertical="top" wrapText="1"/>
      <protection locked="0" hidden="1"/>
    </xf>
    <xf numFmtId="0" fontId="8" fillId="0" borderId="117" xfId="0" applyFont="1" applyBorder="1" applyAlignment="1" applyProtection="1">
      <alignment horizontal="center" vertical="top" wrapText="1"/>
      <protection locked="0" hidden="1"/>
    </xf>
    <xf numFmtId="0" fontId="8" fillId="0" borderId="119" xfId="0" applyFont="1" applyBorder="1" applyAlignment="1" applyProtection="1">
      <alignment horizontal="center" vertical="top" wrapText="1"/>
      <protection locked="0" hidden="1"/>
    </xf>
    <xf numFmtId="0" fontId="8" fillId="0" borderId="121" xfId="0" applyFont="1" applyBorder="1" applyAlignment="1" applyProtection="1">
      <alignment horizontal="center" vertical="top" wrapText="1"/>
      <protection locked="0" hidden="1"/>
    </xf>
    <xf numFmtId="0" fontId="0" fillId="0" borderId="20" xfId="0" applyBorder="1" applyAlignment="1" applyProtection="1">
      <alignment horizontal="right" vertical="top" wrapText="1"/>
      <protection locked="0" hidden="1"/>
    </xf>
    <xf numFmtId="167" fontId="0" fillId="0" borderId="111" xfId="1" applyNumberFormat="1" applyFont="1" applyBorder="1" applyAlignment="1" applyProtection="1">
      <alignment horizontal="right" vertical="top"/>
      <protection hidden="1"/>
    </xf>
    <xf numFmtId="167" fontId="0" fillId="0" borderId="123" xfId="1" applyNumberFormat="1" applyFont="1" applyBorder="1" applyAlignment="1" applyProtection="1">
      <alignment horizontal="right" vertical="top" wrapText="1"/>
      <protection hidden="1"/>
    </xf>
    <xf numFmtId="3" fontId="0" fillId="0" borderId="0" xfId="0" applyNumberFormat="1"/>
    <xf numFmtId="4" fontId="33" fillId="19" borderId="12" xfId="0" applyNumberFormat="1" applyFont="1" applyFill="1" applyBorder="1" applyAlignment="1" applyProtection="1">
      <alignment horizontal="right" vertical="center"/>
      <protection hidden="1"/>
    </xf>
    <xf numFmtId="49" fontId="0" fillId="5" borderId="124" xfId="0" applyNumberFormat="1" applyFill="1" applyBorder="1" applyAlignment="1">
      <alignment horizontal="center" vertical="top" wrapText="1"/>
    </xf>
    <xf numFmtId="49" fontId="0" fillId="5" borderId="125" xfId="0" applyNumberFormat="1" applyFill="1" applyBorder="1" applyAlignment="1">
      <alignment horizontal="center" vertical="top" wrapText="1"/>
    </xf>
    <xf numFmtId="49" fontId="0" fillId="5" borderId="126" xfId="0" applyNumberFormat="1" applyFill="1" applyBorder="1" applyAlignment="1">
      <alignment horizontal="center" vertical="top" wrapText="1"/>
    </xf>
    <xf numFmtId="49" fontId="0" fillId="5" borderId="125" xfId="0" quotePrefix="1" applyNumberFormat="1" applyFill="1" applyBorder="1" applyAlignment="1">
      <alignment horizontal="center" vertical="top" wrapText="1"/>
    </xf>
    <xf numFmtId="49" fontId="25" fillId="0" borderId="0" xfId="0" applyNumberFormat="1" applyFont="1" applyAlignment="1">
      <alignment horizontal="center" vertical="center"/>
    </xf>
    <xf numFmtId="49" fontId="25" fillId="0" borderId="0" xfId="0" applyNumberFormat="1" applyFont="1" applyAlignment="1">
      <alignment horizontal="center" vertical="top"/>
    </xf>
    <xf numFmtId="165" fontId="33" fillId="20" borderId="85" xfId="1" applyNumberFormat="1" applyFont="1" applyFill="1" applyBorder="1" applyAlignment="1" applyProtection="1">
      <alignment horizontal="right" vertical="center"/>
      <protection hidden="1"/>
    </xf>
    <xf numFmtId="0" fontId="0" fillId="0" borderId="36" xfId="0" applyBorder="1" applyProtection="1">
      <protection hidden="1"/>
    </xf>
    <xf numFmtId="167" fontId="8" fillId="0" borderId="88" xfId="0" applyNumberFormat="1" applyFont="1" applyBorder="1" applyAlignment="1" applyProtection="1">
      <alignment horizontal="right"/>
      <protection hidden="1"/>
    </xf>
    <xf numFmtId="167" fontId="0" fillId="0" borderId="88" xfId="0" applyNumberFormat="1" applyBorder="1" applyProtection="1">
      <protection hidden="1"/>
    </xf>
    <xf numFmtId="0" fontId="0" fillId="0" borderId="36" xfId="0" applyBorder="1"/>
    <xf numFmtId="167" fontId="0" fillId="0" borderId="88" xfId="0" applyNumberFormat="1" applyBorder="1"/>
    <xf numFmtId="0" fontId="33" fillId="28" borderId="12" xfId="0" applyFont="1" applyFill="1" applyBorder="1" applyAlignment="1" applyProtection="1">
      <alignment vertical="center"/>
      <protection hidden="1"/>
    </xf>
    <xf numFmtId="0" fontId="17" fillId="0" borderId="36" xfId="0" applyFont="1" applyBorder="1" applyAlignment="1" applyProtection="1">
      <alignment vertical="top" wrapText="1"/>
      <protection hidden="1"/>
    </xf>
    <xf numFmtId="0" fontId="0" fillId="0" borderId="0" xfId="0" applyAlignment="1" applyProtection="1">
      <alignment horizontal="center" vertical="top"/>
      <protection hidden="1"/>
    </xf>
    <xf numFmtId="0" fontId="0" fillId="0" borderId="0" xfId="0" applyAlignment="1" applyProtection="1">
      <alignment horizontal="right" vertical="top"/>
      <protection hidden="1"/>
    </xf>
    <xf numFmtId="165" fontId="0" fillId="0" borderId="0" xfId="1" applyNumberFormat="1" applyFont="1" applyBorder="1" applyAlignment="1" applyProtection="1">
      <alignment horizontal="right" vertical="top"/>
      <protection hidden="1"/>
    </xf>
    <xf numFmtId="0" fontId="0" fillId="0" borderId="36" xfId="0" applyBorder="1" applyAlignment="1">
      <alignment vertical="top" wrapText="1"/>
    </xf>
    <xf numFmtId="167" fontId="0" fillId="0" borderId="88" xfId="1" applyNumberFormat="1" applyFont="1" applyBorder="1" applyAlignment="1">
      <alignment vertical="top"/>
    </xf>
    <xf numFmtId="0" fontId="17" fillId="29" borderId="86" xfId="0" applyFont="1" applyFill="1" applyBorder="1" applyAlignment="1" applyProtection="1">
      <alignment vertical="top" wrapText="1"/>
      <protection hidden="1"/>
    </xf>
    <xf numFmtId="0" fontId="17" fillId="30" borderId="99" xfId="0" applyFont="1" applyFill="1" applyBorder="1" applyAlignment="1" applyProtection="1">
      <alignment vertical="top" wrapText="1"/>
      <protection hidden="1"/>
    </xf>
    <xf numFmtId="49" fontId="0" fillId="5" borderId="124" xfId="0" quotePrefix="1" applyNumberFormat="1" applyFill="1" applyBorder="1" applyAlignment="1">
      <alignment horizontal="center" vertical="top" wrapText="1"/>
    </xf>
    <xf numFmtId="3" fontId="33" fillId="19" borderId="14" xfId="0" applyNumberFormat="1" applyFont="1" applyFill="1" applyBorder="1" applyAlignment="1" applyProtection="1">
      <alignment horizontal="right" vertical="center"/>
      <protection hidden="1"/>
    </xf>
    <xf numFmtId="167" fontId="0" fillId="0" borderId="56" xfId="1" applyNumberFormat="1" applyFont="1" applyBorder="1" applyAlignment="1" applyProtection="1">
      <alignment horizontal="right" vertical="top"/>
      <protection hidden="1"/>
    </xf>
    <xf numFmtId="167" fontId="0" fillId="0" borderId="20" xfId="1" applyNumberFormat="1" applyFont="1" applyBorder="1" applyAlignment="1" applyProtection="1">
      <alignment horizontal="right" vertical="top" wrapText="1"/>
      <protection hidden="1"/>
    </xf>
    <xf numFmtId="167" fontId="0" fillId="0" borderId="110" xfId="1" applyNumberFormat="1" applyFont="1" applyBorder="1" applyAlignment="1" applyProtection="1">
      <alignment horizontal="right" vertical="top"/>
      <protection hidden="1"/>
    </xf>
    <xf numFmtId="167" fontId="9" fillId="18" borderId="79" xfId="1" applyNumberFormat="1" applyFont="1" applyFill="1" applyBorder="1" applyAlignment="1" applyProtection="1">
      <alignment horizontal="right" vertical="top"/>
      <protection hidden="1"/>
    </xf>
    <xf numFmtId="167" fontId="0" fillId="0" borderId="0" xfId="0" applyNumberFormat="1" applyAlignment="1">
      <alignment vertical="top"/>
    </xf>
    <xf numFmtId="167" fontId="9" fillId="17" borderId="38" xfId="0" applyNumberFormat="1" applyFont="1" applyFill="1" applyBorder="1" applyAlignment="1" applyProtection="1">
      <alignment vertical="top" wrapText="1"/>
      <protection hidden="1"/>
    </xf>
    <xf numFmtId="167" fontId="0" fillId="0" borderId="122" xfId="1" applyNumberFormat="1" applyFont="1" applyBorder="1" applyAlignment="1" applyProtection="1">
      <alignment horizontal="right" vertical="top" wrapText="1"/>
      <protection hidden="1"/>
    </xf>
    <xf numFmtId="167" fontId="0" fillId="0" borderId="26" xfId="1" applyNumberFormat="1" applyFont="1" applyBorder="1" applyAlignment="1" applyProtection="1">
      <alignment horizontal="right" vertical="top"/>
      <protection hidden="1"/>
    </xf>
    <xf numFmtId="49" fontId="8" fillId="0" borderId="121" xfId="0" quotePrefix="1" applyNumberFormat="1" applyFont="1" applyBorder="1" applyAlignment="1" applyProtection="1">
      <alignment horizontal="center" vertical="top" wrapText="1"/>
      <protection locked="0" hidden="1"/>
    </xf>
    <xf numFmtId="3" fontId="0" fillId="0" borderId="122" xfId="1" applyNumberFormat="1" applyFont="1" applyBorder="1" applyAlignment="1" applyProtection="1">
      <alignment horizontal="right" vertical="top"/>
      <protection hidden="1"/>
    </xf>
    <xf numFmtId="3" fontId="0" fillId="0" borderId="112" xfId="1" applyNumberFormat="1" applyFont="1" applyBorder="1" applyAlignment="1" applyProtection="1">
      <alignment horizontal="right" vertical="top"/>
      <protection hidden="1"/>
    </xf>
    <xf numFmtId="3" fontId="9" fillId="0" borderId="116" xfId="1" applyNumberFormat="1" applyFont="1" applyBorder="1" applyAlignment="1" applyProtection="1">
      <alignment horizontal="right" vertical="top"/>
      <protection hidden="1"/>
    </xf>
    <xf numFmtId="0" fontId="18" fillId="0" borderId="122" xfId="4" applyFont="1" applyBorder="1" applyAlignment="1">
      <alignment vertical="top"/>
    </xf>
    <xf numFmtId="4" fontId="0" fillId="0" borderId="123" xfId="1" applyNumberFormat="1" applyFont="1" applyBorder="1" applyAlignment="1" applyProtection="1">
      <alignment horizontal="right" vertical="top"/>
      <protection hidden="1"/>
    </xf>
    <xf numFmtId="43" fontId="0" fillId="0" borderId="0" xfId="1" applyFont="1"/>
    <xf numFmtId="0" fontId="16" fillId="6" borderId="0" xfId="0" applyFont="1" applyFill="1" applyAlignment="1" applyProtection="1">
      <alignment horizontal="center" vertical="center" wrapText="1"/>
      <protection hidden="1"/>
    </xf>
    <xf numFmtId="0" fontId="26" fillId="4" borderId="35" xfId="0" applyFont="1" applyFill="1" applyBorder="1" applyAlignment="1" applyProtection="1">
      <alignment horizontal="left"/>
      <protection hidden="1"/>
    </xf>
    <xf numFmtId="0" fontId="28" fillId="0" borderId="37" xfId="0" applyFont="1" applyBorder="1" applyAlignment="1" applyProtection="1">
      <alignment horizontal="center" vertical="center" wrapText="1"/>
      <protection locked="0"/>
    </xf>
    <xf numFmtId="0" fontId="28" fillId="0" borderId="38" xfId="0" applyFont="1" applyBorder="1" applyAlignment="1" applyProtection="1">
      <alignment horizontal="center" vertical="center" wrapText="1"/>
      <protection locked="0"/>
    </xf>
    <xf numFmtId="0" fontId="28" fillId="0" borderId="39" xfId="0" applyFont="1" applyBorder="1" applyAlignment="1" applyProtection="1">
      <alignment horizontal="center" vertical="center" wrapText="1"/>
      <protection locked="0"/>
    </xf>
    <xf numFmtId="0" fontId="28" fillId="9" borderId="37" xfId="0" applyFont="1" applyFill="1" applyBorder="1" applyAlignment="1" applyProtection="1">
      <alignment horizontal="center" vertical="center"/>
      <protection locked="0"/>
    </xf>
    <xf numFmtId="0" fontId="28" fillId="9" borderId="38" xfId="0" applyFont="1" applyFill="1" applyBorder="1" applyAlignment="1" applyProtection="1">
      <alignment horizontal="center" vertical="center"/>
      <protection locked="0"/>
    </xf>
    <xf numFmtId="0" fontId="28" fillId="9" borderId="39" xfId="0" applyFont="1" applyFill="1" applyBorder="1" applyAlignment="1" applyProtection="1">
      <alignment horizontal="center" vertical="center"/>
      <protection locked="0"/>
    </xf>
    <xf numFmtId="0" fontId="29" fillId="10" borderId="40" xfId="0" applyFont="1" applyFill="1" applyBorder="1" applyAlignment="1" applyProtection="1">
      <alignment horizontal="center" vertical="center" wrapText="1"/>
      <protection locked="0"/>
    </xf>
    <xf numFmtId="0" fontId="29" fillId="10" borderId="41" xfId="0" applyFont="1" applyFill="1" applyBorder="1" applyAlignment="1" applyProtection="1">
      <alignment horizontal="center" vertical="center" wrapText="1"/>
      <protection locked="0"/>
    </xf>
    <xf numFmtId="0" fontId="29" fillId="10" borderId="42" xfId="0" applyFont="1" applyFill="1" applyBorder="1" applyAlignment="1" applyProtection="1">
      <alignment horizontal="center" vertical="center" wrapText="1"/>
      <protection locked="0"/>
    </xf>
    <xf numFmtId="4" fontId="33" fillId="19" borderId="12" xfId="0" applyNumberFormat="1" applyFont="1" applyFill="1" applyBorder="1" applyAlignment="1" applyProtection="1">
      <alignment horizontal="right" vertical="center"/>
      <protection hidden="1"/>
    </xf>
    <xf numFmtId="4" fontId="33" fillId="19" borderId="13" xfId="0" applyNumberFormat="1" applyFont="1" applyFill="1" applyBorder="1" applyAlignment="1" applyProtection="1">
      <alignment horizontal="right" vertical="center"/>
      <protection hidden="1"/>
    </xf>
    <xf numFmtId="49" fontId="42" fillId="34" borderId="0" xfId="0" applyNumberFormat="1" applyFont="1" applyFill="1" applyAlignment="1" applyProtection="1">
      <alignment horizontal="center"/>
      <protection hidden="1"/>
    </xf>
    <xf numFmtId="49" fontId="42" fillId="34" borderId="79" xfId="0" applyNumberFormat="1" applyFont="1" applyFill="1" applyBorder="1" applyAlignment="1">
      <alignment horizontal="center" vertical="top"/>
    </xf>
    <xf numFmtId="0" fontId="33" fillId="22" borderId="12" xfId="0" applyFont="1" applyFill="1" applyBorder="1" applyAlignment="1" applyProtection="1">
      <alignment vertical="top" wrapText="1"/>
      <protection hidden="1"/>
    </xf>
    <xf numFmtId="0" fontId="33" fillId="22" borderId="13" xfId="0" applyFont="1" applyFill="1" applyBorder="1" applyAlignment="1" applyProtection="1">
      <alignment vertical="top" wrapText="1"/>
      <protection hidden="1"/>
    </xf>
    <xf numFmtId="0" fontId="7" fillId="3" borderId="1" xfId="0" applyFont="1" applyFill="1" applyBorder="1" applyAlignment="1" applyProtection="1">
      <alignment horizontal="center" wrapText="1"/>
      <protection hidden="1"/>
    </xf>
    <xf numFmtId="165" fontId="13" fillId="4" borderId="3" xfId="1" applyNumberFormat="1" applyFont="1" applyFill="1" applyBorder="1" applyAlignment="1" applyProtection="1">
      <alignment horizontal="center" vertical="center"/>
      <protection hidden="1"/>
    </xf>
    <xf numFmtId="165" fontId="13" fillId="4" borderId="4" xfId="1" applyNumberFormat="1" applyFont="1" applyFill="1" applyBorder="1" applyAlignment="1" applyProtection="1">
      <alignment horizontal="center" vertical="center"/>
      <protection hidden="1"/>
    </xf>
    <xf numFmtId="165" fontId="13" fillId="4" borderId="5" xfId="1" applyNumberFormat="1" applyFont="1" applyFill="1" applyBorder="1" applyAlignment="1" applyProtection="1">
      <alignment horizontal="center" vertical="center"/>
      <protection hidden="1"/>
    </xf>
    <xf numFmtId="165" fontId="13" fillId="4" borderId="32" xfId="1" applyNumberFormat="1" applyFont="1" applyFill="1" applyBorder="1" applyAlignment="1" applyProtection="1">
      <alignment horizontal="center" vertical="center"/>
      <protection hidden="1"/>
    </xf>
    <xf numFmtId="165" fontId="13" fillId="4" borderId="33" xfId="1" applyNumberFormat="1" applyFont="1" applyFill="1" applyBorder="1" applyAlignment="1" applyProtection="1">
      <alignment horizontal="center" vertical="center"/>
      <protection hidden="1"/>
    </xf>
    <xf numFmtId="165" fontId="13" fillId="4" borderId="34" xfId="1" applyNumberFormat="1" applyFont="1" applyFill="1" applyBorder="1" applyAlignment="1" applyProtection="1">
      <alignment horizontal="center" vertical="center"/>
      <protection hidden="1"/>
    </xf>
    <xf numFmtId="49" fontId="8" fillId="0" borderId="46" xfId="0" applyNumberFormat="1" applyFont="1" applyBorder="1" applyAlignment="1" applyProtection="1">
      <alignment horizontal="center" vertical="top" wrapText="1"/>
      <protection locked="0"/>
    </xf>
    <xf numFmtId="49" fontId="8" fillId="0" borderId="50" xfId="0" applyNumberFormat="1" applyFont="1" applyBorder="1" applyAlignment="1" applyProtection="1">
      <alignment horizontal="center" vertical="top" wrapText="1"/>
      <protection locked="0"/>
    </xf>
    <xf numFmtId="0" fontId="8" fillId="0" borderId="47" xfId="0" applyFont="1" applyBorder="1" applyAlignment="1" applyProtection="1">
      <alignment horizontal="left" vertical="top" wrapText="1"/>
      <protection locked="0"/>
    </xf>
    <xf numFmtId="0" fontId="0" fillId="0" borderId="35" xfId="0" applyBorder="1" applyAlignment="1" applyProtection="1">
      <alignment horizontal="left" vertical="top" wrapText="1"/>
      <protection locked="0"/>
    </xf>
    <xf numFmtId="0" fontId="0" fillId="0" borderId="48" xfId="0" applyBorder="1" applyAlignment="1" applyProtection="1">
      <alignment horizontal="left" vertical="top" wrapText="1"/>
      <protection locked="0"/>
    </xf>
    <xf numFmtId="0" fontId="0" fillId="0" borderId="51" xfId="0" applyBorder="1" applyAlignment="1" applyProtection="1">
      <alignment horizontal="left" vertical="top" wrapText="1"/>
      <protection locked="0"/>
    </xf>
    <xf numFmtId="0" fontId="0" fillId="0" borderId="52" xfId="0" applyBorder="1" applyAlignment="1" applyProtection="1">
      <alignment horizontal="left" vertical="top" wrapText="1"/>
      <protection locked="0"/>
    </xf>
    <xf numFmtId="0" fontId="0" fillId="0" borderId="53" xfId="0" applyBorder="1" applyAlignment="1" applyProtection="1">
      <alignment horizontal="left" vertical="top" wrapText="1"/>
      <protection locked="0"/>
    </xf>
    <xf numFmtId="0" fontId="28" fillId="0" borderId="0" xfId="0" applyFont="1" applyAlignment="1" applyProtection="1">
      <alignment horizontal="center" vertical="center" wrapText="1"/>
      <protection hidden="1"/>
    </xf>
    <xf numFmtId="0" fontId="33" fillId="23" borderId="12" xfId="0" applyFont="1" applyFill="1" applyBorder="1" applyAlignment="1" applyProtection="1">
      <alignment vertical="top" wrapText="1"/>
      <protection hidden="1"/>
    </xf>
    <xf numFmtId="0" fontId="33" fillId="23" borderId="13" xfId="0" applyFont="1" applyFill="1" applyBorder="1" applyAlignment="1" applyProtection="1">
      <alignment vertical="top" wrapText="1"/>
      <protection hidden="1"/>
    </xf>
    <xf numFmtId="0" fontId="33" fillId="26" borderId="12" xfId="0" applyFont="1" applyFill="1" applyBorder="1" applyAlignment="1" applyProtection="1">
      <alignment vertical="top" wrapText="1"/>
      <protection hidden="1"/>
    </xf>
    <xf numFmtId="0" fontId="33" fillId="26" borderId="13" xfId="0" applyFont="1" applyFill="1" applyBorder="1" applyAlignment="1" applyProtection="1">
      <alignment vertical="top" wrapText="1"/>
      <protection hidden="1"/>
    </xf>
    <xf numFmtId="0" fontId="28" fillId="0" borderId="54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29" fillId="0" borderId="104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05" xfId="0" applyFont="1" applyBorder="1" applyAlignment="1">
      <alignment horizontal="center" vertical="center"/>
    </xf>
    <xf numFmtId="0" fontId="36" fillId="0" borderId="106" xfId="0" applyFont="1" applyBorder="1" applyAlignment="1">
      <alignment horizontal="center" vertical="top" wrapText="1"/>
    </xf>
    <xf numFmtId="0" fontId="36" fillId="0" borderId="35" xfId="0" applyFont="1" applyBorder="1" applyAlignment="1">
      <alignment horizontal="center" vertical="top" wrapText="1"/>
    </xf>
    <xf numFmtId="0" fontId="36" fillId="0" borderId="107" xfId="0" applyFont="1" applyBorder="1" applyAlignment="1">
      <alignment horizontal="center" vertical="top" wrapText="1"/>
    </xf>
    <xf numFmtId="0" fontId="36" fillId="0" borderId="52" xfId="0" applyFont="1" applyBorder="1" applyAlignment="1">
      <alignment horizontal="center" vertical="top" wrapText="1"/>
    </xf>
  </cellXfs>
  <cellStyles count="9">
    <cellStyle name="Hipervínculo" xfId="3" builtinId="8"/>
    <cellStyle name="Millares" xfId="1" builtinId="3"/>
    <cellStyle name="Millares 2 3" xfId="8" xr:uid="{AB1636B1-8FDD-4BEA-B739-FF1D9DCD5D23}"/>
    <cellStyle name="Millares 4" xfId="6" xr:uid="{915A104B-7A9D-4612-B8B0-00B64C7762E0}"/>
    <cellStyle name="Normal" xfId="0" builtinId="0"/>
    <cellStyle name="Normal 2 2" xfId="5" xr:uid="{C08254C0-1B4F-4176-A206-8D352A66AF6B}"/>
    <cellStyle name="Normal 2 2 3" xfId="7" xr:uid="{31FEC69F-2248-430D-B54A-F0BB2BFBDB09}"/>
    <cellStyle name="Normal 5" xfId="4" xr:uid="{20F92334-5840-422E-AE6A-A369789E7FDA}"/>
    <cellStyle name="Porcentaje" xfId="2" builtinId="5"/>
  </cellStyles>
  <dxfs count="78"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ndense val="0"/>
        <extend val="0"/>
        <color indexed="9"/>
      </font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 patternType="solid">
          <bgColor theme="0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b val="0"/>
        <i val="0"/>
        <color auto="1"/>
      </font>
      <fill>
        <patternFill>
          <bgColor rgb="FFFFFF99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TA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0BE46-643C-46F2-BE0A-B677AD12C6F5}">
  <dimension ref="A1:GB314"/>
  <sheetViews>
    <sheetView showGridLines="0" tabSelected="1" view="pageBreakPreview" topLeftCell="B62" zoomScaleNormal="100" zoomScaleSheetLayoutView="100" workbookViewId="0">
      <selection activeCell="AX308" sqref="AX308"/>
    </sheetView>
  </sheetViews>
  <sheetFormatPr baseColWidth="10" defaultColWidth="11.109375" defaultRowHeight="14.4" x14ac:dyDescent="0.3"/>
  <cols>
    <col min="1" max="1" width="0" hidden="1" customWidth="1"/>
    <col min="2" max="2" width="9.44140625" customWidth="1"/>
    <col min="3" max="3" width="9" customWidth="1"/>
    <col min="4" max="4" width="34.88671875" customWidth="1"/>
    <col min="5" max="5" width="6.21875" customWidth="1"/>
    <col min="6" max="6" width="10" customWidth="1"/>
    <col min="7" max="7" width="11.5546875" customWidth="1"/>
    <col min="8" max="8" width="16.5546875" customWidth="1"/>
    <col min="9" max="46" width="0" hidden="1" customWidth="1"/>
    <col min="47" max="47" width="2.77734375" customWidth="1"/>
    <col min="48" max="48" width="0.77734375" customWidth="1"/>
    <col min="49" max="49" width="28.33203125" customWidth="1"/>
    <col min="50" max="50" width="30.6640625" customWidth="1"/>
    <col min="51" max="51" width="14.21875" customWidth="1"/>
    <col min="53" max="53" width="16.77734375" customWidth="1"/>
    <col min="111" max="113" width="0" hidden="1" customWidth="1"/>
  </cols>
  <sheetData>
    <row r="1" spans="1:184" s="27" customFormat="1" ht="12.45" hidden="1" customHeight="1" thickTop="1" x14ac:dyDescent="0.3">
      <c r="A1" s="1" t="s">
        <v>0</v>
      </c>
      <c r="B1" s="1"/>
      <c r="C1" s="2" t="s">
        <v>1</v>
      </c>
      <c r="D1" s="3"/>
      <c r="E1" s="4"/>
      <c r="F1" s="5" t="s">
        <v>2</v>
      </c>
      <c r="G1" s="528" t="e">
        <f>"Duración  Obra    " &amp;#REF! &amp; " Días"</f>
        <v>#REF!</v>
      </c>
      <c r="H1" s="6" t="e">
        <f>#REF!</f>
        <v>#REF!</v>
      </c>
      <c r="I1" s="7" t="s">
        <v>3</v>
      </c>
      <c r="J1" s="7" t="s">
        <v>4</v>
      </c>
      <c r="K1" s="8" t="s">
        <v>5</v>
      </c>
      <c r="L1" s="8" t="s">
        <v>6</v>
      </c>
      <c r="M1" s="7" t="s">
        <v>7</v>
      </c>
      <c r="N1" s="7" t="s">
        <v>8</v>
      </c>
      <c r="O1" s="9" t="s">
        <v>9</v>
      </c>
      <c r="P1" s="10" t="str">
        <f>C2</f>
        <v>CT</v>
      </c>
      <c r="Q1" s="529" t="s">
        <v>10</v>
      </c>
      <c r="R1" s="530"/>
      <c r="S1" s="530"/>
      <c r="T1" s="530"/>
      <c r="U1" s="53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2"/>
      <c r="AG1" s="13" t="s">
        <v>11</v>
      </c>
      <c r="AH1" s="14" t="s">
        <v>12</v>
      </c>
      <c r="AI1" s="15" t="s">
        <v>13</v>
      </c>
      <c r="AJ1" s="15" t="s">
        <v>14</v>
      </c>
      <c r="AK1" s="15" t="s">
        <v>15</v>
      </c>
      <c r="AL1" s="16" t="s">
        <v>16</v>
      </c>
      <c r="AM1" s="17"/>
      <c r="AN1" s="18" t="s">
        <v>17</v>
      </c>
      <c r="AO1" s="18"/>
      <c r="AP1" s="19"/>
      <c r="AQ1" s="20"/>
      <c r="AR1" s="20"/>
      <c r="AS1" s="21" t="s">
        <v>18</v>
      </c>
      <c r="AT1" s="22" t="e">
        <f>#REF!</f>
        <v>#REF!</v>
      </c>
      <c r="AU1" s="23"/>
      <c r="AV1" s="24"/>
      <c r="AW1" s="25"/>
      <c r="AX1" s="25"/>
      <c r="AY1" s="25"/>
      <c r="AZ1" s="26"/>
      <c r="BA1" s="511" t="s">
        <v>19</v>
      </c>
      <c r="CA1" s="28"/>
      <c r="CB1" s="29"/>
      <c r="CC1" s="30"/>
      <c r="CD1" s="31"/>
      <c r="CE1" s="32"/>
      <c r="CF1" s="33">
        <f>IF($A$2="CD",CH1,IF($A$2="CT",CI1,"Correg CT"))</f>
        <v>0</v>
      </c>
      <c r="CG1" s="34">
        <f>ROUND(CE1 * CF1,$K$2)</f>
        <v>0</v>
      </c>
      <c r="CH1" s="35"/>
      <c r="CI1" s="33"/>
      <c r="CJ1" s="33">
        <v>1</v>
      </c>
      <c r="CK1" s="33"/>
      <c r="CL1" s="36">
        <f>ROUND(CI1 * CE1,$K$2)</f>
        <v>0</v>
      </c>
      <c r="CM1" s="37">
        <f>ROUND(CH1 * CE1,$K$2)</f>
        <v>0</v>
      </c>
      <c r="CN1" s="38">
        <f>CG1*$O$2</f>
        <v>0</v>
      </c>
      <c r="CO1" s="39"/>
      <c r="CP1" s="40"/>
      <c r="CQ1" s="41"/>
      <c r="CR1" s="41"/>
      <c r="CS1" s="42"/>
      <c r="CT1" s="43">
        <f>CP1+CQ1+CR1+CS1</f>
        <v>0</v>
      </c>
      <c r="CU1" s="44"/>
      <c r="CW1"/>
      <c r="CX1"/>
      <c r="CY1"/>
      <c r="CZ1"/>
      <c r="DA1"/>
      <c r="DB1"/>
      <c r="DC1"/>
      <c r="DD1"/>
      <c r="DE1"/>
      <c r="DF1" s="45"/>
      <c r="DG1" s="46" t="e">
        <f>"CAP. " &amp;#REF! &amp; ": " &amp;#REF!</f>
        <v>#REF!</v>
      </c>
      <c r="DH1" s="47" t="e">
        <f>ROW(#REF!)</f>
        <v>#REF!</v>
      </c>
      <c r="DI1" s="47"/>
      <c r="DJ1" s="47"/>
      <c r="DK1" s="48"/>
      <c r="DL1" s="49"/>
      <c r="DM1"/>
      <c r="DN1"/>
      <c r="DO1" s="50">
        <f>CE1</f>
        <v>0</v>
      </c>
      <c r="DP1" s="51"/>
      <c r="DQ1" s="52">
        <f>DO1+DP1</f>
        <v>0</v>
      </c>
      <c r="DR1" s="53">
        <f>CF1</f>
        <v>0</v>
      </c>
      <c r="DS1" s="54">
        <f>ROUND(DQ1 * DR1,$K$2)</f>
        <v>0</v>
      </c>
      <c r="DT1"/>
      <c r="DU1" s="55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</row>
    <row r="2" spans="1:184" s="27" customFormat="1" ht="12.45" hidden="1" customHeight="1" thickBot="1" x14ac:dyDescent="0.35">
      <c r="A2" s="1" t="s">
        <v>7</v>
      </c>
      <c r="B2" s="1"/>
      <c r="C2" s="56" t="str">
        <f>IF($A$2="CD","CD",IF($A$2="CT","CT",""))</f>
        <v>CT</v>
      </c>
      <c r="D2" s="57"/>
      <c r="E2" s="58"/>
      <c r="F2" s="59"/>
      <c r="G2" s="528"/>
      <c r="H2" s="60" t="str">
        <f>IF(INSUMOS!J2=1,"CHEQ. INSUMOS","Insumos ok.")</f>
        <v>Insumos ok.</v>
      </c>
      <c r="I2" s="61">
        <v>2</v>
      </c>
      <c r="J2" s="61">
        <v>3</v>
      </c>
      <c r="K2" s="61">
        <v>0</v>
      </c>
      <c r="L2" s="61"/>
      <c r="M2" s="61"/>
      <c r="N2" s="61"/>
      <c r="O2" s="62">
        <v>1</v>
      </c>
      <c r="P2" s="63"/>
      <c r="Q2" s="532"/>
      <c r="R2" s="533"/>
      <c r="S2" s="533"/>
      <c r="T2" s="533"/>
      <c r="U2" s="534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4"/>
      <c r="AG2" s="13"/>
      <c r="AH2" s="14"/>
      <c r="AI2" s="15"/>
      <c r="AJ2" s="15"/>
      <c r="AK2" s="15"/>
      <c r="AL2" s="16"/>
      <c r="AM2" s="17"/>
      <c r="AN2" s="65"/>
      <c r="AO2" s="65"/>
      <c r="AP2" s="512" t="s">
        <v>20</v>
      </c>
      <c r="AQ2" s="512"/>
      <c r="AR2" s="512"/>
      <c r="AS2" s="512"/>
      <c r="AT2" s="512"/>
      <c r="AU2" s="65"/>
      <c r="AV2" s="66"/>
      <c r="AZ2" s="67"/>
      <c r="BA2" s="511"/>
      <c r="CA2" s="68" t="s">
        <v>21</v>
      </c>
      <c r="CB2" s="68" t="s">
        <v>22</v>
      </c>
      <c r="CC2" s="68" t="s">
        <v>23</v>
      </c>
      <c r="CD2" s="68" t="s">
        <v>24</v>
      </c>
      <c r="CE2" s="68" t="s">
        <v>25</v>
      </c>
      <c r="CF2" s="68" t="s">
        <v>26</v>
      </c>
      <c r="CG2" s="68" t="s">
        <v>27</v>
      </c>
      <c r="CH2" s="68" t="s">
        <v>28</v>
      </c>
      <c r="CI2" s="68" t="s">
        <v>29</v>
      </c>
      <c r="CJ2" s="68" t="s">
        <v>30</v>
      </c>
      <c r="CK2" s="68" t="s">
        <v>31</v>
      </c>
      <c r="CL2" s="68" t="s">
        <v>32</v>
      </c>
      <c r="CM2" s="68" t="s">
        <v>33</v>
      </c>
      <c r="CN2" s="68" t="s">
        <v>34</v>
      </c>
      <c r="CO2" s="68" t="s">
        <v>35</v>
      </c>
      <c r="CP2" s="68" t="s">
        <v>36</v>
      </c>
      <c r="CQ2" s="68" t="s">
        <v>37</v>
      </c>
      <c r="CR2" s="68" t="s">
        <v>38</v>
      </c>
      <c r="CS2" s="68" t="s">
        <v>39</v>
      </c>
      <c r="CT2" s="68" t="s">
        <v>40</v>
      </c>
      <c r="CU2" s="68" t="s">
        <v>41</v>
      </c>
      <c r="CV2" s="68" t="s">
        <v>42</v>
      </c>
      <c r="CW2" s="68" t="s">
        <v>43</v>
      </c>
      <c r="CX2" s="68" t="s">
        <v>44</v>
      </c>
      <c r="CY2" s="68" t="s">
        <v>45</v>
      </c>
      <c r="CZ2" s="68" t="s">
        <v>46</v>
      </c>
      <c r="DA2" s="68" t="s">
        <v>47</v>
      </c>
      <c r="DB2" s="68" t="s">
        <v>48</v>
      </c>
      <c r="DC2" s="68" t="s">
        <v>49</v>
      </c>
      <c r="DD2" s="68" t="s">
        <v>50</v>
      </c>
      <c r="DE2" s="68" t="s">
        <v>51</v>
      </c>
      <c r="DF2" s="68" t="s">
        <v>52</v>
      </c>
      <c r="DG2" s="68" t="s">
        <v>53</v>
      </c>
      <c r="DH2" s="68" t="s">
        <v>54</v>
      </c>
      <c r="DI2" s="68" t="s">
        <v>55</v>
      </c>
      <c r="DJ2" s="68" t="s">
        <v>56</v>
      </c>
      <c r="DK2" s="68" t="s">
        <v>57</v>
      </c>
      <c r="DL2" s="68" t="s">
        <v>58</v>
      </c>
      <c r="DM2" s="68" t="s">
        <v>59</v>
      </c>
      <c r="DN2" s="68" t="s">
        <v>60</v>
      </c>
      <c r="DO2" s="68" t="s">
        <v>61</v>
      </c>
      <c r="DP2" s="68" t="s">
        <v>62</v>
      </c>
      <c r="DQ2" s="68" t="s">
        <v>63</v>
      </c>
      <c r="DR2" s="68" t="s">
        <v>64</v>
      </c>
      <c r="DS2" s="68" t="s">
        <v>65</v>
      </c>
      <c r="DT2" s="68" t="s">
        <v>66</v>
      </c>
      <c r="DU2" s="68" t="s">
        <v>67</v>
      </c>
    </row>
    <row r="3" spans="1:184" s="27" customFormat="1" ht="12.45" hidden="1" customHeight="1" x14ac:dyDescent="0.3">
      <c r="A3" s="1"/>
      <c r="B3" s="1"/>
      <c r="C3" s="56"/>
      <c r="D3" s="57"/>
      <c r="E3" s="58"/>
      <c r="F3" s="69"/>
      <c r="G3" s="70"/>
      <c r="H3" s="71"/>
      <c r="I3" s="61"/>
      <c r="J3" s="61"/>
      <c r="K3" s="61"/>
      <c r="L3" s="61"/>
      <c r="M3" s="61"/>
      <c r="N3" s="61"/>
      <c r="O3" s="72"/>
      <c r="P3" s="63"/>
      <c r="Q3" s="73"/>
      <c r="R3" s="73"/>
      <c r="S3" s="73"/>
      <c r="T3" s="73"/>
      <c r="U3" s="73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5"/>
      <c r="AG3" s="45"/>
      <c r="AH3" s="46"/>
      <c r="AI3" s="47"/>
      <c r="AJ3" s="47"/>
      <c r="AK3" s="47"/>
      <c r="AL3" s="48"/>
      <c r="AM3" s="49"/>
      <c r="AQ3" s="67" t="e">
        <f>SUM(AQ8:AQ189)</f>
        <v>#REF!</v>
      </c>
      <c r="AR3" s="76"/>
      <c r="AS3" s="77"/>
      <c r="AV3" s="66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</row>
    <row r="4" spans="1:184" s="27" customFormat="1" ht="12.45" hidden="1" customHeight="1" x14ac:dyDescent="0.3">
      <c r="A4" s="1"/>
      <c r="B4" s="1"/>
      <c r="C4" s="56"/>
      <c r="D4" s="57"/>
      <c r="E4" s="58"/>
      <c r="F4" s="69"/>
      <c r="G4" s="70"/>
      <c r="H4" s="71"/>
      <c r="I4" s="61"/>
      <c r="J4" s="61"/>
      <c r="K4" s="61"/>
      <c r="L4" s="61"/>
      <c r="M4" s="61"/>
      <c r="N4" s="61"/>
      <c r="O4" s="72"/>
      <c r="P4" s="63"/>
      <c r="Q4" s="73"/>
      <c r="R4" s="73"/>
      <c r="S4" s="73"/>
      <c r="T4" s="73"/>
      <c r="U4" s="73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5"/>
      <c r="AG4" s="45"/>
      <c r="AH4" s="46" t="str">
        <f>"CAP. " &amp; $C$4 &amp; ": " &amp; $D$4</f>
        <v xml:space="preserve">CAP. : </v>
      </c>
      <c r="AI4" s="47">
        <f>ROW($C$4)</f>
        <v>4</v>
      </c>
      <c r="AJ4" s="47" t="str">
        <f>"SUBCAP.  " &amp; $C$4 &amp; ":   " &amp; $D$4</f>
        <v xml:space="preserve">SUBCAP.  :   </v>
      </c>
      <c r="AK4" s="47">
        <f>ROW($C$4)</f>
        <v>4</v>
      </c>
      <c r="AL4" s="48"/>
      <c r="AM4" s="49"/>
      <c r="AQ4" s="67"/>
      <c r="AR4" s="76"/>
      <c r="AS4" s="77"/>
      <c r="AV4" s="66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</row>
    <row r="5" spans="1:184" s="27" customFormat="1" ht="12.45" hidden="1" customHeight="1" x14ac:dyDescent="0.3">
      <c r="A5" s="1"/>
      <c r="B5" s="1"/>
      <c r="C5" s="56"/>
      <c r="D5" s="57"/>
      <c r="E5" s="58"/>
      <c r="F5" s="69"/>
      <c r="G5" s="70"/>
      <c r="H5" s="71"/>
      <c r="I5" s="61"/>
      <c r="J5" s="61"/>
      <c r="K5" s="61"/>
      <c r="L5" s="61"/>
      <c r="M5" s="61"/>
      <c r="N5" s="61"/>
      <c r="O5" s="72"/>
      <c r="P5" s="63"/>
      <c r="Q5" s="73"/>
      <c r="R5" s="73"/>
      <c r="S5" s="73"/>
      <c r="T5" s="73"/>
      <c r="U5" s="73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5"/>
      <c r="AG5" s="45"/>
      <c r="AH5" s="46"/>
      <c r="AI5" s="47"/>
      <c r="AJ5" s="47"/>
      <c r="AK5" s="47"/>
      <c r="AL5" s="48"/>
      <c r="AM5" s="49"/>
      <c r="AQ5" s="67"/>
      <c r="AR5" s="76"/>
      <c r="AS5" s="77"/>
      <c r="AV5" s="66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68"/>
      <c r="DO5" s="68"/>
      <c r="DP5" s="68"/>
      <c r="DQ5" s="68"/>
      <c r="DR5" s="68"/>
      <c r="DS5" s="68"/>
      <c r="DT5" s="68"/>
      <c r="DU5" s="68"/>
    </row>
    <row r="6" spans="1:184" s="27" customFormat="1" ht="12.45" hidden="1" customHeight="1" x14ac:dyDescent="0.3">
      <c r="A6" s="1"/>
      <c r="B6" s="1"/>
      <c r="C6" s="56"/>
      <c r="D6" s="57"/>
      <c r="E6" s="58"/>
      <c r="F6" s="69"/>
      <c r="G6" s="70"/>
      <c r="H6" s="71"/>
      <c r="I6" s="61"/>
      <c r="J6" s="61"/>
      <c r="K6" s="61"/>
      <c r="L6" s="61"/>
      <c r="M6" s="61"/>
      <c r="N6" s="61"/>
      <c r="O6" s="72"/>
      <c r="P6" s="63"/>
      <c r="Q6" s="73"/>
      <c r="R6" s="73"/>
      <c r="S6" s="73"/>
      <c r="T6" s="73"/>
      <c r="U6" s="73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5"/>
      <c r="AG6" s="45"/>
      <c r="AH6" s="46"/>
      <c r="AI6" s="47"/>
      <c r="AJ6" s="47"/>
      <c r="AK6" s="47"/>
      <c r="AL6" s="48"/>
      <c r="AM6" s="49"/>
      <c r="AQ6" s="67"/>
      <c r="AR6" s="76"/>
      <c r="AS6" s="77"/>
      <c r="AV6" s="66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/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68"/>
      <c r="DO6" s="68"/>
      <c r="DP6" s="68"/>
      <c r="DQ6" s="68"/>
      <c r="DR6" s="68"/>
      <c r="DS6" s="68"/>
      <c r="DT6" s="68"/>
      <c r="DU6" s="68"/>
    </row>
    <row r="7" spans="1:184" s="85" customFormat="1" ht="28.2" customHeight="1" x14ac:dyDescent="0.3">
      <c r="A7" s="78"/>
      <c r="B7" s="78"/>
      <c r="C7" s="513" t="s">
        <v>68</v>
      </c>
      <c r="D7" s="514"/>
      <c r="E7" s="514"/>
      <c r="F7" s="514"/>
      <c r="G7" s="514"/>
      <c r="H7" s="515"/>
      <c r="I7" s="79"/>
      <c r="J7" s="79"/>
      <c r="K7" s="79"/>
      <c r="L7" s="79"/>
      <c r="M7" s="79"/>
      <c r="N7" s="79"/>
      <c r="O7" s="79"/>
      <c r="P7" s="79"/>
      <c r="Q7" s="80" t="s">
        <v>69</v>
      </c>
      <c r="R7" s="81"/>
      <c r="S7" s="81"/>
      <c r="T7" s="81"/>
      <c r="U7" s="82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4"/>
      <c r="AG7" s="45"/>
      <c r="AH7" s="46"/>
      <c r="AI7" s="47"/>
      <c r="AJ7" s="47"/>
      <c r="AK7" s="47"/>
      <c r="AL7" s="48"/>
      <c r="AM7" s="49"/>
      <c r="AP7" s="516" t="s">
        <v>70</v>
      </c>
      <c r="AQ7" s="517"/>
      <c r="AR7" s="517"/>
      <c r="AS7" s="517"/>
      <c r="AT7" s="518"/>
      <c r="AV7" s="86"/>
      <c r="AZ7" s="87"/>
    </row>
    <row r="8" spans="1:184" s="85" customFormat="1" ht="15.6" customHeight="1" thickBot="1" x14ac:dyDescent="0.35">
      <c r="A8" s="78"/>
      <c r="B8" s="78"/>
      <c r="C8" s="519" t="s">
        <v>71</v>
      </c>
      <c r="D8" s="520"/>
      <c r="E8" s="520"/>
      <c r="F8" s="520"/>
      <c r="G8" s="520"/>
      <c r="H8" s="521"/>
      <c r="I8" s="79"/>
      <c r="J8" s="79"/>
      <c r="K8" s="79"/>
      <c r="L8" s="79"/>
      <c r="M8" s="79"/>
      <c r="N8" s="79"/>
      <c r="O8" s="79"/>
      <c r="P8" s="79"/>
      <c r="Q8" s="88" t="s">
        <v>72</v>
      </c>
      <c r="R8" s="89" t="s">
        <v>73</v>
      </c>
      <c r="S8" s="89" t="s">
        <v>74</v>
      </c>
      <c r="T8" s="89" t="s">
        <v>75</v>
      </c>
      <c r="U8" s="90" t="s">
        <v>76</v>
      </c>
      <c r="V8" s="83"/>
      <c r="W8" s="83">
        <v>1</v>
      </c>
      <c r="X8" s="83"/>
      <c r="Y8" s="83"/>
      <c r="Z8" s="83"/>
      <c r="AA8" s="83"/>
      <c r="AB8" s="83"/>
      <c r="AC8" s="83"/>
      <c r="AD8" s="83"/>
      <c r="AE8" s="83"/>
      <c r="AF8" s="84"/>
      <c r="AG8" s="45"/>
      <c r="AH8" s="46"/>
      <c r="AI8" s="47"/>
      <c r="AJ8" s="47"/>
      <c r="AK8" s="47"/>
      <c r="AL8" s="48"/>
      <c r="AM8" s="49"/>
      <c r="AP8" s="91" t="s">
        <v>77</v>
      </c>
      <c r="AQ8" s="92" t="s">
        <v>78</v>
      </c>
      <c r="AR8" s="92" t="s">
        <v>79</v>
      </c>
      <c r="AS8" s="92" t="s">
        <v>80</v>
      </c>
      <c r="AT8" s="93" t="s">
        <v>81</v>
      </c>
      <c r="AV8" s="86"/>
      <c r="AX8" s="94"/>
    </row>
    <row r="9" spans="1:184" s="85" customFormat="1" ht="15" customHeight="1" x14ac:dyDescent="0.3">
      <c r="A9" s="78"/>
      <c r="B9" s="78"/>
      <c r="C9" s="535" t="s">
        <v>82</v>
      </c>
      <c r="D9" s="537" t="s">
        <v>764</v>
      </c>
      <c r="E9" s="538"/>
      <c r="F9" s="539"/>
      <c r="G9" s="95" t="s">
        <v>84</v>
      </c>
      <c r="H9" s="96"/>
      <c r="I9" s="97"/>
      <c r="J9" s="97"/>
      <c r="K9" s="97"/>
      <c r="L9" s="97"/>
      <c r="M9" s="97"/>
      <c r="N9" s="97"/>
      <c r="O9" s="97"/>
      <c r="P9" s="97"/>
      <c r="Q9" s="98"/>
      <c r="R9" s="98"/>
      <c r="S9" s="98"/>
      <c r="T9" s="98"/>
      <c r="U9" s="98"/>
      <c r="V9" s="99"/>
      <c r="W9" s="99"/>
      <c r="X9" s="99"/>
      <c r="Y9" s="99"/>
      <c r="Z9" s="99"/>
      <c r="AA9" s="99"/>
      <c r="AB9" s="99"/>
      <c r="AC9" s="99"/>
      <c r="AD9" s="99"/>
      <c r="AE9" s="99"/>
      <c r="AF9" s="100"/>
      <c r="AG9" s="45"/>
      <c r="AH9" s="46"/>
      <c r="AI9" s="47"/>
      <c r="AJ9" s="47"/>
      <c r="AK9" s="47"/>
      <c r="AL9" s="48"/>
      <c r="AM9" s="49"/>
      <c r="AV9" s="86"/>
      <c r="AX9" s="94"/>
    </row>
    <row r="10" spans="1:184" s="85" customFormat="1" ht="21.45" customHeight="1" thickBot="1" x14ac:dyDescent="0.35">
      <c r="A10" s="78"/>
      <c r="B10" s="78"/>
      <c r="C10" s="536"/>
      <c r="D10" s="540"/>
      <c r="E10" s="541"/>
      <c r="F10" s="542"/>
      <c r="G10" s="101" t="s">
        <v>85</v>
      </c>
      <c r="H10" s="102">
        <f ca="1">TODAY()</f>
        <v>46079</v>
      </c>
      <c r="I10" s="103"/>
      <c r="J10" s="103"/>
      <c r="K10" s="103"/>
      <c r="L10" s="103"/>
      <c r="M10" s="103"/>
      <c r="N10" s="103"/>
      <c r="O10" s="103"/>
      <c r="P10" s="103"/>
      <c r="Q10" s="543"/>
      <c r="R10" s="543"/>
      <c r="S10" s="543"/>
      <c r="T10" s="543"/>
      <c r="U10" s="543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5"/>
      <c r="AG10" s="45"/>
      <c r="AH10" s="46"/>
      <c r="AI10" s="47"/>
      <c r="AJ10" s="47"/>
      <c r="AK10" s="47"/>
      <c r="AL10" s="48"/>
      <c r="AM10" s="49"/>
      <c r="AV10" s="86"/>
    </row>
    <row r="11" spans="1:184" s="85" customFormat="1" ht="20.100000000000001" customHeight="1" thickBot="1" x14ac:dyDescent="0.35">
      <c r="A11" s="78"/>
      <c r="B11" s="78"/>
      <c r="C11" s="106"/>
      <c r="D11" s="107"/>
      <c r="E11" s="108"/>
      <c r="F11" s="109"/>
      <c r="G11" s="110"/>
      <c r="H11" s="111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3"/>
      <c r="AG11" s="45"/>
      <c r="AH11" s="46"/>
      <c r="AI11" s="47"/>
      <c r="AJ11" s="47"/>
      <c r="AK11" s="47"/>
      <c r="AL11" s="48"/>
      <c r="AM11" s="49"/>
      <c r="AV11" s="86"/>
      <c r="AX11" s="114"/>
    </row>
    <row r="12" spans="1:184" s="85" customFormat="1" ht="15.75" customHeight="1" x14ac:dyDescent="0.3">
      <c r="A12" s="115" t="s">
        <v>86</v>
      </c>
      <c r="B12" s="133" t="s">
        <v>97</v>
      </c>
      <c r="C12" s="116" t="s">
        <v>87</v>
      </c>
      <c r="D12" s="117" t="s">
        <v>88</v>
      </c>
      <c r="E12" s="117" t="s">
        <v>89</v>
      </c>
      <c r="F12" s="117" t="s">
        <v>90</v>
      </c>
      <c r="G12" s="118" t="s">
        <v>91</v>
      </c>
      <c r="H12" s="119" t="str">
        <f>IF(O2&gt;1,"VR.  / " &amp;O1,"VR.TOTAL")</f>
        <v>VR.TOTAL</v>
      </c>
      <c r="I12" s="120" t="s">
        <v>92</v>
      </c>
      <c r="J12" s="120" t="s">
        <v>93</v>
      </c>
      <c r="K12" s="120"/>
      <c r="L12" s="120" t="s">
        <v>94</v>
      </c>
      <c r="M12" s="121" t="s">
        <v>95</v>
      </c>
      <c r="N12" s="121" t="s">
        <v>96</v>
      </c>
      <c r="O12" s="122" t="str">
        <f>"Vr.  " &amp; O2 &amp; " " &amp;O1&amp; "S"</f>
        <v>Vr.  1 CASAS</v>
      </c>
      <c r="P12" s="112"/>
      <c r="Q12" s="123" t="s">
        <v>72</v>
      </c>
      <c r="R12" s="123" t="s">
        <v>73</v>
      </c>
      <c r="S12" s="123" t="s">
        <v>74</v>
      </c>
      <c r="T12" s="123" t="s">
        <v>75</v>
      </c>
      <c r="U12" s="124" t="s">
        <v>76</v>
      </c>
      <c r="V12" s="112"/>
      <c r="W12" s="112">
        <v>1</v>
      </c>
      <c r="X12" s="112"/>
      <c r="Y12" s="112"/>
      <c r="Z12" s="112"/>
      <c r="AA12" s="112"/>
      <c r="AB12" s="112"/>
      <c r="AC12" s="112"/>
      <c r="AD12" s="112"/>
      <c r="AE12" s="112"/>
      <c r="AF12" s="113"/>
      <c r="AG12" s="45"/>
      <c r="AH12" s="46"/>
      <c r="AI12" s="47"/>
      <c r="AJ12" s="47"/>
      <c r="AK12" s="47"/>
      <c r="AL12" s="48"/>
      <c r="AM12" s="49"/>
      <c r="AP12" s="125" t="s">
        <v>77</v>
      </c>
      <c r="AQ12" s="125" t="e">
        <f>[1]ACTAS!L14</f>
        <v>#REF!</v>
      </c>
      <c r="AR12" s="125" t="s">
        <v>79</v>
      </c>
      <c r="AS12" s="126" t="s">
        <v>80</v>
      </c>
      <c r="AT12" s="127" t="s">
        <v>81</v>
      </c>
      <c r="AV12" s="86"/>
      <c r="AX12" s="114"/>
    </row>
    <row r="13" spans="1:184" ht="13.5" customHeight="1" thickBot="1" x14ac:dyDescent="0.35">
      <c r="A13" s="78"/>
      <c r="B13" s="78"/>
      <c r="C13" s="525" t="s">
        <v>83</v>
      </c>
      <c r="D13" s="525"/>
      <c r="E13" s="525"/>
      <c r="F13" s="525"/>
      <c r="G13" s="525"/>
      <c r="H13" s="525"/>
      <c r="M13" s="132"/>
      <c r="N13" s="132"/>
      <c r="W13" s="27"/>
      <c r="AG13" s="45"/>
      <c r="AH13" s="46"/>
      <c r="AI13" s="47"/>
      <c r="AJ13" s="47"/>
      <c r="AK13" s="47"/>
      <c r="AL13" s="48"/>
      <c r="AM13" s="49"/>
      <c r="AT13" s="132"/>
      <c r="AV13" s="55"/>
    </row>
    <row r="14" spans="1:184" ht="15.6" x14ac:dyDescent="0.3">
      <c r="A14" s="133" t="s">
        <v>97</v>
      </c>
      <c r="B14" s="133"/>
      <c r="C14" s="134" t="s">
        <v>98</v>
      </c>
      <c r="D14" s="135" t="s">
        <v>99</v>
      </c>
      <c r="E14" s="136"/>
      <c r="F14" s="136"/>
      <c r="G14" s="136"/>
      <c r="H14" s="137">
        <f>SUM(H15:H27)</f>
        <v>72688979</v>
      </c>
      <c r="I14" s="27"/>
      <c r="J14" s="27"/>
      <c r="K14" s="27"/>
      <c r="L14" s="27"/>
      <c r="M14" s="27"/>
      <c r="N14" s="27"/>
      <c r="O14" s="138">
        <f>SUM(O15:O27)</f>
        <v>69175011</v>
      </c>
      <c r="P14" s="44"/>
      <c r="Q14" s="139"/>
      <c r="R14" s="140"/>
      <c r="S14" s="140"/>
      <c r="T14" s="141"/>
      <c r="U14" s="142"/>
      <c r="V14" s="44">
        <f>IF(H14&lt;&gt;"",O14-H14*$O$2,0)</f>
        <v>-3513968</v>
      </c>
      <c r="W14" s="143" t="s">
        <v>100</v>
      </c>
      <c r="AG14" s="45"/>
      <c r="AH14" s="46" t="str">
        <f t="shared" ref="AH14:AH28" si="0">"CAP. " &amp; $C$14 &amp; ": " &amp; $D$14</f>
        <v>CAP. 1: PRELIMINARES 1</v>
      </c>
      <c r="AI14" s="47">
        <f t="shared" ref="AI14:AI28" si="1">ROW($C$14)</f>
        <v>14</v>
      </c>
      <c r="AJ14" s="47"/>
      <c r="AK14" s="47"/>
      <c r="AL14" s="48"/>
      <c r="AM14" s="49"/>
      <c r="AP14" s="144"/>
      <c r="AQ14" s="145"/>
      <c r="AR14" s="145"/>
      <c r="AS14" s="145"/>
      <c r="AT14" s="146">
        <f>SUM(AT15:AT27)</f>
        <v>72688979</v>
      </c>
      <c r="AV14" s="55"/>
    </row>
    <row r="15" spans="1:184" hidden="1" x14ac:dyDescent="0.3">
      <c r="A15" s="147" t="s">
        <v>101</v>
      </c>
      <c r="B15" s="147"/>
      <c r="C15" s="148"/>
      <c r="D15" s="149"/>
      <c r="E15" s="150"/>
      <c r="F15" s="151"/>
      <c r="G15" s="152"/>
      <c r="H15" s="153"/>
      <c r="I15" s="154"/>
      <c r="J15" s="152"/>
      <c r="K15" s="152"/>
      <c r="L15" s="152"/>
      <c r="M15" s="155"/>
      <c r="N15" s="156"/>
      <c r="O15" s="157"/>
      <c r="P15" s="39"/>
      <c r="Q15" s="40"/>
      <c r="R15" s="41"/>
      <c r="S15" s="41"/>
      <c r="T15" s="42"/>
      <c r="U15" s="43"/>
      <c r="V15" s="44"/>
      <c r="W15" s="27"/>
      <c r="AG15" s="45"/>
      <c r="AH15" s="46" t="str">
        <f t="shared" si="0"/>
        <v>CAP. 1: PRELIMINARES 1</v>
      </c>
      <c r="AI15" s="47">
        <f t="shared" si="1"/>
        <v>14</v>
      </c>
      <c r="AJ15" s="47"/>
      <c r="AK15" s="47"/>
      <c r="AL15" s="48"/>
      <c r="AM15" s="49"/>
      <c r="AP15" s="50"/>
      <c r="AQ15" s="51"/>
      <c r="AR15" s="52"/>
      <c r="AS15" s="158"/>
      <c r="AT15" s="159"/>
      <c r="AV15" s="55"/>
    </row>
    <row r="16" spans="1:184" ht="27.6" x14ac:dyDescent="0.3">
      <c r="A16" s="160" t="s">
        <v>102</v>
      </c>
      <c r="B16" s="473" t="s">
        <v>102</v>
      </c>
      <c r="C16" s="161" t="s">
        <v>103</v>
      </c>
      <c r="D16" s="162" t="s">
        <v>104</v>
      </c>
      <c r="E16" s="163" t="s">
        <v>105</v>
      </c>
      <c r="F16" s="164">
        <v>488.8</v>
      </c>
      <c r="G16" s="497">
        <v>96197</v>
      </c>
      <c r="H16" s="34">
        <f t="shared" ref="H16:H26" si="2">ROUND(F16 * G16,$K$2)</f>
        <v>47021094</v>
      </c>
      <c r="I16" s="35" t="e">
        <f>#REF!</f>
        <v>#REF!</v>
      </c>
      <c r="J16" s="33" t="e">
        <f>#REF!</f>
        <v>#REF!</v>
      </c>
      <c r="K16" s="33">
        <v>1</v>
      </c>
      <c r="L16" s="33"/>
      <c r="M16" s="36" t="e">
        <f t="shared" ref="M16:M25" si="3">ROUND(J16 * F16,$K$2)</f>
        <v>#REF!</v>
      </c>
      <c r="N16" s="37" t="e">
        <f t="shared" ref="N16:N25" si="4">ROUND(I16 * F16,$K$2)</f>
        <v>#REF!</v>
      </c>
      <c r="O16" s="38">
        <f t="shared" ref="O16:O25" si="5">H16*$O$2</f>
        <v>47021094</v>
      </c>
      <c r="P16" s="39"/>
      <c r="Q16" s="40" t="e">
        <f>ROUND(#REF!*F16,0)</f>
        <v>#REF!</v>
      </c>
      <c r="R16" s="41" t="e">
        <f>ROUND(#REF!*F16,0)</f>
        <v>#REF!</v>
      </c>
      <c r="S16" s="41"/>
      <c r="T16" s="42"/>
      <c r="U16" s="43" t="e">
        <f t="shared" ref="U16:U25" si="6">Q16+R16+S16+T16</f>
        <v>#REF!</v>
      </c>
      <c r="V16" s="44"/>
      <c r="W16" s="27">
        <v>10</v>
      </c>
      <c r="AG16" s="45"/>
      <c r="AH16" s="46" t="str">
        <f t="shared" si="0"/>
        <v>CAP. 1: PRELIMINARES 1</v>
      </c>
      <c r="AI16" s="47">
        <f t="shared" si="1"/>
        <v>14</v>
      </c>
      <c r="AJ16" s="47"/>
      <c r="AK16" s="47"/>
      <c r="AL16" s="48"/>
      <c r="AM16" s="49"/>
      <c r="AP16" s="50">
        <f t="shared" ref="AP16:AP26" si="7">F16</f>
        <v>488.8</v>
      </c>
      <c r="AQ16" s="51"/>
      <c r="AR16" s="52">
        <f t="shared" ref="AR16:AR26" si="8">AP16+AQ16</f>
        <v>488.8</v>
      </c>
      <c r="AS16" s="53">
        <f t="shared" ref="AS16:AS26" si="9">G16</f>
        <v>96197</v>
      </c>
      <c r="AT16" s="54">
        <f t="shared" ref="AT16:AT26" si="10">ROUND(AR16 * AS16,$K$2)</f>
        <v>47021094</v>
      </c>
      <c r="AV16" s="55"/>
    </row>
    <row r="17" spans="1:48" ht="27.6" x14ac:dyDescent="0.3">
      <c r="A17" s="165" t="s">
        <v>106</v>
      </c>
      <c r="B17" s="474" t="s">
        <v>106</v>
      </c>
      <c r="C17" s="166" t="s">
        <v>107</v>
      </c>
      <c r="D17" s="167" t="s">
        <v>108</v>
      </c>
      <c r="E17" s="168" t="s">
        <v>33</v>
      </c>
      <c r="F17" s="169">
        <v>168</v>
      </c>
      <c r="G17" s="497">
        <v>5378</v>
      </c>
      <c r="H17" s="34">
        <f t="shared" si="2"/>
        <v>903504</v>
      </c>
      <c r="I17" s="35" t="e">
        <f>#REF!</f>
        <v>#REF!</v>
      </c>
      <c r="J17" s="33" t="e">
        <f>#REF!</f>
        <v>#REF!</v>
      </c>
      <c r="K17" s="33">
        <v>1</v>
      </c>
      <c r="L17" s="33" t="e">
        <f>ROUNDUP(#REF!/$K$17,0)</f>
        <v>#REF!</v>
      </c>
      <c r="M17" s="36" t="e">
        <f t="shared" si="3"/>
        <v>#REF!</v>
      </c>
      <c r="N17" s="37" t="e">
        <f t="shared" si="4"/>
        <v>#REF!</v>
      </c>
      <c r="O17" s="38">
        <f t="shared" si="5"/>
        <v>903504</v>
      </c>
      <c r="P17" s="39"/>
      <c r="Q17" s="40" t="e">
        <f>ROUND(#REF!*F17,0)</f>
        <v>#REF!</v>
      </c>
      <c r="R17" s="41" t="e">
        <f>ROUND(#REF!*F17,0)</f>
        <v>#REF!</v>
      </c>
      <c r="S17" s="41" t="e">
        <f>ROUND(#REF!*F17,0)</f>
        <v>#REF!</v>
      </c>
      <c r="T17" s="42"/>
      <c r="U17" s="43" t="e">
        <f t="shared" si="6"/>
        <v>#REF!</v>
      </c>
      <c r="V17" s="44"/>
      <c r="W17" s="27">
        <v>11</v>
      </c>
      <c r="AG17" s="45"/>
      <c r="AH17" s="46" t="str">
        <f t="shared" si="0"/>
        <v>CAP. 1: PRELIMINARES 1</v>
      </c>
      <c r="AI17" s="47">
        <f t="shared" si="1"/>
        <v>14</v>
      </c>
      <c r="AJ17" s="47"/>
      <c r="AK17" s="47"/>
      <c r="AL17" s="48"/>
      <c r="AM17" s="49"/>
      <c r="AP17" s="50">
        <f t="shared" si="7"/>
        <v>168</v>
      </c>
      <c r="AQ17" s="51"/>
      <c r="AR17" s="52">
        <f t="shared" si="8"/>
        <v>168</v>
      </c>
      <c r="AS17" s="53">
        <f t="shared" si="9"/>
        <v>5378</v>
      </c>
      <c r="AT17" s="54">
        <f t="shared" si="10"/>
        <v>903504</v>
      </c>
      <c r="AV17" s="55"/>
    </row>
    <row r="18" spans="1:48" x14ac:dyDescent="0.3">
      <c r="A18" s="165" t="s">
        <v>109</v>
      </c>
      <c r="B18" s="474" t="s">
        <v>109</v>
      </c>
      <c r="C18" s="166" t="s">
        <v>110</v>
      </c>
      <c r="D18" s="167" t="s">
        <v>111</v>
      </c>
      <c r="E18" s="168" t="s">
        <v>112</v>
      </c>
      <c r="F18" s="169">
        <v>488.8</v>
      </c>
      <c r="G18" s="497">
        <v>11589</v>
      </c>
      <c r="H18" s="34">
        <f t="shared" si="2"/>
        <v>5664703</v>
      </c>
      <c r="I18" s="35" t="e">
        <f>#REF!</f>
        <v>#REF!</v>
      </c>
      <c r="J18" s="33" t="e">
        <f>#REF!</f>
        <v>#REF!</v>
      </c>
      <c r="K18" s="33">
        <v>1</v>
      </c>
      <c r="L18" s="33" t="e">
        <f>ROUNDUP(#REF!/$K$18,0)</f>
        <v>#REF!</v>
      </c>
      <c r="M18" s="36" t="e">
        <f t="shared" si="3"/>
        <v>#REF!</v>
      </c>
      <c r="N18" s="37" t="e">
        <f t="shared" si="4"/>
        <v>#REF!</v>
      </c>
      <c r="O18" s="38">
        <f t="shared" si="5"/>
        <v>5664703</v>
      </c>
      <c r="P18" s="39"/>
      <c r="Q18" s="40" t="e">
        <f>ROUND(#REF!*F18,0)</f>
        <v>#REF!</v>
      </c>
      <c r="R18" s="41" t="e">
        <f>ROUND(#REF!*F18,0)</f>
        <v>#REF!</v>
      </c>
      <c r="S18" s="41" t="e">
        <f>ROUND(#REF!*F18,0)</f>
        <v>#REF!</v>
      </c>
      <c r="T18" s="42"/>
      <c r="U18" s="43" t="e">
        <f t="shared" si="6"/>
        <v>#REF!</v>
      </c>
      <c r="V18" s="44"/>
      <c r="W18" s="27">
        <v>12</v>
      </c>
      <c r="AG18" s="45"/>
      <c r="AH18" s="46" t="str">
        <f t="shared" si="0"/>
        <v>CAP. 1: PRELIMINARES 1</v>
      </c>
      <c r="AI18" s="47">
        <f t="shared" si="1"/>
        <v>14</v>
      </c>
      <c r="AJ18" s="47"/>
      <c r="AK18" s="47"/>
      <c r="AL18" s="48"/>
      <c r="AM18" s="49"/>
      <c r="AP18" s="50">
        <f t="shared" si="7"/>
        <v>488.8</v>
      </c>
      <c r="AQ18" s="51"/>
      <c r="AR18" s="52">
        <f t="shared" si="8"/>
        <v>488.8</v>
      </c>
      <c r="AS18" s="53">
        <f t="shared" si="9"/>
        <v>11589</v>
      </c>
      <c r="AT18" s="54">
        <f t="shared" si="10"/>
        <v>5664703</v>
      </c>
      <c r="AV18" s="55"/>
    </row>
    <row r="19" spans="1:48" x14ac:dyDescent="0.3">
      <c r="A19" s="165" t="s">
        <v>113</v>
      </c>
      <c r="B19" s="474" t="s">
        <v>113</v>
      </c>
      <c r="C19" s="166" t="s">
        <v>114</v>
      </c>
      <c r="D19" s="167" t="s">
        <v>115</v>
      </c>
      <c r="E19" s="168" t="s">
        <v>112</v>
      </c>
      <c r="F19" s="169">
        <v>12.6</v>
      </c>
      <c r="G19" s="497">
        <v>18975</v>
      </c>
      <c r="H19" s="34">
        <f t="shared" si="2"/>
        <v>239085</v>
      </c>
      <c r="I19" s="35" t="e">
        <f>#REF!</f>
        <v>#REF!</v>
      </c>
      <c r="J19" s="33" t="e">
        <f>#REF!</f>
        <v>#REF!</v>
      </c>
      <c r="K19" s="33">
        <v>1</v>
      </c>
      <c r="L19" s="33" t="e">
        <f>ROUNDUP(#REF!/$K$19,0)</f>
        <v>#REF!</v>
      </c>
      <c r="M19" s="36" t="e">
        <f t="shared" si="3"/>
        <v>#REF!</v>
      </c>
      <c r="N19" s="37" t="e">
        <f t="shared" si="4"/>
        <v>#REF!</v>
      </c>
      <c r="O19" s="38">
        <f t="shared" si="5"/>
        <v>239085</v>
      </c>
      <c r="P19" s="39"/>
      <c r="Q19" s="40" t="e">
        <f>ROUND(#REF!*F19,0)</f>
        <v>#REF!</v>
      </c>
      <c r="R19" s="41" t="e">
        <f>ROUND(#REF!*F19,0)</f>
        <v>#REF!</v>
      </c>
      <c r="S19" s="41" t="e">
        <f>ROUND(#REF!*F19,0)</f>
        <v>#REF!</v>
      </c>
      <c r="T19" s="42"/>
      <c r="U19" s="43" t="e">
        <f t="shared" si="6"/>
        <v>#REF!</v>
      </c>
      <c r="V19" s="44"/>
      <c r="W19" s="27">
        <v>13</v>
      </c>
      <c r="AG19" s="45"/>
      <c r="AH19" s="46" t="str">
        <f t="shared" si="0"/>
        <v>CAP. 1: PRELIMINARES 1</v>
      </c>
      <c r="AI19" s="47">
        <f t="shared" si="1"/>
        <v>14</v>
      </c>
      <c r="AJ19" s="47"/>
      <c r="AK19" s="47"/>
      <c r="AL19" s="48"/>
      <c r="AM19" s="49"/>
      <c r="AP19" s="50">
        <f t="shared" si="7"/>
        <v>12.6</v>
      </c>
      <c r="AQ19" s="51"/>
      <c r="AR19" s="52">
        <f t="shared" si="8"/>
        <v>12.6</v>
      </c>
      <c r="AS19" s="53">
        <f t="shared" si="9"/>
        <v>18975</v>
      </c>
      <c r="AT19" s="54">
        <f t="shared" si="10"/>
        <v>239085</v>
      </c>
      <c r="AV19" s="55"/>
    </row>
    <row r="20" spans="1:48" x14ac:dyDescent="0.3">
      <c r="A20" s="165" t="s">
        <v>116</v>
      </c>
      <c r="B20" s="474" t="s">
        <v>116</v>
      </c>
      <c r="C20" s="166" t="s">
        <v>117</v>
      </c>
      <c r="D20" s="167" t="s">
        <v>118</v>
      </c>
      <c r="E20" s="168" t="s">
        <v>89</v>
      </c>
      <c r="F20" s="169">
        <v>21</v>
      </c>
      <c r="G20" s="497">
        <v>41712</v>
      </c>
      <c r="H20" s="34">
        <f t="shared" si="2"/>
        <v>875952</v>
      </c>
      <c r="I20" s="35" t="e">
        <f>#REF!</f>
        <v>#REF!</v>
      </c>
      <c r="J20" s="33" t="e">
        <f>#REF!</f>
        <v>#REF!</v>
      </c>
      <c r="K20" s="33">
        <v>1</v>
      </c>
      <c r="L20" s="33" t="e">
        <f>ROUNDUP(#REF!/$K$20,0)</f>
        <v>#REF!</v>
      </c>
      <c r="M20" s="36" t="e">
        <f t="shared" si="3"/>
        <v>#REF!</v>
      </c>
      <c r="N20" s="37" t="e">
        <f t="shared" si="4"/>
        <v>#REF!</v>
      </c>
      <c r="O20" s="38">
        <f t="shared" si="5"/>
        <v>875952</v>
      </c>
      <c r="P20" s="39"/>
      <c r="Q20" s="40" t="e">
        <f>ROUND(#REF!*F20,0)</f>
        <v>#REF!</v>
      </c>
      <c r="R20" s="41" t="e">
        <f>ROUND(#REF!*F20,0)</f>
        <v>#REF!</v>
      </c>
      <c r="S20" s="41" t="e">
        <f>ROUND(#REF!*F20,0)</f>
        <v>#REF!</v>
      </c>
      <c r="T20" s="42"/>
      <c r="U20" s="43" t="e">
        <f t="shared" si="6"/>
        <v>#REF!</v>
      </c>
      <c r="V20" s="44"/>
      <c r="W20" s="27">
        <v>14</v>
      </c>
      <c r="AG20" s="45"/>
      <c r="AH20" s="46" t="str">
        <f t="shared" si="0"/>
        <v>CAP. 1: PRELIMINARES 1</v>
      </c>
      <c r="AI20" s="47">
        <f t="shared" si="1"/>
        <v>14</v>
      </c>
      <c r="AJ20" s="47"/>
      <c r="AK20" s="47"/>
      <c r="AL20" s="48"/>
      <c r="AM20" s="49"/>
      <c r="AP20" s="50">
        <f t="shared" si="7"/>
        <v>21</v>
      </c>
      <c r="AQ20" s="51"/>
      <c r="AR20" s="52">
        <f t="shared" si="8"/>
        <v>21</v>
      </c>
      <c r="AS20" s="53">
        <f t="shared" si="9"/>
        <v>41712</v>
      </c>
      <c r="AT20" s="54">
        <f t="shared" si="10"/>
        <v>875952</v>
      </c>
      <c r="AV20" s="55"/>
    </row>
    <row r="21" spans="1:48" x14ac:dyDescent="0.3">
      <c r="A21" s="165" t="s">
        <v>119</v>
      </c>
      <c r="B21" s="474" t="s">
        <v>119</v>
      </c>
      <c r="C21" s="166" t="s">
        <v>120</v>
      </c>
      <c r="D21" s="167" t="s">
        <v>121</v>
      </c>
      <c r="E21" s="168" t="s">
        <v>89</v>
      </c>
      <c r="F21" s="169">
        <v>1</v>
      </c>
      <c r="G21" s="497">
        <v>124102</v>
      </c>
      <c r="H21" s="34">
        <f t="shared" si="2"/>
        <v>124102</v>
      </c>
      <c r="I21" s="35" t="e">
        <f>#REF!</f>
        <v>#REF!</v>
      </c>
      <c r="J21" s="33" t="e">
        <f>#REF!</f>
        <v>#REF!</v>
      </c>
      <c r="K21" s="33">
        <v>1</v>
      </c>
      <c r="L21" s="33" t="e">
        <f>ROUNDUP(#REF!/$K$21,0)</f>
        <v>#REF!</v>
      </c>
      <c r="M21" s="36" t="e">
        <f t="shared" si="3"/>
        <v>#REF!</v>
      </c>
      <c r="N21" s="37" t="e">
        <f t="shared" si="4"/>
        <v>#REF!</v>
      </c>
      <c r="O21" s="38">
        <f t="shared" si="5"/>
        <v>124102</v>
      </c>
      <c r="P21" s="39"/>
      <c r="Q21" s="40" t="e">
        <f>ROUND(#REF!*F21,0)</f>
        <v>#REF!</v>
      </c>
      <c r="R21" s="41" t="e">
        <f>ROUND(#REF!*F21,0)</f>
        <v>#REF!</v>
      </c>
      <c r="S21" s="41" t="e">
        <f>ROUND(#REF!*F21,0)</f>
        <v>#REF!</v>
      </c>
      <c r="T21" s="42" t="e">
        <f>ROUND(#REF!*F21,0)</f>
        <v>#REF!</v>
      </c>
      <c r="U21" s="43" t="e">
        <f t="shared" si="6"/>
        <v>#REF!</v>
      </c>
      <c r="V21" s="44"/>
      <c r="W21" s="27">
        <v>15</v>
      </c>
      <c r="AG21" s="45"/>
      <c r="AH21" s="46" t="str">
        <f t="shared" si="0"/>
        <v>CAP. 1: PRELIMINARES 1</v>
      </c>
      <c r="AI21" s="47">
        <f t="shared" si="1"/>
        <v>14</v>
      </c>
      <c r="AJ21" s="47"/>
      <c r="AK21" s="47"/>
      <c r="AL21" s="48"/>
      <c r="AM21" s="49"/>
      <c r="AP21" s="50">
        <f t="shared" si="7"/>
        <v>1</v>
      </c>
      <c r="AQ21" s="51"/>
      <c r="AR21" s="52">
        <f t="shared" si="8"/>
        <v>1</v>
      </c>
      <c r="AS21" s="53">
        <f t="shared" si="9"/>
        <v>124102</v>
      </c>
      <c r="AT21" s="54">
        <f t="shared" si="10"/>
        <v>124102</v>
      </c>
      <c r="AV21" s="55"/>
    </row>
    <row r="22" spans="1:48" ht="27.6" x14ac:dyDescent="0.3">
      <c r="A22" s="165" t="s">
        <v>122</v>
      </c>
      <c r="B22" s="474" t="s">
        <v>122</v>
      </c>
      <c r="C22" s="166" t="s">
        <v>123</v>
      </c>
      <c r="D22" s="167" t="s">
        <v>124</v>
      </c>
      <c r="E22" s="168" t="s">
        <v>112</v>
      </c>
      <c r="F22" s="169">
        <v>664.71</v>
      </c>
      <c r="G22" s="497">
        <v>12988</v>
      </c>
      <c r="H22" s="34">
        <f t="shared" si="2"/>
        <v>8633253</v>
      </c>
      <c r="I22" s="35" t="e">
        <f>#REF!</f>
        <v>#REF!</v>
      </c>
      <c r="J22" s="33" t="e">
        <f>#REF!</f>
        <v>#REF!</v>
      </c>
      <c r="K22" s="33">
        <v>1</v>
      </c>
      <c r="L22" s="33" t="e">
        <f>ROUNDUP(#REF!/$K$22,0)</f>
        <v>#REF!</v>
      </c>
      <c r="M22" s="36" t="e">
        <f t="shared" si="3"/>
        <v>#REF!</v>
      </c>
      <c r="N22" s="37" t="e">
        <f t="shared" si="4"/>
        <v>#REF!</v>
      </c>
      <c r="O22" s="38">
        <f t="shared" si="5"/>
        <v>8633253</v>
      </c>
      <c r="P22" s="39"/>
      <c r="Q22" s="40" t="e">
        <f>ROUND(#REF!*F22,0)</f>
        <v>#REF!</v>
      </c>
      <c r="R22" s="41" t="e">
        <f>ROUND(#REF!*F22,0)</f>
        <v>#REF!</v>
      </c>
      <c r="S22" s="41" t="e">
        <f>ROUND(#REF!*F22,0)</f>
        <v>#REF!</v>
      </c>
      <c r="T22" s="42"/>
      <c r="U22" s="43" t="e">
        <f t="shared" si="6"/>
        <v>#REF!</v>
      </c>
      <c r="V22" s="44"/>
      <c r="W22" s="27">
        <v>16</v>
      </c>
      <c r="AG22" s="45"/>
      <c r="AH22" s="46" t="str">
        <f t="shared" si="0"/>
        <v>CAP. 1: PRELIMINARES 1</v>
      </c>
      <c r="AI22" s="47">
        <f t="shared" si="1"/>
        <v>14</v>
      </c>
      <c r="AJ22" s="47"/>
      <c r="AK22" s="47"/>
      <c r="AL22" s="48"/>
      <c r="AM22" s="49"/>
      <c r="AP22" s="50">
        <f t="shared" si="7"/>
        <v>664.71</v>
      </c>
      <c r="AQ22" s="51"/>
      <c r="AR22" s="52">
        <f t="shared" si="8"/>
        <v>664.71</v>
      </c>
      <c r="AS22" s="53">
        <f t="shared" si="9"/>
        <v>12988</v>
      </c>
      <c r="AT22" s="54">
        <f t="shared" si="10"/>
        <v>8633253</v>
      </c>
      <c r="AV22" s="55"/>
    </row>
    <row r="23" spans="1:48" ht="27.6" x14ac:dyDescent="0.3">
      <c r="A23" s="165" t="s">
        <v>125</v>
      </c>
      <c r="B23" s="474" t="s">
        <v>125</v>
      </c>
      <c r="C23" s="166" t="s">
        <v>126</v>
      </c>
      <c r="D23" s="167" t="s">
        <v>127</v>
      </c>
      <c r="E23" s="168" t="s">
        <v>112</v>
      </c>
      <c r="F23" s="169">
        <v>47</v>
      </c>
      <c r="G23" s="497">
        <v>10634</v>
      </c>
      <c r="H23" s="34">
        <f t="shared" si="2"/>
        <v>499798</v>
      </c>
      <c r="I23" s="35" t="e">
        <f>#REF!</f>
        <v>#REF!</v>
      </c>
      <c r="J23" s="33" t="e">
        <f>#REF!</f>
        <v>#REF!</v>
      </c>
      <c r="K23" s="33">
        <v>1</v>
      </c>
      <c r="L23" s="33" t="e">
        <f>ROUNDUP(#REF!/$K$23,0)</f>
        <v>#REF!</v>
      </c>
      <c r="M23" s="36" t="e">
        <f t="shared" si="3"/>
        <v>#REF!</v>
      </c>
      <c r="N23" s="37" t="e">
        <f t="shared" si="4"/>
        <v>#REF!</v>
      </c>
      <c r="O23" s="38">
        <f t="shared" si="5"/>
        <v>499798</v>
      </c>
      <c r="P23" s="39"/>
      <c r="Q23" s="40" t="e">
        <f>ROUND(#REF!*F23,0)</f>
        <v>#REF!</v>
      </c>
      <c r="R23" s="41" t="e">
        <f>ROUND(#REF!*F23,0)</f>
        <v>#REF!</v>
      </c>
      <c r="S23" s="41" t="e">
        <f>ROUND(#REF!*F23,0)</f>
        <v>#REF!</v>
      </c>
      <c r="T23" s="42"/>
      <c r="U23" s="43" t="e">
        <f t="shared" si="6"/>
        <v>#REF!</v>
      </c>
      <c r="V23" s="44"/>
      <c r="W23" s="27">
        <v>17</v>
      </c>
      <c r="AG23" s="45"/>
      <c r="AH23" s="46" t="str">
        <f t="shared" si="0"/>
        <v>CAP. 1: PRELIMINARES 1</v>
      </c>
      <c r="AI23" s="47">
        <f t="shared" si="1"/>
        <v>14</v>
      </c>
      <c r="AJ23" s="47"/>
      <c r="AK23" s="47"/>
      <c r="AL23" s="48"/>
      <c r="AM23" s="49"/>
      <c r="AP23" s="50">
        <f t="shared" si="7"/>
        <v>47</v>
      </c>
      <c r="AQ23" s="51"/>
      <c r="AR23" s="52">
        <f t="shared" si="8"/>
        <v>47</v>
      </c>
      <c r="AS23" s="53">
        <f t="shared" si="9"/>
        <v>10634</v>
      </c>
      <c r="AT23" s="54">
        <f t="shared" si="10"/>
        <v>499798</v>
      </c>
      <c r="AV23" s="55"/>
    </row>
    <row r="24" spans="1:48" ht="27.6" x14ac:dyDescent="0.3">
      <c r="A24" s="165" t="s">
        <v>128</v>
      </c>
      <c r="B24" s="474" t="s">
        <v>128</v>
      </c>
      <c r="C24" s="166" t="s">
        <v>129</v>
      </c>
      <c r="D24" s="167" t="s">
        <v>130</v>
      </c>
      <c r="E24" s="168" t="s">
        <v>131</v>
      </c>
      <c r="F24" s="169">
        <v>104</v>
      </c>
      <c r="G24" s="497">
        <v>43650</v>
      </c>
      <c r="H24" s="34">
        <f t="shared" si="2"/>
        <v>4539600</v>
      </c>
      <c r="I24" s="35" t="e">
        <f>#REF!</f>
        <v>#REF!</v>
      </c>
      <c r="J24" s="33" t="e">
        <f>#REF!</f>
        <v>#REF!</v>
      </c>
      <c r="K24" s="33">
        <v>1</v>
      </c>
      <c r="L24" s="33" t="e">
        <f>ROUNDUP(#REF!/$K$24,0)</f>
        <v>#REF!</v>
      </c>
      <c r="M24" s="36" t="e">
        <f t="shared" si="3"/>
        <v>#REF!</v>
      </c>
      <c r="N24" s="37" t="e">
        <f t="shared" si="4"/>
        <v>#REF!</v>
      </c>
      <c r="O24" s="38">
        <f t="shared" si="5"/>
        <v>4539600</v>
      </c>
      <c r="P24" s="39"/>
      <c r="Q24" s="40" t="e">
        <f>ROUND(#REF!*F24,0)</f>
        <v>#REF!</v>
      </c>
      <c r="R24" s="41" t="e">
        <f>ROUND(#REF!*F24,0)</f>
        <v>#REF!</v>
      </c>
      <c r="S24" s="41" t="e">
        <f>ROUND(#REF!*F24,0)</f>
        <v>#REF!</v>
      </c>
      <c r="T24" s="42"/>
      <c r="U24" s="43" t="e">
        <f t="shared" si="6"/>
        <v>#REF!</v>
      </c>
      <c r="V24" s="44"/>
      <c r="W24" s="27">
        <v>18</v>
      </c>
      <c r="AG24" s="45"/>
      <c r="AH24" s="46" t="str">
        <f t="shared" si="0"/>
        <v>CAP. 1: PRELIMINARES 1</v>
      </c>
      <c r="AI24" s="47">
        <f t="shared" si="1"/>
        <v>14</v>
      </c>
      <c r="AJ24" s="47"/>
      <c r="AK24" s="47"/>
      <c r="AL24" s="48"/>
      <c r="AM24" s="49"/>
      <c r="AP24" s="50">
        <f t="shared" si="7"/>
        <v>104</v>
      </c>
      <c r="AQ24" s="51"/>
      <c r="AR24" s="52">
        <f t="shared" si="8"/>
        <v>104</v>
      </c>
      <c r="AS24" s="53">
        <f t="shared" si="9"/>
        <v>43650</v>
      </c>
      <c r="AT24" s="54">
        <f t="shared" si="10"/>
        <v>4539600</v>
      </c>
      <c r="AV24" s="55"/>
    </row>
    <row r="25" spans="1:48" ht="27.6" x14ac:dyDescent="0.3">
      <c r="A25" s="170" t="s">
        <v>132</v>
      </c>
      <c r="B25" s="475" t="s">
        <v>132</v>
      </c>
      <c r="C25" s="171" t="s">
        <v>133</v>
      </c>
      <c r="D25" s="172" t="s">
        <v>134</v>
      </c>
      <c r="E25" s="173" t="s">
        <v>131</v>
      </c>
      <c r="F25" s="174">
        <v>104</v>
      </c>
      <c r="G25" s="497">
        <v>6480</v>
      </c>
      <c r="H25" s="34">
        <f t="shared" si="2"/>
        <v>673920</v>
      </c>
      <c r="I25" s="35" t="e">
        <f>#REF!</f>
        <v>#REF!</v>
      </c>
      <c r="J25" s="33" t="e">
        <f>#REF!</f>
        <v>#REF!</v>
      </c>
      <c r="K25" s="33">
        <v>1</v>
      </c>
      <c r="L25" s="33"/>
      <c r="M25" s="36" t="e">
        <f t="shared" si="3"/>
        <v>#REF!</v>
      </c>
      <c r="N25" s="37" t="e">
        <f t="shared" si="4"/>
        <v>#REF!</v>
      </c>
      <c r="O25" s="38">
        <f t="shared" si="5"/>
        <v>673920</v>
      </c>
      <c r="P25" s="39"/>
      <c r="Q25" s="40"/>
      <c r="R25" s="41"/>
      <c r="S25" s="41"/>
      <c r="T25" s="42" t="e">
        <f>ROUND(#REF!*F25,0)</f>
        <v>#REF!</v>
      </c>
      <c r="U25" s="43" t="e">
        <f t="shared" si="6"/>
        <v>#REF!</v>
      </c>
      <c r="V25" s="44"/>
      <c r="W25" s="27">
        <v>19</v>
      </c>
      <c r="AG25" s="45"/>
      <c r="AH25" s="46" t="str">
        <f t="shared" si="0"/>
        <v>CAP. 1: PRELIMINARES 1</v>
      </c>
      <c r="AI25" s="47">
        <f t="shared" si="1"/>
        <v>14</v>
      </c>
      <c r="AJ25" s="47"/>
      <c r="AK25" s="47"/>
      <c r="AL25" s="48"/>
      <c r="AM25" s="49"/>
      <c r="AP25" s="50">
        <f t="shared" si="7"/>
        <v>104</v>
      </c>
      <c r="AQ25" s="51"/>
      <c r="AR25" s="52">
        <f t="shared" si="8"/>
        <v>104</v>
      </c>
      <c r="AS25" s="53">
        <f t="shared" si="9"/>
        <v>6480</v>
      </c>
      <c r="AT25" s="54">
        <f t="shared" si="10"/>
        <v>673920</v>
      </c>
      <c r="AV25" s="55"/>
    </row>
    <row r="26" spans="1:48" x14ac:dyDescent="0.3">
      <c r="A26" s="475"/>
      <c r="B26" s="28" t="s">
        <v>771</v>
      </c>
      <c r="C26" s="504" t="s">
        <v>795</v>
      </c>
      <c r="D26" s="30" t="s">
        <v>796</v>
      </c>
      <c r="E26" s="458" t="s">
        <v>711</v>
      </c>
      <c r="F26" s="459">
        <v>8</v>
      </c>
      <c r="G26" s="497">
        <v>439246</v>
      </c>
      <c r="H26" s="34">
        <f t="shared" si="2"/>
        <v>3513968</v>
      </c>
      <c r="I26" s="35"/>
      <c r="J26" s="33"/>
      <c r="K26" s="33"/>
      <c r="L26" s="33"/>
      <c r="M26" s="36"/>
      <c r="N26" s="37"/>
      <c r="O26" s="38"/>
      <c r="P26" s="39"/>
      <c r="Q26" s="40"/>
      <c r="R26" s="505"/>
      <c r="S26" s="505"/>
      <c r="T26" s="506"/>
      <c r="U26" s="507"/>
      <c r="V26" s="44"/>
      <c r="W26" s="27"/>
      <c r="AG26" s="45"/>
      <c r="AH26" s="46"/>
      <c r="AI26" s="47"/>
      <c r="AJ26" s="47"/>
      <c r="AK26" s="47"/>
      <c r="AL26" s="48"/>
      <c r="AM26" s="49"/>
      <c r="AP26" s="50">
        <f t="shared" si="7"/>
        <v>8</v>
      </c>
      <c r="AQ26" s="508"/>
      <c r="AR26" s="52">
        <f t="shared" si="8"/>
        <v>8</v>
      </c>
      <c r="AS26" s="53">
        <f t="shared" si="9"/>
        <v>439246</v>
      </c>
      <c r="AT26" s="509">
        <f t="shared" si="10"/>
        <v>3513968</v>
      </c>
      <c r="AV26" s="55"/>
    </row>
    <row r="27" spans="1:48" x14ac:dyDescent="0.3">
      <c r="A27" s="175"/>
      <c r="B27" s="175"/>
      <c r="C27" s="176"/>
      <c r="D27" s="177"/>
      <c r="E27" s="178"/>
      <c r="F27" s="179"/>
      <c r="G27" s="503"/>
      <c r="H27" s="181"/>
      <c r="I27" s="182"/>
      <c r="J27" s="180"/>
      <c r="K27" s="180"/>
      <c r="L27" s="180"/>
      <c r="M27" s="183"/>
      <c r="N27" s="184"/>
      <c r="O27" s="185"/>
      <c r="P27" s="39"/>
      <c r="Q27" s="40"/>
      <c r="R27" s="41"/>
      <c r="S27" s="41"/>
      <c r="T27" s="42"/>
      <c r="U27" s="43"/>
      <c r="V27" s="44"/>
      <c r="W27" s="27"/>
      <c r="AG27" s="45"/>
      <c r="AH27" s="46" t="str">
        <f t="shared" si="0"/>
        <v>CAP. 1: PRELIMINARES 1</v>
      </c>
      <c r="AI27" s="47">
        <f t="shared" si="1"/>
        <v>14</v>
      </c>
      <c r="AJ27" s="47"/>
      <c r="AK27" s="47"/>
      <c r="AL27" s="48"/>
      <c r="AM27" s="49"/>
      <c r="AP27" s="50"/>
      <c r="AQ27" s="51"/>
      <c r="AR27" s="52"/>
      <c r="AS27" s="158"/>
      <c r="AT27" s="159"/>
      <c r="AV27" s="55"/>
    </row>
    <row r="28" spans="1:48" ht="15" thickBot="1" x14ac:dyDescent="0.35">
      <c r="A28" s="186" t="s">
        <v>135</v>
      </c>
      <c r="B28" s="186" t="s">
        <v>135</v>
      </c>
      <c r="C28" s="187"/>
      <c r="D28" s="188"/>
      <c r="E28" s="189"/>
      <c r="F28" s="190"/>
      <c r="G28" s="499" t="s">
        <v>735</v>
      </c>
      <c r="H28" s="192">
        <f>SUM(H15:H27)</f>
        <v>72688979</v>
      </c>
      <c r="I28" s="182"/>
      <c r="J28" s="180"/>
      <c r="K28" s="180"/>
      <c r="L28" s="180"/>
      <c r="M28" s="183"/>
      <c r="N28" s="184"/>
      <c r="O28" s="193">
        <f>SUM(O15:O27)</f>
        <v>69175011</v>
      </c>
      <c r="P28" s="39"/>
      <c r="Q28" s="194" t="e">
        <f>SUM(Q14:Q27)</f>
        <v>#REF!</v>
      </c>
      <c r="R28" s="195" t="e">
        <f>SUM(R14:R27)</f>
        <v>#REF!</v>
      </c>
      <c r="S28" s="195" t="e">
        <f>SUM(S14:S27)</f>
        <v>#REF!</v>
      </c>
      <c r="T28" s="196" t="e">
        <f>SUM(T14:T27)</f>
        <v>#REF!</v>
      </c>
      <c r="U28" s="197" t="e">
        <f>SUM(U14:U27)</f>
        <v>#REF!</v>
      </c>
      <c r="V28" s="44"/>
      <c r="W28" s="27"/>
      <c r="AG28" s="45"/>
      <c r="AH28" s="46" t="str">
        <f t="shared" si="0"/>
        <v>CAP. 1: PRELIMINARES 1</v>
      </c>
      <c r="AI28" s="47">
        <f t="shared" si="1"/>
        <v>14</v>
      </c>
      <c r="AJ28" s="47"/>
      <c r="AK28" s="47"/>
      <c r="AL28" s="48"/>
      <c r="AM28" s="49"/>
      <c r="AP28" s="198"/>
      <c r="AQ28" s="199"/>
      <c r="AR28" s="199"/>
      <c r="AS28" s="199"/>
      <c r="AT28" s="200">
        <f>SUM(AT15:AT27)</f>
        <v>72688979</v>
      </c>
      <c r="AV28" s="55"/>
    </row>
    <row r="29" spans="1:48" ht="22.95" customHeight="1" thickBot="1" x14ac:dyDescent="0.35">
      <c r="A29" s="78"/>
      <c r="B29" s="78"/>
      <c r="C29" s="78"/>
      <c r="D29" s="128"/>
      <c r="E29" s="129"/>
      <c r="F29" s="130"/>
      <c r="G29" s="500"/>
      <c r="H29" s="201"/>
      <c r="W29" s="27"/>
      <c r="AG29" s="45"/>
      <c r="AH29" s="46"/>
      <c r="AI29" s="47"/>
      <c r="AJ29" s="47"/>
      <c r="AK29" s="47"/>
      <c r="AL29" s="48"/>
      <c r="AM29" s="49"/>
      <c r="AV29" s="55"/>
    </row>
    <row r="30" spans="1:48" ht="15.6" x14ac:dyDescent="0.3">
      <c r="A30" s="133" t="s">
        <v>97</v>
      </c>
      <c r="B30" s="133" t="s">
        <v>97</v>
      </c>
      <c r="C30" s="202" t="s">
        <v>136</v>
      </c>
      <c r="D30" s="203" t="s">
        <v>137</v>
      </c>
      <c r="E30" s="136"/>
      <c r="F30" s="136"/>
      <c r="G30" s="501"/>
      <c r="H30" s="137">
        <f>SUM(H31:H44)</f>
        <v>574491944</v>
      </c>
      <c r="I30" s="27"/>
      <c r="J30" s="27"/>
      <c r="K30" s="27"/>
      <c r="L30" s="27"/>
      <c r="M30" s="27"/>
      <c r="N30" s="27"/>
      <c r="O30" s="138">
        <f>SUM(O31:O44)</f>
        <v>574491944</v>
      </c>
      <c r="P30" s="44"/>
      <c r="Q30" s="139"/>
      <c r="R30" s="140"/>
      <c r="S30" s="140"/>
      <c r="T30" s="141"/>
      <c r="U30" s="142"/>
      <c r="V30" s="44">
        <f>IF(H30&lt;&gt;"",O30-H30*$O$2,0)</f>
        <v>0</v>
      </c>
      <c r="W30" s="143" t="s">
        <v>100</v>
      </c>
      <c r="AG30" s="45"/>
      <c r="AH30" s="46" t="str">
        <f t="shared" ref="AH30:AH45" si="11">"CAP. " &amp; $C$30 &amp; ": " &amp; $D$30</f>
        <v>CAP. 2: ESTRUCTURA CONCRETO</v>
      </c>
      <c r="AI30" s="47">
        <f t="shared" ref="AI30:AI45" si="12">ROW($C$30)</f>
        <v>30</v>
      </c>
      <c r="AJ30" s="47"/>
      <c r="AK30" s="47"/>
      <c r="AL30" s="48"/>
      <c r="AM30" s="49"/>
      <c r="AP30" s="144"/>
      <c r="AQ30" s="145"/>
      <c r="AR30" s="145"/>
      <c r="AS30" s="145"/>
      <c r="AT30" s="146">
        <f>SUM(AT31:AT44)</f>
        <v>574491944</v>
      </c>
      <c r="AV30" s="55"/>
    </row>
    <row r="31" spans="1:48" hidden="1" x14ac:dyDescent="0.3">
      <c r="A31" s="147" t="s">
        <v>101</v>
      </c>
      <c r="B31" s="147" t="s">
        <v>101</v>
      </c>
      <c r="C31" s="204"/>
      <c r="D31" s="149"/>
      <c r="E31" s="150"/>
      <c r="F31" s="151"/>
      <c r="G31" s="496"/>
      <c r="H31" s="153"/>
      <c r="I31" s="154"/>
      <c r="J31" s="152"/>
      <c r="K31" s="152"/>
      <c r="L31" s="152"/>
      <c r="M31" s="155"/>
      <c r="N31" s="156"/>
      <c r="O31" s="157"/>
      <c r="P31" s="39"/>
      <c r="Q31" s="40"/>
      <c r="R31" s="41"/>
      <c r="S31" s="41"/>
      <c r="T31" s="42"/>
      <c r="U31" s="43"/>
      <c r="V31" s="44"/>
      <c r="W31" s="27"/>
      <c r="AG31" s="45"/>
      <c r="AH31" s="46" t="str">
        <f t="shared" si="11"/>
        <v>CAP. 2: ESTRUCTURA CONCRETO</v>
      </c>
      <c r="AI31" s="47">
        <f t="shared" si="12"/>
        <v>30</v>
      </c>
      <c r="AJ31" s="47"/>
      <c r="AK31" s="47"/>
      <c r="AL31" s="48"/>
      <c r="AM31" s="49"/>
      <c r="AP31" s="50"/>
      <c r="AQ31" s="51"/>
      <c r="AR31" s="52"/>
      <c r="AS31" s="158"/>
      <c r="AT31" s="159"/>
      <c r="AV31" s="55"/>
    </row>
    <row r="32" spans="1:48" ht="27.6" x14ac:dyDescent="0.3">
      <c r="A32" s="160" t="s">
        <v>138</v>
      </c>
      <c r="B32" s="473" t="s">
        <v>138</v>
      </c>
      <c r="C32" s="205" t="s">
        <v>139</v>
      </c>
      <c r="D32" s="162" t="s">
        <v>140</v>
      </c>
      <c r="E32" s="163" t="s">
        <v>112</v>
      </c>
      <c r="F32" s="164">
        <v>84.96</v>
      </c>
      <c r="G32" s="497">
        <v>49270</v>
      </c>
      <c r="H32" s="34">
        <f t="shared" ref="H32:H43" si="13">ROUND(F32 * G32,$K$2)</f>
        <v>4185979</v>
      </c>
      <c r="I32" s="35" t="e">
        <f>#REF!</f>
        <v>#REF!</v>
      </c>
      <c r="J32" s="33" t="e">
        <f>#REF!</f>
        <v>#REF!</v>
      </c>
      <c r="K32" s="33">
        <v>1</v>
      </c>
      <c r="L32" s="33" t="e">
        <f>ROUNDUP(#REF!/$K$32,0)</f>
        <v>#REF!</v>
      </c>
      <c r="M32" s="36" t="e">
        <f t="shared" ref="M32:M43" si="14">ROUND(J32 * F32,$K$2)</f>
        <v>#REF!</v>
      </c>
      <c r="N32" s="37" t="e">
        <f t="shared" ref="N32:N43" si="15">ROUND(I32 * F32,$K$2)</f>
        <v>#REF!</v>
      </c>
      <c r="O32" s="38">
        <f t="shared" ref="O32:O43" si="16">H32*$O$2</f>
        <v>4185979</v>
      </c>
      <c r="P32" s="39"/>
      <c r="Q32" s="40" t="e">
        <f>ROUND(#REF!*F32,0)</f>
        <v>#REF!</v>
      </c>
      <c r="R32" s="41" t="e">
        <f>ROUND(#REF!*F32,0) + 21</f>
        <v>#REF!</v>
      </c>
      <c r="S32" s="41" t="e">
        <f>ROUND(#REF!*F32,0)</f>
        <v>#REF!</v>
      </c>
      <c r="T32" s="42" t="e">
        <f>ROUND(#REF!*F32,0)</f>
        <v>#REF!</v>
      </c>
      <c r="U32" s="43" t="e">
        <f t="shared" ref="U32:U43" si="17">Q32+R32+S32+T32</f>
        <v>#REF!</v>
      </c>
      <c r="V32" s="44"/>
      <c r="W32" s="27">
        <v>21</v>
      </c>
      <c r="AG32" s="45"/>
      <c r="AH32" s="46" t="str">
        <f t="shared" si="11"/>
        <v>CAP. 2: ESTRUCTURA CONCRETO</v>
      </c>
      <c r="AI32" s="47">
        <f t="shared" si="12"/>
        <v>30</v>
      </c>
      <c r="AJ32" s="47"/>
      <c r="AK32" s="47"/>
      <c r="AL32" s="48"/>
      <c r="AM32" s="49"/>
      <c r="AP32" s="50">
        <f t="shared" ref="AP32:AP43" si="18">F32</f>
        <v>84.96</v>
      </c>
      <c r="AQ32" s="51"/>
      <c r="AR32" s="52">
        <f t="shared" ref="AR32:AR43" si="19">AP32+AQ32</f>
        <v>84.96</v>
      </c>
      <c r="AS32" s="53">
        <f t="shared" ref="AS32:AS43" si="20">G32</f>
        <v>49270</v>
      </c>
      <c r="AT32" s="54">
        <f t="shared" ref="AT32:AT43" si="21">ROUND(AR32 * AS32,$K$2)</f>
        <v>4185979</v>
      </c>
      <c r="AV32" s="55"/>
    </row>
    <row r="33" spans="1:48" ht="27.6" x14ac:dyDescent="0.3">
      <c r="A33" s="165" t="s">
        <v>141</v>
      </c>
      <c r="B33" s="474" t="s">
        <v>141</v>
      </c>
      <c r="C33" s="206" t="s">
        <v>142</v>
      </c>
      <c r="D33" s="167" t="s">
        <v>143</v>
      </c>
      <c r="E33" s="168" t="s">
        <v>131</v>
      </c>
      <c r="F33" s="169">
        <v>27</v>
      </c>
      <c r="G33" s="497">
        <v>848510</v>
      </c>
      <c r="H33" s="34">
        <f t="shared" si="13"/>
        <v>22909770</v>
      </c>
      <c r="I33" s="35" t="e">
        <f>#REF!</f>
        <v>#REF!</v>
      </c>
      <c r="J33" s="33" t="e">
        <f>#REF!</f>
        <v>#REF!</v>
      </c>
      <c r="K33" s="33">
        <v>1</v>
      </c>
      <c r="L33" s="33" t="e">
        <f>ROUNDUP(#REF!/$K$33,0)</f>
        <v>#REF!</v>
      </c>
      <c r="M33" s="36" t="e">
        <f t="shared" si="14"/>
        <v>#REF!</v>
      </c>
      <c r="N33" s="37" t="e">
        <f t="shared" si="15"/>
        <v>#REF!</v>
      </c>
      <c r="O33" s="38">
        <f t="shared" si="16"/>
        <v>22909770</v>
      </c>
      <c r="P33" s="39"/>
      <c r="Q33" s="40" t="e">
        <f>ROUND(#REF!*F33,0)</f>
        <v>#REF!</v>
      </c>
      <c r="R33" s="41" t="e">
        <f>ROUND(#REF!*F33,0) + 11</f>
        <v>#REF!</v>
      </c>
      <c r="S33" s="41" t="e">
        <f>ROUND(#REF!*F33,0)</f>
        <v>#REF!</v>
      </c>
      <c r="T33" s="42" t="e">
        <f>ROUND(#REF!*F33,0)</f>
        <v>#REF!</v>
      </c>
      <c r="U33" s="43" t="e">
        <f t="shared" si="17"/>
        <v>#REF!</v>
      </c>
      <c r="V33" s="44"/>
      <c r="W33" s="27">
        <v>22</v>
      </c>
      <c r="AG33" s="45"/>
      <c r="AH33" s="46" t="str">
        <f t="shared" si="11"/>
        <v>CAP. 2: ESTRUCTURA CONCRETO</v>
      </c>
      <c r="AI33" s="47">
        <f t="shared" si="12"/>
        <v>30</v>
      </c>
      <c r="AJ33" s="47"/>
      <c r="AK33" s="47"/>
      <c r="AL33" s="48"/>
      <c r="AM33" s="49"/>
      <c r="AP33" s="50">
        <f t="shared" si="18"/>
        <v>27</v>
      </c>
      <c r="AQ33" s="51"/>
      <c r="AR33" s="52">
        <f t="shared" si="19"/>
        <v>27</v>
      </c>
      <c r="AS33" s="53">
        <f t="shared" si="20"/>
        <v>848510</v>
      </c>
      <c r="AT33" s="54">
        <f t="shared" si="21"/>
        <v>22909770</v>
      </c>
      <c r="AV33" s="55"/>
    </row>
    <row r="34" spans="1:48" x14ac:dyDescent="0.3">
      <c r="A34" s="165" t="s">
        <v>144</v>
      </c>
      <c r="B34" s="474" t="s">
        <v>144</v>
      </c>
      <c r="C34" s="206" t="s">
        <v>145</v>
      </c>
      <c r="D34" s="167" t="s">
        <v>146</v>
      </c>
      <c r="E34" s="168" t="s">
        <v>131</v>
      </c>
      <c r="F34" s="169">
        <v>25.49</v>
      </c>
      <c r="G34" s="497">
        <v>1306108</v>
      </c>
      <c r="H34" s="34">
        <f t="shared" si="13"/>
        <v>33292693</v>
      </c>
      <c r="I34" s="35" t="e">
        <f>#REF!</f>
        <v>#REF!</v>
      </c>
      <c r="J34" s="33" t="e">
        <f>#REF!</f>
        <v>#REF!</v>
      </c>
      <c r="K34" s="33">
        <v>1</v>
      </c>
      <c r="L34" s="33" t="e">
        <f>ROUNDUP(#REF!/$K$34,0)</f>
        <v>#REF!</v>
      </c>
      <c r="M34" s="36" t="e">
        <f t="shared" si="14"/>
        <v>#REF!</v>
      </c>
      <c r="N34" s="37" t="e">
        <f t="shared" si="15"/>
        <v>#REF!</v>
      </c>
      <c r="O34" s="38">
        <f t="shared" si="16"/>
        <v>33292693</v>
      </c>
      <c r="P34" s="39"/>
      <c r="Q34" s="40" t="e">
        <f>ROUND(#REF!*F34,0)</f>
        <v>#REF!</v>
      </c>
      <c r="R34" s="41" t="e">
        <f>ROUND(#REF!*F34,0) + 4</f>
        <v>#REF!</v>
      </c>
      <c r="S34" s="41" t="e">
        <f>ROUND(#REF!*F34,0)</f>
        <v>#REF!</v>
      </c>
      <c r="T34" s="42" t="e">
        <f>ROUND(#REF!*F34,0)</f>
        <v>#REF!</v>
      </c>
      <c r="U34" s="43" t="e">
        <f t="shared" si="17"/>
        <v>#REF!</v>
      </c>
      <c r="V34" s="44"/>
      <c r="W34" s="27">
        <v>23</v>
      </c>
      <c r="AG34" s="45"/>
      <c r="AH34" s="46" t="str">
        <f t="shared" si="11"/>
        <v>CAP. 2: ESTRUCTURA CONCRETO</v>
      </c>
      <c r="AI34" s="47">
        <f t="shared" si="12"/>
        <v>30</v>
      </c>
      <c r="AJ34" s="47"/>
      <c r="AK34" s="47"/>
      <c r="AL34" s="48"/>
      <c r="AM34" s="49"/>
      <c r="AP34" s="50">
        <f t="shared" si="18"/>
        <v>25.49</v>
      </c>
      <c r="AQ34" s="51"/>
      <c r="AR34" s="52">
        <f t="shared" si="19"/>
        <v>25.49</v>
      </c>
      <c r="AS34" s="53">
        <f t="shared" si="20"/>
        <v>1306108</v>
      </c>
      <c r="AT34" s="54">
        <f t="shared" si="21"/>
        <v>33292693</v>
      </c>
      <c r="AV34" s="55"/>
    </row>
    <row r="35" spans="1:48" x14ac:dyDescent="0.3">
      <c r="A35" s="165" t="s">
        <v>147</v>
      </c>
      <c r="B35" s="474" t="s">
        <v>147</v>
      </c>
      <c r="C35" s="206" t="s">
        <v>148</v>
      </c>
      <c r="D35" s="167" t="s">
        <v>149</v>
      </c>
      <c r="E35" s="168" t="s">
        <v>131</v>
      </c>
      <c r="F35" s="169">
        <v>19.55</v>
      </c>
      <c r="G35" s="497">
        <v>2345925</v>
      </c>
      <c r="H35" s="34">
        <f t="shared" si="13"/>
        <v>45862834</v>
      </c>
      <c r="I35" s="35" t="e">
        <f>#REF!</f>
        <v>#REF!</v>
      </c>
      <c r="J35" s="33" t="e">
        <f>#REF!</f>
        <v>#REF!</v>
      </c>
      <c r="K35" s="33">
        <v>1</v>
      </c>
      <c r="L35" s="33" t="e">
        <f>ROUNDUP(#REF!/$K$35,0)</f>
        <v>#REF!</v>
      </c>
      <c r="M35" s="36" t="e">
        <f t="shared" si="14"/>
        <v>#REF!</v>
      </c>
      <c r="N35" s="37" t="e">
        <f t="shared" si="15"/>
        <v>#REF!</v>
      </c>
      <c r="O35" s="38">
        <f t="shared" si="16"/>
        <v>45862834</v>
      </c>
      <c r="P35" s="39"/>
      <c r="Q35" s="40" t="e">
        <f>ROUND(#REF!*F35,0)</f>
        <v>#REF!</v>
      </c>
      <c r="R35" s="41" t="e">
        <f>ROUND(#REF!*F35,0) + 5</f>
        <v>#REF!</v>
      </c>
      <c r="S35" s="41" t="e">
        <f>ROUND(#REF!*F35,0)</f>
        <v>#REF!</v>
      </c>
      <c r="T35" s="42" t="e">
        <f>ROUND(#REF!*F35,0)</f>
        <v>#REF!</v>
      </c>
      <c r="U35" s="43" t="e">
        <f t="shared" si="17"/>
        <v>#REF!</v>
      </c>
      <c r="V35" s="44"/>
      <c r="W35" s="27">
        <v>24</v>
      </c>
      <c r="AG35" s="45"/>
      <c r="AH35" s="46" t="str">
        <f t="shared" si="11"/>
        <v>CAP. 2: ESTRUCTURA CONCRETO</v>
      </c>
      <c r="AI35" s="47">
        <f t="shared" si="12"/>
        <v>30</v>
      </c>
      <c r="AJ35" s="47"/>
      <c r="AK35" s="47"/>
      <c r="AL35" s="48"/>
      <c r="AM35" s="49"/>
      <c r="AP35" s="50">
        <f t="shared" si="18"/>
        <v>19.55</v>
      </c>
      <c r="AQ35" s="51"/>
      <c r="AR35" s="52">
        <f t="shared" si="19"/>
        <v>19.55</v>
      </c>
      <c r="AS35" s="53">
        <f t="shared" si="20"/>
        <v>2345925</v>
      </c>
      <c r="AT35" s="54">
        <f t="shared" si="21"/>
        <v>45862834</v>
      </c>
      <c r="AV35" s="55"/>
    </row>
    <row r="36" spans="1:48" x14ac:dyDescent="0.3">
      <c r="A36" s="165" t="s">
        <v>150</v>
      </c>
      <c r="B36" s="474" t="s">
        <v>150</v>
      </c>
      <c r="C36" s="206" t="s">
        <v>151</v>
      </c>
      <c r="D36" s="167" t="s">
        <v>152</v>
      </c>
      <c r="E36" s="168" t="s">
        <v>131</v>
      </c>
      <c r="F36" s="169">
        <v>42.48</v>
      </c>
      <c r="G36" s="497">
        <v>1867907</v>
      </c>
      <c r="H36" s="34">
        <f t="shared" si="13"/>
        <v>79348689</v>
      </c>
      <c r="I36" s="35" t="e">
        <f>#REF!</f>
        <v>#REF!</v>
      </c>
      <c r="J36" s="33" t="e">
        <f>#REF!</f>
        <v>#REF!</v>
      </c>
      <c r="K36" s="33">
        <v>1</v>
      </c>
      <c r="L36" s="33" t="e">
        <f>ROUNDUP(#REF!/$K$36,0)</f>
        <v>#REF!</v>
      </c>
      <c r="M36" s="36" t="e">
        <f t="shared" si="14"/>
        <v>#REF!</v>
      </c>
      <c r="N36" s="37" t="e">
        <f t="shared" si="15"/>
        <v>#REF!</v>
      </c>
      <c r="O36" s="38">
        <f t="shared" si="16"/>
        <v>79348689</v>
      </c>
      <c r="P36" s="39"/>
      <c r="Q36" s="40" t="e">
        <f>ROUND(#REF!*F36,0)</f>
        <v>#REF!</v>
      </c>
      <c r="R36" s="41" t="e">
        <f>ROUND(#REF!*F36,0)</f>
        <v>#REF!</v>
      </c>
      <c r="S36" s="41" t="e">
        <f>ROUND(#REF!*F36,0)</f>
        <v>#REF!</v>
      </c>
      <c r="T36" s="42" t="e">
        <f>ROUND(#REF!*F36,0)</f>
        <v>#REF!</v>
      </c>
      <c r="U36" s="43" t="e">
        <f t="shared" si="17"/>
        <v>#REF!</v>
      </c>
      <c r="V36" s="44"/>
      <c r="W36" s="27">
        <v>25</v>
      </c>
      <c r="AG36" s="45"/>
      <c r="AH36" s="46" t="str">
        <f t="shared" si="11"/>
        <v>CAP. 2: ESTRUCTURA CONCRETO</v>
      </c>
      <c r="AI36" s="47">
        <f t="shared" si="12"/>
        <v>30</v>
      </c>
      <c r="AJ36" s="47"/>
      <c r="AK36" s="47"/>
      <c r="AL36" s="48"/>
      <c r="AM36" s="49"/>
      <c r="AP36" s="50">
        <f t="shared" si="18"/>
        <v>42.48</v>
      </c>
      <c r="AQ36" s="51"/>
      <c r="AR36" s="52">
        <f t="shared" si="19"/>
        <v>42.48</v>
      </c>
      <c r="AS36" s="53">
        <f t="shared" si="20"/>
        <v>1867907</v>
      </c>
      <c r="AT36" s="54">
        <f t="shared" si="21"/>
        <v>79348689</v>
      </c>
      <c r="AV36" s="55"/>
    </row>
    <row r="37" spans="1:48" ht="27.6" x14ac:dyDescent="0.3">
      <c r="A37" s="165" t="s">
        <v>153</v>
      </c>
      <c r="B37" s="474" t="s">
        <v>153</v>
      </c>
      <c r="C37" s="206" t="s">
        <v>154</v>
      </c>
      <c r="D37" s="167" t="s">
        <v>155</v>
      </c>
      <c r="E37" s="168" t="s">
        <v>156</v>
      </c>
      <c r="F37" s="169">
        <v>15915.22</v>
      </c>
      <c r="G37" s="497">
        <v>8162</v>
      </c>
      <c r="H37" s="34">
        <f t="shared" si="13"/>
        <v>129900026</v>
      </c>
      <c r="I37" s="35" t="e">
        <f>#REF!</f>
        <v>#REF!</v>
      </c>
      <c r="J37" s="33" t="e">
        <f>#REF!</f>
        <v>#REF!</v>
      </c>
      <c r="K37" s="33">
        <v>1</v>
      </c>
      <c r="L37" s="33" t="e">
        <f>ROUNDUP(#REF!/$K$37,0)</f>
        <v>#REF!</v>
      </c>
      <c r="M37" s="36" t="e">
        <f t="shared" si="14"/>
        <v>#REF!</v>
      </c>
      <c r="N37" s="37" t="e">
        <f t="shared" si="15"/>
        <v>#REF!</v>
      </c>
      <c r="O37" s="38">
        <f t="shared" si="16"/>
        <v>129900026</v>
      </c>
      <c r="P37" s="39"/>
      <c r="Q37" s="40" t="e">
        <f>ROUND(#REF!*F37,0)</f>
        <v>#REF!</v>
      </c>
      <c r="R37" s="41" t="e">
        <f>ROUND(#REF!*F37,0)</f>
        <v>#REF!</v>
      </c>
      <c r="S37" s="41" t="e">
        <f>ROUND(#REF!*F37,0)</f>
        <v>#REF!</v>
      </c>
      <c r="T37" s="42" t="e">
        <f>ROUND(#REF!*F37,0)</f>
        <v>#REF!</v>
      </c>
      <c r="U37" s="43" t="e">
        <f t="shared" si="17"/>
        <v>#REF!</v>
      </c>
      <c r="V37" s="44"/>
      <c r="W37" s="27">
        <v>26</v>
      </c>
      <c r="AG37" s="45"/>
      <c r="AH37" s="46" t="str">
        <f t="shared" si="11"/>
        <v>CAP. 2: ESTRUCTURA CONCRETO</v>
      </c>
      <c r="AI37" s="47">
        <f t="shared" si="12"/>
        <v>30</v>
      </c>
      <c r="AJ37" s="47"/>
      <c r="AK37" s="47"/>
      <c r="AL37" s="48"/>
      <c r="AM37" s="49"/>
      <c r="AP37" s="50">
        <f t="shared" si="18"/>
        <v>15915.22</v>
      </c>
      <c r="AQ37" s="51"/>
      <c r="AR37" s="52">
        <f t="shared" si="19"/>
        <v>15915.22</v>
      </c>
      <c r="AS37" s="53">
        <f t="shared" si="20"/>
        <v>8162</v>
      </c>
      <c r="AT37" s="54">
        <f t="shared" si="21"/>
        <v>129900026</v>
      </c>
      <c r="AV37" s="55"/>
    </row>
    <row r="38" spans="1:48" ht="28.8" x14ac:dyDescent="0.3">
      <c r="A38" s="165" t="s">
        <v>157</v>
      </c>
      <c r="B38" s="474" t="s">
        <v>157</v>
      </c>
      <c r="C38" s="206" t="s">
        <v>158</v>
      </c>
      <c r="D38" s="167" t="s">
        <v>159</v>
      </c>
      <c r="E38" s="168" t="s">
        <v>160</v>
      </c>
      <c r="F38" s="169">
        <v>2688</v>
      </c>
      <c r="G38" s="497">
        <v>34817</v>
      </c>
      <c r="H38" s="34">
        <f t="shared" si="13"/>
        <v>93588096</v>
      </c>
      <c r="I38" s="35" t="e">
        <f>#REF!</f>
        <v>#REF!</v>
      </c>
      <c r="J38" s="33" t="e">
        <f>#REF!</f>
        <v>#REF!</v>
      </c>
      <c r="K38" s="33">
        <v>1</v>
      </c>
      <c r="L38" s="33" t="e">
        <f>ROUNDUP(#REF!/$K$38,0)</f>
        <v>#REF!</v>
      </c>
      <c r="M38" s="36" t="e">
        <f t="shared" si="14"/>
        <v>#REF!</v>
      </c>
      <c r="N38" s="37" t="e">
        <f t="shared" si="15"/>
        <v>#REF!</v>
      </c>
      <c r="O38" s="38">
        <f t="shared" si="16"/>
        <v>93588096</v>
      </c>
      <c r="P38" s="39"/>
      <c r="Q38" s="40" t="e">
        <f>ROUND(#REF!*F38,0)</f>
        <v>#REF!</v>
      </c>
      <c r="R38" s="41" t="e">
        <f>ROUND(#REF!*F38,0) + 913</f>
        <v>#REF!</v>
      </c>
      <c r="S38" s="41" t="e">
        <f>ROUND(#REF!*F38,0)</f>
        <v>#REF!</v>
      </c>
      <c r="T38" s="42" t="e">
        <f>ROUND(#REF!*F38,0)</f>
        <v>#REF!</v>
      </c>
      <c r="U38" s="43" t="e">
        <f t="shared" si="17"/>
        <v>#REF!</v>
      </c>
      <c r="V38" s="44"/>
      <c r="W38" s="27">
        <v>27</v>
      </c>
      <c r="AG38" s="45"/>
      <c r="AH38" s="46" t="str">
        <f t="shared" si="11"/>
        <v>CAP. 2: ESTRUCTURA CONCRETO</v>
      </c>
      <c r="AI38" s="47">
        <f t="shared" si="12"/>
        <v>30</v>
      </c>
      <c r="AJ38" s="47"/>
      <c r="AK38" s="47"/>
      <c r="AL38" s="48"/>
      <c r="AM38" s="49"/>
      <c r="AP38" s="50">
        <f t="shared" si="18"/>
        <v>2688</v>
      </c>
      <c r="AQ38" s="51"/>
      <c r="AR38" s="52">
        <f t="shared" si="19"/>
        <v>2688</v>
      </c>
      <c r="AS38" s="53">
        <f t="shared" si="20"/>
        <v>34817</v>
      </c>
      <c r="AT38" s="54">
        <f t="shared" si="21"/>
        <v>93588096</v>
      </c>
      <c r="AV38" s="55"/>
    </row>
    <row r="39" spans="1:48" ht="28.8" x14ac:dyDescent="0.3">
      <c r="A39" s="165" t="s">
        <v>161</v>
      </c>
      <c r="B39" s="474" t="s">
        <v>161</v>
      </c>
      <c r="C39" s="206" t="s">
        <v>162</v>
      </c>
      <c r="D39" s="167" t="s">
        <v>163</v>
      </c>
      <c r="E39" s="168" t="s">
        <v>160</v>
      </c>
      <c r="F39" s="169">
        <v>978</v>
      </c>
      <c r="G39" s="497">
        <v>48978</v>
      </c>
      <c r="H39" s="34">
        <f t="shared" si="13"/>
        <v>47900484</v>
      </c>
      <c r="I39" s="35" t="e">
        <f>#REF!</f>
        <v>#REF!</v>
      </c>
      <c r="J39" s="33" t="e">
        <f>#REF!</f>
        <v>#REF!</v>
      </c>
      <c r="K39" s="33">
        <v>1</v>
      </c>
      <c r="L39" s="33" t="e">
        <f>ROUNDUP(#REF!/$K$39,0)</f>
        <v>#REF!</v>
      </c>
      <c r="M39" s="36" t="e">
        <f t="shared" si="14"/>
        <v>#REF!</v>
      </c>
      <c r="N39" s="37" t="e">
        <f t="shared" si="15"/>
        <v>#REF!</v>
      </c>
      <c r="O39" s="38">
        <f t="shared" si="16"/>
        <v>47900484</v>
      </c>
      <c r="P39" s="39"/>
      <c r="Q39" s="40" t="e">
        <f>ROUND(#REF!*F39,0)</f>
        <v>#REF!</v>
      </c>
      <c r="R39" s="41" t="e">
        <f>ROUND(#REF!*F39,0)</f>
        <v>#REF!</v>
      </c>
      <c r="S39" s="41" t="e">
        <f>ROUND(#REF!*F39,0)</f>
        <v>#REF!</v>
      </c>
      <c r="T39" s="42" t="e">
        <f>ROUND(#REF!*F39,0)</f>
        <v>#REF!</v>
      </c>
      <c r="U39" s="43" t="e">
        <f t="shared" si="17"/>
        <v>#REF!</v>
      </c>
      <c r="V39" s="44"/>
      <c r="W39" s="27">
        <v>28</v>
      </c>
      <c r="AG39" s="45"/>
      <c r="AH39" s="46" t="str">
        <f t="shared" si="11"/>
        <v>CAP. 2: ESTRUCTURA CONCRETO</v>
      </c>
      <c r="AI39" s="47">
        <f t="shared" si="12"/>
        <v>30</v>
      </c>
      <c r="AJ39" s="47"/>
      <c r="AK39" s="47"/>
      <c r="AL39" s="48"/>
      <c r="AM39" s="49"/>
      <c r="AP39" s="50">
        <f t="shared" si="18"/>
        <v>978</v>
      </c>
      <c r="AQ39" s="51"/>
      <c r="AR39" s="52">
        <f t="shared" si="19"/>
        <v>978</v>
      </c>
      <c r="AS39" s="53">
        <f t="shared" si="20"/>
        <v>48978</v>
      </c>
      <c r="AT39" s="54">
        <f t="shared" si="21"/>
        <v>47900484</v>
      </c>
      <c r="AV39" s="55"/>
    </row>
    <row r="40" spans="1:48" ht="28.8" x14ac:dyDescent="0.3">
      <c r="A40" s="165" t="s">
        <v>164</v>
      </c>
      <c r="B40" s="474" t="s">
        <v>164</v>
      </c>
      <c r="C40" s="206" t="s">
        <v>165</v>
      </c>
      <c r="D40" s="167" t="s">
        <v>166</v>
      </c>
      <c r="E40" s="168" t="s">
        <v>160</v>
      </c>
      <c r="F40" s="169">
        <v>350</v>
      </c>
      <c r="G40" s="497">
        <v>42694</v>
      </c>
      <c r="H40" s="34">
        <f t="shared" si="13"/>
        <v>14942900</v>
      </c>
      <c r="I40" s="35" t="e">
        <f>#REF!</f>
        <v>#REF!</v>
      </c>
      <c r="J40" s="33" t="e">
        <f>#REF!</f>
        <v>#REF!</v>
      </c>
      <c r="K40" s="33">
        <v>1</v>
      </c>
      <c r="L40" s="33" t="e">
        <f>ROUNDUP(#REF!/$K$40,0)</f>
        <v>#REF!</v>
      </c>
      <c r="M40" s="36" t="e">
        <f t="shared" si="14"/>
        <v>#REF!</v>
      </c>
      <c r="N40" s="37" t="e">
        <f t="shared" si="15"/>
        <v>#REF!</v>
      </c>
      <c r="O40" s="38">
        <f t="shared" si="16"/>
        <v>14942900</v>
      </c>
      <c r="P40" s="39"/>
      <c r="Q40" s="40" t="e">
        <f>ROUND(#REF!*F40,0)</f>
        <v>#REF!</v>
      </c>
      <c r="R40" s="41" t="e">
        <f>ROUND(#REF!*F40,0)</f>
        <v>#REF!</v>
      </c>
      <c r="S40" s="41" t="e">
        <f>ROUND(#REF!*F40,0)</f>
        <v>#REF!</v>
      </c>
      <c r="T40" s="42" t="e">
        <f>ROUND(#REF!*F40,0)</f>
        <v>#REF!</v>
      </c>
      <c r="U40" s="43" t="e">
        <f t="shared" si="17"/>
        <v>#REF!</v>
      </c>
      <c r="V40" s="44"/>
      <c r="W40" s="27">
        <v>29</v>
      </c>
      <c r="AG40" s="45"/>
      <c r="AH40" s="46" t="str">
        <f t="shared" si="11"/>
        <v>CAP. 2: ESTRUCTURA CONCRETO</v>
      </c>
      <c r="AI40" s="47">
        <f t="shared" si="12"/>
        <v>30</v>
      </c>
      <c r="AJ40" s="47"/>
      <c r="AK40" s="47"/>
      <c r="AL40" s="48"/>
      <c r="AM40" s="49"/>
      <c r="AP40" s="50">
        <f t="shared" si="18"/>
        <v>350</v>
      </c>
      <c r="AQ40" s="51"/>
      <c r="AR40" s="52">
        <f t="shared" si="19"/>
        <v>350</v>
      </c>
      <c r="AS40" s="53">
        <f t="shared" si="20"/>
        <v>42694</v>
      </c>
      <c r="AT40" s="54">
        <f t="shared" si="21"/>
        <v>14942900</v>
      </c>
      <c r="AV40" s="55"/>
    </row>
    <row r="41" spans="1:48" ht="27.6" x14ac:dyDescent="0.3">
      <c r="A41" s="165" t="s">
        <v>167</v>
      </c>
      <c r="B41" s="474" t="s">
        <v>167</v>
      </c>
      <c r="C41" s="206" t="s">
        <v>168</v>
      </c>
      <c r="D41" s="167" t="s">
        <v>169</v>
      </c>
      <c r="E41" s="168" t="s">
        <v>112</v>
      </c>
      <c r="F41" s="169">
        <v>293.27999999999997</v>
      </c>
      <c r="G41" s="497">
        <v>155143</v>
      </c>
      <c r="H41" s="34">
        <f t="shared" si="13"/>
        <v>45500339</v>
      </c>
      <c r="I41" s="35" t="e">
        <f>#REF!</f>
        <v>#REF!</v>
      </c>
      <c r="J41" s="33" t="e">
        <f>#REF!</f>
        <v>#REF!</v>
      </c>
      <c r="K41" s="33">
        <v>1</v>
      </c>
      <c r="L41" s="33" t="e">
        <f>ROUNDUP(#REF!/$K$41,0)</f>
        <v>#REF!</v>
      </c>
      <c r="M41" s="36" t="e">
        <f t="shared" si="14"/>
        <v>#REF!</v>
      </c>
      <c r="N41" s="37" t="e">
        <f t="shared" si="15"/>
        <v>#REF!</v>
      </c>
      <c r="O41" s="38">
        <f t="shared" si="16"/>
        <v>45500339</v>
      </c>
      <c r="P41" s="39"/>
      <c r="Q41" s="40" t="e">
        <f>ROUND(#REF!*F41,0)</f>
        <v>#REF!</v>
      </c>
      <c r="R41" s="41" t="e">
        <f>ROUND(#REF!*F41,0)</f>
        <v>#REF!</v>
      </c>
      <c r="S41" s="41" t="e">
        <f>ROUND(#REF!*F41,0)</f>
        <v>#REF!</v>
      </c>
      <c r="T41" s="42" t="e">
        <f>ROUND(#REF!*F41,0)</f>
        <v>#REF!</v>
      </c>
      <c r="U41" s="43" t="e">
        <f t="shared" si="17"/>
        <v>#REF!</v>
      </c>
      <c r="V41" s="44"/>
      <c r="W41" s="27">
        <v>30</v>
      </c>
      <c r="AG41" s="45"/>
      <c r="AH41" s="46" t="str">
        <f t="shared" si="11"/>
        <v>CAP. 2: ESTRUCTURA CONCRETO</v>
      </c>
      <c r="AI41" s="47">
        <f t="shared" si="12"/>
        <v>30</v>
      </c>
      <c r="AJ41" s="47"/>
      <c r="AK41" s="47"/>
      <c r="AL41" s="48"/>
      <c r="AM41" s="49"/>
      <c r="AP41" s="50">
        <f t="shared" si="18"/>
        <v>293.27999999999997</v>
      </c>
      <c r="AQ41" s="51"/>
      <c r="AR41" s="52">
        <f t="shared" si="19"/>
        <v>293.27999999999997</v>
      </c>
      <c r="AS41" s="53">
        <f t="shared" si="20"/>
        <v>155143</v>
      </c>
      <c r="AT41" s="54">
        <f t="shared" si="21"/>
        <v>45500339</v>
      </c>
      <c r="AV41" s="55"/>
    </row>
    <row r="42" spans="1:48" x14ac:dyDescent="0.3">
      <c r="A42" s="165" t="s">
        <v>170</v>
      </c>
      <c r="B42" s="474" t="s">
        <v>170</v>
      </c>
      <c r="C42" s="206" t="s">
        <v>171</v>
      </c>
      <c r="D42" s="167" t="s">
        <v>172</v>
      </c>
      <c r="E42" s="168" t="s">
        <v>112</v>
      </c>
      <c r="F42" s="169">
        <v>60</v>
      </c>
      <c r="G42" s="497">
        <v>133314</v>
      </c>
      <c r="H42" s="34">
        <f t="shared" si="13"/>
        <v>7998840</v>
      </c>
      <c r="I42" s="35" t="e">
        <f>#REF!</f>
        <v>#REF!</v>
      </c>
      <c r="J42" s="33" t="e">
        <f>#REF!</f>
        <v>#REF!</v>
      </c>
      <c r="K42" s="33">
        <v>1</v>
      </c>
      <c r="L42" s="33" t="e">
        <f>ROUNDUP(#REF!/$K$42,0)</f>
        <v>#REF!</v>
      </c>
      <c r="M42" s="36" t="e">
        <f t="shared" si="14"/>
        <v>#REF!</v>
      </c>
      <c r="N42" s="37" t="e">
        <f t="shared" si="15"/>
        <v>#REF!</v>
      </c>
      <c r="O42" s="38">
        <f t="shared" si="16"/>
        <v>7998840</v>
      </c>
      <c r="P42" s="39"/>
      <c r="Q42" s="40" t="e">
        <f>ROUND(#REF!*F42,0)</f>
        <v>#REF!</v>
      </c>
      <c r="R42" s="41" t="e">
        <f>ROUND(#REF!*F42,0)</f>
        <v>#REF!</v>
      </c>
      <c r="S42" s="41" t="e">
        <f>ROUND(#REF!*F42,0)</f>
        <v>#REF!</v>
      </c>
      <c r="T42" s="42" t="e">
        <f>ROUND(#REF!*F42,0)</f>
        <v>#REF!</v>
      </c>
      <c r="U42" s="43" t="e">
        <f t="shared" si="17"/>
        <v>#REF!</v>
      </c>
      <c r="V42" s="44"/>
      <c r="W42" s="27">
        <v>31</v>
      </c>
      <c r="AG42" s="45"/>
      <c r="AH42" s="46" t="str">
        <f t="shared" si="11"/>
        <v>CAP. 2: ESTRUCTURA CONCRETO</v>
      </c>
      <c r="AI42" s="47">
        <f t="shared" si="12"/>
        <v>30</v>
      </c>
      <c r="AJ42" s="47"/>
      <c r="AK42" s="47"/>
      <c r="AL42" s="48"/>
      <c r="AM42" s="49"/>
      <c r="AP42" s="50">
        <f t="shared" si="18"/>
        <v>60</v>
      </c>
      <c r="AQ42" s="51"/>
      <c r="AR42" s="52">
        <f t="shared" si="19"/>
        <v>60</v>
      </c>
      <c r="AS42" s="53">
        <f t="shared" si="20"/>
        <v>133314</v>
      </c>
      <c r="AT42" s="54">
        <f t="shared" si="21"/>
        <v>7998840</v>
      </c>
      <c r="AV42" s="55"/>
    </row>
    <row r="43" spans="1:48" ht="28.8" x14ac:dyDescent="0.3">
      <c r="A43" s="170" t="s">
        <v>173</v>
      </c>
      <c r="B43" s="475" t="s">
        <v>173</v>
      </c>
      <c r="C43" s="207" t="s">
        <v>174</v>
      </c>
      <c r="D43" s="172" t="s">
        <v>175</v>
      </c>
      <c r="E43" s="173" t="s">
        <v>160</v>
      </c>
      <c r="F43" s="174">
        <v>734</v>
      </c>
      <c r="G43" s="497">
        <v>66841</v>
      </c>
      <c r="H43" s="34">
        <f t="shared" si="13"/>
        <v>49061294</v>
      </c>
      <c r="I43" s="35" t="e">
        <f>#REF!</f>
        <v>#REF!</v>
      </c>
      <c r="J43" s="33" t="e">
        <f>#REF!</f>
        <v>#REF!</v>
      </c>
      <c r="K43" s="33">
        <v>1</v>
      </c>
      <c r="L43" s="33" t="e">
        <f>ROUNDUP(#REF!/$K$43,0)</f>
        <v>#REF!</v>
      </c>
      <c r="M43" s="36" t="e">
        <f t="shared" si="14"/>
        <v>#REF!</v>
      </c>
      <c r="N43" s="37" t="e">
        <f t="shared" si="15"/>
        <v>#REF!</v>
      </c>
      <c r="O43" s="38">
        <f t="shared" si="16"/>
        <v>49061294</v>
      </c>
      <c r="P43" s="39"/>
      <c r="Q43" s="40" t="e">
        <f>ROUND(#REF!*F43,0)</f>
        <v>#REF!</v>
      </c>
      <c r="R43" s="41" t="e">
        <f>ROUND(#REF!*F43,0) + 30</f>
        <v>#REF!</v>
      </c>
      <c r="S43" s="41" t="e">
        <f>ROUND(#REF!*F43,0)</f>
        <v>#REF!</v>
      </c>
      <c r="T43" s="42" t="e">
        <f>ROUND(#REF!*F43,0)</f>
        <v>#REF!</v>
      </c>
      <c r="U43" s="43" t="e">
        <f t="shared" si="17"/>
        <v>#REF!</v>
      </c>
      <c r="V43" s="44"/>
      <c r="W43" s="27">
        <v>32</v>
      </c>
      <c r="AG43" s="45"/>
      <c r="AH43" s="46" t="str">
        <f t="shared" si="11"/>
        <v>CAP. 2: ESTRUCTURA CONCRETO</v>
      </c>
      <c r="AI43" s="47">
        <f t="shared" si="12"/>
        <v>30</v>
      </c>
      <c r="AJ43" s="47"/>
      <c r="AK43" s="47"/>
      <c r="AL43" s="48"/>
      <c r="AM43" s="49"/>
      <c r="AP43" s="50">
        <f t="shared" si="18"/>
        <v>734</v>
      </c>
      <c r="AQ43" s="51"/>
      <c r="AR43" s="52">
        <f t="shared" si="19"/>
        <v>734</v>
      </c>
      <c r="AS43" s="53">
        <f t="shared" si="20"/>
        <v>66841</v>
      </c>
      <c r="AT43" s="54">
        <f t="shared" si="21"/>
        <v>49061294</v>
      </c>
      <c r="AV43" s="55"/>
    </row>
    <row r="44" spans="1:48" x14ac:dyDescent="0.3">
      <c r="A44" s="175"/>
      <c r="B44" s="175"/>
      <c r="C44" s="208"/>
      <c r="D44" s="177"/>
      <c r="E44" s="178"/>
      <c r="F44" s="179"/>
      <c r="G44" s="503"/>
      <c r="H44" s="181"/>
      <c r="I44" s="182"/>
      <c r="J44" s="180"/>
      <c r="K44" s="180"/>
      <c r="L44" s="180"/>
      <c r="M44" s="183"/>
      <c r="N44" s="184"/>
      <c r="O44" s="185"/>
      <c r="P44" s="39"/>
      <c r="Q44" s="40"/>
      <c r="R44" s="41"/>
      <c r="S44" s="41"/>
      <c r="T44" s="42"/>
      <c r="U44" s="43"/>
      <c r="V44" s="44"/>
      <c r="W44" s="27"/>
      <c r="AG44" s="45"/>
      <c r="AH44" s="46" t="str">
        <f t="shared" si="11"/>
        <v>CAP. 2: ESTRUCTURA CONCRETO</v>
      </c>
      <c r="AI44" s="47">
        <f t="shared" si="12"/>
        <v>30</v>
      </c>
      <c r="AJ44" s="47"/>
      <c r="AK44" s="47"/>
      <c r="AL44" s="48"/>
      <c r="AM44" s="49"/>
      <c r="AP44" s="50"/>
      <c r="AQ44" s="51"/>
      <c r="AR44" s="52"/>
      <c r="AS44" s="158"/>
      <c r="AT44" s="159"/>
      <c r="AV44" s="55"/>
    </row>
    <row r="45" spans="1:48" ht="15" thickBot="1" x14ac:dyDescent="0.35">
      <c r="A45" s="186" t="s">
        <v>135</v>
      </c>
      <c r="B45" s="186" t="s">
        <v>135</v>
      </c>
      <c r="C45" s="209"/>
      <c r="D45" s="188"/>
      <c r="E45" s="189"/>
      <c r="F45" s="190"/>
      <c r="G45" s="499" t="s">
        <v>736</v>
      </c>
      <c r="H45" s="192">
        <f>SUM(H31:H44)</f>
        <v>574491944</v>
      </c>
      <c r="I45" s="182"/>
      <c r="J45" s="180"/>
      <c r="K45" s="180"/>
      <c r="L45" s="180"/>
      <c r="M45" s="183"/>
      <c r="N45" s="184"/>
      <c r="O45" s="193">
        <f>SUM(O31:O44)</f>
        <v>574491944</v>
      </c>
      <c r="P45" s="39"/>
      <c r="Q45" s="194" t="e">
        <f>SUM(Q30:Q44)</f>
        <v>#REF!</v>
      </c>
      <c r="R45" s="195" t="e">
        <f>SUM(R30:R44)</f>
        <v>#REF!</v>
      </c>
      <c r="S45" s="195" t="e">
        <f>SUM(S30:S44)</f>
        <v>#REF!</v>
      </c>
      <c r="T45" s="196" t="e">
        <f>SUM(T30:T44)</f>
        <v>#REF!</v>
      </c>
      <c r="U45" s="197" t="e">
        <f>SUM(U30:U44)</f>
        <v>#REF!</v>
      </c>
      <c r="V45" s="44"/>
      <c r="W45" s="27"/>
      <c r="AG45" s="45"/>
      <c r="AH45" s="46" t="str">
        <f t="shared" si="11"/>
        <v>CAP. 2: ESTRUCTURA CONCRETO</v>
      </c>
      <c r="AI45" s="47">
        <f t="shared" si="12"/>
        <v>30</v>
      </c>
      <c r="AJ45" s="47"/>
      <c r="AK45" s="47"/>
      <c r="AL45" s="48"/>
      <c r="AM45" s="49"/>
      <c r="AP45" s="198"/>
      <c r="AQ45" s="199"/>
      <c r="AR45" s="199"/>
      <c r="AS45" s="199"/>
      <c r="AT45" s="200">
        <f>SUM(AT31:AT44)</f>
        <v>574491944</v>
      </c>
      <c r="AV45" s="55"/>
    </row>
    <row r="46" spans="1:48" ht="22.95" customHeight="1" thickBot="1" x14ac:dyDescent="0.35">
      <c r="A46" s="78"/>
      <c r="B46" s="78"/>
      <c r="C46" s="131"/>
      <c r="D46" s="128"/>
      <c r="E46" s="129"/>
      <c r="F46" s="130"/>
      <c r="G46" s="500"/>
      <c r="H46" s="201"/>
      <c r="W46" s="27"/>
      <c r="AG46" s="45"/>
      <c r="AH46" s="46"/>
      <c r="AI46" s="47"/>
      <c r="AJ46" s="47"/>
      <c r="AK46" s="47"/>
      <c r="AL46" s="48"/>
      <c r="AM46" s="49"/>
      <c r="AV46" s="55"/>
    </row>
    <row r="47" spans="1:48" ht="15.6" x14ac:dyDescent="0.3">
      <c r="A47" s="133" t="s">
        <v>97</v>
      </c>
      <c r="B47" s="133" t="s">
        <v>97</v>
      </c>
      <c r="C47" s="202" t="s">
        <v>176</v>
      </c>
      <c r="D47" s="203" t="s">
        <v>177</v>
      </c>
      <c r="E47" s="136"/>
      <c r="F47" s="136"/>
      <c r="G47" s="501"/>
      <c r="H47" s="137">
        <f>SUM(H48:H52)</f>
        <v>103395864</v>
      </c>
      <c r="I47" s="27"/>
      <c r="J47" s="27"/>
      <c r="K47" s="27"/>
      <c r="L47" s="27"/>
      <c r="M47" s="27"/>
      <c r="N47" s="27"/>
      <c r="O47" s="138">
        <f>SUM(O48:O52)</f>
        <v>103395864</v>
      </c>
      <c r="P47" s="44"/>
      <c r="Q47" s="139"/>
      <c r="R47" s="140"/>
      <c r="S47" s="140"/>
      <c r="T47" s="141"/>
      <c r="U47" s="142"/>
      <c r="V47" s="44">
        <f>IF(H47&lt;&gt;"",O47-H47*$O$2,0)</f>
        <v>0</v>
      </c>
      <c r="W47" s="143" t="s">
        <v>100</v>
      </c>
      <c r="AG47" s="45"/>
      <c r="AH47" s="46" t="str">
        <f t="shared" ref="AH47:AH53" si="22">"CAP. " &amp; $C$47 &amp; ": " &amp; $D$47</f>
        <v>CAP. 3: MUROS</v>
      </c>
      <c r="AI47" s="47">
        <f t="shared" ref="AI47:AI53" si="23">ROW($C$47)</f>
        <v>47</v>
      </c>
      <c r="AJ47" s="47"/>
      <c r="AK47" s="47"/>
      <c r="AL47" s="48"/>
      <c r="AM47" s="49"/>
      <c r="AP47" s="144"/>
      <c r="AQ47" s="145"/>
      <c r="AR47" s="145"/>
      <c r="AS47" s="145"/>
      <c r="AT47" s="146">
        <f>SUM(AT48:AT52)</f>
        <v>103395864</v>
      </c>
      <c r="AV47" s="55"/>
    </row>
    <row r="48" spans="1:48" hidden="1" x14ac:dyDescent="0.3">
      <c r="A48" s="147" t="s">
        <v>101</v>
      </c>
      <c r="B48" s="147" t="s">
        <v>101</v>
      </c>
      <c r="C48" s="204"/>
      <c r="D48" s="149"/>
      <c r="E48" s="150"/>
      <c r="F48" s="151"/>
      <c r="G48" s="496"/>
      <c r="H48" s="153"/>
      <c r="I48" s="154"/>
      <c r="J48" s="152"/>
      <c r="K48" s="152"/>
      <c r="L48" s="152"/>
      <c r="M48" s="155"/>
      <c r="N48" s="156"/>
      <c r="O48" s="157"/>
      <c r="P48" s="39"/>
      <c r="Q48" s="40"/>
      <c r="R48" s="41"/>
      <c r="S48" s="41"/>
      <c r="T48" s="42"/>
      <c r="U48" s="43"/>
      <c r="V48" s="44"/>
      <c r="W48" s="27"/>
      <c r="AG48" s="45"/>
      <c r="AH48" s="46" t="str">
        <f t="shared" si="22"/>
        <v>CAP. 3: MUROS</v>
      </c>
      <c r="AI48" s="47">
        <f t="shared" si="23"/>
        <v>47</v>
      </c>
      <c r="AJ48" s="47"/>
      <c r="AK48" s="47"/>
      <c r="AL48" s="48"/>
      <c r="AM48" s="49"/>
      <c r="AP48" s="50"/>
      <c r="AQ48" s="51"/>
      <c r="AR48" s="52"/>
      <c r="AS48" s="158"/>
      <c r="AT48" s="159"/>
      <c r="AV48" s="55"/>
    </row>
    <row r="49" spans="1:48" x14ac:dyDescent="0.3">
      <c r="A49" s="160" t="s">
        <v>178</v>
      </c>
      <c r="B49" s="473" t="s">
        <v>178</v>
      </c>
      <c r="C49" s="205" t="s">
        <v>179</v>
      </c>
      <c r="D49" s="162" t="s">
        <v>180</v>
      </c>
      <c r="E49" s="163" t="s">
        <v>112</v>
      </c>
      <c r="F49" s="164">
        <v>488.8</v>
      </c>
      <c r="G49" s="497">
        <v>114368</v>
      </c>
      <c r="H49" s="34">
        <f>ROUND(F49 * G49,$K$2)</f>
        <v>55903078</v>
      </c>
      <c r="I49" s="35" t="e">
        <f>#REF!</f>
        <v>#REF!</v>
      </c>
      <c r="J49" s="33" t="e">
        <f>#REF!</f>
        <v>#REF!</v>
      </c>
      <c r="K49" s="33">
        <v>1</v>
      </c>
      <c r="L49" s="33" t="e">
        <f>ROUNDUP(#REF!/$K$49,0)</f>
        <v>#REF!</v>
      </c>
      <c r="M49" s="36" t="e">
        <f>ROUND(J49 * F49,$K$2)</f>
        <v>#REF!</v>
      </c>
      <c r="N49" s="37" t="e">
        <f>ROUND(I49 * F49,$K$2)</f>
        <v>#REF!</v>
      </c>
      <c r="O49" s="38">
        <f>H49*$O$2</f>
        <v>55903078</v>
      </c>
      <c r="P49" s="39"/>
      <c r="Q49" s="40" t="e">
        <f>ROUND(#REF!*F49,0)</f>
        <v>#REF!</v>
      </c>
      <c r="R49" s="41" t="e">
        <f>ROUND(#REF!*F49,0) + 224</f>
        <v>#REF!</v>
      </c>
      <c r="S49" s="41" t="e">
        <f>ROUND(#REF!*F49,0)</f>
        <v>#REF!</v>
      </c>
      <c r="T49" s="42" t="e">
        <f>ROUND(#REF!*F49,0)</f>
        <v>#REF!</v>
      </c>
      <c r="U49" s="43" t="e">
        <f>Q49+R49+S49+T49</f>
        <v>#REF!</v>
      </c>
      <c r="V49" s="44"/>
      <c r="W49" s="27">
        <v>34</v>
      </c>
      <c r="AG49" s="45"/>
      <c r="AH49" s="46" t="str">
        <f t="shared" si="22"/>
        <v>CAP. 3: MUROS</v>
      </c>
      <c r="AI49" s="47">
        <f t="shared" si="23"/>
        <v>47</v>
      </c>
      <c r="AJ49" s="47"/>
      <c r="AK49" s="47"/>
      <c r="AL49" s="48"/>
      <c r="AM49" s="49"/>
      <c r="AP49" s="50">
        <f>F49</f>
        <v>488.8</v>
      </c>
      <c r="AQ49" s="51"/>
      <c r="AR49" s="52">
        <f>AP49+AQ49</f>
        <v>488.8</v>
      </c>
      <c r="AS49" s="53">
        <f>G49</f>
        <v>114368</v>
      </c>
      <c r="AT49" s="54">
        <f>ROUND(AR49 * AS49,$K$2)</f>
        <v>55903078</v>
      </c>
      <c r="AV49" s="55"/>
    </row>
    <row r="50" spans="1:48" x14ac:dyDescent="0.3">
      <c r="A50" s="165" t="s">
        <v>181</v>
      </c>
      <c r="B50" s="474" t="s">
        <v>181</v>
      </c>
      <c r="C50" s="206" t="s">
        <v>182</v>
      </c>
      <c r="D50" s="167" t="s">
        <v>183</v>
      </c>
      <c r="E50" s="168" t="s">
        <v>112</v>
      </c>
      <c r="F50" s="169">
        <v>977.6</v>
      </c>
      <c r="G50" s="497">
        <v>45418</v>
      </c>
      <c r="H50" s="34">
        <f>ROUND(F50 * G50,$K$2)</f>
        <v>44400637</v>
      </c>
      <c r="I50" s="35" t="e">
        <f>#REF!</f>
        <v>#REF!</v>
      </c>
      <c r="J50" s="33" t="e">
        <f>#REF!</f>
        <v>#REF!</v>
      </c>
      <c r="K50" s="33">
        <v>1</v>
      </c>
      <c r="L50" s="33" t="e">
        <f>ROUNDUP(#REF!/$K$50,0)</f>
        <v>#REF!</v>
      </c>
      <c r="M50" s="36" t="e">
        <f>ROUND(J50 * F50,$K$2)</f>
        <v>#REF!</v>
      </c>
      <c r="N50" s="37" t="e">
        <f>ROUND(I50 * F50,$K$2)</f>
        <v>#REF!</v>
      </c>
      <c r="O50" s="38">
        <f>H50*$O$2</f>
        <v>44400637</v>
      </c>
      <c r="P50" s="39"/>
      <c r="Q50" s="40" t="e">
        <f>ROUND(#REF!*F50,0)</f>
        <v>#REF!</v>
      </c>
      <c r="R50" s="41" t="e">
        <f>ROUND(#REF!*F50,0)</f>
        <v>#REF!</v>
      </c>
      <c r="S50" s="41" t="e">
        <f>ROUND(#REF!*F50,0)</f>
        <v>#REF!</v>
      </c>
      <c r="T50" s="42" t="e">
        <f>ROUND(#REF!*F50,0)</f>
        <v>#REF!</v>
      </c>
      <c r="U50" s="43" t="e">
        <f>Q50+R50+S50+T50</f>
        <v>#REF!</v>
      </c>
      <c r="V50" s="44"/>
      <c r="W50" s="27">
        <v>35</v>
      </c>
      <c r="AG50" s="45"/>
      <c r="AH50" s="46" t="str">
        <f t="shared" si="22"/>
        <v>CAP. 3: MUROS</v>
      </c>
      <c r="AI50" s="47">
        <f t="shared" si="23"/>
        <v>47</v>
      </c>
      <c r="AJ50" s="47"/>
      <c r="AK50" s="47"/>
      <c r="AL50" s="48"/>
      <c r="AM50" s="49"/>
      <c r="AP50" s="50">
        <f>F50</f>
        <v>977.6</v>
      </c>
      <c r="AQ50" s="51"/>
      <c r="AR50" s="52">
        <f>AP50+AQ50</f>
        <v>977.6</v>
      </c>
      <c r="AS50" s="53">
        <f>G50</f>
        <v>45418</v>
      </c>
      <c r="AT50" s="54">
        <f>ROUND(AR50 * AS50,$K$2)</f>
        <v>44400637</v>
      </c>
      <c r="AV50" s="55"/>
    </row>
    <row r="51" spans="1:48" x14ac:dyDescent="0.3">
      <c r="A51" s="170" t="s">
        <v>184</v>
      </c>
      <c r="B51" s="475" t="s">
        <v>184</v>
      </c>
      <c r="C51" s="207" t="s">
        <v>185</v>
      </c>
      <c r="D51" s="172" t="s">
        <v>186</v>
      </c>
      <c r="E51" s="173" t="s">
        <v>33</v>
      </c>
      <c r="F51" s="174">
        <v>488.8</v>
      </c>
      <c r="G51" s="497">
        <v>6326</v>
      </c>
      <c r="H51" s="34">
        <f>ROUND(F51 * G51,$K$2)</f>
        <v>3092149</v>
      </c>
      <c r="I51" s="35" t="e">
        <f>#REF!</f>
        <v>#REF!</v>
      </c>
      <c r="J51" s="33" t="e">
        <f>#REF!</f>
        <v>#REF!</v>
      </c>
      <c r="K51" s="33">
        <v>1</v>
      </c>
      <c r="L51" s="33" t="e">
        <f>ROUNDUP(#REF!/$K$51,0)</f>
        <v>#REF!</v>
      </c>
      <c r="M51" s="36" t="e">
        <f>ROUND(J51 * F51,$K$2)</f>
        <v>#REF!</v>
      </c>
      <c r="N51" s="37" t="e">
        <f>ROUND(I51 * F51,$K$2)</f>
        <v>#REF!</v>
      </c>
      <c r="O51" s="38">
        <f>H51*$O$2</f>
        <v>3092149</v>
      </c>
      <c r="P51" s="39"/>
      <c r="Q51" s="40" t="e">
        <f>ROUND(#REF!*F51,0)</f>
        <v>#REF!</v>
      </c>
      <c r="R51" s="41" t="e">
        <f>ROUND(#REF!*F51,0)</f>
        <v>#REF!</v>
      </c>
      <c r="S51" s="41" t="e">
        <f>ROUND(#REF!*F51,0)</f>
        <v>#REF!</v>
      </c>
      <c r="T51" s="42" t="e">
        <f>ROUND(#REF!*F51,0)</f>
        <v>#REF!</v>
      </c>
      <c r="U51" s="43" t="e">
        <f>Q51+R51+S51+T51</f>
        <v>#REF!</v>
      </c>
      <c r="V51" s="44"/>
      <c r="W51" s="27">
        <v>36</v>
      </c>
      <c r="AG51" s="45"/>
      <c r="AH51" s="46" t="str">
        <f t="shared" si="22"/>
        <v>CAP. 3: MUROS</v>
      </c>
      <c r="AI51" s="47">
        <f t="shared" si="23"/>
        <v>47</v>
      </c>
      <c r="AJ51" s="47"/>
      <c r="AK51" s="47"/>
      <c r="AL51" s="48"/>
      <c r="AM51" s="49"/>
      <c r="AP51" s="50">
        <f>F51</f>
        <v>488.8</v>
      </c>
      <c r="AQ51" s="51"/>
      <c r="AR51" s="52">
        <f>AP51+AQ51</f>
        <v>488.8</v>
      </c>
      <c r="AS51" s="53">
        <f>G51</f>
        <v>6326</v>
      </c>
      <c r="AT51" s="54">
        <f>ROUND(AR51 * AS51,$K$2)</f>
        <v>3092149</v>
      </c>
      <c r="AV51" s="55"/>
    </row>
    <row r="52" spans="1:48" x14ac:dyDescent="0.3">
      <c r="A52" s="175"/>
      <c r="B52" s="175"/>
      <c r="C52" s="208"/>
      <c r="D52" s="177"/>
      <c r="E52" s="178"/>
      <c r="F52" s="179"/>
      <c r="G52" s="503"/>
      <c r="H52" s="181"/>
      <c r="I52" s="182"/>
      <c r="J52" s="180"/>
      <c r="K52" s="180"/>
      <c r="L52" s="180"/>
      <c r="M52" s="183"/>
      <c r="N52" s="184"/>
      <c r="O52" s="185"/>
      <c r="P52" s="39"/>
      <c r="Q52" s="40"/>
      <c r="R52" s="41"/>
      <c r="S52" s="41"/>
      <c r="T52" s="42"/>
      <c r="U52" s="43"/>
      <c r="V52" s="44"/>
      <c r="W52" s="27"/>
      <c r="AG52" s="45"/>
      <c r="AH52" s="46" t="str">
        <f t="shared" si="22"/>
        <v>CAP. 3: MUROS</v>
      </c>
      <c r="AI52" s="47">
        <f t="shared" si="23"/>
        <v>47</v>
      </c>
      <c r="AJ52" s="47"/>
      <c r="AK52" s="47"/>
      <c r="AL52" s="48"/>
      <c r="AM52" s="49"/>
      <c r="AP52" s="50"/>
      <c r="AQ52" s="51"/>
      <c r="AR52" s="52"/>
      <c r="AS52" s="158"/>
      <c r="AT52" s="159"/>
      <c r="AV52" s="55"/>
    </row>
    <row r="53" spans="1:48" ht="15" thickBot="1" x14ac:dyDescent="0.35">
      <c r="A53" s="186" t="s">
        <v>135</v>
      </c>
      <c r="B53" s="186" t="s">
        <v>135</v>
      </c>
      <c r="C53" s="209"/>
      <c r="D53" s="188"/>
      <c r="E53" s="189"/>
      <c r="F53" s="190"/>
      <c r="G53" s="499" t="s">
        <v>737</v>
      </c>
      <c r="H53" s="192">
        <f>SUM(H48:H52)</f>
        <v>103395864</v>
      </c>
      <c r="I53" s="182"/>
      <c r="J53" s="180"/>
      <c r="K53" s="180"/>
      <c r="L53" s="180"/>
      <c r="M53" s="183"/>
      <c r="N53" s="184"/>
      <c r="O53" s="193">
        <f>SUM(O48:O52)</f>
        <v>103395864</v>
      </c>
      <c r="P53" s="39"/>
      <c r="Q53" s="194" t="e">
        <f>SUM(Q47:Q52)</f>
        <v>#REF!</v>
      </c>
      <c r="R53" s="195" t="e">
        <f>SUM(R47:R52)</f>
        <v>#REF!</v>
      </c>
      <c r="S53" s="195" t="e">
        <f>SUM(S47:S52)</f>
        <v>#REF!</v>
      </c>
      <c r="T53" s="196" t="e">
        <f>SUM(T47:T52)</f>
        <v>#REF!</v>
      </c>
      <c r="U53" s="197" t="e">
        <f>SUM(U47:U52)</f>
        <v>#REF!</v>
      </c>
      <c r="V53" s="44"/>
      <c r="W53" s="27"/>
      <c r="AG53" s="45"/>
      <c r="AH53" s="46" t="str">
        <f t="shared" si="22"/>
        <v>CAP. 3: MUROS</v>
      </c>
      <c r="AI53" s="47">
        <f t="shared" si="23"/>
        <v>47</v>
      </c>
      <c r="AJ53" s="47"/>
      <c r="AK53" s="47"/>
      <c r="AL53" s="48"/>
      <c r="AM53" s="49"/>
      <c r="AP53" s="198"/>
      <c r="AQ53" s="199"/>
      <c r="AR53" s="199"/>
      <c r="AS53" s="199"/>
      <c r="AT53" s="200">
        <f>SUM(AT48:AT52)</f>
        <v>103395864</v>
      </c>
      <c r="AV53" s="55"/>
    </row>
    <row r="54" spans="1:48" ht="22.95" customHeight="1" thickBot="1" x14ac:dyDescent="0.35">
      <c r="A54" s="78"/>
      <c r="B54" s="78"/>
      <c r="C54" s="131"/>
      <c r="D54" s="128"/>
      <c r="E54" s="129"/>
      <c r="F54" s="130"/>
      <c r="G54" s="500"/>
      <c r="H54" s="201"/>
      <c r="W54" s="27"/>
      <c r="AG54" s="45"/>
      <c r="AH54" s="46"/>
      <c r="AI54" s="47"/>
      <c r="AJ54" s="47"/>
      <c r="AK54" s="47"/>
      <c r="AL54" s="48"/>
      <c r="AM54" s="49"/>
      <c r="AV54" s="55"/>
    </row>
    <row r="55" spans="1:48" ht="15.6" x14ac:dyDescent="0.3">
      <c r="A55" s="133" t="s">
        <v>97</v>
      </c>
      <c r="B55" s="133" t="s">
        <v>97</v>
      </c>
      <c r="C55" s="202" t="s">
        <v>187</v>
      </c>
      <c r="D55" s="203" t="s">
        <v>188</v>
      </c>
      <c r="E55" s="136"/>
      <c r="F55" s="136"/>
      <c r="G55" s="501"/>
      <c r="H55" s="137">
        <f>SUM(H56:H63)</f>
        <v>203542634</v>
      </c>
      <c r="I55" s="27"/>
      <c r="J55" s="27"/>
      <c r="K55" s="27"/>
      <c r="L55" s="27"/>
      <c r="M55" s="27"/>
      <c r="N55" s="27"/>
      <c r="O55" s="138">
        <f>SUM(O56:O63)</f>
        <v>203542634</v>
      </c>
      <c r="P55" s="44"/>
      <c r="Q55" s="139"/>
      <c r="R55" s="140"/>
      <c r="S55" s="140"/>
      <c r="T55" s="141"/>
      <c r="U55" s="142"/>
      <c r="V55" s="44">
        <f>IF(H55&lt;&gt;"",O55-H55*$O$2,0)</f>
        <v>0</v>
      </c>
      <c r="W55" s="143" t="s">
        <v>100</v>
      </c>
      <c r="AG55" s="45"/>
      <c r="AH55" s="46" t="str">
        <f t="shared" ref="AH55:AH64" si="24">"CAP. " &amp; $C$55 &amp; ": " &amp; $D$55</f>
        <v>CAP. 4: PISOS Y ENCHAPES</v>
      </c>
      <c r="AI55" s="47">
        <f t="shared" ref="AI55:AI64" si="25">ROW($C$55)</f>
        <v>55</v>
      </c>
      <c r="AJ55" s="47"/>
      <c r="AK55" s="47"/>
      <c r="AL55" s="48"/>
      <c r="AM55" s="49"/>
      <c r="AP55" s="144"/>
      <c r="AQ55" s="145"/>
      <c r="AR55" s="145"/>
      <c r="AS55" s="145"/>
      <c r="AT55" s="146">
        <f>SUM(AT56:AT63)</f>
        <v>203542634</v>
      </c>
      <c r="AV55" s="55"/>
    </row>
    <row r="56" spans="1:48" hidden="1" x14ac:dyDescent="0.3">
      <c r="A56" s="147" t="s">
        <v>101</v>
      </c>
      <c r="B56" s="147" t="s">
        <v>101</v>
      </c>
      <c r="C56" s="204"/>
      <c r="D56" s="149"/>
      <c r="E56" s="150"/>
      <c r="F56" s="151"/>
      <c r="G56" s="496"/>
      <c r="H56" s="153"/>
      <c r="I56" s="154"/>
      <c r="J56" s="152"/>
      <c r="K56" s="152"/>
      <c r="L56" s="152"/>
      <c r="M56" s="155"/>
      <c r="N56" s="156"/>
      <c r="O56" s="157"/>
      <c r="P56" s="39"/>
      <c r="Q56" s="40"/>
      <c r="R56" s="41"/>
      <c r="S56" s="41"/>
      <c r="T56" s="42"/>
      <c r="U56" s="43"/>
      <c r="V56" s="44"/>
      <c r="W56" s="27"/>
      <c r="AG56" s="45"/>
      <c r="AH56" s="46" t="str">
        <f t="shared" si="24"/>
        <v>CAP. 4: PISOS Y ENCHAPES</v>
      </c>
      <c r="AI56" s="47">
        <f t="shared" si="25"/>
        <v>55</v>
      </c>
      <c r="AJ56" s="47"/>
      <c r="AK56" s="47"/>
      <c r="AL56" s="48"/>
      <c r="AM56" s="49"/>
      <c r="AP56" s="50"/>
      <c r="AQ56" s="51"/>
      <c r="AR56" s="52"/>
      <c r="AS56" s="158"/>
      <c r="AT56" s="159"/>
      <c r="AV56" s="55"/>
    </row>
    <row r="57" spans="1:48" x14ac:dyDescent="0.3">
      <c r="A57" s="160" t="s">
        <v>189</v>
      </c>
      <c r="B57" s="473" t="s">
        <v>189</v>
      </c>
      <c r="C57" s="205" t="s">
        <v>190</v>
      </c>
      <c r="D57" s="162" t="s">
        <v>191</v>
      </c>
      <c r="E57" s="163" t="s">
        <v>112</v>
      </c>
      <c r="F57" s="164">
        <v>759.9</v>
      </c>
      <c r="G57" s="497">
        <v>54060</v>
      </c>
      <c r="H57" s="34">
        <f t="shared" ref="H57:H62" si="26">ROUND(F57 * G57,$K$2)</f>
        <v>41080194</v>
      </c>
      <c r="I57" s="35" t="e">
        <f>#REF!</f>
        <v>#REF!</v>
      </c>
      <c r="J57" s="33" t="e">
        <f>#REF!</f>
        <v>#REF!</v>
      </c>
      <c r="K57" s="33">
        <v>1</v>
      </c>
      <c r="L57" s="33" t="e">
        <f>ROUNDUP(#REF!/$K$57,0)</f>
        <v>#REF!</v>
      </c>
      <c r="M57" s="36" t="e">
        <f t="shared" ref="M57:M62" si="27">ROUND(J57 * F57,$K$2)</f>
        <v>#REF!</v>
      </c>
      <c r="N57" s="37" t="e">
        <f t="shared" ref="N57:N62" si="28">ROUND(I57 * F57,$K$2)</f>
        <v>#REF!</v>
      </c>
      <c r="O57" s="38">
        <f t="shared" ref="O57:O62" si="29">H57*$O$2</f>
        <v>41080194</v>
      </c>
      <c r="P57" s="39"/>
      <c r="Q57" s="40" t="e">
        <f>ROUND(#REF!*F57,0)</f>
        <v>#REF!</v>
      </c>
      <c r="R57" s="41" t="e">
        <f>ROUND(#REF!*F57,0)</f>
        <v>#REF!</v>
      </c>
      <c r="S57" s="41" t="e">
        <f>ROUND(#REF!*F57,0)</f>
        <v>#REF!</v>
      </c>
      <c r="T57" s="42" t="e">
        <f>ROUND(#REF!*F57,0)</f>
        <v>#REF!</v>
      </c>
      <c r="U57" s="43" t="e">
        <f t="shared" ref="U57:U62" si="30">Q57+R57+S57+T57</f>
        <v>#REF!</v>
      </c>
      <c r="V57" s="44"/>
      <c r="W57" s="27">
        <v>38</v>
      </c>
      <c r="AG57" s="45"/>
      <c r="AH57" s="46" t="str">
        <f t="shared" si="24"/>
        <v>CAP. 4: PISOS Y ENCHAPES</v>
      </c>
      <c r="AI57" s="47">
        <f t="shared" si="25"/>
        <v>55</v>
      </c>
      <c r="AJ57" s="47"/>
      <c r="AK57" s="47"/>
      <c r="AL57" s="48"/>
      <c r="AM57" s="49"/>
      <c r="AP57" s="50">
        <f t="shared" ref="AP57:AP62" si="31">F57</f>
        <v>759.9</v>
      </c>
      <c r="AQ57" s="51"/>
      <c r="AR57" s="52">
        <f t="shared" ref="AR57:AR62" si="32">AP57+AQ57</f>
        <v>759.9</v>
      </c>
      <c r="AS57" s="53">
        <f t="shared" ref="AS57:AS62" si="33">G57</f>
        <v>54060</v>
      </c>
      <c r="AT57" s="54">
        <f t="shared" ref="AT57:AT62" si="34">ROUND(AR57 * AS57,$K$2)</f>
        <v>41080194</v>
      </c>
      <c r="AV57" s="55"/>
    </row>
    <row r="58" spans="1:48" x14ac:dyDescent="0.3">
      <c r="A58" s="165" t="s">
        <v>192</v>
      </c>
      <c r="B58" s="474" t="s">
        <v>192</v>
      </c>
      <c r="C58" s="206" t="s">
        <v>193</v>
      </c>
      <c r="D58" s="167" t="s">
        <v>194</v>
      </c>
      <c r="E58" s="168" t="s">
        <v>112</v>
      </c>
      <c r="F58" s="169">
        <v>88</v>
      </c>
      <c r="G58" s="497">
        <v>133586</v>
      </c>
      <c r="H58" s="34">
        <f t="shared" si="26"/>
        <v>11755568</v>
      </c>
      <c r="I58" s="35" t="e">
        <f>#REF!</f>
        <v>#REF!</v>
      </c>
      <c r="J58" s="33" t="e">
        <f>#REF!</f>
        <v>#REF!</v>
      </c>
      <c r="K58" s="33">
        <v>1</v>
      </c>
      <c r="L58" s="33" t="e">
        <f>ROUNDUP(#REF!/$K$58,0)</f>
        <v>#REF!</v>
      </c>
      <c r="M58" s="36" t="e">
        <f t="shared" si="27"/>
        <v>#REF!</v>
      </c>
      <c r="N58" s="37" t="e">
        <f t="shared" si="28"/>
        <v>#REF!</v>
      </c>
      <c r="O58" s="38">
        <f t="shared" si="29"/>
        <v>11755568</v>
      </c>
      <c r="P58" s="39"/>
      <c r="Q58" s="40" t="e">
        <f>ROUND(#REF!*F58,0)</f>
        <v>#REF!</v>
      </c>
      <c r="R58" s="41" t="e">
        <f>ROUND(#REF!*F58,0)</f>
        <v>#REF!</v>
      </c>
      <c r="S58" s="41" t="e">
        <f>ROUND(#REF!*F58,0)</f>
        <v>#REF!</v>
      </c>
      <c r="T58" s="42" t="e">
        <f>ROUND(#REF!*F58,0)</f>
        <v>#REF!</v>
      </c>
      <c r="U58" s="43" t="e">
        <f t="shared" si="30"/>
        <v>#REF!</v>
      </c>
      <c r="V58" s="44"/>
      <c r="W58" s="27">
        <v>39</v>
      </c>
      <c r="AG58" s="45"/>
      <c r="AH58" s="46" t="str">
        <f t="shared" si="24"/>
        <v>CAP. 4: PISOS Y ENCHAPES</v>
      </c>
      <c r="AI58" s="47">
        <f t="shared" si="25"/>
        <v>55</v>
      </c>
      <c r="AJ58" s="47"/>
      <c r="AK58" s="47"/>
      <c r="AL58" s="48"/>
      <c r="AM58" s="49"/>
      <c r="AP58" s="50">
        <f t="shared" si="31"/>
        <v>88</v>
      </c>
      <c r="AQ58" s="51"/>
      <c r="AR58" s="52">
        <f t="shared" si="32"/>
        <v>88</v>
      </c>
      <c r="AS58" s="53">
        <f t="shared" si="33"/>
        <v>133586</v>
      </c>
      <c r="AT58" s="54">
        <f t="shared" si="34"/>
        <v>11755568</v>
      </c>
      <c r="AV58" s="55"/>
    </row>
    <row r="59" spans="1:48" x14ac:dyDescent="0.3">
      <c r="A59" s="165" t="s">
        <v>195</v>
      </c>
      <c r="B59" s="474" t="s">
        <v>195</v>
      </c>
      <c r="C59" s="206" t="s">
        <v>196</v>
      </c>
      <c r="D59" s="167" t="s">
        <v>197</v>
      </c>
      <c r="E59" s="168" t="s">
        <v>112</v>
      </c>
      <c r="F59" s="169">
        <v>100.62</v>
      </c>
      <c r="G59" s="497">
        <v>119582</v>
      </c>
      <c r="H59" s="34">
        <f t="shared" si="26"/>
        <v>12032341</v>
      </c>
      <c r="I59" s="35" t="e">
        <f>#REF!</f>
        <v>#REF!</v>
      </c>
      <c r="J59" s="33" t="e">
        <f>#REF!</f>
        <v>#REF!</v>
      </c>
      <c r="K59" s="33">
        <v>1</v>
      </c>
      <c r="L59" s="33" t="e">
        <f>ROUNDUP(#REF!/$K$59,0)</f>
        <v>#REF!</v>
      </c>
      <c r="M59" s="36" t="e">
        <f t="shared" si="27"/>
        <v>#REF!</v>
      </c>
      <c r="N59" s="37" t="e">
        <f t="shared" si="28"/>
        <v>#REF!</v>
      </c>
      <c r="O59" s="38">
        <f t="shared" si="29"/>
        <v>12032341</v>
      </c>
      <c r="P59" s="39"/>
      <c r="Q59" s="40" t="e">
        <f>ROUND(#REF!*F59,0)</f>
        <v>#REF!</v>
      </c>
      <c r="R59" s="41" t="e">
        <f>ROUND(#REF!*F59,0) + 37</f>
        <v>#REF!</v>
      </c>
      <c r="S59" s="41" t="e">
        <f>ROUND(#REF!*F59,0)</f>
        <v>#REF!</v>
      </c>
      <c r="T59" s="42" t="e">
        <f>ROUND(#REF!*F59,0)</f>
        <v>#REF!</v>
      </c>
      <c r="U59" s="43" t="e">
        <f t="shared" si="30"/>
        <v>#REF!</v>
      </c>
      <c r="V59" s="44"/>
      <c r="W59" s="27">
        <v>40</v>
      </c>
      <c r="AG59" s="45"/>
      <c r="AH59" s="46" t="str">
        <f t="shared" si="24"/>
        <v>CAP. 4: PISOS Y ENCHAPES</v>
      </c>
      <c r="AI59" s="47">
        <f t="shared" si="25"/>
        <v>55</v>
      </c>
      <c r="AJ59" s="47"/>
      <c r="AK59" s="47"/>
      <c r="AL59" s="48"/>
      <c r="AM59" s="49"/>
      <c r="AP59" s="50">
        <f t="shared" si="31"/>
        <v>100.62</v>
      </c>
      <c r="AQ59" s="51"/>
      <c r="AR59" s="52">
        <f t="shared" si="32"/>
        <v>100.62</v>
      </c>
      <c r="AS59" s="53">
        <f t="shared" si="33"/>
        <v>119582</v>
      </c>
      <c r="AT59" s="54">
        <f t="shared" si="34"/>
        <v>12032341</v>
      </c>
      <c r="AV59" s="55"/>
    </row>
    <row r="60" spans="1:48" x14ac:dyDescent="0.3">
      <c r="A60" s="165" t="s">
        <v>198</v>
      </c>
      <c r="B60" s="474" t="s">
        <v>198</v>
      </c>
      <c r="C60" s="206" t="s">
        <v>199</v>
      </c>
      <c r="D60" s="167" t="s">
        <v>200</v>
      </c>
      <c r="E60" s="168" t="s">
        <v>112</v>
      </c>
      <c r="F60" s="169">
        <v>553.47</v>
      </c>
      <c r="G60" s="497">
        <v>226394</v>
      </c>
      <c r="H60" s="34">
        <f t="shared" si="26"/>
        <v>125302287</v>
      </c>
      <c r="I60" s="35" t="e">
        <f>#REF!</f>
        <v>#REF!</v>
      </c>
      <c r="J60" s="33" t="e">
        <f>#REF!</f>
        <v>#REF!</v>
      </c>
      <c r="K60" s="33">
        <v>1</v>
      </c>
      <c r="L60" s="33" t="e">
        <f>ROUNDUP(#REF!/$K$60,0)</f>
        <v>#REF!</v>
      </c>
      <c r="M60" s="36" t="e">
        <f t="shared" si="27"/>
        <v>#REF!</v>
      </c>
      <c r="N60" s="37" t="e">
        <f t="shared" si="28"/>
        <v>#REF!</v>
      </c>
      <c r="O60" s="38">
        <f t="shared" si="29"/>
        <v>125302287</v>
      </c>
      <c r="P60" s="39"/>
      <c r="Q60" s="40" t="e">
        <f>ROUND(#REF!*F60,0)</f>
        <v>#REF!</v>
      </c>
      <c r="R60" s="41" t="e">
        <f>ROUND(#REF!*F60,0)</f>
        <v>#REF!</v>
      </c>
      <c r="S60" s="41" t="e">
        <f>ROUND(#REF!*F60,0)</f>
        <v>#REF!</v>
      </c>
      <c r="T60" s="42" t="e">
        <f>ROUND(#REF!*F60,0)</f>
        <v>#REF!</v>
      </c>
      <c r="U60" s="43" t="e">
        <f t="shared" si="30"/>
        <v>#REF!</v>
      </c>
      <c r="V60" s="44"/>
      <c r="W60" s="27">
        <v>41</v>
      </c>
      <c r="AG60" s="45"/>
      <c r="AH60" s="46" t="str">
        <f t="shared" si="24"/>
        <v>CAP. 4: PISOS Y ENCHAPES</v>
      </c>
      <c r="AI60" s="47">
        <f t="shared" si="25"/>
        <v>55</v>
      </c>
      <c r="AJ60" s="47"/>
      <c r="AK60" s="47"/>
      <c r="AL60" s="48"/>
      <c r="AM60" s="49"/>
      <c r="AP60" s="50">
        <f t="shared" si="31"/>
        <v>553.47</v>
      </c>
      <c r="AQ60" s="51"/>
      <c r="AR60" s="52">
        <f t="shared" si="32"/>
        <v>553.47</v>
      </c>
      <c r="AS60" s="53">
        <f t="shared" si="33"/>
        <v>226394</v>
      </c>
      <c r="AT60" s="54">
        <f t="shared" si="34"/>
        <v>125302287</v>
      </c>
      <c r="AV60" s="55"/>
    </row>
    <row r="61" spans="1:48" x14ac:dyDescent="0.3">
      <c r="A61" s="165" t="s">
        <v>201</v>
      </c>
      <c r="B61" s="474" t="s">
        <v>201</v>
      </c>
      <c r="C61" s="206" t="s">
        <v>202</v>
      </c>
      <c r="D61" s="167" t="s">
        <v>203</v>
      </c>
      <c r="E61" s="168" t="s">
        <v>33</v>
      </c>
      <c r="F61" s="169">
        <v>215</v>
      </c>
      <c r="G61" s="497">
        <v>52339</v>
      </c>
      <c r="H61" s="34">
        <f t="shared" si="26"/>
        <v>11252885</v>
      </c>
      <c r="I61" s="35" t="e">
        <f>#REF!</f>
        <v>#REF!</v>
      </c>
      <c r="J61" s="33" t="e">
        <f>#REF!</f>
        <v>#REF!</v>
      </c>
      <c r="K61" s="33">
        <v>1</v>
      </c>
      <c r="L61" s="33" t="e">
        <f>ROUNDUP(#REF!/$K$61,0)</f>
        <v>#REF!</v>
      </c>
      <c r="M61" s="36" t="e">
        <f t="shared" si="27"/>
        <v>#REF!</v>
      </c>
      <c r="N61" s="37" t="e">
        <f t="shared" si="28"/>
        <v>#REF!</v>
      </c>
      <c r="O61" s="38">
        <f t="shared" si="29"/>
        <v>11252885</v>
      </c>
      <c r="P61" s="39"/>
      <c r="Q61" s="40" t="e">
        <f>ROUND(#REF!*F61,0)</f>
        <v>#REF!</v>
      </c>
      <c r="R61" s="41" t="e">
        <f>ROUND(#REF!*F61,0) + 71</f>
        <v>#REF!</v>
      </c>
      <c r="S61" s="41" t="e">
        <f>ROUND(#REF!*F61,0)</f>
        <v>#REF!</v>
      </c>
      <c r="T61" s="42" t="e">
        <f>ROUND(#REF!*F61,0)</f>
        <v>#REF!</v>
      </c>
      <c r="U61" s="43" t="e">
        <f t="shared" si="30"/>
        <v>#REF!</v>
      </c>
      <c r="V61" s="44"/>
      <c r="W61" s="27">
        <v>42</v>
      </c>
      <c r="AG61" s="45"/>
      <c r="AH61" s="46" t="str">
        <f t="shared" si="24"/>
        <v>CAP. 4: PISOS Y ENCHAPES</v>
      </c>
      <c r="AI61" s="47">
        <f t="shared" si="25"/>
        <v>55</v>
      </c>
      <c r="AJ61" s="47"/>
      <c r="AK61" s="47"/>
      <c r="AL61" s="48"/>
      <c r="AM61" s="49"/>
      <c r="AP61" s="50">
        <f t="shared" si="31"/>
        <v>215</v>
      </c>
      <c r="AQ61" s="51"/>
      <c r="AR61" s="52">
        <f t="shared" si="32"/>
        <v>215</v>
      </c>
      <c r="AS61" s="53">
        <f t="shared" si="33"/>
        <v>52339</v>
      </c>
      <c r="AT61" s="54">
        <f t="shared" si="34"/>
        <v>11252885</v>
      </c>
      <c r="AV61" s="55"/>
    </row>
    <row r="62" spans="1:48" x14ac:dyDescent="0.3">
      <c r="A62" s="170" t="s">
        <v>204</v>
      </c>
      <c r="B62" s="475" t="s">
        <v>204</v>
      </c>
      <c r="C62" s="207" t="s">
        <v>205</v>
      </c>
      <c r="D62" s="172" t="s">
        <v>206</v>
      </c>
      <c r="E62" s="173" t="s">
        <v>112</v>
      </c>
      <c r="F62" s="174">
        <v>73.64</v>
      </c>
      <c r="G62" s="497">
        <v>28780</v>
      </c>
      <c r="H62" s="34">
        <f t="shared" si="26"/>
        <v>2119359</v>
      </c>
      <c r="I62" s="35" t="e">
        <f>#REF!</f>
        <v>#REF!</v>
      </c>
      <c r="J62" s="33" t="e">
        <f>#REF!</f>
        <v>#REF!</v>
      </c>
      <c r="K62" s="33">
        <v>1</v>
      </c>
      <c r="L62" s="33" t="e">
        <f>ROUNDUP(#REF!/$K$62,0)</f>
        <v>#REF!</v>
      </c>
      <c r="M62" s="36" t="e">
        <f t="shared" si="27"/>
        <v>#REF!</v>
      </c>
      <c r="N62" s="37" t="e">
        <f t="shared" si="28"/>
        <v>#REF!</v>
      </c>
      <c r="O62" s="38">
        <f t="shared" si="29"/>
        <v>2119359</v>
      </c>
      <c r="P62" s="39"/>
      <c r="Q62" s="40" t="e">
        <f>ROUND(#REF!*F62,0)</f>
        <v>#REF!</v>
      </c>
      <c r="R62" s="41" t="e">
        <f>ROUND(#REF!*F62,0)</f>
        <v>#REF!</v>
      </c>
      <c r="S62" s="41" t="e">
        <f>ROUND(#REF!*F62,0)</f>
        <v>#REF!</v>
      </c>
      <c r="T62" s="42" t="e">
        <f>ROUND(#REF!*F62,0) + 26</f>
        <v>#REF!</v>
      </c>
      <c r="U62" s="43" t="e">
        <f t="shared" si="30"/>
        <v>#REF!</v>
      </c>
      <c r="V62" s="44"/>
      <c r="W62" s="27">
        <v>43</v>
      </c>
      <c r="AG62" s="45"/>
      <c r="AH62" s="46" t="str">
        <f t="shared" si="24"/>
        <v>CAP. 4: PISOS Y ENCHAPES</v>
      </c>
      <c r="AI62" s="47">
        <f t="shared" si="25"/>
        <v>55</v>
      </c>
      <c r="AJ62" s="47"/>
      <c r="AK62" s="47"/>
      <c r="AL62" s="48"/>
      <c r="AM62" s="49"/>
      <c r="AP62" s="50">
        <f t="shared" si="31"/>
        <v>73.64</v>
      </c>
      <c r="AQ62" s="51"/>
      <c r="AR62" s="52">
        <f t="shared" si="32"/>
        <v>73.64</v>
      </c>
      <c r="AS62" s="53">
        <f t="shared" si="33"/>
        <v>28780</v>
      </c>
      <c r="AT62" s="54">
        <f t="shared" si="34"/>
        <v>2119359</v>
      </c>
      <c r="AV62" s="55"/>
    </row>
    <row r="63" spans="1:48" x14ac:dyDescent="0.3">
      <c r="A63" s="175"/>
      <c r="B63" s="175"/>
      <c r="C63" s="208"/>
      <c r="D63" s="177"/>
      <c r="E63" s="178"/>
      <c r="F63" s="179"/>
      <c r="G63" s="503"/>
      <c r="H63" s="181"/>
      <c r="I63" s="182"/>
      <c r="J63" s="180"/>
      <c r="K63" s="180"/>
      <c r="L63" s="180"/>
      <c r="M63" s="183"/>
      <c r="N63" s="184"/>
      <c r="O63" s="185"/>
      <c r="P63" s="39"/>
      <c r="Q63" s="40"/>
      <c r="R63" s="41"/>
      <c r="S63" s="41"/>
      <c r="T63" s="42"/>
      <c r="U63" s="43"/>
      <c r="V63" s="44"/>
      <c r="W63" s="27"/>
      <c r="AG63" s="45"/>
      <c r="AH63" s="46" t="str">
        <f t="shared" si="24"/>
        <v>CAP. 4: PISOS Y ENCHAPES</v>
      </c>
      <c r="AI63" s="47">
        <f t="shared" si="25"/>
        <v>55</v>
      </c>
      <c r="AJ63" s="47"/>
      <c r="AK63" s="47"/>
      <c r="AL63" s="48"/>
      <c r="AM63" s="49"/>
      <c r="AP63" s="50"/>
      <c r="AQ63" s="51"/>
      <c r="AR63" s="52"/>
      <c r="AS63" s="158"/>
      <c r="AT63" s="159"/>
      <c r="AV63" s="55"/>
    </row>
    <row r="64" spans="1:48" ht="15" thickBot="1" x14ac:dyDescent="0.35">
      <c r="A64" s="186" t="s">
        <v>135</v>
      </c>
      <c r="B64" s="186" t="s">
        <v>135</v>
      </c>
      <c r="C64" s="209"/>
      <c r="D64" s="188"/>
      <c r="E64" s="189"/>
      <c r="F64" s="190"/>
      <c r="G64" s="499" t="s">
        <v>738</v>
      </c>
      <c r="H64" s="192">
        <f>SUM(H56:H63)</f>
        <v>203542634</v>
      </c>
      <c r="I64" s="182"/>
      <c r="J64" s="180"/>
      <c r="K64" s="180"/>
      <c r="L64" s="180"/>
      <c r="M64" s="183"/>
      <c r="N64" s="184"/>
      <c r="O64" s="193">
        <f>SUM(O56:O63)</f>
        <v>203542634</v>
      </c>
      <c r="P64" s="39"/>
      <c r="Q64" s="194" t="e">
        <f>SUM(Q55:Q63)</f>
        <v>#REF!</v>
      </c>
      <c r="R64" s="195" t="e">
        <f>SUM(R55:R63)</f>
        <v>#REF!</v>
      </c>
      <c r="S64" s="195" t="e">
        <f>SUM(S55:S63)</f>
        <v>#REF!</v>
      </c>
      <c r="T64" s="196" t="e">
        <f>SUM(T55:T63)</f>
        <v>#REF!</v>
      </c>
      <c r="U64" s="197" t="e">
        <f>SUM(U55:U63)</f>
        <v>#REF!</v>
      </c>
      <c r="V64" s="44"/>
      <c r="W64" s="27"/>
      <c r="AG64" s="45"/>
      <c r="AH64" s="46" t="str">
        <f t="shared" si="24"/>
        <v>CAP. 4: PISOS Y ENCHAPES</v>
      </c>
      <c r="AI64" s="47">
        <f t="shared" si="25"/>
        <v>55</v>
      </c>
      <c r="AJ64" s="47"/>
      <c r="AK64" s="47"/>
      <c r="AL64" s="48"/>
      <c r="AM64" s="49"/>
      <c r="AP64" s="198"/>
      <c r="AQ64" s="199"/>
      <c r="AR64" s="199"/>
      <c r="AS64" s="199"/>
      <c r="AT64" s="200">
        <f>SUM(AT56:AT63)</f>
        <v>203542634</v>
      </c>
      <c r="AV64" s="55"/>
    </row>
    <row r="65" spans="1:48" ht="22.95" customHeight="1" thickBot="1" x14ac:dyDescent="0.35">
      <c r="A65" s="78"/>
      <c r="B65" s="78"/>
      <c r="C65" s="131"/>
      <c r="D65" s="128"/>
      <c r="E65" s="129"/>
      <c r="F65" s="130"/>
      <c r="G65" s="500"/>
      <c r="H65" s="201"/>
      <c r="W65" s="27"/>
      <c r="AG65" s="45"/>
      <c r="AH65" s="46"/>
      <c r="AI65" s="47"/>
      <c r="AJ65" s="47"/>
      <c r="AK65" s="47"/>
      <c r="AL65" s="48"/>
      <c r="AM65" s="49"/>
      <c r="AV65" s="55"/>
    </row>
    <row r="66" spans="1:48" ht="15.6" x14ac:dyDescent="0.3">
      <c r="A66" s="133" t="s">
        <v>97</v>
      </c>
      <c r="B66" s="133" t="s">
        <v>97</v>
      </c>
      <c r="C66" s="202" t="s">
        <v>207</v>
      </c>
      <c r="D66" s="203" t="s">
        <v>208</v>
      </c>
      <c r="E66" s="136"/>
      <c r="F66" s="136"/>
      <c r="G66" s="501"/>
      <c r="H66" s="137">
        <f>SUM(H67:H74)</f>
        <v>89161067</v>
      </c>
      <c r="I66" s="27"/>
      <c r="J66" s="27"/>
      <c r="K66" s="27"/>
      <c r="L66" s="27"/>
      <c r="M66" s="27"/>
      <c r="N66" s="27"/>
      <c r="O66" s="138">
        <f>SUM(O67:O74)</f>
        <v>89161067</v>
      </c>
      <c r="P66" s="44"/>
      <c r="Q66" s="139"/>
      <c r="R66" s="140"/>
      <c r="S66" s="140"/>
      <c r="T66" s="141"/>
      <c r="U66" s="142"/>
      <c r="V66" s="44">
        <f>IF(H66&lt;&gt;"",O66-H66*$O$2,0)</f>
        <v>0</v>
      </c>
      <c r="W66" s="143" t="s">
        <v>100</v>
      </c>
      <c r="AG66" s="45"/>
      <c r="AH66" s="46" t="str">
        <f t="shared" ref="AH66:AH75" si="35">"CAP. " &amp; $C$66 &amp; ": " &amp; $D$66</f>
        <v>CAP. 5: ESTUCO Y PINTURA</v>
      </c>
      <c r="AI66" s="47">
        <f t="shared" ref="AI66:AI75" si="36">ROW($C$66)</f>
        <v>66</v>
      </c>
      <c r="AJ66" s="47"/>
      <c r="AK66" s="47"/>
      <c r="AL66" s="48"/>
      <c r="AM66" s="49"/>
      <c r="AP66" s="144"/>
      <c r="AQ66" s="145"/>
      <c r="AR66" s="145"/>
      <c r="AS66" s="145"/>
      <c r="AT66" s="146">
        <f>SUM(AT67:AT74)</f>
        <v>89161067</v>
      </c>
      <c r="AV66" s="55"/>
    </row>
    <row r="67" spans="1:48" hidden="1" x14ac:dyDescent="0.3">
      <c r="A67" s="147" t="s">
        <v>101</v>
      </c>
      <c r="B67" s="147" t="s">
        <v>101</v>
      </c>
      <c r="C67" s="204"/>
      <c r="D67" s="149"/>
      <c r="E67" s="150"/>
      <c r="F67" s="151"/>
      <c r="G67" s="496"/>
      <c r="H67" s="153"/>
      <c r="I67" s="154"/>
      <c r="J67" s="152"/>
      <c r="K67" s="152"/>
      <c r="L67" s="152"/>
      <c r="M67" s="155"/>
      <c r="N67" s="156"/>
      <c r="O67" s="157"/>
      <c r="P67" s="39"/>
      <c r="Q67" s="40"/>
      <c r="R67" s="41"/>
      <c r="S67" s="41"/>
      <c r="T67" s="42"/>
      <c r="U67" s="43"/>
      <c r="V67" s="44"/>
      <c r="W67" s="27"/>
      <c r="AG67" s="45"/>
      <c r="AH67" s="46" t="str">
        <f t="shared" si="35"/>
        <v>CAP. 5: ESTUCO Y PINTURA</v>
      </c>
      <c r="AI67" s="47">
        <f t="shared" si="36"/>
        <v>66</v>
      </c>
      <c r="AJ67" s="47"/>
      <c r="AK67" s="47"/>
      <c r="AL67" s="48"/>
      <c r="AM67" s="49"/>
      <c r="AP67" s="50"/>
      <c r="AQ67" s="51"/>
      <c r="AR67" s="52"/>
      <c r="AS67" s="158"/>
      <c r="AT67" s="159"/>
      <c r="AV67" s="55"/>
    </row>
    <row r="68" spans="1:48" x14ac:dyDescent="0.3">
      <c r="A68" s="160" t="s">
        <v>209</v>
      </c>
      <c r="B68" s="473" t="s">
        <v>209</v>
      </c>
      <c r="C68" s="205" t="s">
        <v>210</v>
      </c>
      <c r="D68" s="162" t="s">
        <v>211</v>
      </c>
      <c r="E68" s="163" t="s">
        <v>112</v>
      </c>
      <c r="F68" s="164">
        <v>1105.79</v>
      </c>
      <c r="G68" s="497">
        <v>23953</v>
      </c>
      <c r="H68" s="34">
        <f t="shared" ref="H68:H73" si="37">ROUND(F68 * G68,$K$2)</f>
        <v>26486988</v>
      </c>
      <c r="I68" s="35" t="e">
        <f>#REF!</f>
        <v>#REF!</v>
      </c>
      <c r="J68" s="33" t="e">
        <f>#REF!</f>
        <v>#REF!</v>
      </c>
      <c r="K68" s="33">
        <v>1</v>
      </c>
      <c r="L68" s="33" t="e">
        <f>ROUNDUP(#REF!/$K$68,0)</f>
        <v>#REF!</v>
      </c>
      <c r="M68" s="36" t="e">
        <f t="shared" ref="M68:M73" si="38">ROUND(J68 * F68,$K$2)</f>
        <v>#REF!</v>
      </c>
      <c r="N68" s="37" t="e">
        <f t="shared" ref="N68:N73" si="39">ROUND(I68 * F68,$K$2)</f>
        <v>#REF!</v>
      </c>
      <c r="O68" s="38">
        <f t="shared" ref="O68:O73" si="40">H68*$O$2</f>
        <v>26486988</v>
      </c>
      <c r="P68" s="39"/>
      <c r="Q68" s="40" t="e">
        <f>ROUND(#REF!*F68,0)</f>
        <v>#REF!</v>
      </c>
      <c r="R68" s="41" t="e">
        <f>ROUND(#REF!*F68,0)</f>
        <v>#REF!</v>
      </c>
      <c r="S68" s="41" t="e">
        <f>ROUND(#REF!*F68,0)</f>
        <v>#REF!</v>
      </c>
      <c r="T68" s="42" t="e">
        <f>ROUND(#REF!*F68,0)</f>
        <v>#REF!</v>
      </c>
      <c r="U68" s="43" t="e">
        <f t="shared" ref="U68:U73" si="41">Q68+R68+S68+T68</f>
        <v>#REF!</v>
      </c>
      <c r="V68" s="44"/>
      <c r="W68" s="27">
        <v>45</v>
      </c>
      <c r="AG68" s="45"/>
      <c r="AH68" s="46" t="str">
        <f t="shared" si="35"/>
        <v>CAP. 5: ESTUCO Y PINTURA</v>
      </c>
      <c r="AI68" s="47">
        <f t="shared" si="36"/>
        <v>66</v>
      </c>
      <c r="AJ68" s="47"/>
      <c r="AK68" s="47"/>
      <c r="AL68" s="48"/>
      <c r="AM68" s="49"/>
      <c r="AP68" s="50">
        <f t="shared" ref="AP68:AP73" si="42">F68</f>
        <v>1105.79</v>
      </c>
      <c r="AQ68" s="51"/>
      <c r="AR68" s="52">
        <f t="shared" ref="AR68:AR73" si="43">AP68+AQ68</f>
        <v>1105.79</v>
      </c>
      <c r="AS68" s="53">
        <f t="shared" ref="AS68:AS73" si="44">G68</f>
        <v>23953</v>
      </c>
      <c r="AT68" s="54">
        <f t="shared" ref="AT68:AT73" si="45">ROUND(AR68 * AS68,$K$2)</f>
        <v>26486988</v>
      </c>
      <c r="AV68" s="55"/>
    </row>
    <row r="69" spans="1:48" x14ac:dyDescent="0.3">
      <c r="A69" s="165" t="s">
        <v>212</v>
      </c>
      <c r="B69" s="474" t="s">
        <v>212</v>
      </c>
      <c r="C69" s="206" t="s">
        <v>213</v>
      </c>
      <c r="D69" s="167" t="s">
        <v>214</v>
      </c>
      <c r="E69" s="168" t="s">
        <v>112</v>
      </c>
      <c r="F69" s="169">
        <v>424.07999999999993</v>
      </c>
      <c r="G69" s="497">
        <v>28393</v>
      </c>
      <c r="H69" s="34">
        <f t="shared" si="37"/>
        <v>12040903</v>
      </c>
      <c r="I69" s="35" t="e">
        <f>#REF!</f>
        <v>#REF!</v>
      </c>
      <c r="J69" s="33" t="e">
        <f>#REF!</f>
        <v>#REF!</v>
      </c>
      <c r="K69" s="33">
        <v>1</v>
      </c>
      <c r="L69" s="33" t="e">
        <f>ROUNDUP(#REF!/$K$69,0)</f>
        <v>#REF!</v>
      </c>
      <c r="M69" s="36" t="e">
        <f t="shared" si="38"/>
        <v>#REF!</v>
      </c>
      <c r="N69" s="37" t="e">
        <f t="shared" si="39"/>
        <v>#REF!</v>
      </c>
      <c r="O69" s="38">
        <f t="shared" si="40"/>
        <v>12040903</v>
      </c>
      <c r="P69" s="39"/>
      <c r="Q69" s="40" t="e">
        <f>ROUND(#REF!*F69,0)</f>
        <v>#REF!</v>
      </c>
      <c r="R69" s="41" t="e">
        <f>ROUND(#REF!*F69,0)</f>
        <v>#REF!</v>
      </c>
      <c r="S69" s="41" t="e">
        <f>ROUND(#REF!*F69,0)</f>
        <v>#REF!</v>
      </c>
      <c r="T69" s="42" t="e">
        <f>ROUND(#REF!*F69,0)</f>
        <v>#REF!</v>
      </c>
      <c r="U69" s="43" t="e">
        <f t="shared" si="41"/>
        <v>#REF!</v>
      </c>
      <c r="V69" s="44"/>
      <c r="W69" s="27">
        <v>46</v>
      </c>
      <c r="AG69" s="45"/>
      <c r="AH69" s="46" t="str">
        <f t="shared" si="35"/>
        <v>CAP. 5: ESTUCO Y PINTURA</v>
      </c>
      <c r="AI69" s="47">
        <f t="shared" si="36"/>
        <v>66</v>
      </c>
      <c r="AJ69" s="47"/>
      <c r="AK69" s="47"/>
      <c r="AL69" s="48"/>
      <c r="AM69" s="49"/>
      <c r="AP69" s="50">
        <f t="shared" si="42"/>
        <v>424.07999999999993</v>
      </c>
      <c r="AQ69" s="51"/>
      <c r="AR69" s="52">
        <f t="shared" si="43"/>
        <v>424.07999999999993</v>
      </c>
      <c r="AS69" s="53">
        <f t="shared" si="44"/>
        <v>28393</v>
      </c>
      <c r="AT69" s="54">
        <f t="shared" si="45"/>
        <v>12040903</v>
      </c>
      <c r="AV69" s="55"/>
    </row>
    <row r="70" spans="1:48" x14ac:dyDescent="0.3">
      <c r="A70" s="165" t="s">
        <v>215</v>
      </c>
      <c r="B70" s="474" t="s">
        <v>215</v>
      </c>
      <c r="C70" s="206" t="s">
        <v>216</v>
      </c>
      <c r="D70" s="167" t="s">
        <v>217</v>
      </c>
      <c r="E70" s="168" t="s">
        <v>112</v>
      </c>
      <c r="F70" s="169">
        <v>1105.79</v>
      </c>
      <c r="G70" s="497">
        <v>22486</v>
      </c>
      <c r="H70" s="34">
        <f t="shared" si="37"/>
        <v>24864794</v>
      </c>
      <c r="I70" s="35" t="e">
        <f>#REF!</f>
        <v>#REF!</v>
      </c>
      <c r="J70" s="33" t="e">
        <f>#REF!</f>
        <v>#REF!</v>
      </c>
      <c r="K70" s="33">
        <v>1</v>
      </c>
      <c r="L70" s="33" t="e">
        <f>ROUNDUP(#REF!/$K$70,0)</f>
        <v>#REF!</v>
      </c>
      <c r="M70" s="36" t="e">
        <f t="shared" si="38"/>
        <v>#REF!</v>
      </c>
      <c r="N70" s="37" t="e">
        <f t="shared" si="39"/>
        <v>#REF!</v>
      </c>
      <c r="O70" s="38">
        <f t="shared" si="40"/>
        <v>24864794</v>
      </c>
      <c r="P70" s="39"/>
      <c r="Q70" s="40" t="e">
        <f>ROUND(#REF!*F70,0)</f>
        <v>#REF!</v>
      </c>
      <c r="R70" s="41" t="e">
        <f>ROUND(#REF!*F70,0) + 387</f>
        <v>#REF!</v>
      </c>
      <c r="S70" s="41" t="e">
        <f>ROUND(#REF!*F70,0)</f>
        <v>#REF!</v>
      </c>
      <c r="T70" s="42" t="e">
        <f>ROUND(#REF!*F70,0)</f>
        <v>#REF!</v>
      </c>
      <c r="U70" s="43" t="e">
        <f t="shared" si="41"/>
        <v>#REF!</v>
      </c>
      <c r="V70" s="44"/>
      <c r="W70" s="27">
        <v>47</v>
      </c>
      <c r="AG70" s="45"/>
      <c r="AH70" s="46" t="str">
        <f t="shared" si="35"/>
        <v>CAP. 5: ESTUCO Y PINTURA</v>
      </c>
      <c r="AI70" s="47">
        <f t="shared" si="36"/>
        <v>66</v>
      </c>
      <c r="AJ70" s="47"/>
      <c r="AK70" s="47"/>
      <c r="AL70" s="48"/>
      <c r="AM70" s="49"/>
      <c r="AP70" s="50">
        <f t="shared" si="42"/>
        <v>1105.79</v>
      </c>
      <c r="AQ70" s="51"/>
      <c r="AR70" s="52">
        <f t="shared" si="43"/>
        <v>1105.79</v>
      </c>
      <c r="AS70" s="53">
        <f t="shared" si="44"/>
        <v>22486</v>
      </c>
      <c r="AT70" s="54">
        <f t="shared" si="45"/>
        <v>24864794</v>
      </c>
      <c r="AV70" s="55"/>
    </row>
    <row r="71" spans="1:48" x14ac:dyDescent="0.3">
      <c r="A71" s="165" t="s">
        <v>218</v>
      </c>
      <c r="B71" s="474" t="s">
        <v>218</v>
      </c>
      <c r="C71" s="206" t="s">
        <v>219</v>
      </c>
      <c r="D71" s="167" t="s">
        <v>220</v>
      </c>
      <c r="E71" s="168" t="s">
        <v>112</v>
      </c>
      <c r="F71" s="169">
        <v>38</v>
      </c>
      <c r="G71" s="497">
        <v>52970</v>
      </c>
      <c r="H71" s="34">
        <f t="shared" si="37"/>
        <v>2012860</v>
      </c>
      <c r="I71" s="35" t="e">
        <f>#REF!</f>
        <v>#REF!</v>
      </c>
      <c r="J71" s="33" t="e">
        <f>#REF!</f>
        <v>#REF!</v>
      </c>
      <c r="K71" s="33">
        <v>1</v>
      </c>
      <c r="L71" s="33" t="e">
        <f>ROUNDUP(#REF!/$K$71,0)</f>
        <v>#REF!</v>
      </c>
      <c r="M71" s="36" t="e">
        <f t="shared" si="38"/>
        <v>#REF!</v>
      </c>
      <c r="N71" s="37" t="e">
        <f t="shared" si="39"/>
        <v>#REF!</v>
      </c>
      <c r="O71" s="38">
        <f t="shared" si="40"/>
        <v>2012860</v>
      </c>
      <c r="P71" s="39"/>
      <c r="Q71" s="40" t="e">
        <f>ROUND(#REF!*F71,0)</f>
        <v>#REF!</v>
      </c>
      <c r="R71" s="41" t="e">
        <f>ROUND(#REF!*F71,0) + 1</f>
        <v>#REF!</v>
      </c>
      <c r="S71" s="41" t="e">
        <f>ROUND(#REF!*F71,0)</f>
        <v>#REF!</v>
      </c>
      <c r="T71" s="42" t="e">
        <f>ROUND(#REF!*F71,0)</f>
        <v>#REF!</v>
      </c>
      <c r="U71" s="43" t="e">
        <f t="shared" si="41"/>
        <v>#REF!</v>
      </c>
      <c r="V71" s="44"/>
      <c r="W71" s="27">
        <v>48</v>
      </c>
      <c r="AG71" s="45"/>
      <c r="AH71" s="46" t="str">
        <f t="shared" si="35"/>
        <v>CAP. 5: ESTUCO Y PINTURA</v>
      </c>
      <c r="AI71" s="47">
        <f t="shared" si="36"/>
        <v>66</v>
      </c>
      <c r="AJ71" s="47"/>
      <c r="AK71" s="47"/>
      <c r="AL71" s="48"/>
      <c r="AM71" s="49"/>
      <c r="AP71" s="50">
        <f t="shared" si="42"/>
        <v>38</v>
      </c>
      <c r="AQ71" s="51"/>
      <c r="AR71" s="52">
        <f t="shared" si="43"/>
        <v>38</v>
      </c>
      <c r="AS71" s="53">
        <f t="shared" si="44"/>
        <v>52970</v>
      </c>
      <c r="AT71" s="54">
        <f t="shared" si="45"/>
        <v>2012860</v>
      </c>
      <c r="AV71" s="55"/>
    </row>
    <row r="72" spans="1:48" x14ac:dyDescent="0.3">
      <c r="A72" s="165" t="s">
        <v>221</v>
      </c>
      <c r="B72" s="474" t="s">
        <v>221</v>
      </c>
      <c r="C72" s="206" t="s">
        <v>222</v>
      </c>
      <c r="D72" s="167" t="s">
        <v>223</v>
      </c>
      <c r="E72" s="168" t="s">
        <v>112</v>
      </c>
      <c r="F72" s="169">
        <v>1105.79</v>
      </c>
      <c r="G72" s="497">
        <v>6225</v>
      </c>
      <c r="H72" s="34">
        <f t="shared" si="37"/>
        <v>6883543</v>
      </c>
      <c r="I72" s="35" t="e">
        <f>#REF!</f>
        <v>#REF!</v>
      </c>
      <c r="J72" s="33" t="e">
        <f>#REF!</f>
        <v>#REF!</v>
      </c>
      <c r="K72" s="33">
        <v>1</v>
      </c>
      <c r="L72" s="33" t="e">
        <f>ROUNDUP(#REF!/$K$72,0)</f>
        <v>#REF!</v>
      </c>
      <c r="M72" s="36" t="e">
        <f t="shared" si="38"/>
        <v>#REF!</v>
      </c>
      <c r="N72" s="37" t="e">
        <f t="shared" si="39"/>
        <v>#REF!</v>
      </c>
      <c r="O72" s="38">
        <f t="shared" si="40"/>
        <v>6883543</v>
      </c>
      <c r="P72" s="39"/>
      <c r="Q72" s="40" t="e">
        <f>ROUND(#REF!*F72,0)</f>
        <v>#REF!</v>
      </c>
      <c r="R72" s="41" t="e">
        <f>ROUND(#REF!*F72,0)</f>
        <v>#REF!</v>
      </c>
      <c r="S72" s="41" t="e">
        <f>ROUND(#REF!*F72,0)</f>
        <v>#REF!</v>
      </c>
      <c r="T72" s="42" t="e">
        <f>ROUND(#REF!*F72,0) + 55</f>
        <v>#REF!</v>
      </c>
      <c r="U72" s="43" t="e">
        <f t="shared" si="41"/>
        <v>#REF!</v>
      </c>
      <c r="V72" s="44"/>
      <c r="W72" s="27">
        <v>49</v>
      </c>
      <c r="AG72" s="45"/>
      <c r="AH72" s="46" t="str">
        <f t="shared" si="35"/>
        <v>CAP. 5: ESTUCO Y PINTURA</v>
      </c>
      <c r="AI72" s="47">
        <f t="shared" si="36"/>
        <v>66</v>
      </c>
      <c r="AJ72" s="47"/>
      <c r="AK72" s="47"/>
      <c r="AL72" s="48"/>
      <c r="AM72" s="49"/>
      <c r="AP72" s="50">
        <f t="shared" si="42"/>
        <v>1105.79</v>
      </c>
      <c r="AQ72" s="51"/>
      <c r="AR72" s="52">
        <f t="shared" si="43"/>
        <v>1105.79</v>
      </c>
      <c r="AS72" s="53">
        <f t="shared" si="44"/>
        <v>6225</v>
      </c>
      <c r="AT72" s="54">
        <f t="shared" si="45"/>
        <v>6883543</v>
      </c>
      <c r="AV72" s="55"/>
    </row>
    <row r="73" spans="1:48" x14ac:dyDescent="0.3">
      <c r="A73" s="170" t="s">
        <v>224</v>
      </c>
      <c r="B73" s="475" t="s">
        <v>224</v>
      </c>
      <c r="C73" s="207" t="s">
        <v>225</v>
      </c>
      <c r="D73" s="172" t="s">
        <v>226</v>
      </c>
      <c r="E73" s="173" t="s">
        <v>112</v>
      </c>
      <c r="F73" s="174">
        <v>553.47</v>
      </c>
      <c r="G73" s="497">
        <v>30484</v>
      </c>
      <c r="H73" s="34">
        <f t="shared" si="37"/>
        <v>16871979</v>
      </c>
      <c r="I73" s="35" t="e">
        <f>#REF!</f>
        <v>#REF!</v>
      </c>
      <c r="J73" s="33" t="e">
        <f>#REF!</f>
        <v>#REF!</v>
      </c>
      <c r="K73" s="33">
        <v>1</v>
      </c>
      <c r="L73" s="33" t="e">
        <f>ROUNDUP(#REF!/$K$73,0)</f>
        <v>#REF!</v>
      </c>
      <c r="M73" s="36" t="e">
        <f t="shared" si="38"/>
        <v>#REF!</v>
      </c>
      <c r="N73" s="37" t="e">
        <f t="shared" si="39"/>
        <v>#REF!</v>
      </c>
      <c r="O73" s="38">
        <f t="shared" si="40"/>
        <v>16871979</v>
      </c>
      <c r="P73" s="39"/>
      <c r="Q73" s="40" t="e">
        <f>ROUND(#REF!*F73,0)</f>
        <v>#REF!</v>
      </c>
      <c r="R73" s="41" t="e">
        <f>ROUND(#REF!*F73,0)</f>
        <v>#REF!</v>
      </c>
      <c r="S73" s="41" t="e">
        <f>ROUND(#REF!*F73,0)</f>
        <v>#REF!</v>
      </c>
      <c r="T73" s="42" t="e">
        <f>ROUND(#REF!*F73,0)</f>
        <v>#REF!</v>
      </c>
      <c r="U73" s="43" t="e">
        <f t="shared" si="41"/>
        <v>#REF!</v>
      </c>
      <c r="V73" s="44"/>
      <c r="W73" s="27">
        <v>50</v>
      </c>
      <c r="AG73" s="45"/>
      <c r="AH73" s="46" t="str">
        <f t="shared" si="35"/>
        <v>CAP. 5: ESTUCO Y PINTURA</v>
      </c>
      <c r="AI73" s="47">
        <f t="shared" si="36"/>
        <v>66</v>
      </c>
      <c r="AJ73" s="47"/>
      <c r="AK73" s="47"/>
      <c r="AL73" s="48"/>
      <c r="AM73" s="49"/>
      <c r="AP73" s="50">
        <f t="shared" si="42"/>
        <v>553.47</v>
      </c>
      <c r="AQ73" s="51"/>
      <c r="AR73" s="52">
        <f t="shared" si="43"/>
        <v>553.47</v>
      </c>
      <c r="AS73" s="53">
        <f t="shared" si="44"/>
        <v>30484</v>
      </c>
      <c r="AT73" s="54">
        <f t="shared" si="45"/>
        <v>16871979</v>
      </c>
      <c r="AV73" s="55"/>
    </row>
    <row r="74" spans="1:48" x14ac:dyDescent="0.3">
      <c r="A74" s="175"/>
      <c r="B74" s="175"/>
      <c r="C74" s="208"/>
      <c r="D74" s="177"/>
      <c r="E74" s="178"/>
      <c r="F74" s="179"/>
      <c r="G74" s="503"/>
      <c r="H74" s="181"/>
      <c r="I74" s="182"/>
      <c r="J74" s="180"/>
      <c r="K74" s="180"/>
      <c r="L74" s="180"/>
      <c r="M74" s="183"/>
      <c r="N74" s="184"/>
      <c r="O74" s="185"/>
      <c r="P74" s="39"/>
      <c r="Q74" s="40"/>
      <c r="R74" s="41"/>
      <c r="S74" s="41"/>
      <c r="T74" s="42"/>
      <c r="U74" s="43"/>
      <c r="V74" s="44"/>
      <c r="W74" s="27"/>
      <c r="AG74" s="45"/>
      <c r="AH74" s="46" t="str">
        <f t="shared" si="35"/>
        <v>CAP. 5: ESTUCO Y PINTURA</v>
      </c>
      <c r="AI74" s="47">
        <f t="shared" si="36"/>
        <v>66</v>
      </c>
      <c r="AJ74" s="47"/>
      <c r="AK74" s="47"/>
      <c r="AL74" s="48"/>
      <c r="AM74" s="49"/>
      <c r="AP74" s="50"/>
      <c r="AQ74" s="51"/>
      <c r="AR74" s="52"/>
      <c r="AS74" s="158"/>
      <c r="AT74" s="159"/>
      <c r="AV74" s="55"/>
    </row>
    <row r="75" spans="1:48" ht="15" thickBot="1" x14ac:dyDescent="0.35">
      <c r="A75" s="186" t="s">
        <v>135</v>
      </c>
      <c r="B75" s="186" t="s">
        <v>135</v>
      </c>
      <c r="C75" s="209"/>
      <c r="D75" s="188"/>
      <c r="E75" s="189"/>
      <c r="F75" s="190"/>
      <c r="G75" s="499" t="s">
        <v>739</v>
      </c>
      <c r="H75" s="192">
        <f>SUM(H67:H74)</f>
        <v>89161067</v>
      </c>
      <c r="I75" s="182"/>
      <c r="J75" s="180"/>
      <c r="K75" s="180"/>
      <c r="L75" s="180"/>
      <c r="M75" s="183"/>
      <c r="N75" s="184"/>
      <c r="O75" s="193">
        <f>SUM(O67:O74)</f>
        <v>89161067</v>
      </c>
      <c r="P75" s="39"/>
      <c r="Q75" s="194" t="e">
        <f>SUM(Q66:Q74)</f>
        <v>#REF!</v>
      </c>
      <c r="R75" s="195" t="e">
        <f>SUM(R66:R74)</f>
        <v>#REF!</v>
      </c>
      <c r="S75" s="195" t="e">
        <f>SUM(S66:S74)</f>
        <v>#REF!</v>
      </c>
      <c r="T75" s="196" t="e">
        <f>SUM(T66:T74)</f>
        <v>#REF!</v>
      </c>
      <c r="U75" s="197" t="e">
        <f>SUM(U66:U74)</f>
        <v>#REF!</v>
      </c>
      <c r="V75" s="44"/>
      <c r="W75" s="27"/>
      <c r="AG75" s="45"/>
      <c r="AH75" s="46" t="str">
        <f t="shared" si="35"/>
        <v>CAP. 5: ESTUCO Y PINTURA</v>
      </c>
      <c r="AI75" s="47">
        <f t="shared" si="36"/>
        <v>66</v>
      </c>
      <c r="AJ75" s="47"/>
      <c r="AK75" s="47"/>
      <c r="AL75" s="48"/>
      <c r="AM75" s="49"/>
      <c r="AP75" s="198"/>
      <c r="AQ75" s="199"/>
      <c r="AR75" s="199"/>
      <c r="AS75" s="199"/>
      <c r="AT75" s="200">
        <f>SUM(AT67:AT74)</f>
        <v>89161067</v>
      </c>
      <c r="AV75" s="55"/>
    </row>
    <row r="76" spans="1:48" ht="22.95" customHeight="1" thickBot="1" x14ac:dyDescent="0.35">
      <c r="A76" s="78"/>
      <c r="B76" s="78"/>
      <c r="C76" s="131"/>
      <c r="D76" s="128"/>
      <c r="E76" s="129"/>
      <c r="F76" s="130"/>
      <c r="G76" s="500"/>
      <c r="H76" s="201"/>
      <c r="W76" s="27"/>
      <c r="AG76" s="45"/>
      <c r="AH76" s="46"/>
      <c r="AI76" s="47"/>
      <c r="AJ76" s="47"/>
      <c r="AK76" s="47"/>
      <c r="AL76" s="48"/>
      <c r="AM76" s="49"/>
      <c r="AV76" s="55"/>
    </row>
    <row r="77" spans="1:48" ht="15.6" x14ac:dyDescent="0.3">
      <c r="A77" s="133" t="s">
        <v>97</v>
      </c>
      <c r="B77" s="133" t="s">
        <v>97</v>
      </c>
      <c r="C77" s="202" t="s">
        <v>227</v>
      </c>
      <c r="D77" s="203" t="s">
        <v>228</v>
      </c>
      <c r="E77" s="136"/>
      <c r="F77" s="136"/>
      <c r="G77" s="501"/>
      <c r="H77" s="137">
        <f>SUM(H78:H86)</f>
        <v>97859807</v>
      </c>
      <c r="I77" s="27"/>
      <c r="J77" s="27"/>
      <c r="K77" s="27"/>
      <c r="L77" s="27"/>
      <c r="M77" s="27"/>
      <c r="N77" s="27"/>
      <c r="O77" s="138">
        <f>SUM(O78:O86)</f>
        <v>97859807</v>
      </c>
      <c r="P77" s="44"/>
      <c r="Q77" s="139"/>
      <c r="R77" s="140"/>
      <c r="S77" s="140"/>
      <c r="T77" s="141"/>
      <c r="U77" s="142"/>
      <c r="V77" s="44">
        <f>IF(H77&lt;&gt;"",O77-H77*$O$2,0)</f>
        <v>0</v>
      </c>
      <c r="W77" s="143" t="s">
        <v>100</v>
      </c>
      <c r="AG77" s="45"/>
      <c r="AH77" s="46" t="str">
        <f t="shared" ref="AH77:AH87" si="46">"CAP. " &amp; $C$77 &amp; ": " &amp; $D$77</f>
        <v>CAP. 6: CARPINTERIA METALICA - MADERA</v>
      </c>
      <c r="AI77" s="47">
        <f t="shared" ref="AI77:AI87" si="47">ROW($C$77)</f>
        <v>77</v>
      </c>
      <c r="AJ77" s="47"/>
      <c r="AK77" s="47"/>
      <c r="AL77" s="48"/>
      <c r="AM77" s="49"/>
      <c r="AP77" s="144"/>
      <c r="AQ77" s="145"/>
      <c r="AR77" s="145"/>
      <c r="AS77" s="145"/>
      <c r="AT77" s="146">
        <f>SUM(AT78:AT86)</f>
        <v>97859807</v>
      </c>
      <c r="AV77" s="55"/>
    </row>
    <row r="78" spans="1:48" hidden="1" x14ac:dyDescent="0.3">
      <c r="A78" s="147" t="s">
        <v>101</v>
      </c>
      <c r="B78" s="147" t="s">
        <v>101</v>
      </c>
      <c r="C78" s="204"/>
      <c r="D78" s="149"/>
      <c r="E78" s="150"/>
      <c r="F78" s="151"/>
      <c r="G78" s="496"/>
      <c r="H78" s="153"/>
      <c r="I78" s="154"/>
      <c r="J78" s="152"/>
      <c r="K78" s="152"/>
      <c r="L78" s="152"/>
      <c r="M78" s="155"/>
      <c r="N78" s="156"/>
      <c r="O78" s="157"/>
      <c r="P78" s="39"/>
      <c r="Q78" s="40"/>
      <c r="R78" s="41"/>
      <c r="S78" s="41"/>
      <c r="T78" s="42"/>
      <c r="U78" s="43"/>
      <c r="V78" s="44"/>
      <c r="W78" s="27"/>
      <c r="AG78" s="45"/>
      <c r="AH78" s="46" t="str">
        <f t="shared" si="46"/>
        <v>CAP. 6: CARPINTERIA METALICA - MADERA</v>
      </c>
      <c r="AI78" s="47">
        <f t="shared" si="47"/>
        <v>77</v>
      </c>
      <c r="AJ78" s="47"/>
      <c r="AK78" s="47"/>
      <c r="AL78" s="48"/>
      <c r="AM78" s="49"/>
      <c r="AP78" s="50"/>
      <c r="AQ78" s="51"/>
      <c r="AR78" s="52"/>
      <c r="AS78" s="158"/>
      <c r="AT78" s="159"/>
      <c r="AV78" s="55"/>
    </row>
    <row r="79" spans="1:48" ht="27.6" x14ac:dyDescent="0.3">
      <c r="A79" s="160" t="s">
        <v>229</v>
      </c>
      <c r="B79" s="473" t="s">
        <v>229</v>
      </c>
      <c r="C79" s="205" t="s">
        <v>230</v>
      </c>
      <c r="D79" s="162" t="s">
        <v>231</v>
      </c>
      <c r="E79" s="163" t="s">
        <v>112</v>
      </c>
      <c r="F79" s="164">
        <v>4</v>
      </c>
      <c r="G79" s="497">
        <v>711464</v>
      </c>
      <c r="H79" s="34">
        <f t="shared" ref="H79:H85" si="48">ROUND(F79 * G79,$K$2)</f>
        <v>2845856</v>
      </c>
      <c r="I79" s="35" t="e">
        <f>#REF!</f>
        <v>#REF!</v>
      </c>
      <c r="J79" s="33" t="e">
        <f>#REF!</f>
        <v>#REF!</v>
      </c>
      <c r="K79" s="33">
        <v>1</v>
      </c>
      <c r="L79" s="33" t="e">
        <f>ROUNDUP(#REF!/$K$79,0)</f>
        <v>#REF!</v>
      </c>
      <c r="M79" s="36" t="e">
        <f t="shared" ref="M79:M85" si="49">ROUND(J79 * F79,$K$2)</f>
        <v>#REF!</v>
      </c>
      <c r="N79" s="37" t="e">
        <f t="shared" ref="N79:N85" si="50">ROUND(I79 * F79,$K$2)</f>
        <v>#REF!</v>
      </c>
      <c r="O79" s="38">
        <f t="shared" ref="O79:O85" si="51">H79*$O$2</f>
        <v>2845856</v>
      </c>
      <c r="P79" s="39"/>
      <c r="Q79" s="40" t="e">
        <f>ROUND(#REF!*F79,0)</f>
        <v>#REF!</v>
      </c>
      <c r="R79" s="41" t="e">
        <f>ROUND(#REF!*F79,0) + 1</f>
        <v>#REF!</v>
      </c>
      <c r="S79" s="41" t="e">
        <f>ROUND(#REF!*F79,0)</f>
        <v>#REF!</v>
      </c>
      <c r="T79" s="42" t="e">
        <f>ROUND(#REF!*F79,0)</f>
        <v>#REF!</v>
      </c>
      <c r="U79" s="43" t="e">
        <f t="shared" ref="U79:U85" si="52">Q79+R79+S79+T79</f>
        <v>#REF!</v>
      </c>
      <c r="V79" s="44"/>
      <c r="W79" s="27">
        <v>52</v>
      </c>
      <c r="AG79" s="45"/>
      <c r="AH79" s="46" t="str">
        <f t="shared" si="46"/>
        <v>CAP. 6: CARPINTERIA METALICA - MADERA</v>
      </c>
      <c r="AI79" s="47">
        <f t="shared" si="47"/>
        <v>77</v>
      </c>
      <c r="AJ79" s="47"/>
      <c r="AK79" s="47"/>
      <c r="AL79" s="48"/>
      <c r="AM79" s="49"/>
      <c r="AP79" s="50">
        <f t="shared" ref="AP79:AP85" si="53">F79</f>
        <v>4</v>
      </c>
      <c r="AQ79" s="51"/>
      <c r="AR79" s="52">
        <f t="shared" ref="AR79:AR85" si="54">AP79+AQ79</f>
        <v>4</v>
      </c>
      <c r="AS79" s="53">
        <f t="shared" ref="AS79:AS85" si="55">G79</f>
        <v>711464</v>
      </c>
      <c r="AT79" s="54">
        <f t="shared" ref="AT79:AT85" si="56">ROUND(AR79 * AS79,$K$2)</f>
        <v>2845856</v>
      </c>
      <c r="AV79" s="55"/>
    </row>
    <row r="80" spans="1:48" ht="27.6" x14ac:dyDescent="0.3">
      <c r="A80" s="165" t="s">
        <v>232</v>
      </c>
      <c r="B80" s="474" t="s">
        <v>232</v>
      </c>
      <c r="C80" s="206" t="s">
        <v>233</v>
      </c>
      <c r="D80" s="167" t="s">
        <v>234</v>
      </c>
      <c r="E80" s="168" t="s">
        <v>89</v>
      </c>
      <c r="F80" s="169">
        <v>1</v>
      </c>
      <c r="G80" s="497">
        <v>680387</v>
      </c>
      <c r="H80" s="34">
        <f t="shared" si="48"/>
        <v>680387</v>
      </c>
      <c r="I80" s="35" t="e">
        <f>#REF!</f>
        <v>#REF!</v>
      </c>
      <c r="J80" s="33" t="e">
        <f>#REF!</f>
        <v>#REF!</v>
      </c>
      <c r="K80" s="33">
        <v>1</v>
      </c>
      <c r="L80" s="33" t="e">
        <f>ROUNDUP(#REF!/$K$80,0)</f>
        <v>#REF!</v>
      </c>
      <c r="M80" s="36" t="e">
        <f t="shared" si="49"/>
        <v>#REF!</v>
      </c>
      <c r="N80" s="37" t="e">
        <f t="shared" si="50"/>
        <v>#REF!</v>
      </c>
      <c r="O80" s="38">
        <f t="shared" si="51"/>
        <v>680387</v>
      </c>
      <c r="P80" s="39"/>
      <c r="Q80" s="40" t="e">
        <f>ROUND(#REF!*F80,0)</f>
        <v>#REF!</v>
      </c>
      <c r="R80" s="41" t="e">
        <f>ROUND(#REF!*F80,0)</f>
        <v>#REF!</v>
      </c>
      <c r="S80" s="41" t="e">
        <f>ROUND(#REF!*F80,0)</f>
        <v>#REF!</v>
      </c>
      <c r="T80" s="42" t="e">
        <f>ROUND(#REF!*F80,0)</f>
        <v>#REF!</v>
      </c>
      <c r="U80" s="43" t="e">
        <f t="shared" si="52"/>
        <v>#REF!</v>
      </c>
      <c r="V80" s="44"/>
      <c r="W80" s="27">
        <v>53</v>
      </c>
      <c r="AG80" s="45"/>
      <c r="AH80" s="46" t="str">
        <f t="shared" si="46"/>
        <v>CAP. 6: CARPINTERIA METALICA - MADERA</v>
      </c>
      <c r="AI80" s="47">
        <f t="shared" si="47"/>
        <v>77</v>
      </c>
      <c r="AJ80" s="47"/>
      <c r="AK80" s="47"/>
      <c r="AL80" s="48"/>
      <c r="AM80" s="49"/>
      <c r="AP80" s="50">
        <f t="shared" si="53"/>
        <v>1</v>
      </c>
      <c r="AQ80" s="51"/>
      <c r="AR80" s="52">
        <f t="shared" si="54"/>
        <v>1</v>
      </c>
      <c r="AS80" s="53">
        <f t="shared" si="55"/>
        <v>680387</v>
      </c>
      <c r="AT80" s="54">
        <f t="shared" si="56"/>
        <v>680387</v>
      </c>
      <c r="AV80" s="55"/>
    </row>
    <row r="81" spans="1:48" x14ac:dyDescent="0.3">
      <c r="A81" s="165" t="s">
        <v>235</v>
      </c>
      <c r="B81" s="474" t="s">
        <v>235</v>
      </c>
      <c r="C81" s="206" t="s">
        <v>236</v>
      </c>
      <c r="D81" s="167" t="s">
        <v>237</v>
      </c>
      <c r="E81" s="168" t="s">
        <v>89</v>
      </c>
      <c r="F81" s="169">
        <v>24</v>
      </c>
      <c r="G81" s="497">
        <v>1649406</v>
      </c>
      <c r="H81" s="34">
        <f t="shared" si="48"/>
        <v>39585744</v>
      </c>
      <c r="I81" s="35" t="e">
        <f>#REF!</f>
        <v>#REF!</v>
      </c>
      <c r="J81" s="33" t="e">
        <f>#REF!</f>
        <v>#REF!</v>
      </c>
      <c r="K81" s="33">
        <v>1</v>
      </c>
      <c r="L81" s="33" t="e">
        <f>ROUNDUP(#REF!/$K$81,0)</f>
        <v>#REF!</v>
      </c>
      <c r="M81" s="36" t="e">
        <f t="shared" si="49"/>
        <v>#REF!</v>
      </c>
      <c r="N81" s="37" t="e">
        <f t="shared" si="50"/>
        <v>#REF!</v>
      </c>
      <c r="O81" s="38">
        <f t="shared" si="51"/>
        <v>39585744</v>
      </c>
      <c r="P81" s="39"/>
      <c r="Q81" s="40" t="e">
        <f>ROUND(#REF!*F81,0)</f>
        <v>#REF!</v>
      </c>
      <c r="R81" s="41" t="e">
        <f>ROUND(#REF!*F81,0)</f>
        <v>#REF!</v>
      </c>
      <c r="S81" s="41" t="e">
        <f>ROUND(#REF!*F81,0)</f>
        <v>#REF!</v>
      </c>
      <c r="T81" s="42" t="e">
        <f>ROUND(#REF!*F81,0)</f>
        <v>#REF!</v>
      </c>
      <c r="U81" s="43" t="e">
        <f t="shared" si="52"/>
        <v>#REF!</v>
      </c>
      <c r="V81" s="44"/>
      <c r="W81" s="27">
        <v>54</v>
      </c>
      <c r="AG81" s="45"/>
      <c r="AH81" s="46" t="str">
        <f t="shared" si="46"/>
        <v>CAP. 6: CARPINTERIA METALICA - MADERA</v>
      </c>
      <c r="AI81" s="47">
        <f t="shared" si="47"/>
        <v>77</v>
      </c>
      <c r="AJ81" s="47"/>
      <c r="AK81" s="47"/>
      <c r="AL81" s="48"/>
      <c r="AM81" s="49"/>
      <c r="AP81" s="50">
        <f t="shared" si="53"/>
        <v>24</v>
      </c>
      <c r="AQ81" s="51"/>
      <c r="AR81" s="52">
        <f t="shared" si="54"/>
        <v>24</v>
      </c>
      <c r="AS81" s="53">
        <f t="shared" si="55"/>
        <v>1649406</v>
      </c>
      <c r="AT81" s="54">
        <f t="shared" si="56"/>
        <v>39585744</v>
      </c>
      <c r="AV81" s="55"/>
    </row>
    <row r="82" spans="1:48" x14ac:dyDescent="0.3">
      <c r="A82" s="165" t="s">
        <v>238</v>
      </c>
      <c r="B82" s="474" t="s">
        <v>238</v>
      </c>
      <c r="C82" s="206" t="s">
        <v>239</v>
      </c>
      <c r="D82" s="167" t="s">
        <v>240</v>
      </c>
      <c r="E82" s="168" t="s">
        <v>89</v>
      </c>
      <c r="F82" s="169">
        <v>24</v>
      </c>
      <c r="G82" s="497">
        <v>346761</v>
      </c>
      <c r="H82" s="34">
        <f t="shared" si="48"/>
        <v>8322264</v>
      </c>
      <c r="I82" s="35" t="e">
        <f>#REF!</f>
        <v>#REF!</v>
      </c>
      <c r="J82" s="33" t="e">
        <f>#REF!</f>
        <v>#REF!</v>
      </c>
      <c r="K82" s="33">
        <v>1</v>
      </c>
      <c r="L82" s="33" t="e">
        <f>ROUNDUP(#REF!/$K$82,0)</f>
        <v>#REF!</v>
      </c>
      <c r="M82" s="36" t="e">
        <f t="shared" si="49"/>
        <v>#REF!</v>
      </c>
      <c r="N82" s="37" t="e">
        <f t="shared" si="50"/>
        <v>#REF!</v>
      </c>
      <c r="O82" s="38">
        <f t="shared" si="51"/>
        <v>8322264</v>
      </c>
      <c r="P82" s="39"/>
      <c r="Q82" s="40" t="e">
        <f>ROUND(#REF!*F82,0)</f>
        <v>#REF!</v>
      </c>
      <c r="R82" s="41" t="e">
        <f>ROUND(#REF!*F82,0)</f>
        <v>#REF!</v>
      </c>
      <c r="S82" s="41" t="e">
        <f>ROUND(#REF!*F82,0)</f>
        <v>#REF!</v>
      </c>
      <c r="T82" s="42" t="e">
        <f>ROUND(#REF!*F82,0)</f>
        <v>#REF!</v>
      </c>
      <c r="U82" s="43" t="e">
        <f t="shared" si="52"/>
        <v>#REF!</v>
      </c>
      <c r="V82" s="44"/>
      <c r="W82" s="27">
        <v>55</v>
      </c>
      <c r="AG82" s="45"/>
      <c r="AH82" s="46" t="str">
        <f t="shared" si="46"/>
        <v>CAP. 6: CARPINTERIA METALICA - MADERA</v>
      </c>
      <c r="AI82" s="47">
        <f t="shared" si="47"/>
        <v>77</v>
      </c>
      <c r="AJ82" s="47"/>
      <c r="AK82" s="47"/>
      <c r="AL82" s="48"/>
      <c r="AM82" s="49"/>
      <c r="AP82" s="50">
        <f t="shared" si="53"/>
        <v>24</v>
      </c>
      <c r="AQ82" s="51"/>
      <c r="AR82" s="52">
        <f t="shared" si="54"/>
        <v>24</v>
      </c>
      <c r="AS82" s="53">
        <f t="shared" si="55"/>
        <v>346761</v>
      </c>
      <c r="AT82" s="54">
        <f t="shared" si="56"/>
        <v>8322264</v>
      </c>
      <c r="AV82" s="55"/>
    </row>
    <row r="83" spans="1:48" x14ac:dyDescent="0.3">
      <c r="A83" s="165" t="s">
        <v>241</v>
      </c>
      <c r="B83" s="474" t="s">
        <v>241</v>
      </c>
      <c r="C83" s="206" t="s">
        <v>242</v>
      </c>
      <c r="D83" s="167" t="s">
        <v>243</v>
      </c>
      <c r="E83" s="168" t="s">
        <v>112</v>
      </c>
      <c r="F83" s="169">
        <v>69.099999999999994</v>
      </c>
      <c r="G83" s="497">
        <v>526873</v>
      </c>
      <c r="H83" s="34">
        <f t="shared" si="48"/>
        <v>36406924</v>
      </c>
      <c r="I83" s="35" t="e">
        <f>#REF!</f>
        <v>#REF!</v>
      </c>
      <c r="J83" s="33" t="e">
        <f>#REF!</f>
        <v>#REF!</v>
      </c>
      <c r="K83" s="33">
        <v>1</v>
      </c>
      <c r="L83" s="33" t="e">
        <f>ROUNDUP(#REF!/$K$83,0)</f>
        <v>#REF!</v>
      </c>
      <c r="M83" s="36" t="e">
        <f t="shared" si="49"/>
        <v>#REF!</v>
      </c>
      <c r="N83" s="37" t="e">
        <f t="shared" si="50"/>
        <v>#REF!</v>
      </c>
      <c r="O83" s="38">
        <f t="shared" si="51"/>
        <v>36406924</v>
      </c>
      <c r="P83" s="39"/>
      <c r="Q83" s="40" t="e">
        <f>ROUND(#REF!*F83,0)</f>
        <v>#REF!</v>
      </c>
      <c r="R83" s="41" t="e">
        <f>ROUND(#REF!*F83,0)</f>
        <v>#REF!</v>
      </c>
      <c r="S83" s="41" t="e">
        <f>ROUND(#REF!*F83,0)</f>
        <v>#REF!</v>
      </c>
      <c r="T83" s="42" t="e">
        <f>ROUND(#REF!*F83,0)</f>
        <v>#REF!</v>
      </c>
      <c r="U83" s="43" t="e">
        <f t="shared" si="52"/>
        <v>#REF!</v>
      </c>
      <c r="V83" s="44"/>
      <c r="W83" s="27">
        <v>56</v>
      </c>
      <c r="AG83" s="45"/>
      <c r="AH83" s="46" t="str">
        <f t="shared" si="46"/>
        <v>CAP. 6: CARPINTERIA METALICA - MADERA</v>
      </c>
      <c r="AI83" s="47">
        <f t="shared" si="47"/>
        <v>77</v>
      </c>
      <c r="AJ83" s="47"/>
      <c r="AK83" s="47"/>
      <c r="AL83" s="48"/>
      <c r="AM83" s="49"/>
      <c r="AP83" s="50">
        <f t="shared" si="53"/>
        <v>69.099999999999994</v>
      </c>
      <c r="AQ83" s="51"/>
      <c r="AR83" s="52">
        <f t="shared" si="54"/>
        <v>69.099999999999994</v>
      </c>
      <c r="AS83" s="53">
        <f t="shared" si="55"/>
        <v>526873</v>
      </c>
      <c r="AT83" s="54">
        <f t="shared" si="56"/>
        <v>36406924</v>
      </c>
      <c r="AV83" s="55"/>
    </row>
    <row r="84" spans="1:48" ht="27.6" x14ac:dyDescent="0.3">
      <c r="A84" s="165" t="s">
        <v>244</v>
      </c>
      <c r="B84" s="474" t="s">
        <v>244</v>
      </c>
      <c r="C84" s="206" t="s">
        <v>245</v>
      </c>
      <c r="D84" s="167" t="s">
        <v>246</v>
      </c>
      <c r="E84" s="168" t="s">
        <v>112</v>
      </c>
      <c r="F84" s="169">
        <v>4</v>
      </c>
      <c r="G84" s="497">
        <v>1044968</v>
      </c>
      <c r="H84" s="34">
        <f t="shared" si="48"/>
        <v>4179872</v>
      </c>
      <c r="I84" s="35" t="e">
        <f>#REF!</f>
        <v>#REF!</v>
      </c>
      <c r="J84" s="33" t="e">
        <f>#REF!</f>
        <v>#REF!</v>
      </c>
      <c r="K84" s="33">
        <v>1</v>
      </c>
      <c r="L84" s="33" t="e">
        <f>ROUNDUP(#REF!/$K$84,0)</f>
        <v>#REF!</v>
      </c>
      <c r="M84" s="36" t="e">
        <f t="shared" si="49"/>
        <v>#REF!</v>
      </c>
      <c r="N84" s="37" t="e">
        <f t="shared" si="50"/>
        <v>#REF!</v>
      </c>
      <c r="O84" s="38">
        <f t="shared" si="51"/>
        <v>4179872</v>
      </c>
      <c r="P84" s="39"/>
      <c r="Q84" s="40" t="e">
        <f>ROUND(#REF!*F84,0)</f>
        <v>#REF!</v>
      </c>
      <c r="R84" s="41" t="e">
        <f>ROUND(#REF!*F84,0) + 1</f>
        <v>#REF!</v>
      </c>
      <c r="S84" s="41" t="e">
        <f>ROUND(#REF!*F84,0)</f>
        <v>#REF!</v>
      </c>
      <c r="T84" s="42" t="e">
        <f>ROUND(#REF!*F84,0)</f>
        <v>#REF!</v>
      </c>
      <c r="U84" s="43" t="e">
        <f t="shared" si="52"/>
        <v>#REF!</v>
      </c>
      <c r="V84" s="44"/>
      <c r="W84" s="27">
        <v>57</v>
      </c>
      <c r="AG84" s="45"/>
      <c r="AH84" s="46" t="str">
        <f t="shared" si="46"/>
        <v>CAP. 6: CARPINTERIA METALICA - MADERA</v>
      </c>
      <c r="AI84" s="47">
        <f t="shared" si="47"/>
        <v>77</v>
      </c>
      <c r="AJ84" s="47"/>
      <c r="AK84" s="47"/>
      <c r="AL84" s="48"/>
      <c r="AM84" s="49"/>
      <c r="AP84" s="50">
        <f t="shared" si="53"/>
        <v>4</v>
      </c>
      <c r="AQ84" s="51"/>
      <c r="AR84" s="52">
        <f t="shared" si="54"/>
        <v>4</v>
      </c>
      <c r="AS84" s="53">
        <f t="shared" si="55"/>
        <v>1044968</v>
      </c>
      <c r="AT84" s="54">
        <f t="shared" si="56"/>
        <v>4179872</v>
      </c>
      <c r="AV84" s="55"/>
    </row>
    <row r="85" spans="1:48" x14ac:dyDescent="0.3">
      <c r="A85" s="170" t="s">
        <v>247</v>
      </c>
      <c r="B85" s="475" t="s">
        <v>247</v>
      </c>
      <c r="C85" s="207" t="s">
        <v>248</v>
      </c>
      <c r="D85" s="172" t="s">
        <v>249</v>
      </c>
      <c r="E85" s="173" t="s">
        <v>89</v>
      </c>
      <c r="F85" s="174">
        <v>4</v>
      </c>
      <c r="G85" s="497">
        <v>1459690</v>
      </c>
      <c r="H85" s="34">
        <f t="shared" si="48"/>
        <v>5838760</v>
      </c>
      <c r="I85" s="35" t="e">
        <f>#REF!</f>
        <v>#REF!</v>
      </c>
      <c r="J85" s="33" t="e">
        <f>#REF!</f>
        <v>#REF!</v>
      </c>
      <c r="K85" s="33">
        <v>1</v>
      </c>
      <c r="L85" s="33" t="e">
        <f>ROUNDUP(#REF!/$K$85,0)</f>
        <v>#REF!</v>
      </c>
      <c r="M85" s="36" t="e">
        <f t="shared" si="49"/>
        <v>#REF!</v>
      </c>
      <c r="N85" s="37" t="e">
        <f t="shared" si="50"/>
        <v>#REF!</v>
      </c>
      <c r="O85" s="38">
        <f t="shared" si="51"/>
        <v>5838760</v>
      </c>
      <c r="P85" s="39"/>
      <c r="Q85" s="40" t="e">
        <f>ROUND(#REF!*F85,0)</f>
        <v>#REF!</v>
      </c>
      <c r="R85" s="41" t="e">
        <f>ROUND(#REF!*F85,0) + 1</f>
        <v>#REF!</v>
      </c>
      <c r="S85" s="41" t="e">
        <f>ROUND(#REF!*F85,0)</f>
        <v>#REF!</v>
      </c>
      <c r="T85" s="42" t="e">
        <f>ROUND(#REF!*F85,0)</f>
        <v>#REF!</v>
      </c>
      <c r="U85" s="43" t="e">
        <f t="shared" si="52"/>
        <v>#REF!</v>
      </c>
      <c r="V85" s="44"/>
      <c r="W85" s="27">
        <v>58</v>
      </c>
      <c r="AG85" s="45"/>
      <c r="AH85" s="46" t="str">
        <f t="shared" si="46"/>
        <v>CAP. 6: CARPINTERIA METALICA - MADERA</v>
      </c>
      <c r="AI85" s="47">
        <f t="shared" si="47"/>
        <v>77</v>
      </c>
      <c r="AJ85" s="47"/>
      <c r="AK85" s="47"/>
      <c r="AL85" s="48"/>
      <c r="AM85" s="49"/>
      <c r="AP85" s="50">
        <f t="shared" si="53"/>
        <v>4</v>
      </c>
      <c r="AQ85" s="51"/>
      <c r="AR85" s="52">
        <f t="shared" si="54"/>
        <v>4</v>
      </c>
      <c r="AS85" s="53">
        <f t="shared" si="55"/>
        <v>1459690</v>
      </c>
      <c r="AT85" s="54">
        <f t="shared" si="56"/>
        <v>5838760</v>
      </c>
      <c r="AV85" s="55"/>
    </row>
    <row r="86" spans="1:48" x14ac:dyDescent="0.3">
      <c r="A86" s="175"/>
      <c r="B86" s="175"/>
      <c r="C86" s="208"/>
      <c r="D86" s="177"/>
      <c r="E86" s="178"/>
      <c r="F86" s="179"/>
      <c r="G86" s="503"/>
      <c r="H86" s="181"/>
      <c r="I86" s="182"/>
      <c r="J86" s="180"/>
      <c r="K86" s="180"/>
      <c r="L86" s="180"/>
      <c r="M86" s="183"/>
      <c r="N86" s="184"/>
      <c r="O86" s="185"/>
      <c r="P86" s="39"/>
      <c r="Q86" s="40"/>
      <c r="R86" s="41"/>
      <c r="S86" s="41"/>
      <c r="T86" s="42"/>
      <c r="U86" s="43"/>
      <c r="V86" s="44"/>
      <c r="W86" s="27"/>
      <c r="AG86" s="45"/>
      <c r="AH86" s="46" t="str">
        <f t="shared" si="46"/>
        <v>CAP. 6: CARPINTERIA METALICA - MADERA</v>
      </c>
      <c r="AI86" s="47">
        <f t="shared" si="47"/>
        <v>77</v>
      </c>
      <c r="AJ86" s="47"/>
      <c r="AK86" s="47"/>
      <c r="AL86" s="48"/>
      <c r="AM86" s="49"/>
      <c r="AP86" s="50"/>
      <c r="AQ86" s="51"/>
      <c r="AR86" s="52"/>
      <c r="AS86" s="158"/>
      <c r="AT86" s="159"/>
      <c r="AV86" s="55"/>
    </row>
    <row r="87" spans="1:48" ht="15" thickBot="1" x14ac:dyDescent="0.35">
      <c r="A87" s="186" t="s">
        <v>135</v>
      </c>
      <c r="B87" s="186" t="s">
        <v>135</v>
      </c>
      <c r="C87" s="209"/>
      <c r="D87" s="188"/>
      <c r="E87" s="189"/>
      <c r="F87" s="190"/>
      <c r="G87" s="499" t="s">
        <v>740</v>
      </c>
      <c r="H87" s="192">
        <f>SUM(H78:H86)</f>
        <v>97859807</v>
      </c>
      <c r="I87" s="182"/>
      <c r="J87" s="180"/>
      <c r="K87" s="180"/>
      <c r="L87" s="180"/>
      <c r="M87" s="183"/>
      <c r="N87" s="184"/>
      <c r="O87" s="193">
        <f>SUM(O78:O86)</f>
        <v>97859807</v>
      </c>
      <c r="P87" s="39"/>
      <c r="Q87" s="194" t="e">
        <f>SUM(Q77:Q86)</f>
        <v>#REF!</v>
      </c>
      <c r="R87" s="195" t="e">
        <f>SUM(R77:R86)</f>
        <v>#REF!</v>
      </c>
      <c r="S87" s="195" t="e">
        <f>SUM(S77:S86)</f>
        <v>#REF!</v>
      </c>
      <c r="T87" s="196" t="e">
        <f>SUM(T77:T86)</f>
        <v>#REF!</v>
      </c>
      <c r="U87" s="197" t="e">
        <f>SUM(U77:U86)</f>
        <v>#REF!</v>
      </c>
      <c r="V87" s="44"/>
      <c r="W87" s="27"/>
      <c r="AG87" s="45"/>
      <c r="AH87" s="46" t="str">
        <f t="shared" si="46"/>
        <v>CAP. 6: CARPINTERIA METALICA - MADERA</v>
      </c>
      <c r="AI87" s="47">
        <f t="shared" si="47"/>
        <v>77</v>
      </c>
      <c r="AJ87" s="47"/>
      <c r="AK87" s="47"/>
      <c r="AL87" s="48"/>
      <c r="AM87" s="49"/>
      <c r="AP87" s="198"/>
      <c r="AQ87" s="199"/>
      <c r="AR87" s="199"/>
      <c r="AS87" s="199"/>
      <c r="AT87" s="200">
        <f>SUM(AT78:AT86)</f>
        <v>97859807</v>
      </c>
      <c r="AV87" s="55"/>
    </row>
    <row r="88" spans="1:48" ht="22.95" customHeight="1" thickBot="1" x14ac:dyDescent="0.35">
      <c r="A88" s="78"/>
      <c r="B88" s="78"/>
      <c r="C88" s="131"/>
      <c r="D88" s="128"/>
      <c r="E88" s="129"/>
      <c r="F88" s="130"/>
      <c r="G88" s="500"/>
      <c r="H88" s="201"/>
      <c r="W88" s="27"/>
      <c r="AG88" s="45"/>
      <c r="AH88" s="46"/>
      <c r="AI88" s="47"/>
      <c r="AJ88" s="47"/>
      <c r="AK88" s="47"/>
      <c r="AL88" s="48"/>
      <c r="AM88" s="49"/>
      <c r="AV88" s="55"/>
    </row>
    <row r="89" spans="1:48" ht="15.6" x14ac:dyDescent="0.3">
      <c r="A89" s="133" t="s">
        <v>97</v>
      </c>
      <c r="B89" s="133" t="s">
        <v>97</v>
      </c>
      <c r="C89" s="202" t="s">
        <v>250</v>
      </c>
      <c r="D89" s="203" t="s">
        <v>251</v>
      </c>
      <c r="E89" s="136"/>
      <c r="F89" s="136"/>
      <c r="G89" s="501"/>
      <c r="H89" s="137">
        <f>SUM(H90:H98)</f>
        <v>15753940</v>
      </c>
      <c r="I89" s="27"/>
      <c r="J89" s="27"/>
      <c r="K89" s="27"/>
      <c r="L89" s="27"/>
      <c r="M89" s="27"/>
      <c r="N89" s="27"/>
      <c r="O89" s="138">
        <f>SUM(O90:O98)</f>
        <v>15753940</v>
      </c>
      <c r="P89" s="44"/>
      <c r="Q89" s="139"/>
      <c r="R89" s="140"/>
      <c r="S89" s="140"/>
      <c r="T89" s="141"/>
      <c r="U89" s="142"/>
      <c r="V89" s="44">
        <f>IF(H89&lt;&gt;"",O89-H89*$O$2,0)</f>
        <v>0</v>
      </c>
      <c r="W89" s="143" t="s">
        <v>100</v>
      </c>
      <c r="AG89" s="45"/>
      <c r="AH89" s="46" t="str">
        <f t="shared" ref="AH89:AH99" si="57">"CAP. " &amp; $C$89 &amp; ": " &amp; $D$89</f>
        <v>CAP. 7: APARATOS SANITARIOS</v>
      </c>
      <c r="AI89" s="47">
        <f t="shared" ref="AI89:AI99" si="58">ROW($C$89)</f>
        <v>89</v>
      </c>
      <c r="AJ89" s="47"/>
      <c r="AK89" s="47"/>
      <c r="AL89" s="48"/>
      <c r="AM89" s="49"/>
      <c r="AP89" s="144"/>
      <c r="AQ89" s="145"/>
      <c r="AR89" s="145"/>
      <c r="AS89" s="145"/>
      <c r="AT89" s="146">
        <f>SUM(AT90:AT98)</f>
        <v>15753940</v>
      </c>
      <c r="AV89" s="55"/>
    </row>
    <row r="90" spans="1:48" hidden="1" x14ac:dyDescent="0.3">
      <c r="A90" s="147" t="s">
        <v>101</v>
      </c>
      <c r="B90" s="147" t="s">
        <v>101</v>
      </c>
      <c r="C90" s="204"/>
      <c r="D90" s="149"/>
      <c r="E90" s="150"/>
      <c r="F90" s="151"/>
      <c r="G90" s="496"/>
      <c r="H90" s="153"/>
      <c r="I90" s="154"/>
      <c r="J90" s="152"/>
      <c r="K90" s="152"/>
      <c r="L90" s="152"/>
      <c r="M90" s="155"/>
      <c r="N90" s="156"/>
      <c r="O90" s="157"/>
      <c r="P90" s="39"/>
      <c r="Q90" s="40"/>
      <c r="R90" s="41"/>
      <c r="S90" s="41"/>
      <c r="T90" s="42"/>
      <c r="U90" s="43"/>
      <c r="V90" s="44"/>
      <c r="W90" s="27"/>
      <c r="AG90" s="45"/>
      <c r="AH90" s="46" t="str">
        <f t="shared" si="57"/>
        <v>CAP. 7: APARATOS SANITARIOS</v>
      </c>
      <c r="AI90" s="47">
        <f t="shared" si="58"/>
        <v>89</v>
      </c>
      <c r="AJ90" s="47"/>
      <c r="AK90" s="47"/>
      <c r="AL90" s="48"/>
      <c r="AM90" s="49"/>
      <c r="AP90" s="50"/>
      <c r="AQ90" s="51"/>
      <c r="AR90" s="52"/>
      <c r="AS90" s="158"/>
      <c r="AT90" s="159"/>
      <c r="AV90" s="55"/>
    </row>
    <row r="91" spans="1:48" x14ac:dyDescent="0.3">
      <c r="A91" s="160" t="s">
        <v>252</v>
      </c>
      <c r="B91" s="473" t="s">
        <v>252</v>
      </c>
      <c r="C91" s="205" t="s">
        <v>253</v>
      </c>
      <c r="D91" s="162" t="s">
        <v>254</v>
      </c>
      <c r="E91" s="163" t="s">
        <v>89</v>
      </c>
      <c r="F91" s="164">
        <v>7</v>
      </c>
      <c r="G91" s="497">
        <v>1073357</v>
      </c>
      <c r="H91" s="34">
        <f t="shared" ref="H91:H97" si="59">ROUND(F91 * G91,$K$2)</f>
        <v>7513499</v>
      </c>
      <c r="I91" s="35" t="e">
        <f>#REF!</f>
        <v>#REF!</v>
      </c>
      <c r="J91" s="33" t="e">
        <f>#REF!</f>
        <v>#REF!</v>
      </c>
      <c r="K91" s="33">
        <v>1</v>
      </c>
      <c r="L91" s="33" t="e">
        <f>ROUNDUP(#REF!/$K$91,0)</f>
        <v>#REF!</v>
      </c>
      <c r="M91" s="36" t="e">
        <f t="shared" ref="M91:M97" si="60">ROUND(J91 * F91,$K$2)</f>
        <v>#REF!</v>
      </c>
      <c r="N91" s="37" t="e">
        <f t="shared" ref="N91:N97" si="61">ROUND(I91 * F91,$K$2)</f>
        <v>#REF!</v>
      </c>
      <c r="O91" s="38">
        <f t="shared" ref="O91:O97" si="62">H91*$O$2</f>
        <v>7513499</v>
      </c>
      <c r="P91" s="39"/>
      <c r="Q91" s="40" t="e">
        <f>ROUND(#REF!*F91,0)</f>
        <v>#REF!</v>
      </c>
      <c r="R91" s="41" t="e">
        <f>ROUND(#REF!*F91,0) + 3</f>
        <v>#REF!</v>
      </c>
      <c r="S91" s="41" t="e">
        <f>ROUND(#REF!*F91,0)</f>
        <v>#REF!</v>
      </c>
      <c r="T91" s="42" t="e">
        <f>ROUND(#REF!*F91,0)</f>
        <v>#REF!</v>
      </c>
      <c r="U91" s="43" t="e">
        <f t="shared" ref="U91:U97" si="63">Q91+R91+S91+T91</f>
        <v>#REF!</v>
      </c>
      <c r="V91" s="44"/>
      <c r="W91" s="27">
        <v>60</v>
      </c>
      <c r="AG91" s="45"/>
      <c r="AH91" s="46" t="str">
        <f t="shared" si="57"/>
        <v>CAP. 7: APARATOS SANITARIOS</v>
      </c>
      <c r="AI91" s="47">
        <f t="shared" si="58"/>
        <v>89</v>
      </c>
      <c r="AJ91" s="47"/>
      <c r="AK91" s="47"/>
      <c r="AL91" s="48"/>
      <c r="AM91" s="49"/>
      <c r="AP91" s="50">
        <f t="shared" ref="AP91:AP97" si="64">F91</f>
        <v>7</v>
      </c>
      <c r="AQ91" s="51"/>
      <c r="AR91" s="52">
        <f t="shared" ref="AR91:AR97" si="65">AP91+AQ91</f>
        <v>7</v>
      </c>
      <c r="AS91" s="53">
        <f t="shared" ref="AS91:AS97" si="66">G91</f>
        <v>1073357</v>
      </c>
      <c r="AT91" s="54">
        <f t="shared" ref="AT91:AT97" si="67">ROUND(AR91 * AS91,$K$2)</f>
        <v>7513499</v>
      </c>
      <c r="AV91" s="55"/>
    </row>
    <row r="92" spans="1:48" ht="28.8" x14ac:dyDescent="0.3">
      <c r="A92" s="165" t="s">
        <v>255</v>
      </c>
      <c r="B92" s="474" t="s">
        <v>255</v>
      </c>
      <c r="C92" s="206" t="s">
        <v>256</v>
      </c>
      <c r="D92" s="167" t="s">
        <v>257</v>
      </c>
      <c r="E92" s="168" t="s">
        <v>258</v>
      </c>
      <c r="F92" s="169">
        <v>7</v>
      </c>
      <c r="G92" s="497">
        <v>398428</v>
      </c>
      <c r="H92" s="34">
        <f t="shared" si="59"/>
        <v>2788996</v>
      </c>
      <c r="I92" s="35" t="e">
        <f>#REF!</f>
        <v>#REF!</v>
      </c>
      <c r="J92" s="33" t="e">
        <f>#REF!</f>
        <v>#REF!</v>
      </c>
      <c r="K92" s="33">
        <v>1</v>
      </c>
      <c r="L92" s="33" t="e">
        <f>ROUNDUP(#REF!/$K$92,0)</f>
        <v>#REF!</v>
      </c>
      <c r="M92" s="36" t="e">
        <f t="shared" si="60"/>
        <v>#REF!</v>
      </c>
      <c r="N92" s="37" t="e">
        <f t="shared" si="61"/>
        <v>#REF!</v>
      </c>
      <c r="O92" s="38">
        <f t="shared" si="62"/>
        <v>2788996</v>
      </c>
      <c r="P92" s="39"/>
      <c r="Q92" s="40" t="e">
        <f>ROUND(#REF!*F92,0)</f>
        <v>#REF!</v>
      </c>
      <c r="R92" s="41" t="e">
        <f>ROUND(#REF!*F92,0)</f>
        <v>#REF!</v>
      </c>
      <c r="S92" s="41" t="e">
        <f>ROUND(#REF!*F92,0)</f>
        <v>#REF!</v>
      </c>
      <c r="T92" s="42" t="e">
        <f>ROUND(#REF!*F92,0)</f>
        <v>#REF!</v>
      </c>
      <c r="U92" s="43" t="e">
        <f t="shared" si="63"/>
        <v>#REF!</v>
      </c>
      <c r="V92" s="44"/>
      <c r="W92" s="27">
        <v>61</v>
      </c>
      <c r="AG92" s="45"/>
      <c r="AH92" s="46" t="str">
        <f t="shared" si="57"/>
        <v>CAP. 7: APARATOS SANITARIOS</v>
      </c>
      <c r="AI92" s="47">
        <f t="shared" si="58"/>
        <v>89</v>
      </c>
      <c r="AJ92" s="47"/>
      <c r="AK92" s="47"/>
      <c r="AL92" s="48"/>
      <c r="AM92" s="49"/>
      <c r="AP92" s="50">
        <f t="shared" si="64"/>
        <v>7</v>
      </c>
      <c r="AQ92" s="51"/>
      <c r="AR92" s="52">
        <f t="shared" si="65"/>
        <v>7</v>
      </c>
      <c r="AS92" s="53">
        <f t="shared" si="66"/>
        <v>398428</v>
      </c>
      <c r="AT92" s="54">
        <f t="shared" si="67"/>
        <v>2788996</v>
      </c>
      <c r="AV92" s="55"/>
    </row>
    <row r="93" spans="1:48" x14ac:dyDescent="0.3">
      <c r="A93" s="165" t="s">
        <v>259</v>
      </c>
      <c r="B93" s="474" t="s">
        <v>259</v>
      </c>
      <c r="C93" s="206" t="s">
        <v>260</v>
      </c>
      <c r="D93" s="167" t="s">
        <v>261</v>
      </c>
      <c r="E93" s="168" t="s">
        <v>89</v>
      </c>
      <c r="F93" s="169">
        <v>7</v>
      </c>
      <c r="G93" s="497">
        <v>251922</v>
      </c>
      <c r="H93" s="34">
        <f t="shared" si="59"/>
        <v>1763454</v>
      </c>
      <c r="I93" s="35" t="e">
        <f>#REF!</f>
        <v>#REF!</v>
      </c>
      <c r="J93" s="33" t="e">
        <f>#REF!</f>
        <v>#REF!</v>
      </c>
      <c r="K93" s="33">
        <v>1</v>
      </c>
      <c r="L93" s="33" t="e">
        <f>ROUNDUP(#REF!/$K$93,0)</f>
        <v>#REF!</v>
      </c>
      <c r="M93" s="36" t="e">
        <f t="shared" si="60"/>
        <v>#REF!</v>
      </c>
      <c r="N93" s="37" t="e">
        <f t="shared" si="61"/>
        <v>#REF!</v>
      </c>
      <c r="O93" s="38">
        <f t="shared" si="62"/>
        <v>1763454</v>
      </c>
      <c r="P93" s="39"/>
      <c r="Q93" s="40" t="e">
        <f>ROUND(#REF!*F93,0)</f>
        <v>#REF!</v>
      </c>
      <c r="R93" s="41" t="e">
        <f>ROUND(#REF!*F93,0)</f>
        <v>#REF!</v>
      </c>
      <c r="S93" s="41" t="e">
        <f>ROUND(#REF!*F93,0)</f>
        <v>#REF!</v>
      </c>
      <c r="T93" s="42" t="e">
        <f>ROUND(#REF!*F93,0)</f>
        <v>#REF!</v>
      </c>
      <c r="U93" s="43" t="e">
        <f t="shared" si="63"/>
        <v>#REF!</v>
      </c>
      <c r="V93" s="44"/>
      <c r="W93" s="27">
        <v>62</v>
      </c>
      <c r="AG93" s="45"/>
      <c r="AH93" s="46" t="str">
        <f t="shared" si="57"/>
        <v>CAP. 7: APARATOS SANITARIOS</v>
      </c>
      <c r="AI93" s="47">
        <f t="shared" si="58"/>
        <v>89</v>
      </c>
      <c r="AJ93" s="47"/>
      <c r="AK93" s="47"/>
      <c r="AL93" s="48"/>
      <c r="AM93" s="49"/>
      <c r="AP93" s="50">
        <f t="shared" si="64"/>
        <v>7</v>
      </c>
      <c r="AQ93" s="51"/>
      <c r="AR93" s="52">
        <f t="shared" si="65"/>
        <v>7</v>
      </c>
      <c r="AS93" s="53">
        <f t="shared" si="66"/>
        <v>251922</v>
      </c>
      <c r="AT93" s="54">
        <f t="shared" si="67"/>
        <v>1763454</v>
      </c>
      <c r="AV93" s="55"/>
    </row>
    <row r="94" spans="1:48" ht="27.6" x14ac:dyDescent="0.3">
      <c r="A94" s="165" t="s">
        <v>262</v>
      </c>
      <c r="B94" s="474" t="s">
        <v>262</v>
      </c>
      <c r="C94" s="206" t="s">
        <v>263</v>
      </c>
      <c r="D94" s="167" t="s">
        <v>264</v>
      </c>
      <c r="E94" s="168" t="s">
        <v>89</v>
      </c>
      <c r="F94" s="169">
        <v>1</v>
      </c>
      <c r="G94" s="497">
        <v>1866915</v>
      </c>
      <c r="H94" s="34">
        <f t="shared" si="59"/>
        <v>1866915</v>
      </c>
      <c r="I94" s="35" t="e">
        <f>#REF!</f>
        <v>#REF!</v>
      </c>
      <c r="J94" s="33" t="e">
        <f>#REF!</f>
        <v>#REF!</v>
      </c>
      <c r="K94" s="33">
        <v>1</v>
      </c>
      <c r="L94" s="33" t="e">
        <f>ROUNDUP(#REF!/$K$94,0)</f>
        <v>#REF!</v>
      </c>
      <c r="M94" s="36" t="e">
        <f t="shared" si="60"/>
        <v>#REF!</v>
      </c>
      <c r="N94" s="37" t="e">
        <f t="shared" si="61"/>
        <v>#REF!</v>
      </c>
      <c r="O94" s="38">
        <f t="shared" si="62"/>
        <v>1866915</v>
      </c>
      <c r="P94" s="39"/>
      <c r="Q94" s="40" t="e">
        <f>ROUND(#REF!*F94,0)</f>
        <v>#REF!</v>
      </c>
      <c r="R94" s="41" t="e">
        <f>ROUND(#REF!*F94,0)</f>
        <v>#REF!</v>
      </c>
      <c r="S94" s="41" t="e">
        <f>ROUND(#REF!*F94,0)</f>
        <v>#REF!</v>
      </c>
      <c r="T94" s="42" t="e">
        <f>ROUND(#REF!*F94,0)</f>
        <v>#REF!</v>
      </c>
      <c r="U94" s="43" t="e">
        <f t="shared" si="63"/>
        <v>#REF!</v>
      </c>
      <c r="V94" s="44"/>
      <c r="W94" s="27">
        <v>63</v>
      </c>
      <c r="AG94" s="45"/>
      <c r="AH94" s="46" t="str">
        <f t="shared" si="57"/>
        <v>CAP. 7: APARATOS SANITARIOS</v>
      </c>
      <c r="AI94" s="47">
        <f t="shared" si="58"/>
        <v>89</v>
      </c>
      <c r="AJ94" s="47"/>
      <c r="AK94" s="47"/>
      <c r="AL94" s="48"/>
      <c r="AM94" s="49"/>
      <c r="AP94" s="50">
        <f t="shared" si="64"/>
        <v>1</v>
      </c>
      <c r="AQ94" s="51"/>
      <c r="AR94" s="52">
        <f t="shared" si="65"/>
        <v>1</v>
      </c>
      <c r="AS94" s="53">
        <f t="shared" si="66"/>
        <v>1866915</v>
      </c>
      <c r="AT94" s="54">
        <f t="shared" si="67"/>
        <v>1866915</v>
      </c>
      <c r="AV94" s="55"/>
    </row>
    <row r="95" spans="1:48" ht="27.6" x14ac:dyDescent="0.3">
      <c r="A95" s="165" t="s">
        <v>265</v>
      </c>
      <c r="B95" s="474" t="s">
        <v>265</v>
      </c>
      <c r="C95" s="206" t="s">
        <v>266</v>
      </c>
      <c r="D95" s="167" t="s">
        <v>267</v>
      </c>
      <c r="E95" s="168" t="s">
        <v>89</v>
      </c>
      <c r="F95" s="169">
        <v>1</v>
      </c>
      <c r="G95" s="497">
        <v>1046253</v>
      </c>
      <c r="H95" s="34">
        <f t="shared" si="59"/>
        <v>1046253</v>
      </c>
      <c r="I95" s="35" t="e">
        <f>#REF!</f>
        <v>#REF!</v>
      </c>
      <c r="J95" s="33" t="e">
        <f>#REF!</f>
        <v>#REF!</v>
      </c>
      <c r="K95" s="33">
        <v>1</v>
      </c>
      <c r="L95" s="33" t="e">
        <f>ROUNDUP(#REF!/$K$95,0)</f>
        <v>#REF!</v>
      </c>
      <c r="M95" s="36" t="e">
        <f t="shared" si="60"/>
        <v>#REF!</v>
      </c>
      <c r="N95" s="37" t="e">
        <f t="shared" si="61"/>
        <v>#REF!</v>
      </c>
      <c r="O95" s="38">
        <f t="shared" si="62"/>
        <v>1046253</v>
      </c>
      <c r="P95" s="39"/>
      <c r="Q95" s="40" t="e">
        <f>ROUND(#REF!*F95,0)</f>
        <v>#REF!</v>
      </c>
      <c r="R95" s="41" t="e">
        <f>ROUND(#REF!*F95,0)</f>
        <v>#REF!</v>
      </c>
      <c r="S95" s="41" t="e">
        <f>ROUND(#REF!*F95,0)</f>
        <v>#REF!</v>
      </c>
      <c r="T95" s="42" t="e">
        <f>ROUND(#REF!*F95,0)</f>
        <v>#REF!</v>
      </c>
      <c r="U95" s="43" t="e">
        <f t="shared" si="63"/>
        <v>#REF!</v>
      </c>
      <c r="V95" s="44"/>
      <c r="W95" s="27">
        <v>64</v>
      </c>
      <c r="AG95" s="45"/>
      <c r="AH95" s="46" t="str">
        <f t="shared" si="57"/>
        <v>CAP. 7: APARATOS SANITARIOS</v>
      </c>
      <c r="AI95" s="47">
        <f t="shared" si="58"/>
        <v>89</v>
      </c>
      <c r="AJ95" s="47"/>
      <c r="AK95" s="47"/>
      <c r="AL95" s="48"/>
      <c r="AM95" s="49"/>
      <c r="AP95" s="50">
        <f t="shared" si="64"/>
        <v>1</v>
      </c>
      <c r="AQ95" s="51"/>
      <c r="AR95" s="52">
        <f t="shared" si="65"/>
        <v>1</v>
      </c>
      <c r="AS95" s="53">
        <f t="shared" si="66"/>
        <v>1046253</v>
      </c>
      <c r="AT95" s="54">
        <f t="shared" si="67"/>
        <v>1046253</v>
      </c>
      <c r="AV95" s="55"/>
    </row>
    <row r="96" spans="1:48" x14ac:dyDescent="0.3">
      <c r="A96" s="165" t="s">
        <v>268</v>
      </c>
      <c r="B96" s="474" t="s">
        <v>268</v>
      </c>
      <c r="C96" s="206" t="s">
        <v>269</v>
      </c>
      <c r="D96" s="167" t="s">
        <v>270</v>
      </c>
      <c r="E96" s="168" t="s">
        <v>89</v>
      </c>
      <c r="F96" s="169">
        <v>1</v>
      </c>
      <c r="G96" s="497">
        <v>627819</v>
      </c>
      <c r="H96" s="34">
        <f t="shared" si="59"/>
        <v>627819</v>
      </c>
      <c r="I96" s="35" t="e">
        <f>#REF!</f>
        <v>#REF!</v>
      </c>
      <c r="J96" s="33" t="e">
        <f>#REF!</f>
        <v>#REF!</v>
      </c>
      <c r="K96" s="33">
        <v>1</v>
      </c>
      <c r="L96" s="33" t="e">
        <f>ROUNDUP(#REF!/$K$96,0)</f>
        <v>#REF!</v>
      </c>
      <c r="M96" s="36" t="e">
        <f t="shared" si="60"/>
        <v>#REF!</v>
      </c>
      <c r="N96" s="37" t="e">
        <f t="shared" si="61"/>
        <v>#REF!</v>
      </c>
      <c r="O96" s="38">
        <f t="shared" si="62"/>
        <v>627819</v>
      </c>
      <c r="P96" s="39"/>
      <c r="Q96" s="40" t="e">
        <f>ROUND(#REF!*F96,0)</f>
        <v>#REF!</v>
      </c>
      <c r="R96" s="41" t="e">
        <f>ROUND(#REF!*F96,0)</f>
        <v>#REF!</v>
      </c>
      <c r="S96" s="41" t="e">
        <f>ROUND(#REF!*F96,0)</f>
        <v>#REF!</v>
      </c>
      <c r="T96" s="42" t="e">
        <f>ROUND(#REF!*F96,0)</f>
        <v>#REF!</v>
      </c>
      <c r="U96" s="43" t="e">
        <f t="shared" si="63"/>
        <v>#REF!</v>
      </c>
      <c r="V96" s="44"/>
      <c r="W96" s="27">
        <v>65</v>
      </c>
      <c r="AG96" s="45"/>
      <c r="AH96" s="46" t="str">
        <f t="shared" si="57"/>
        <v>CAP. 7: APARATOS SANITARIOS</v>
      </c>
      <c r="AI96" s="47">
        <f t="shared" si="58"/>
        <v>89</v>
      </c>
      <c r="AJ96" s="47"/>
      <c r="AK96" s="47"/>
      <c r="AL96" s="48"/>
      <c r="AM96" s="49"/>
      <c r="AP96" s="50">
        <f t="shared" si="64"/>
        <v>1</v>
      </c>
      <c r="AQ96" s="51"/>
      <c r="AR96" s="52">
        <f t="shared" si="65"/>
        <v>1</v>
      </c>
      <c r="AS96" s="53">
        <f t="shared" si="66"/>
        <v>627819</v>
      </c>
      <c r="AT96" s="54">
        <f t="shared" si="67"/>
        <v>627819</v>
      </c>
      <c r="AV96" s="55"/>
    </row>
    <row r="97" spans="1:48" x14ac:dyDescent="0.3">
      <c r="A97" s="170" t="s">
        <v>271</v>
      </c>
      <c r="B97" s="475" t="s">
        <v>271</v>
      </c>
      <c r="C97" s="207" t="s">
        <v>272</v>
      </c>
      <c r="D97" s="172" t="s">
        <v>273</v>
      </c>
      <c r="E97" s="173" t="s">
        <v>89</v>
      </c>
      <c r="F97" s="174">
        <v>4</v>
      </c>
      <c r="G97" s="497">
        <v>36751</v>
      </c>
      <c r="H97" s="34">
        <f t="shared" si="59"/>
        <v>147004</v>
      </c>
      <c r="I97" s="35" t="e">
        <f>#REF!</f>
        <v>#REF!</v>
      </c>
      <c r="J97" s="33" t="e">
        <f>#REF!</f>
        <v>#REF!</v>
      </c>
      <c r="K97" s="33">
        <v>1</v>
      </c>
      <c r="L97" s="33" t="e">
        <f>ROUNDUP(#REF!/$K$97,0)</f>
        <v>#REF!</v>
      </c>
      <c r="M97" s="36" t="e">
        <f t="shared" si="60"/>
        <v>#REF!</v>
      </c>
      <c r="N97" s="37" t="e">
        <f t="shared" si="61"/>
        <v>#REF!</v>
      </c>
      <c r="O97" s="38">
        <f t="shared" si="62"/>
        <v>147004</v>
      </c>
      <c r="P97" s="39"/>
      <c r="Q97" s="40" t="e">
        <f>ROUND(#REF!*F97,0)</f>
        <v>#REF!</v>
      </c>
      <c r="R97" s="41" t="e">
        <f>ROUND(#REF!*F97,0) + 2</f>
        <v>#REF!</v>
      </c>
      <c r="S97" s="41" t="e">
        <f>ROUND(#REF!*F97,0)</f>
        <v>#REF!</v>
      </c>
      <c r="T97" s="42" t="e">
        <f>ROUND(#REF!*F97,0)</f>
        <v>#REF!</v>
      </c>
      <c r="U97" s="43" t="e">
        <f t="shared" si="63"/>
        <v>#REF!</v>
      </c>
      <c r="V97" s="44"/>
      <c r="W97" s="27">
        <v>66</v>
      </c>
      <c r="AG97" s="45"/>
      <c r="AH97" s="46" t="str">
        <f t="shared" si="57"/>
        <v>CAP. 7: APARATOS SANITARIOS</v>
      </c>
      <c r="AI97" s="47">
        <f t="shared" si="58"/>
        <v>89</v>
      </c>
      <c r="AJ97" s="47"/>
      <c r="AK97" s="47"/>
      <c r="AL97" s="48"/>
      <c r="AM97" s="49"/>
      <c r="AP97" s="50">
        <f t="shared" si="64"/>
        <v>4</v>
      </c>
      <c r="AQ97" s="51"/>
      <c r="AR97" s="52">
        <f t="shared" si="65"/>
        <v>4</v>
      </c>
      <c r="AS97" s="53">
        <f t="shared" si="66"/>
        <v>36751</v>
      </c>
      <c r="AT97" s="54">
        <f t="shared" si="67"/>
        <v>147004</v>
      </c>
      <c r="AV97" s="55"/>
    </row>
    <row r="98" spans="1:48" x14ac:dyDescent="0.3">
      <c r="A98" s="175"/>
      <c r="B98" s="175"/>
      <c r="C98" s="208"/>
      <c r="D98" s="177"/>
      <c r="E98" s="178"/>
      <c r="F98" s="179"/>
      <c r="G98" s="503"/>
      <c r="H98" s="181"/>
      <c r="I98" s="182"/>
      <c r="J98" s="180"/>
      <c r="K98" s="180"/>
      <c r="L98" s="180"/>
      <c r="M98" s="183"/>
      <c r="N98" s="184"/>
      <c r="O98" s="185"/>
      <c r="P98" s="39"/>
      <c r="Q98" s="40"/>
      <c r="R98" s="41"/>
      <c r="S98" s="41"/>
      <c r="T98" s="42"/>
      <c r="U98" s="43"/>
      <c r="V98" s="44"/>
      <c r="W98" s="27"/>
      <c r="AG98" s="45"/>
      <c r="AH98" s="46" t="str">
        <f t="shared" si="57"/>
        <v>CAP. 7: APARATOS SANITARIOS</v>
      </c>
      <c r="AI98" s="47">
        <f t="shared" si="58"/>
        <v>89</v>
      </c>
      <c r="AJ98" s="47"/>
      <c r="AK98" s="47"/>
      <c r="AL98" s="48"/>
      <c r="AM98" s="49"/>
      <c r="AP98" s="50"/>
      <c r="AQ98" s="51"/>
      <c r="AR98" s="52"/>
      <c r="AS98" s="158"/>
      <c r="AT98" s="159"/>
      <c r="AV98" s="55"/>
    </row>
    <row r="99" spans="1:48" ht="15" thickBot="1" x14ac:dyDescent="0.35">
      <c r="A99" s="186" t="s">
        <v>135</v>
      </c>
      <c r="B99" s="186" t="s">
        <v>135</v>
      </c>
      <c r="C99" s="209"/>
      <c r="D99" s="188"/>
      <c r="E99" s="189"/>
      <c r="F99" s="190"/>
      <c r="G99" s="499" t="s">
        <v>741</v>
      </c>
      <c r="H99" s="192">
        <f>SUM(H90:H98)</f>
        <v>15753940</v>
      </c>
      <c r="I99" s="182"/>
      <c r="J99" s="180"/>
      <c r="K99" s="180"/>
      <c r="L99" s="180"/>
      <c r="M99" s="183"/>
      <c r="N99" s="184"/>
      <c r="O99" s="193">
        <f>SUM(O90:O98)</f>
        <v>15753940</v>
      </c>
      <c r="P99" s="39"/>
      <c r="Q99" s="194" t="e">
        <f>SUM(Q89:Q98)</f>
        <v>#REF!</v>
      </c>
      <c r="R99" s="195" t="e">
        <f>SUM(R89:R98)</f>
        <v>#REF!</v>
      </c>
      <c r="S99" s="195" t="e">
        <f>SUM(S89:S98)</f>
        <v>#REF!</v>
      </c>
      <c r="T99" s="196" t="e">
        <f>SUM(T89:T98)</f>
        <v>#REF!</v>
      </c>
      <c r="U99" s="197" t="e">
        <f>SUM(U89:U98)</f>
        <v>#REF!</v>
      </c>
      <c r="V99" s="44"/>
      <c r="W99" s="27"/>
      <c r="AG99" s="45"/>
      <c r="AH99" s="46" t="str">
        <f t="shared" si="57"/>
        <v>CAP. 7: APARATOS SANITARIOS</v>
      </c>
      <c r="AI99" s="47">
        <f t="shared" si="58"/>
        <v>89</v>
      </c>
      <c r="AJ99" s="47"/>
      <c r="AK99" s="47"/>
      <c r="AL99" s="48"/>
      <c r="AM99" s="49"/>
      <c r="AP99" s="198"/>
      <c r="AQ99" s="199"/>
      <c r="AR99" s="199"/>
      <c r="AS99" s="199"/>
      <c r="AT99" s="200">
        <f>SUM(AT90:AT98)</f>
        <v>15753940</v>
      </c>
      <c r="AV99" s="55"/>
    </row>
    <row r="100" spans="1:48" ht="22.95" customHeight="1" thickBot="1" x14ac:dyDescent="0.35">
      <c r="A100" s="78"/>
      <c r="B100" s="78"/>
      <c r="C100" s="131"/>
      <c r="D100" s="128"/>
      <c r="E100" s="129"/>
      <c r="F100" s="130"/>
      <c r="G100" s="500"/>
      <c r="H100" s="201"/>
      <c r="W100" s="27"/>
      <c r="AG100" s="45"/>
      <c r="AH100" s="46"/>
      <c r="AI100" s="47"/>
      <c r="AJ100" s="47"/>
      <c r="AK100" s="47"/>
      <c r="AL100" s="48"/>
      <c r="AM100" s="49"/>
      <c r="AV100" s="55"/>
    </row>
    <row r="101" spans="1:48" ht="15.6" x14ac:dyDescent="0.3">
      <c r="A101" s="133" t="s">
        <v>97</v>
      </c>
      <c r="B101" s="133" t="s">
        <v>97</v>
      </c>
      <c r="C101" s="202" t="s">
        <v>274</v>
      </c>
      <c r="D101" s="203" t="s">
        <v>275</v>
      </c>
      <c r="E101" s="136"/>
      <c r="F101" s="136"/>
      <c r="G101" s="501"/>
      <c r="H101" s="137">
        <f>SUM(H102:H126)</f>
        <v>181186796</v>
      </c>
      <c r="I101" s="27"/>
      <c r="J101" s="27"/>
      <c r="K101" s="27"/>
      <c r="L101" s="27"/>
      <c r="M101" s="27"/>
      <c r="N101" s="27"/>
      <c r="O101" s="138">
        <f>SUM(O102:O126)</f>
        <v>181186796</v>
      </c>
      <c r="P101" s="44"/>
      <c r="Q101" s="139"/>
      <c r="R101" s="140"/>
      <c r="S101" s="140"/>
      <c r="T101" s="141"/>
      <c r="U101" s="142"/>
      <c r="V101" s="44">
        <f>IF(H101&lt;&gt;"",O101-H101*$O$2,0)</f>
        <v>0</v>
      </c>
      <c r="W101" s="143" t="s">
        <v>100</v>
      </c>
      <c r="AG101" s="45"/>
      <c r="AH101" s="46" t="str">
        <f t="shared" ref="AH101:AH127" si="68">"CAP. " &amp; $C$101 &amp; ": " &amp; $D$101</f>
        <v>CAP. 8: INSTALACIÓN ELÉCTRICA</v>
      </c>
      <c r="AI101" s="47">
        <f t="shared" ref="AI101:AI127" si="69">ROW($C$101)</f>
        <v>101</v>
      </c>
      <c r="AJ101" s="47"/>
      <c r="AK101" s="47"/>
      <c r="AL101" s="48"/>
      <c r="AM101" s="49"/>
      <c r="AP101" s="144"/>
      <c r="AQ101" s="145"/>
      <c r="AR101" s="145"/>
      <c r="AS101" s="145"/>
      <c r="AT101" s="146">
        <f>SUM(AT102:AT126)</f>
        <v>181186796</v>
      </c>
      <c r="AV101" s="55"/>
    </row>
    <row r="102" spans="1:48" hidden="1" x14ac:dyDescent="0.3">
      <c r="A102" s="147" t="s">
        <v>101</v>
      </c>
      <c r="B102" s="147" t="s">
        <v>101</v>
      </c>
      <c r="C102" s="204"/>
      <c r="D102" s="149"/>
      <c r="E102" s="150"/>
      <c r="F102" s="151"/>
      <c r="G102" s="496"/>
      <c r="H102" s="153"/>
      <c r="I102" s="154"/>
      <c r="J102" s="152"/>
      <c r="K102" s="152"/>
      <c r="L102" s="152"/>
      <c r="M102" s="155"/>
      <c r="N102" s="156"/>
      <c r="O102" s="157"/>
      <c r="P102" s="39"/>
      <c r="Q102" s="40"/>
      <c r="R102" s="41"/>
      <c r="S102" s="41"/>
      <c r="T102" s="42"/>
      <c r="U102" s="43"/>
      <c r="V102" s="44"/>
      <c r="W102" s="27"/>
      <c r="AG102" s="45"/>
      <c r="AH102" s="46" t="str">
        <f t="shared" si="68"/>
        <v>CAP. 8: INSTALACIÓN ELÉCTRICA</v>
      </c>
      <c r="AI102" s="47">
        <f t="shared" si="69"/>
        <v>101</v>
      </c>
      <c r="AJ102" s="47"/>
      <c r="AK102" s="47"/>
      <c r="AL102" s="48"/>
      <c r="AM102" s="49"/>
      <c r="AP102" s="50"/>
      <c r="AQ102" s="51"/>
      <c r="AR102" s="52"/>
      <c r="AS102" s="158"/>
      <c r="AT102" s="159"/>
      <c r="AV102" s="55"/>
    </row>
    <row r="103" spans="1:48" x14ac:dyDescent="0.3">
      <c r="A103" s="160" t="s">
        <v>276</v>
      </c>
      <c r="B103" s="473" t="s">
        <v>276</v>
      </c>
      <c r="C103" s="205" t="s">
        <v>277</v>
      </c>
      <c r="D103" s="162" t="s">
        <v>278</v>
      </c>
      <c r="E103" s="163" t="s">
        <v>89</v>
      </c>
      <c r="F103" s="164">
        <v>120</v>
      </c>
      <c r="G103" s="497">
        <v>313142</v>
      </c>
      <c r="H103" s="34">
        <f t="shared" ref="H103:H125" si="70">ROUND(F103 * G103,$K$2)</f>
        <v>37577040</v>
      </c>
      <c r="I103" s="35" t="e">
        <f>#REF!</f>
        <v>#REF!</v>
      </c>
      <c r="J103" s="33" t="e">
        <f>#REF!</f>
        <v>#REF!</v>
      </c>
      <c r="K103" s="33">
        <v>1</v>
      </c>
      <c r="L103" s="33" t="e">
        <f>ROUNDUP(#REF!/$K$103,0)</f>
        <v>#REF!</v>
      </c>
      <c r="M103" s="36" t="e">
        <f t="shared" ref="M103:M125" si="71">ROUND(J103 * F103,$K$2)</f>
        <v>#REF!</v>
      </c>
      <c r="N103" s="37" t="e">
        <f t="shared" ref="N103:N125" si="72">ROUND(I103 * F103,$K$2)</f>
        <v>#REF!</v>
      </c>
      <c r="O103" s="38">
        <f t="shared" ref="O103:O125" si="73">H103*$O$2</f>
        <v>37577040</v>
      </c>
      <c r="P103" s="39"/>
      <c r="Q103" s="40" t="e">
        <f>ROUND(#REF!*F103,0)</f>
        <v>#REF!</v>
      </c>
      <c r="R103" s="41" t="e">
        <f>ROUND(#REF!*F103,0)</f>
        <v>#REF!</v>
      </c>
      <c r="S103" s="41" t="e">
        <f>ROUND(#REF!*F103,0)</f>
        <v>#REF!</v>
      </c>
      <c r="T103" s="42" t="e">
        <f>ROUND(#REF!*F103,0)</f>
        <v>#REF!</v>
      </c>
      <c r="U103" s="43" t="e">
        <f t="shared" ref="U103:U125" si="74">Q103+R103+S103+T103</f>
        <v>#REF!</v>
      </c>
      <c r="V103" s="44"/>
      <c r="W103" s="27">
        <v>68</v>
      </c>
      <c r="AG103" s="45"/>
      <c r="AH103" s="46" t="str">
        <f t="shared" si="68"/>
        <v>CAP. 8: INSTALACIÓN ELÉCTRICA</v>
      </c>
      <c r="AI103" s="47">
        <f t="shared" si="69"/>
        <v>101</v>
      </c>
      <c r="AJ103" s="47"/>
      <c r="AK103" s="47"/>
      <c r="AL103" s="48"/>
      <c r="AM103" s="49"/>
      <c r="AP103" s="50">
        <f t="shared" ref="AP103:AP125" si="75">F103</f>
        <v>120</v>
      </c>
      <c r="AQ103" s="51"/>
      <c r="AR103" s="52">
        <f t="shared" ref="AR103:AR125" si="76">AP103+AQ103</f>
        <v>120</v>
      </c>
      <c r="AS103" s="53">
        <f t="shared" ref="AS103:AS125" si="77">G103</f>
        <v>313142</v>
      </c>
      <c r="AT103" s="54">
        <f t="shared" ref="AT103:AT125" si="78">ROUND(AR103 * AS103,$K$2)</f>
        <v>37577040</v>
      </c>
      <c r="AV103" s="55"/>
    </row>
    <row r="104" spans="1:48" x14ac:dyDescent="0.3">
      <c r="A104" s="165" t="s">
        <v>279</v>
      </c>
      <c r="B104" s="474" t="s">
        <v>279</v>
      </c>
      <c r="C104" s="206" t="s">
        <v>280</v>
      </c>
      <c r="D104" s="167" t="s">
        <v>281</v>
      </c>
      <c r="E104" s="168" t="s">
        <v>89</v>
      </c>
      <c r="F104" s="169">
        <v>4</v>
      </c>
      <c r="G104" s="497">
        <v>411015</v>
      </c>
      <c r="H104" s="34">
        <f t="shared" si="70"/>
        <v>1644060</v>
      </c>
      <c r="I104" s="35" t="e">
        <f>#REF!</f>
        <v>#REF!</v>
      </c>
      <c r="J104" s="33" t="e">
        <f>#REF!</f>
        <v>#REF!</v>
      </c>
      <c r="K104" s="33">
        <v>1</v>
      </c>
      <c r="L104" s="33" t="e">
        <f>ROUNDUP(#REF!/$K$104,0)</f>
        <v>#REF!</v>
      </c>
      <c r="M104" s="36" t="e">
        <f t="shared" si="71"/>
        <v>#REF!</v>
      </c>
      <c r="N104" s="37" t="e">
        <f t="shared" si="72"/>
        <v>#REF!</v>
      </c>
      <c r="O104" s="38">
        <f t="shared" si="73"/>
        <v>1644060</v>
      </c>
      <c r="P104" s="39"/>
      <c r="Q104" s="40" t="e">
        <f>ROUND(#REF!*F104,0)</f>
        <v>#REF!</v>
      </c>
      <c r="R104" s="41" t="e">
        <f>ROUND(#REF!*F104,0) + 1</f>
        <v>#REF!</v>
      </c>
      <c r="S104" s="41" t="e">
        <f>ROUND(#REF!*F104,0)</f>
        <v>#REF!</v>
      </c>
      <c r="T104" s="42" t="e">
        <f>ROUND(#REF!*F104,0)</f>
        <v>#REF!</v>
      </c>
      <c r="U104" s="43" t="e">
        <f t="shared" si="74"/>
        <v>#REF!</v>
      </c>
      <c r="V104" s="44"/>
      <c r="W104" s="27">
        <v>69</v>
      </c>
      <c r="AG104" s="45"/>
      <c r="AH104" s="46" t="str">
        <f t="shared" si="68"/>
        <v>CAP. 8: INSTALACIÓN ELÉCTRICA</v>
      </c>
      <c r="AI104" s="47">
        <f t="shared" si="69"/>
        <v>101</v>
      </c>
      <c r="AJ104" s="47"/>
      <c r="AK104" s="47"/>
      <c r="AL104" s="48"/>
      <c r="AM104" s="49"/>
      <c r="AP104" s="50">
        <f t="shared" si="75"/>
        <v>4</v>
      </c>
      <c r="AQ104" s="51"/>
      <c r="AR104" s="52">
        <f t="shared" si="76"/>
        <v>4</v>
      </c>
      <c r="AS104" s="53">
        <f t="shared" si="77"/>
        <v>411015</v>
      </c>
      <c r="AT104" s="54">
        <f t="shared" si="78"/>
        <v>1644060</v>
      </c>
      <c r="AV104" s="55"/>
    </row>
    <row r="105" spans="1:48" x14ac:dyDescent="0.3">
      <c r="A105" s="165" t="s">
        <v>282</v>
      </c>
      <c r="B105" s="474" t="s">
        <v>282</v>
      </c>
      <c r="C105" s="206" t="s">
        <v>283</v>
      </c>
      <c r="D105" s="167" t="s">
        <v>284</v>
      </c>
      <c r="E105" s="168" t="s">
        <v>89</v>
      </c>
      <c r="F105" s="169">
        <v>55</v>
      </c>
      <c r="G105" s="497">
        <v>216094</v>
      </c>
      <c r="H105" s="34">
        <f t="shared" si="70"/>
        <v>11885170</v>
      </c>
      <c r="I105" s="35" t="e">
        <f>#REF!</f>
        <v>#REF!</v>
      </c>
      <c r="J105" s="33" t="e">
        <f>#REF!</f>
        <v>#REF!</v>
      </c>
      <c r="K105" s="33">
        <v>1</v>
      </c>
      <c r="L105" s="33" t="e">
        <f>ROUNDUP(#REF!/$K$105,0)</f>
        <v>#REF!</v>
      </c>
      <c r="M105" s="36" t="e">
        <f t="shared" si="71"/>
        <v>#REF!</v>
      </c>
      <c r="N105" s="37" t="e">
        <f t="shared" si="72"/>
        <v>#REF!</v>
      </c>
      <c r="O105" s="38">
        <f t="shared" si="73"/>
        <v>11885170</v>
      </c>
      <c r="P105" s="39"/>
      <c r="Q105" s="40" t="e">
        <f>ROUND(#REF!*F105,0)</f>
        <v>#REF!</v>
      </c>
      <c r="R105" s="41" t="e">
        <f>ROUND(#REF!*F105,0)</f>
        <v>#REF!</v>
      </c>
      <c r="S105" s="41" t="e">
        <f>ROUND(#REF!*F105,0)</f>
        <v>#REF!</v>
      </c>
      <c r="T105" s="42" t="e">
        <f>ROUND(#REF!*F105,0)</f>
        <v>#REF!</v>
      </c>
      <c r="U105" s="43" t="e">
        <f t="shared" si="74"/>
        <v>#REF!</v>
      </c>
      <c r="V105" s="44"/>
      <c r="W105" s="27">
        <v>70</v>
      </c>
      <c r="AG105" s="45"/>
      <c r="AH105" s="46" t="str">
        <f t="shared" si="68"/>
        <v>CAP. 8: INSTALACIÓN ELÉCTRICA</v>
      </c>
      <c r="AI105" s="47">
        <f t="shared" si="69"/>
        <v>101</v>
      </c>
      <c r="AJ105" s="47"/>
      <c r="AK105" s="47"/>
      <c r="AL105" s="48"/>
      <c r="AM105" s="49"/>
      <c r="AP105" s="50">
        <f t="shared" si="75"/>
        <v>55</v>
      </c>
      <c r="AQ105" s="51"/>
      <c r="AR105" s="52">
        <f t="shared" si="76"/>
        <v>55</v>
      </c>
      <c r="AS105" s="53">
        <f t="shared" si="77"/>
        <v>216094</v>
      </c>
      <c r="AT105" s="54">
        <f t="shared" si="78"/>
        <v>11885170</v>
      </c>
      <c r="AV105" s="55"/>
    </row>
    <row r="106" spans="1:48" x14ac:dyDescent="0.3">
      <c r="A106" s="165" t="s">
        <v>285</v>
      </c>
      <c r="B106" s="474" t="s">
        <v>285</v>
      </c>
      <c r="C106" s="206" t="s">
        <v>286</v>
      </c>
      <c r="D106" s="167" t="s">
        <v>287</v>
      </c>
      <c r="E106" s="168" t="s">
        <v>89</v>
      </c>
      <c r="F106" s="169">
        <v>1</v>
      </c>
      <c r="G106" s="497">
        <v>671024</v>
      </c>
      <c r="H106" s="34">
        <f t="shared" si="70"/>
        <v>671024</v>
      </c>
      <c r="I106" s="35" t="e">
        <f>#REF!</f>
        <v>#REF!</v>
      </c>
      <c r="J106" s="33" t="e">
        <f>#REF!</f>
        <v>#REF!</v>
      </c>
      <c r="K106" s="33">
        <v>1</v>
      </c>
      <c r="L106" s="33" t="e">
        <f>ROUNDUP(#REF!/$K$106,0)</f>
        <v>#REF!</v>
      </c>
      <c r="M106" s="36" t="e">
        <f t="shared" si="71"/>
        <v>#REF!</v>
      </c>
      <c r="N106" s="37" t="e">
        <f t="shared" si="72"/>
        <v>#REF!</v>
      </c>
      <c r="O106" s="38">
        <f t="shared" si="73"/>
        <v>671024</v>
      </c>
      <c r="P106" s="39"/>
      <c r="Q106" s="40" t="e">
        <f>ROUND(#REF!*F106,0)</f>
        <v>#REF!</v>
      </c>
      <c r="R106" s="41" t="e">
        <f>ROUND(#REF!*F106,0)</f>
        <v>#REF!</v>
      </c>
      <c r="S106" s="41" t="e">
        <f>ROUND(#REF!*F106,0)</f>
        <v>#REF!</v>
      </c>
      <c r="T106" s="42" t="e">
        <f>ROUND(#REF!*F106,0)</f>
        <v>#REF!</v>
      </c>
      <c r="U106" s="43" t="e">
        <f t="shared" si="74"/>
        <v>#REF!</v>
      </c>
      <c r="V106" s="44"/>
      <c r="W106" s="27">
        <v>71</v>
      </c>
      <c r="AG106" s="45"/>
      <c r="AH106" s="46" t="str">
        <f t="shared" si="68"/>
        <v>CAP. 8: INSTALACIÓN ELÉCTRICA</v>
      </c>
      <c r="AI106" s="47">
        <f t="shared" si="69"/>
        <v>101</v>
      </c>
      <c r="AJ106" s="47"/>
      <c r="AK106" s="47"/>
      <c r="AL106" s="48"/>
      <c r="AM106" s="49"/>
      <c r="AP106" s="50">
        <f t="shared" si="75"/>
        <v>1</v>
      </c>
      <c r="AQ106" s="51"/>
      <c r="AR106" s="52">
        <f t="shared" si="76"/>
        <v>1</v>
      </c>
      <c r="AS106" s="53">
        <f t="shared" si="77"/>
        <v>671024</v>
      </c>
      <c r="AT106" s="54">
        <f t="shared" si="78"/>
        <v>671024</v>
      </c>
      <c r="AV106" s="55"/>
    </row>
    <row r="107" spans="1:48" x14ac:dyDescent="0.3">
      <c r="A107" s="165" t="s">
        <v>288</v>
      </c>
      <c r="B107" s="474" t="s">
        <v>288</v>
      </c>
      <c r="C107" s="206" t="s">
        <v>289</v>
      </c>
      <c r="D107" s="167" t="s">
        <v>290</v>
      </c>
      <c r="E107" s="168" t="s">
        <v>89</v>
      </c>
      <c r="F107" s="169">
        <v>24</v>
      </c>
      <c r="G107" s="497">
        <v>202546</v>
      </c>
      <c r="H107" s="34">
        <f t="shared" si="70"/>
        <v>4861104</v>
      </c>
      <c r="I107" s="35" t="e">
        <f>#REF!</f>
        <v>#REF!</v>
      </c>
      <c r="J107" s="33" t="e">
        <f>#REF!</f>
        <v>#REF!</v>
      </c>
      <c r="K107" s="33">
        <v>1</v>
      </c>
      <c r="L107" s="33" t="e">
        <f>ROUNDUP(#REF!/$K$107,0)</f>
        <v>#REF!</v>
      </c>
      <c r="M107" s="36" t="e">
        <f t="shared" si="71"/>
        <v>#REF!</v>
      </c>
      <c r="N107" s="37" t="e">
        <f t="shared" si="72"/>
        <v>#REF!</v>
      </c>
      <c r="O107" s="38">
        <f t="shared" si="73"/>
        <v>4861104</v>
      </c>
      <c r="P107" s="39"/>
      <c r="Q107" s="40" t="e">
        <f>ROUND(#REF!*F107,0)</f>
        <v>#REF!</v>
      </c>
      <c r="R107" s="41" t="e">
        <f>ROUND(#REF!*F107,0)</f>
        <v>#REF!</v>
      </c>
      <c r="S107" s="41" t="e">
        <f>ROUND(#REF!*F107,0)</f>
        <v>#REF!</v>
      </c>
      <c r="T107" s="42" t="e">
        <f>ROUND(#REF!*F107,0)</f>
        <v>#REF!</v>
      </c>
      <c r="U107" s="43" t="e">
        <f t="shared" si="74"/>
        <v>#REF!</v>
      </c>
      <c r="V107" s="44"/>
      <c r="W107" s="27">
        <v>72</v>
      </c>
      <c r="AG107" s="45"/>
      <c r="AH107" s="46" t="str">
        <f t="shared" si="68"/>
        <v>CAP. 8: INSTALACIÓN ELÉCTRICA</v>
      </c>
      <c r="AI107" s="47">
        <f t="shared" si="69"/>
        <v>101</v>
      </c>
      <c r="AJ107" s="47"/>
      <c r="AK107" s="47"/>
      <c r="AL107" s="48"/>
      <c r="AM107" s="49"/>
      <c r="AP107" s="50">
        <f t="shared" si="75"/>
        <v>24</v>
      </c>
      <c r="AQ107" s="51"/>
      <c r="AR107" s="52">
        <f t="shared" si="76"/>
        <v>24</v>
      </c>
      <c r="AS107" s="53">
        <f t="shared" si="77"/>
        <v>202546</v>
      </c>
      <c r="AT107" s="54">
        <f t="shared" si="78"/>
        <v>4861104</v>
      </c>
      <c r="AV107" s="55"/>
    </row>
    <row r="108" spans="1:48" x14ac:dyDescent="0.3">
      <c r="A108" s="165" t="s">
        <v>291</v>
      </c>
      <c r="B108" s="474" t="s">
        <v>291</v>
      </c>
      <c r="C108" s="206" t="s">
        <v>292</v>
      </c>
      <c r="D108" s="167" t="s">
        <v>293</v>
      </c>
      <c r="E108" s="168" t="s">
        <v>33</v>
      </c>
      <c r="F108" s="169">
        <v>120</v>
      </c>
      <c r="G108" s="497">
        <v>99407</v>
      </c>
      <c r="H108" s="34">
        <f t="shared" si="70"/>
        <v>11928840</v>
      </c>
      <c r="I108" s="35" t="e">
        <f>#REF!</f>
        <v>#REF!</v>
      </c>
      <c r="J108" s="33" t="e">
        <f>#REF!</f>
        <v>#REF!</v>
      </c>
      <c r="K108" s="33">
        <v>1</v>
      </c>
      <c r="L108" s="33" t="e">
        <f>ROUNDUP(#REF!/$K$108,0)</f>
        <v>#REF!</v>
      </c>
      <c r="M108" s="36" t="e">
        <f t="shared" si="71"/>
        <v>#REF!</v>
      </c>
      <c r="N108" s="37" t="e">
        <f t="shared" si="72"/>
        <v>#REF!</v>
      </c>
      <c r="O108" s="38">
        <f t="shared" si="73"/>
        <v>11928840</v>
      </c>
      <c r="P108" s="39"/>
      <c r="Q108" s="40" t="e">
        <f>ROUND(#REF!*F108,0)</f>
        <v>#REF!</v>
      </c>
      <c r="R108" s="41" t="e">
        <f>ROUND(#REF!*F108,0) + 13</f>
        <v>#REF!</v>
      </c>
      <c r="S108" s="41" t="e">
        <f>ROUND(#REF!*F108,0)</f>
        <v>#REF!</v>
      </c>
      <c r="T108" s="42" t="e">
        <f>ROUND(#REF!*F108,0)</f>
        <v>#REF!</v>
      </c>
      <c r="U108" s="43" t="e">
        <f t="shared" si="74"/>
        <v>#REF!</v>
      </c>
      <c r="V108" s="44"/>
      <c r="W108" s="27">
        <v>73</v>
      </c>
      <c r="AG108" s="45"/>
      <c r="AH108" s="46" t="str">
        <f t="shared" si="68"/>
        <v>CAP. 8: INSTALACIÓN ELÉCTRICA</v>
      </c>
      <c r="AI108" s="47">
        <f t="shared" si="69"/>
        <v>101</v>
      </c>
      <c r="AJ108" s="47"/>
      <c r="AK108" s="47"/>
      <c r="AL108" s="48"/>
      <c r="AM108" s="49"/>
      <c r="AP108" s="50">
        <f t="shared" si="75"/>
        <v>120</v>
      </c>
      <c r="AQ108" s="51"/>
      <c r="AR108" s="52">
        <f t="shared" si="76"/>
        <v>120</v>
      </c>
      <c r="AS108" s="53">
        <f t="shared" si="77"/>
        <v>99407</v>
      </c>
      <c r="AT108" s="54">
        <f t="shared" si="78"/>
        <v>11928840</v>
      </c>
      <c r="AV108" s="55"/>
    </row>
    <row r="109" spans="1:48" x14ac:dyDescent="0.3">
      <c r="A109" s="165" t="s">
        <v>294</v>
      </c>
      <c r="B109" s="474" t="s">
        <v>294</v>
      </c>
      <c r="C109" s="206" t="s">
        <v>295</v>
      </c>
      <c r="D109" s="167" t="s">
        <v>296</v>
      </c>
      <c r="E109" s="168" t="s">
        <v>33</v>
      </c>
      <c r="F109" s="169">
        <v>60</v>
      </c>
      <c r="G109" s="497">
        <v>391071</v>
      </c>
      <c r="H109" s="34">
        <f t="shared" si="70"/>
        <v>23464260</v>
      </c>
      <c r="I109" s="35" t="e">
        <f>#REF!</f>
        <v>#REF!</v>
      </c>
      <c r="J109" s="33" t="e">
        <f>#REF!</f>
        <v>#REF!</v>
      </c>
      <c r="K109" s="33">
        <v>1</v>
      </c>
      <c r="L109" s="33" t="e">
        <f>ROUNDUP(#REF!/$K$109,0)</f>
        <v>#REF!</v>
      </c>
      <c r="M109" s="36" t="e">
        <f t="shared" si="71"/>
        <v>#REF!</v>
      </c>
      <c r="N109" s="37" t="e">
        <f t="shared" si="72"/>
        <v>#REF!</v>
      </c>
      <c r="O109" s="38">
        <f t="shared" si="73"/>
        <v>23464260</v>
      </c>
      <c r="P109" s="39"/>
      <c r="Q109" s="40" t="e">
        <f>ROUND(#REF!*F109,0)</f>
        <v>#REF!</v>
      </c>
      <c r="R109" s="41" t="e">
        <f>ROUND(#REF!*F109,0)</f>
        <v>#REF!</v>
      </c>
      <c r="S109" s="41" t="e">
        <f>ROUND(#REF!*F109,0)</f>
        <v>#REF!</v>
      </c>
      <c r="T109" s="42" t="e">
        <f>ROUND(#REF!*F109,0)</f>
        <v>#REF!</v>
      </c>
      <c r="U109" s="43" t="e">
        <f t="shared" si="74"/>
        <v>#REF!</v>
      </c>
      <c r="V109" s="44"/>
      <c r="W109" s="27">
        <v>74</v>
      </c>
      <c r="AG109" s="45"/>
      <c r="AH109" s="46" t="str">
        <f t="shared" si="68"/>
        <v>CAP. 8: INSTALACIÓN ELÉCTRICA</v>
      </c>
      <c r="AI109" s="47">
        <f t="shared" si="69"/>
        <v>101</v>
      </c>
      <c r="AJ109" s="47"/>
      <c r="AK109" s="47"/>
      <c r="AL109" s="48"/>
      <c r="AM109" s="49"/>
      <c r="AP109" s="50">
        <f t="shared" si="75"/>
        <v>60</v>
      </c>
      <c r="AQ109" s="51"/>
      <c r="AR109" s="52">
        <f t="shared" si="76"/>
        <v>60</v>
      </c>
      <c r="AS109" s="53">
        <f t="shared" si="77"/>
        <v>391071</v>
      </c>
      <c r="AT109" s="54">
        <f t="shared" si="78"/>
        <v>23464260</v>
      </c>
      <c r="AV109" s="55"/>
    </row>
    <row r="110" spans="1:48" x14ac:dyDescent="0.3">
      <c r="A110" s="165" t="s">
        <v>297</v>
      </c>
      <c r="B110" s="474" t="s">
        <v>297</v>
      </c>
      <c r="C110" s="206" t="s">
        <v>298</v>
      </c>
      <c r="D110" s="167" t="s">
        <v>299</v>
      </c>
      <c r="E110" s="168" t="s">
        <v>89</v>
      </c>
      <c r="F110" s="169">
        <v>1</v>
      </c>
      <c r="G110" s="497">
        <v>6051161</v>
      </c>
      <c r="H110" s="34">
        <f t="shared" si="70"/>
        <v>6051161</v>
      </c>
      <c r="I110" s="35" t="e">
        <f>#REF!</f>
        <v>#REF!</v>
      </c>
      <c r="J110" s="33" t="e">
        <f>#REF!</f>
        <v>#REF!</v>
      </c>
      <c r="K110" s="33">
        <v>1</v>
      </c>
      <c r="L110" s="33" t="e">
        <f>ROUNDUP(#REF!/$K$110,0)</f>
        <v>#REF!</v>
      </c>
      <c r="M110" s="36" t="e">
        <f t="shared" si="71"/>
        <v>#REF!</v>
      </c>
      <c r="N110" s="37" t="e">
        <f t="shared" si="72"/>
        <v>#REF!</v>
      </c>
      <c r="O110" s="38">
        <f t="shared" si="73"/>
        <v>6051161</v>
      </c>
      <c r="P110" s="39"/>
      <c r="Q110" s="40" t="e">
        <f>ROUND(#REF!*F110,0)</f>
        <v>#REF!</v>
      </c>
      <c r="R110" s="41" t="e">
        <f>ROUND(#REF!*F110,0)</f>
        <v>#REF!</v>
      </c>
      <c r="S110" s="41" t="e">
        <f>ROUND(#REF!*F110,0)</f>
        <v>#REF!</v>
      </c>
      <c r="T110" s="42" t="e">
        <f>ROUND(#REF!*F110,0)</f>
        <v>#REF!</v>
      </c>
      <c r="U110" s="43" t="e">
        <f t="shared" si="74"/>
        <v>#REF!</v>
      </c>
      <c r="V110" s="44"/>
      <c r="W110" s="27">
        <v>75</v>
      </c>
      <c r="AG110" s="45"/>
      <c r="AH110" s="46" t="str">
        <f t="shared" si="68"/>
        <v>CAP. 8: INSTALACIÓN ELÉCTRICA</v>
      </c>
      <c r="AI110" s="47">
        <f t="shared" si="69"/>
        <v>101</v>
      </c>
      <c r="AJ110" s="47"/>
      <c r="AK110" s="47"/>
      <c r="AL110" s="48"/>
      <c r="AM110" s="49"/>
      <c r="AP110" s="50">
        <f t="shared" si="75"/>
        <v>1</v>
      </c>
      <c r="AQ110" s="51"/>
      <c r="AR110" s="52">
        <f t="shared" si="76"/>
        <v>1</v>
      </c>
      <c r="AS110" s="53">
        <f t="shared" si="77"/>
        <v>6051161</v>
      </c>
      <c r="AT110" s="54">
        <f t="shared" si="78"/>
        <v>6051161</v>
      </c>
      <c r="AV110" s="55"/>
    </row>
    <row r="111" spans="1:48" x14ac:dyDescent="0.3">
      <c r="A111" s="165" t="s">
        <v>300</v>
      </c>
      <c r="B111" s="474" t="s">
        <v>300</v>
      </c>
      <c r="C111" s="206" t="s">
        <v>301</v>
      </c>
      <c r="D111" s="167" t="s">
        <v>302</v>
      </c>
      <c r="E111" s="168" t="s">
        <v>33</v>
      </c>
      <c r="F111" s="169">
        <v>1885</v>
      </c>
      <c r="G111" s="497">
        <v>6844</v>
      </c>
      <c r="H111" s="34">
        <f t="shared" si="70"/>
        <v>12900940</v>
      </c>
      <c r="I111" s="35" t="e">
        <f>#REF!</f>
        <v>#REF!</v>
      </c>
      <c r="J111" s="33" t="e">
        <f>#REF!</f>
        <v>#REF!</v>
      </c>
      <c r="K111" s="33">
        <v>1</v>
      </c>
      <c r="L111" s="33" t="e">
        <f>ROUNDUP(#REF!/$K$111,0)</f>
        <v>#REF!</v>
      </c>
      <c r="M111" s="36" t="e">
        <f t="shared" si="71"/>
        <v>#REF!</v>
      </c>
      <c r="N111" s="37" t="e">
        <f t="shared" si="72"/>
        <v>#REF!</v>
      </c>
      <c r="O111" s="38">
        <f t="shared" si="73"/>
        <v>12900940</v>
      </c>
      <c r="P111" s="39"/>
      <c r="Q111" s="40" t="e">
        <f>ROUND(#REF!*F111,0)</f>
        <v>#REF!</v>
      </c>
      <c r="R111" s="41" t="e">
        <f>ROUND(#REF!*F111,0)</f>
        <v>#REF!</v>
      </c>
      <c r="S111" s="41" t="e">
        <f>ROUND(#REF!*F111,0)</f>
        <v>#REF!</v>
      </c>
      <c r="T111" s="42" t="e">
        <f>ROUND(#REF!*F111,0)</f>
        <v>#REF!</v>
      </c>
      <c r="U111" s="43" t="e">
        <f t="shared" si="74"/>
        <v>#REF!</v>
      </c>
      <c r="V111" s="44"/>
      <c r="W111" s="27">
        <v>76</v>
      </c>
      <c r="AG111" s="45"/>
      <c r="AH111" s="46" t="str">
        <f t="shared" si="68"/>
        <v>CAP. 8: INSTALACIÓN ELÉCTRICA</v>
      </c>
      <c r="AI111" s="47">
        <f t="shared" si="69"/>
        <v>101</v>
      </c>
      <c r="AJ111" s="47"/>
      <c r="AK111" s="47"/>
      <c r="AL111" s="48"/>
      <c r="AM111" s="49"/>
      <c r="AP111" s="50">
        <f t="shared" si="75"/>
        <v>1885</v>
      </c>
      <c r="AQ111" s="51"/>
      <c r="AR111" s="52">
        <f t="shared" si="76"/>
        <v>1885</v>
      </c>
      <c r="AS111" s="53">
        <f t="shared" si="77"/>
        <v>6844</v>
      </c>
      <c r="AT111" s="54">
        <f t="shared" si="78"/>
        <v>12900940</v>
      </c>
      <c r="AV111" s="55"/>
    </row>
    <row r="112" spans="1:48" x14ac:dyDescent="0.3">
      <c r="A112" s="165" t="s">
        <v>303</v>
      </c>
      <c r="B112" s="474" t="s">
        <v>303</v>
      </c>
      <c r="C112" s="206" t="s">
        <v>304</v>
      </c>
      <c r="D112" s="167" t="s">
        <v>305</v>
      </c>
      <c r="E112" s="168" t="s">
        <v>33</v>
      </c>
      <c r="F112" s="169">
        <v>1782</v>
      </c>
      <c r="G112" s="497">
        <v>5499</v>
      </c>
      <c r="H112" s="34">
        <f t="shared" si="70"/>
        <v>9799218</v>
      </c>
      <c r="I112" s="35" t="e">
        <f>#REF!</f>
        <v>#REF!</v>
      </c>
      <c r="J112" s="33" t="e">
        <f>#REF!</f>
        <v>#REF!</v>
      </c>
      <c r="K112" s="33">
        <v>1</v>
      </c>
      <c r="L112" s="33" t="e">
        <f>ROUNDUP(#REF!/$K$112,0)</f>
        <v>#REF!</v>
      </c>
      <c r="M112" s="36" t="e">
        <f t="shared" si="71"/>
        <v>#REF!</v>
      </c>
      <c r="N112" s="37" t="e">
        <f t="shared" si="72"/>
        <v>#REF!</v>
      </c>
      <c r="O112" s="38">
        <f t="shared" si="73"/>
        <v>9799218</v>
      </c>
      <c r="P112" s="39"/>
      <c r="Q112" s="40" t="e">
        <f>ROUND(#REF!*F112,0)</f>
        <v>#REF!</v>
      </c>
      <c r="R112" s="41" t="e">
        <f>ROUND(#REF!*F112,0) + 623</f>
        <v>#REF!</v>
      </c>
      <c r="S112" s="41" t="e">
        <f>ROUND(#REF!*F112,0)</f>
        <v>#REF!</v>
      </c>
      <c r="T112" s="42" t="e">
        <f>ROUND(#REF!*F112,0)</f>
        <v>#REF!</v>
      </c>
      <c r="U112" s="43" t="e">
        <f t="shared" si="74"/>
        <v>#REF!</v>
      </c>
      <c r="V112" s="44"/>
      <c r="W112" s="27">
        <v>77</v>
      </c>
      <c r="AG112" s="45"/>
      <c r="AH112" s="46" t="str">
        <f t="shared" si="68"/>
        <v>CAP. 8: INSTALACIÓN ELÉCTRICA</v>
      </c>
      <c r="AI112" s="47">
        <f t="shared" si="69"/>
        <v>101</v>
      </c>
      <c r="AJ112" s="47"/>
      <c r="AK112" s="47"/>
      <c r="AL112" s="48"/>
      <c r="AM112" s="49"/>
      <c r="AP112" s="50">
        <f t="shared" si="75"/>
        <v>1782</v>
      </c>
      <c r="AQ112" s="51"/>
      <c r="AR112" s="52">
        <f t="shared" si="76"/>
        <v>1782</v>
      </c>
      <c r="AS112" s="53">
        <f t="shared" si="77"/>
        <v>5499</v>
      </c>
      <c r="AT112" s="54">
        <f t="shared" si="78"/>
        <v>9799218</v>
      </c>
      <c r="AV112" s="55"/>
    </row>
    <row r="113" spans="1:48" ht="27.6" x14ac:dyDescent="0.3">
      <c r="A113" s="165" t="s">
        <v>306</v>
      </c>
      <c r="B113" s="474" t="s">
        <v>306</v>
      </c>
      <c r="C113" s="206" t="s">
        <v>307</v>
      </c>
      <c r="D113" s="167" t="s">
        <v>308</v>
      </c>
      <c r="E113" s="168" t="s">
        <v>89</v>
      </c>
      <c r="F113" s="169">
        <v>60</v>
      </c>
      <c r="G113" s="497">
        <v>199818</v>
      </c>
      <c r="H113" s="34">
        <f t="shared" si="70"/>
        <v>11989080</v>
      </c>
      <c r="I113" s="35" t="e">
        <f>#REF!</f>
        <v>#REF!</v>
      </c>
      <c r="J113" s="33" t="e">
        <f>#REF!</f>
        <v>#REF!</v>
      </c>
      <c r="K113" s="33">
        <v>1</v>
      </c>
      <c r="L113" s="33" t="e">
        <f>ROUNDUP(#REF!/$K$113,0)</f>
        <v>#REF!</v>
      </c>
      <c r="M113" s="36" t="e">
        <f t="shared" si="71"/>
        <v>#REF!</v>
      </c>
      <c r="N113" s="37" t="e">
        <f t="shared" si="72"/>
        <v>#REF!</v>
      </c>
      <c r="O113" s="38">
        <f t="shared" si="73"/>
        <v>11989080</v>
      </c>
      <c r="P113" s="39"/>
      <c r="Q113" s="40" t="e">
        <f>ROUND(#REF!*F113,0)</f>
        <v>#REF!</v>
      </c>
      <c r="R113" s="41" t="e">
        <f>ROUND(#REF!*F113,0) + 28</f>
        <v>#REF!</v>
      </c>
      <c r="S113" s="41" t="e">
        <f>ROUND(#REF!*F113,0)</f>
        <v>#REF!</v>
      </c>
      <c r="T113" s="42" t="e">
        <f>ROUND(#REF!*F113,0)</f>
        <v>#REF!</v>
      </c>
      <c r="U113" s="43" t="e">
        <f t="shared" si="74"/>
        <v>#REF!</v>
      </c>
      <c r="V113" s="44"/>
      <c r="W113" s="27">
        <v>78</v>
      </c>
      <c r="AG113" s="45"/>
      <c r="AH113" s="46" t="str">
        <f t="shared" si="68"/>
        <v>CAP. 8: INSTALACIÓN ELÉCTRICA</v>
      </c>
      <c r="AI113" s="47">
        <f t="shared" si="69"/>
        <v>101</v>
      </c>
      <c r="AJ113" s="47"/>
      <c r="AK113" s="47"/>
      <c r="AL113" s="48"/>
      <c r="AM113" s="49"/>
      <c r="AP113" s="50">
        <f t="shared" si="75"/>
        <v>60</v>
      </c>
      <c r="AQ113" s="51"/>
      <c r="AR113" s="52">
        <f t="shared" si="76"/>
        <v>60</v>
      </c>
      <c r="AS113" s="53">
        <f t="shared" si="77"/>
        <v>199818</v>
      </c>
      <c r="AT113" s="54">
        <f t="shared" si="78"/>
        <v>11989080</v>
      </c>
      <c r="AV113" s="55"/>
    </row>
    <row r="114" spans="1:48" x14ac:dyDescent="0.3">
      <c r="A114" s="165" t="s">
        <v>309</v>
      </c>
      <c r="B114" s="474" t="s">
        <v>309</v>
      </c>
      <c r="C114" s="206" t="s">
        <v>310</v>
      </c>
      <c r="D114" s="167" t="s">
        <v>311</v>
      </c>
      <c r="E114" s="168" t="s">
        <v>89</v>
      </c>
      <c r="F114" s="169">
        <v>30</v>
      </c>
      <c r="G114" s="497">
        <v>258608</v>
      </c>
      <c r="H114" s="34">
        <f t="shared" si="70"/>
        <v>7758240</v>
      </c>
      <c r="I114" s="35" t="e">
        <f>#REF!</f>
        <v>#REF!</v>
      </c>
      <c r="J114" s="33" t="e">
        <f>#REF!</f>
        <v>#REF!</v>
      </c>
      <c r="K114" s="33">
        <v>1</v>
      </c>
      <c r="L114" s="33" t="e">
        <f>ROUNDUP(#REF!/$K$114,0)</f>
        <v>#REF!</v>
      </c>
      <c r="M114" s="36" t="e">
        <f t="shared" si="71"/>
        <v>#REF!</v>
      </c>
      <c r="N114" s="37" t="e">
        <f t="shared" si="72"/>
        <v>#REF!</v>
      </c>
      <c r="O114" s="38">
        <f t="shared" si="73"/>
        <v>7758240</v>
      </c>
      <c r="P114" s="39"/>
      <c r="Q114" s="40" t="e">
        <f>ROUND(#REF!*F114,0)</f>
        <v>#REF!</v>
      </c>
      <c r="R114" s="41" t="e">
        <f>ROUND(#REF!*F114,0)</f>
        <v>#REF!</v>
      </c>
      <c r="S114" s="41" t="e">
        <f>ROUND(#REF!*F114,0)</f>
        <v>#REF!</v>
      </c>
      <c r="T114" s="42" t="e">
        <f>ROUND(#REF!*F114,0)</f>
        <v>#REF!</v>
      </c>
      <c r="U114" s="43" t="e">
        <f t="shared" si="74"/>
        <v>#REF!</v>
      </c>
      <c r="V114" s="44"/>
      <c r="W114" s="27">
        <v>79</v>
      </c>
      <c r="AG114" s="45"/>
      <c r="AH114" s="46" t="str">
        <f t="shared" si="68"/>
        <v>CAP. 8: INSTALACIÓN ELÉCTRICA</v>
      </c>
      <c r="AI114" s="47">
        <f t="shared" si="69"/>
        <v>101</v>
      </c>
      <c r="AJ114" s="47"/>
      <c r="AK114" s="47"/>
      <c r="AL114" s="48"/>
      <c r="AM114" s="49"/>
      <c r="AP114" s="50">
        <f t="shared" si="75"/>
        <v>30</v>
      </c>
      <c r="AQ114" s="51"/>
      <c r="AR114" s="52">
        <f t="shared" si="76"/>
        <v>30</v>
      </c>
      <c r="AS114" s="53">
        <f t="shared" si="77"/>
        <v>258608</v>
      </c>
      <c r="AT114" s="54">
        <f t="shared" si="78"/>
        <v>7758240</v>
      </c>
      <c r="AV114" s="55"/>
    </row>
    <row r="115" spans="1:48" x14ac:dyDescent="0.3">
      <c r="A115" s="165" t="s">
        <v>312</v>
      </c>
      <c r="B115" s="474" t="s">
        <v>312</v>
      </c>
      <c r="C115" s="206" t="s">
        <v>313</v>
      </c>
      <c r="D115" s="167" t="s">
        <v>314</v>
      </c>
      <c r="E115" s="168" t="s">
        <v>89</v>
      </c>
      <c r="F115" s="169">
        <v>5</v>
      </c>
      <c r="G115" s="497">
        <v>287025</v>
      </c>
      <c r="H115" s="34">
        <f t="shared" si="70"/>
        <v>1435125</v>
      </c>
      <c r="I115" s="35" t="e">
        <f>#REF!</f>
        <v>#REF!</v>
      </c>
      <c r="J115" s="33" t="e">
        <f>#REF!</f>
        <v>#REF!</v>
      </c>
      <c r="K115" s="33">
        <v>1</v>
      </c>
      <c r="L115" s="33" t="e">
        <f>ROUNDUP(#REF!/$K$115,0)</f>
        <v>#REF!</v>
      </c>
      <c r="M115" s="36" t="e">
        <f t="shared" si="71"/>
        <v>#REF!</v>
      </c>
      <c r="N115" s="37" t="e">
        <f t="shared" si="72"/>
        <v>#REF!</v>
      </c>
      <c r="O115" s="38">
        <f t="shared" si="73"/>
        <v>1435125</v>
      </c>
      <c r="P115" s="39"/>
      <c r="Q115" s="40" t="e">
        <f>ROUND(#REF!*F115,0)</f>
        <v>#REF!</v>
      </c>
      <c r="R115" s="41" t="e">
        <f>ROUND(#REF!*F115,0) + 1</f>
        <v>#REF!</v>
      </c>
      <c r="S115" s="41" t="e">
        <f>ROUND(#REF!*F115,0)</f>
        <v>#REF!</v>
      </c>
      <c r="T115" s="42" t="e">
        <f>ROUND(#REF!*F115,0)</f>
        <v>#REF!</v>
      </c>
      <c r="U115" s="43" t="e">
        <f t="shared" si="74"/>
        <v>#REF!</v>
      </c>
      <c r="V115" s="44"/>
      <c r="W115" s="27">
        <v>80</v>
      </c>
      <c r="AG115" s="45"/>
      <c r="AH115" s="46" t="str">
        <f t="shared" si="68"/>
        <v>CAP. 8: INSTALACIÓN ELÉCTRICA</v>
      </c>
      <c r="AI115" s="47">
        <f t="shared" si="69"/>
        <v>101</v>
      </c>
      <c r="AJ115" s="47"/>
      <c r="AK115" s="47"/>
      <c r="AL115" s="48"/>
      <c r="AM115" s="49"/>
      <c r="AP115" s="50">
        <f t="shared" si="75"/>
        <v>5</v>
      </c>
      <c r="AQ115" s="51"/>
      <c r="AR115" s="52">
        <f t="shared" si="76"/>
        <v>5</v>
      </c>
      <c r="AS115" s="53">
        <f t="shared" si="77"/>
        <v>287025</v>
      </c>
      <c r="AT115" s="54">
        <f t="shared" si="78"/>
        <v>1435125</v>
      </c>
      <c r="AV115" s="55"/>
    </row>
    <row r="116" spans="1:48" x14ac:dyDescent="0.3">
      <c r="A116" s="165" t="s">
        <v>315</v>
      </c>
      <c r="B116" s="474" t="s">
        <v>315</v>
      </c>
      <c r="C116" s="206" t="s">
        <v>316</v>
      </c>
      <c r="D116" s="167" t="s">
        <v>317</v>
      </c>
      <c r="E116" s="168" t="s">
        <v>89</v>
      </c>
      <c r="F116" s="169">
        <v>4</v>
      </c>
      <c r="G116" s="497">
        <v>273645</v>
      </c>
      <c r="H116" s="34">
        <f t="shared" si="70"/>
        <v>1094580</v>
      </c>
      <c r="I116" s="35" t="e">
        <f>#REF!</f>
        <v>#REF!</v>
      </c>
      <c r="J116" s="33" t="e">
        <f>#REF!</f>
        <v>#REF!</v>
      </c>
      <c r="K116" s="33">
        <v>1</v>
      </c>
      <c r="L116" s="33" t="e">
        <f>ROUNDUP(#REF!/$K$116,0)</f>
        <v>#REF!</v>
      </c>
      <c r="M116" s="36" t="e">
        <f t="shared" si="71"/>
        <v>#REF!</v>
      </c>
      <c r="N116" s="37" t="e">
        <f t="shared" si="72"/>
        <v>#REF!</v>
      </c>
      <c r="O116" s="38">
        <f t="shared" si="73"/>
        <v>1094580</v>
      </c>
      <c r="P116" s="39"/>
      <c r="Q116" s="40" t="e">
        <f>ROUND(#REF!*F116,0)</f>
        <v>#REF!</v>
      </c>
      <c r="R116" s="41" t="e">
        <f>ROUND(#REF!*F116,0) + 2</f>
        <v>#REF!</v>
      </c>
      <c r="S116" s="41" t="e">
        <f>ROUND(#REF!*F116,0)</f>
        <v>#REF!</v>
      </c>
      <c r="T116" s="42" t="e">
        <f>ROUND(#REF!*F116,0)</f>
        <v>#REF!</v>
      </c>
      <c r="U116" s="43" t="e">
        <f t="shared" si="74"/>
        <v>#REF!</v>
      </c>
      <c r="V116" s="44"/>
      <c r="W116" s="27">
        <v>81</v>
      </c>
      <c r="AG116" s="45"/>
      <c r="AH116" s="46" t="str">
        <f t="shared" si="68"/>
        <v>CAP. 8: INSTALACIÓN ELÉCTRICA</v>
      </c>
      <c r="AI116" s="47">
        <f t="shared" si="69"/>
        <v>101</v>
      </c>
      <c r="AJ116" s="47"/>
      <c r="AK116" s="47"/>
      <c r="AL116" s="48"/>
      <c r="AM116" s="49"/>
      <c r="AP116" s="50">
        <f t="shared" si="75"/>
        <v>4</v>
      </c>
      <c r="AQ116" s="51"/>
      <c r="AR116" s="52">
        <f t="shared" si="76"/>
        <v>4</v>
      </c>
      <c r="AS116" s="53">
        <f t="shared" si="77"/>
        <v>273645</v>
      </c>
      <c r="AT116" s="54">
        <f t="shared" si="78"/>
        <v>1094580</v>
      </c>
      <c r="AV116" s="55"/>
    </row>
    <row r="117" spans="1:48" x14ac:dyDescent="0.3">
      <c r="A117" s="165" t="s">
        <v>318</v>
      </c>
      <c r="B117" s="474" t="s">
        <v>318</v>
      </c>
      <c r="C117" s="206" t="s">
        <v>319</v>
      </c>
      <c r="D117" s="167" t="s">
        <v>320</v>
      </c>
      <c r="E117" s="168" t="s">
        <v>89</v>
      </c>
      <c r="F117" s="169">
        <v>3</v>
      </c>
      <c r="G117" s="497">
        <v>583845</v>
      </c>
      <c r="H117" s="34">
        <f t="shared" si="70"/>
        <v>1751535</v>
      </c>
      <c r="I117" s="35" t="e">
        <f>#REF!</f>
        <v>#REF!</v>
      </c>
      <c r="J117" s="33" t="e">
        <f>#REF!</f>
        <v>#REF!</v>
      </c>
      <c r="K117" s="33">
        <v>1</v>
      </c>
      <c r="L117" s="33" t="e">
        <f>ROUNDUP(#REF!/$K$117,0)</f>
        <v>#REF!</v>
      </c>
      <c r="M117" s="36" t="e">
        <f t="shared" si="71"/>
        <v>#REF!</v>
      </c>
      <c r="N117" s="37" t="e">
        <f t="shared" si="72"/>
        <v>#REF!</v>
      </c>
      <c r="O117" s="38">
        <f t="shared" si="73"/>
        <v>1751535</v>
      </c>
      <c r="P117" s="39"/>
      <c r="Q117" s="40" t="e">
        <f>ROUND(#REF!*F117,0)</f>
        <v>#REF!</v>
      </c>
      <c r="R117" s="41" t="e">
        <f>ROUND(#REF!*F117,0)</f>
        <v>#REF!</v>
      </c>
      <c r="S117" s="41" t="e">
        <f>ROUND(#REF!*F117,0)</f>
        <v>#REF!</v>
      </c>
      <c r="T117" s="42" t="e">
        <f>ROUND(#REF!*F117,0)</f>
        <v>#REF!</v>
      </c>
      <c r="U117" s="43" t="e">
        <f t="shared" si="74"/>
        <v>#REF!</v>
      </c>
      <c r="V117" s="44"/>
      <c r="W117" s="27">
        <v>82</v>
      </c>
      <c r="AG117" s="45"/>
      <c r="AH117" s="46" t="str">
        <f t="shared" si="68"/>
        <v>CAP. 8: INSTALACIÓN ELÉCTRICA</v>
      </c>
      <c r="AI117" s="47">
        <f t="shared" si="69"/>
        <v>101</v>
      </c>
      <c r="AJ117" s="47"/>
      <c r="AK117" s="47"/>
      <c r="AL117" s="48"/>
      <c r="AM117" s="49"/>
      <c r="AP117" s="50">
        <f t="shared" si="75"/>
        <v>3</v>
      </c>
      <c r="AQ117" s="51"/>
      <c r="AR117" s="52">
        <f t="shared" si="76"/>
        <v>3</v>
      </c>
      <c r="AS117" s="53">
        <f t="shared" si="77"/>
        <v>583845</v>
      </c>
      <c r="AT117" s="54">
        <f t="shared" si="78"/>
        <v>1751535</v>
      </c>
      <c r="AV117" s="55"/>
    </row>
    <row r="118" spans="1:48" x14ac:dyDescent="0.3">
      <c r="A118" s="165" t="s">
        <v>321</v>
      </c>
      <c r="B118" s="474" t="s">
        <v>321</v>
      </c>
      <c r="C118" s="206" t="s">
        <v>322</v>
      </c>
      <c r="D118" s="167" t="s">
        <v>323</v>
      </c>
      <c r="E118" s="168" t="s">
        <v>89</v>
      </c>
      <c r="F118" s="169">
        <v>1</v>
      </c>
      <c r="G118" s="497">
        <v>598962</v>
      </c>
      <c r="H118" s="34">
        <f t="shared" si="70"/>
        <v>598962</v>
      </c>
      <c r="I118" s="35" t="e">
        <f>#REF!</f>
        <v>#REF!</v>
      </c>
      <c r="J118" s="33" t="e">
        <f>#REF!</f>
        <v>#REF!</v>
      </c>
      <c r="K118" s="33">
        <v>1</v>
      </c>
      <c r="L118" s="33" t="e">
        <f>ROUNDUP(#REF!/$K$118,0)</f>
        <v>#REF!</v>
      </c>
      <c r="M118" s="36" t="e">
        <f t="shared" si="71"/>
        <v>#REF!</v>
      </c>
      <c r="N118" s="37" t="e">
        <f t="shared" si="72"/>
        <v>#REF!</v>
      </c>
      <c r="O118" s="38">
        <f t="shared" si="73"/>
        <v>598962</v>
      </c>
      <c r="P118" s="39"/>
      <c r="Q118" s="40" t="e">
        <f>ROUND(#REF!*F118,0)</f>
        <v>#REF!</v>
      </c>
      <c r="R118" s="41" t="e">
        <f>ROUND(#REF!*F118,0)</f>
        <v>#REF!</v>
      </c>
      <c r="S118" s="41" t="e">
        <f>ROUND(#REF!*F118,0)</f>
        <v>#REF!</v>
      </c>
      <c r="T118" s="42" t="e">
        <f>ROUND(#REF!*F118,0)</f>
        <v>#REF!</v>
      </c>
      <c r="U118" s="43" t="e">
        <f t="shared" si="74"/>
        <v>#REF!</v>
      </c>
      <c r="V118" s="44"/>
      <c r="W118" s="27">
        <v>83</v>
      </c>
      <c r="AG118" s="45"/>
      <c r="AH118" s="46" t="str">
        <f t="shared" si="68"/>
        <v>CAP. 8: INSTALACIÓN ELÉCTRICA</v>
      </c>
      <c r="AI118" s="47">
        <f t="shared" si="69"/>
        <v>101</v>
      </c>
      <c r="AJ118" s="47"/>
      <c r="AK118" s="47"/>
      <c r="AL118" s="48"/>
      <c r="AM118" s="49"/>
      <c r="AP118" s="50">
        <f t="shared" si="75"/>
        <v>1</v>
      </c>
      <c r="AQ118" s="51"/>
      <c r="AR118" s="52">
        <f t="shared" si="76"/>
        <v>1</v>
      </c>
      <c r="AS118" s="53">
        <f t="shared" si="77"/>
        <v>598962</v>
      </c>
      <c r="AT118" s="54">
        <f t="shared" si="78"/>
        <v>598962</v>
      </c>
      <c r="AV118" s="55"/>
    </row>
    <row r="119" spans="1:48" x14ac:dyDescent="0.3">
      <c r="A119" s="165" t="s">
        <v>324</v>
      </c>
      <c r="B119" s="474" t="s">
        <v>324</v>
      </c>
      <c r="C119" s="206" t="s">
        <v>325</v>
      </c>
      <c r="D119" s="167" t="s">
        <v>326</v>
      </c>
      <c r="E119" s="168" t="s">
        <v>89</v>
      </c>
      <c r="F119" s="169">
        <v>1</v>
      </c>
      <c r="G119" s="497">
        <v>499308</v>
      </c>
      <c r="H119" s="34">
        <f t="shared" si="70"/>
        <v>499308</v>
      </c>
      <c r="I119" s="35" t="e">
        <f>#REF!</f>
        <v>#REF!</v>
      </c>
      <c r="J119" s="33" t="e">
        <f>#REF!</f>
        <v>#REF!</v>
      </c>
      <c r="K119" s="33">
        <v>1</v>
      </c>
      <c r="L119" s="33" t="e">
        <f>ROUNDUP(#REF!/$K$119,0)</f>
        <v>#REF!</v>
      </c>
      <c r="M119" s="36" t="e">
        <f t="shared" si="71"/>
        <v>#REF!</v>
      </c>
      <c r="N119" s="37" t="e">
        <f t="shared" si="72"/>
        <v>#REF!</v>
      </c>
      <c r="O119" s="38">
        <f t="shared" si="73"/>
        <v>499308</v>
      </c>
      <c r="P119" s="39"/>
      <c r="Q119" s="40" t="e">
        <f>ROUND(#REF!*F119,0)</f>
        <v>#REF!</v>
      </c>
      <c r="R119" s="41" t="e">
        <f>ROUND(#REF!*F119,0)</f>
        <v>#REF!</v>
      </c>
      <c r="S119" s="41" t="e">
        <f>ROUND(#REF!*F119,0)</f>
        <v>#REF!</v>
      </c>
      <c r="T119" s="42" t="e">
        <f>ROUND(#REF!*F119,0)</f>
        <v>#REF!</v>
      </c>
      <c r="U119" s="43" t="e">
        <f t="shared" si="74"/>
        <v>#REF!</v>
      </c>
      <c r="V119" s="44"/>
      <c r="W119" s="27">
        <v>84</v>
      </c>
      <c r="AG119" s="45"/>
      <c r="AH119" s="46" t="str">
        <f t="shared" si="68"/>
        <v>CAP. 8: INSTALACIÓN ELÉCTRICA</v>
      </c>
      <c r="AI119" s="47">
        <f t="shared" si="69"/>
        <v>101</v>
      </c>
      <c r="AJ119" s="47"/>
      <c r="AK119" s="47"/>
      <c r="AL119" s="48"/>
      <c r="AM119" s="49"/>
      <c r="AP119" s="50">
        <f t="shared" si="75"/>
        <v>1</v>
      </c>
      <c r="AQ119" s="51"/>
      <c r="AR119" s="52">
        <f t="shared" si="76"/>
        <v>1</v>
      </c>
      <c r="AS119" s="53">
        <f t="shared" si="77"/>
        <v>499308</v>
      </c>
      <c r="AT119" s="54">
        <f t="shared" si="78"/>
        <v>499308</v>
      </c>
      <c r="AV119" s="55"/>
    </row>
    <row r="120" spans="1:48" x14ac:dyDescent="0.3">
      <c r="A120" s="165" t="s">
        <v>327</v>
      </c>
      <c r="B120" s="474" t="s">
        <v>327</v>
      </c>
      <c r="C120" s="206" t="s">
        <v>328</v>
      </c>
      <c r="D120" s="167" t="s">
        <v>329</v>
      </c>
      <c r="E120" s="168" t="s">
        <v>89</v>
      </c>
      <c r="F120" s="169">
        <v>1</v>
      </c>
      <c r="G120" s="497">
        <v>358940</v>
      </c>
      <c r="H120" s="34">
        <f t="shared" si="70"/>
        <v>358940</v>
      </c>
      <c r="I120" s="35" t="e">
        <f>#REF!</f>
        <v>#REF!</v>
      </c>
      <c r="J120" s="33" t="e">
        <f>#REF!</f>
        <v>#REF!</v>
      </c>
      <c r="K120" s="33">
        <v>1</v>
      </c>
      <c r="L120" s="33" t="e">
        <f>ROUNDUP(#REF!/$K$120,0)</f>
        <v>#REF!</v>
      </c>
      <c r="M120" s="36" t="e">
        <f t="shared" si="71"/>
        <v>#REF!</v>
      </c>
      <c r="N120" s="37" t="e">
        <f t="shared" si="72"/>
        <v>#REF!</v>
      </c>
      <c r="O120" s="38">
        <f t="shared" si="73"/>
        <v>358940</v>
      </c>
      <c r="P120" s="39"/>
      <c r="Q120" s="40" t="e">
        <f>ROUND(#REF!*F120,0)</f>
        <v>#REF!</v>
      </c>
      <c r="R120" s="41" t="e">
        <f>ROUND(#REF!*F120,0)</f>
        <v>#REF!</v>
      </c>
      <c r="S120" s="41" t="e">
        <f>ROUND(#REF!*F120,0)</f>
        <v>#REF!</v>
      </c>
      <c r="T120" s="42" t="e">
        <f>ROUND(#REF!*F120,0)</f>
        <v>#REF!</v>
      </c>
      <c r="U120" s="43" t="e">
        <f t="shared" si="74"/>
        <v>#REF!</v>
      </c>
      <c r="V120" s="44"/>
      <c r="W120" s="27">
        <v>85</v>
      </c>
      <c r="AG120" s="45"/>
      <c r="AH120" s="46" t="str">
        <f t="shared" si="68"/>
        <v>CAP. 8: INSTALACIÓN ELÉCTRICA</v>
      </c>
      <c r="AI120" s="47">
        <f t="shared" si="69"/>
        <v>101</v>
      </c>
      <c r="AJ120" s="47"/>
      <c r="AK120" s="47"/>
      <c r="AL120" s="48"/>
      <c r="AM120" s="49"/>
      <c r="AP120" s="50">
        <f t="shared" si="75"/>
        <v>1</v>
      </c>
      <c r="AQ120" s="51"/>
      <c r="AR120" s="52">
        <f t="shared" si="76"/>
        <v>1</v>
      </c>
      <c r="AS120" s="53">
        <f t="shared" si="77"/>
        <v>358940</v>
      </c>
      <c r="AT120" s="54">
        <f t="shared" si="78"/>
        <v>358940</v>
      </c>
      <c r="AV120" s="55"/>
    </row>
    <row r="121" spans="1:48" x14ac:dyDescent="0.3">
      <c r="A121" s="165" t="s">
        <v>330</v>
      </c>
      <c r="B121" s="474" t="s">
        <v>330</v>
      </c>
      <c r="C121" s="206" t="s">
        <v>331</v>
      </c>
      <c r="D121" s="167" t="s">
        <v>332</v>
      </c>
      <c r="E121" s="168" t="s">
        <v>89</v>
      </c>
      <c r="F121" s="169">
        <v>1</v>
      </c>
      <c r="G121" s="497">
        <v>465775</v>
      </c>
      <c r="H121" s="34">
        <f t="shared" si="70"/>
        <v>465775</v>
      </c>
      <c r="I121" s="35" t="e">
        <f>#REF!</f>
        <v>#REF!</v>
      </c>
      <c r="J121" s="33" t="e">
        <f>#REF!</f>
        <v>#REF!</v>
      </c>
      <c r="K121" s="33">
        <v>1</v>
      </c>
      <c r="L121" s="33" t="e">
        <f>ROUNDUP(#REF!/$K$121,0)</f>
        <v>#REF!</v>
      </c>
      <c r="M121" s="36" t="e">
        <f t="shared" si="71"/>
        <v>#REF!</v>
      </c>
      <c r="N121" s="37" t="e">
        <f t="shared" si="72"/>
        <v>#REF!</v>
      </c>
      <c r="O121" s="38">
        <f t="shared" si="73"/>
        <v>465775</v>
      </c>
      <c r="P121" s="39"/>
      <c r="Q121" s="40" t="e">
        <f>ROUND(#REF!*F121,0)</f>
        <v>#REF!</v>
      </c>
      <c r="R121" s="41" t="e">
        <f>ROUND(#REF!*F121,0)</f>
        <v>#REF!</v>
      </c>
      <c r="S121" s="41" t="e">
        <f>ROUND(#REF!*F121,0)</f>
        <v>#REF!</v>
      </c>
      <c r="T121" s="42" t="e">
        <f>ROUND(#REF!*F121,0)</f>
        <v>#REF!</v>
      </c>
      <c r="U121" s="43" t="e">
        <f t="shared" si="74"/>
        <v>#REF!</v>
      </c>
      <c r="V121" s="44"/>
      <c r="W121" s="27">
        <v>86</v>
      </c>
      <c r="AG121" s="45"/>
      <c r="AH121" s="46" t="str">
        <f t="shared" si="68"/>
        <v>CAP. 8: INSTALACIÓN ELÉCTRICA</v>
      </c>
      <c r="AI121" s="47">
        <f t="shared" si="69"/>
        <v>101</v>
      </c>
      <c r="AJ121" s="47"/>
      <c r="AK121" s="47"/>
      <c r="AL121" s="48"/>
      <c r="AM121" s="49"/>
      <c r="AP121" s="50">
        <f t="shared" si="75"/>
        <v>1</v>
      </c>
      <c r="AQ121" s="51"/>
      <c r="AR121" s="52">
        <f t="shared" si="76"/>
        <v>1</v>
      </c>
      <c r="AS121" s="53">
        <f t="shared" si="77"/>
        <v>465775</v>
      </c>
      <c r="AT121" s="54">
        <f t="shared" si="78"/>
        <v>465775</v>
      </c>
      <c r="AV121" s="55"/>
    </row>
    <row r="122" spans="1:48" x14ac:dyDescent="0.3">
      <c r="A122" s="165" t="s">
        <v>333</v>
      </c>
      <c r="B122" s="474" t="s">
        <v>333</v>
      </c>
      <c r="C122" s="206" t="s">
        <v>334</v>
      </c>
      <c r="D122" s="167" t="s">
        <v>335</v>
      </c>
      <c r="E122" s="168" t="s">
        <v>89</v>
      </c>
      <c r="F122" s="169">
        <v>2</v>
      </c>
      <c r="G122" s="497">
        <v>385542</v>
      </c>
      <c r="H122" s="34">
        <f t="shared" si="70"/>
        <v>771084</v>
      </c>
      <c r="I122" s="35" t="e">
        <f>#REF!</f>
        <v>#REF!</v>
      </c>
      <c r="J122" s="33" t="e">
        <f>#REF!</f>
        <v>#REF!</v>
      </c>
      <c r="K122" s="33">
        <v>1</v>
      </c>
      <c r="L122" s="33" t="e">
        <f>ROUNDUP(#REF!/$K$122,0)</f>
        <v>#REF!</v>
      </c>
      <c r="M122" s="36" t="e">
        <f t="shared" si="71"/>
        <v>#REF!</v>
      </c>
      <c r="N122" s="37" t="e">
        <f t="shared" si="72"/>
        <v>#REF!</v>
      </c>
      <c r="O122" s="38">
        <f t="shared" si="73"/>
        <v>771084</v>
      </c>
      <c r="P122" s="39"/>
      <c r="Q122" s="40" t="e">
        <f>ROUND(#REF!*F122,0)</f>
        <v>#REF!</v>
      </c>
      <c r="R122" s="41" t="e">
        <f>ROUND(#REF!*F122,0) + 1</f>
        <v>#REF!</v>
      </c>
      <c r="S122" s="41" t="e">
        <f>ROUND(#REF!*F122,0)</f>
        <v>#REF!</v>
      </c>
      <c r="T122" s="42" t="e">
        <f>ROUND(#REF!*F122,0)</f>
        <v>#REF!</v>
      </c>
      <c r="U122" s="43" t="e">
        <f t="shared" si="74"/>
        <v>#REF!</v>
      </c>
      <c r="V122" s="44"/>
      <c r="W122" s="27">
        <v>87</v>
      </c>
      <c r="AG122" s="45"/>
      <c r="AH122" s="46" t="str">
        <f t="shared" si="68"/>
        <v>CAP. 8: INSTALACIÓN ELÉCTRICA</v>
      </c>
      <c r="AI122" s="47">
        <f t="shared" si="69"/>
        <v>101</v>
      </c>
      <c r="AJ122" s="47"/>
      <c r="AK122" s="47"/>
      <c r="AL122" s="48"/>
      <c r="AM122" s="49"/>
      <c r="AP122" s="50">
        <f t="shared" si="75"/>
        <v>2</v>
      </c>
      <c r="AQ122" s="51"/>
      <c r="AR122" s="52">
        <f t="shared" si="76"/>
        <v>2</v>
      </c>
      <c r="AS122" s="53">
        <f t="shared" si="77"/>
        <v>385542</v>
      </c>
      <c r="AT122" s="54">
        <f t="shared" si="78"/>
        <v>771084</v>
      </c>
      <c r="AV122" s="55"/>
    </row>
    <row r="123" spans="1:48" ht="27.6" x14ac:dyDescent="0.3">
      <c r="A123" s="165" t="s">
        <v>336</v>
      </c>
      <c r="B123" s="474" t="s">
        <v>336</v>
      </c>
      <c r="C123" s="206" t="s">
        <v>337</v>
      </c>
      <c r="D123" s="167" t="s">
        <v>338</v>
      </c>
      <c r="E123" s="168" t="s">
        <v>89</v>
      </c>
      <c r="F123" s="169">
        <v>4</v>
      </c>
      <c r="G123" s="497">
        <v>1660707</v>
      </c>
      <c r="H123" s="34">
        <f t="shared" si="70"/>
        <v>6642828</v>
      </c>
      <c r="I123" s="35" t="e">
        <f>#REF!</f>
        <v>#REF!</v>
      </c>
      <c r="J123" s="33" t="e">
        <f>#REF!</f>
        <v>#REF!</v>
      </c>
      <c r="K123" s="33">
        <v>1</v>
      </c>
      <c r="L123" s="33" t="e">
        <f>ROUNDUP(#REF!/$K$123,0)</f>
        <v>#REF!</v>
      </c>
      <c r="M123" s="36" t="e">
        <f t="shared" si="71"/>
        <v>#REF!</v>
      </c>
      <c r="N123" s="37" t="e">
        <f t="shared" si="72"/>
        <v>#REF!</v>
      </c>
      <c r="O123" s="38">
        <f t="shared" si="73"/>
        <v>6642828</v>
      </c>
      <c r="P123" s="39"/>
      <c r="Q123" s="40" t="e">
        <f>ROUND(#REF!*F123,0)</f>
        <v>#REF!</v>
      </c>
      <c r="R123" s="41" t="e">
        <f>ROUND(#REF!*F123,0)</f>
        <v>#REF!</v>
      </c>
      <c r="S123" s="41" t="e">
        <f>ROUND(#REF!*F123,0)</f>
        <v>#REF!</v>
      </c>
      <c r="T123" s="42" t="e">
        <f>ROUND(#REF!*F123,0)</f>
        <v>#REF!</v>
      </c>
      <c r="U123" s="43" t="e">
        <f t="shared" si="74"/>
        <v>#REF!</v>
      </c>
      <c r="V123" s="44"/>
      <c r="W123" s="27">
        <v>88</v>
      </c>
      <c r="AG123" s="45"/>
      <c r="AH123" s="46" t="str">
        <f t="shared" si="68"/>
        <v>CAP. 8: INSTALACIÓN ELÉCTRICA</v>
      </c>
      <c r="AI123" s="47">
        <f t="shared" si="69"/>
        <v>101</v>
      </c>
      <c r="AJ123" s="47"/>
      <c r="AK123" s="47"/>
      <c r="AL123" s="48"/>
      <c r="AM123" s="49"/>
      <c r="AP123" s="50">
        <f t="shared" si="75"/>
        <v>4</v>
      </c>
      <c r="AQ123" s="51"/>
      <c r="AR123" s="52">
        <f t="shared" si="76"/>
        <v>4</v>
      </c>
      <c r="AS123" s="53">
        <f t="shared" si="77"/>
        <v>1660707</v>
      </c>
      <c r="AT123" s="54">
        <f t="shared" si="78"/>
        <v>6642828</v>
      </c>
      <c r="AV123" s="55"/>
    </row>
    <row r="124" spans="1:48" x14ac:dyDescent="0.3">
      <c r="A124" s="165" t="s">
        <v>339</v>
      </c>
      <c r="B124" s="474" t="s">
        <v>339</v>
      </c>
      <c r="C124" s="206" t="s">
        <v>340</v>
      </c>
      <c r="D124" s="167" t="s">
        <v>341</v>
      </c>
      <c r="E124" s="168" t="s">
        <v>33</v>
      </c>
      <c r="F124" s="169">
        <v>620</v>
      </c>
      <c r="G124" s="497">
        <v>9268</v>
      </c>
      <c r="H124" s="34">
        <f t="shared" si="70"/>
        <v>5746160</v>
      </c>
      <c r="I124" s="35" t="e">
        <f>#REF!</f>
        <v>#REF!</v>
      </c>
      <c r="J124" s="33" t="e">
        <f>#REF!</f>
        <v>#REF!</v>
      </c>
      <c r="K124" s="33">
        <v>1</v>
      </c>
      <c r="L124" s="33" t="e">
        <f>ROUNDUP(#REF!/$K$124,0)</f>
        <v>#REF!</v>
      </c>
      <c r="M124" s="36" t="e">
        <f t="shared" si="71"/>
        <v>#REF!</v>
      </c>
      <c r="N124" s="37" t="e">
        <f t="shared" si="72"/>
        <v>#REF!</v>
      </c>
      <c r="O124" s="38">
        <f t="shared" si="73"/>
        <v>5746160</v>
      </c>
      <c r="P124" s="39"/>
      <c r="Q124" s="40" t="e">
        <f>ROUND(#REF!*F124,0)</f>
        <v>#REF!</v>
      </c>
      <c r="R124" s="41" t="e">
        <f>ROUND(#REF!*F124,0)</f>
        <v>#REF!</v>
      </c>
      <c r="S124" s="41" t="e">
        <f>ROUND(#REF!*F124,0)</f>
        <v>#REF!</v>
      </c>
      <c r="T124" s="42" t="e">
        <f>ROUND(#REF!*F124,0)</f>
        <v>#REF!</v>
      </c>
      <c r="U124" s="43" t="e">
        <f t="shared" si="74"/>
        <v>#REF!</v>
      </c>
      <c r="V124" s="44"/>
      <c r="W124" s="27">
        <v>89</v>
      </c>
      <c r="AG124" s="45"/>
      <c r="AH124" s="46" t="str">
        <f t="shared" si="68"/>
        <v>CAP. 8: INSTALACIÓN ELÉCTRICA</v>
      </c>
      <c r="AI124" s="47">
        <f t="shared" si="69"/>
        <v>101</v>
      </c>
      <c r="AJ124" s="47"/>
      <c r="AK124" s="47"/>
      <c r="AL124" s="48"/>
      <c r="AM124" s="49"/>
      <c r="AP124" s="50">
        <f t="shared" si="75"/>
        <v>620</v>
      </c>
      <c r="AQ124" s="51"/>
      <c r="AR124" s="52">
        <f t="shared" si="76"/>
        <v>620</v>
      </c>
      <c r="AS124" s="53">
        <f t="shared" si="77"/>
        <v>9268</v>
      </c>
      <c r="AT124" s="54">
        <f t="shared" si="78"/>
        <v>5746160</v>
      </c>
      <c r="AV124" s="55"/>
    </row>
    <row r="125" spans="1:48" x14ac:dyDescent="0.3">
      <c r="A125" s="170" t="s">
        <v>342</v>
      </c>
      <c r="B125" s="475" t="s">
        <v>342</v>
      </c>
      <c r="C125" s="207" t="s">
        <v>343</v>
      </c>
      <c r="D125" s="172" t="s">
        <v>344</v>
      </c>
      <c r="E125" s="173" t="s">
        <v>89</v>
      </c>
      <c r="F125" s="174">
        <v>117</v>
      </c>
      <c r="G125" s="497">
        <v>181986</v>
      </c>
      <c r="H125" s="34">
        <f t="shared" si="70"/>
        <v>21292362</v>
      </c>
      <c r="I125" s="35" t="e">
        <f>#REF!</f>
        <v>#REF!</v>
      </c>
      <c r="J125" s="33" t="e">
        <f>#REF!</f>
        <v>#REF!</v>
      </c>
      <c r="K125" s="33">
        <v>1</v>
      </c>
      <c r="L125" s="33" t="e">
        <f>ROUNDUP(#REF!/$K$125,0)</f>
        <v>#REF!</v>
      </c>
      <c r="M125" s="36" t="e">
        <f t="shared" si="71"/>
        <v>#REF!</v>
      </c>
      <c r="N125" s="37" t="e">
        <f t="shared" si="72"/>
        <v>#REF!</v>
      </c>
      <c r="O125" s="38">
        <f t="shared" si="73"/>
        <v>21292362</v>
      </c>
      <c r="P125" s="39"/>
      <c r="Q125" s="40" t="e">
        <f>ROUND(#REF!*F125,0)</f>
        <v>#REF!</v>
      </c>
      <c r="R125" s="41" t="e">
        <f>ROUND(#REF!*F125,0)</f>
        <v>#REF!</v>
      </c>
      <c r="S125" s="41" t="e">
        <f>ROUND(#REF!*F125,0)</f>
        <v>#REF!</v>
      </c>
      <c r="T125" s="42" t="e">
        <f>ROUND(#REF!*F125,0)</f>
        <v>#REF!</v>
      </c>
      <c r="U125" s="43" t="e">
        <f t="shared" si="74"/>
        <v>#REF!</v>
      </c>
      <c r="V125" s="44"/>
      <c r="W125" s="27">
        <v>90</v>
      </c>
      <c r="AG125" s="45"/>
      <c r="AH125" s="46" t="str">
        <f t="shared" si="68"/>
        <v>CAP. 8: INSTALACIÓN ELÉCTRICA</v>
      </c>
      <c r="AI125" s="47">
        <f t="shared" si="69"/>
        <v>101</v>
      </c>
      <c r="AJ125" s="47"/>
      <c r="AK125" s="47"/>
      <c r="AL125" s="48"/>
      <c r="AM125" s="49"/>
      <c r="AP125" s="50">
        <f t="shared" si="75"/>
        <v>117</v>
      </c>
      <c r="AQ125" s="51"/>
      <c r="AR125" s="52">
        <f t="shared" si="76"/>
        <v>117</v>
      </c>
      <c r="AS125" s="53">
        <f t="shared" si="77"/>
        <v>181986</v>
      </c>
      <c r="AT125" s="54">
        <f t="shared" si="78"/>
        <v>21292362</v>
      </c>
      <c r="AV125" s="55"/>
    </row>
    <row r="126" spans="1:48" x14ac:dyDescent="0.3">
      <c r="A126" s="175"/>
      <c r="B126" s="175"/>
      <c r="C126" s="208"/>
      <c r="D126" s="177"/>
      <c r="E126" s="178"/>
      <c r="F126" s="179"/>
      <c r="G126" s="503"/>
      <c r="H126" s="181"/>
      <c r="I126" s="182"/>
      <c r="J126" s="180"/>
      <c r="K126" s="180"/>
      <c r="L126" s="180"/>
      <c r="M126" s="183"/>
      <c r="N126" s="184"/>
      <c r="O126" s="185"/>
      <c r="P126" s="39"/>
      <c r="Q126" s="40"/>
      <c r="R126" s="41"/>
      <c r="S126" s="41"/>
      <c r="T126" s="42"/>
      <c r="U126" s="43"/>
      <c r="V126" s="44"/>
      <c r="W126" s="27"/>
      <c r="AG126" s="45"/>
      <c r="AH126" s="46" t="str">
        <f t="shared" si="68"/>
        <v>CAP. 8: INSTALACIÓN ELÉCTRICA</v>
      </c>
      <c r="AI126" s="47">
        <f t="shared" si="69"/>
        <v>101</v>
      </c>
      <c r="AJ126" s="47"/>
      <c r="AK126" s="47"/>
      <c r="AL126" s="48"/>
      <c r="AM126" s="49"/>
      <c r="AP126" s="50"/>
      <c r="AQ126" s="51"/>
      <c r="AR126" s="52"/>
      <c r="AS126" s="158"/>
      <c r="AT126" s="159"/>
      <c r="AV126" s="55"/>
    </row>
    <row r="127" spans="1:48" ht="15" thickBot="1" x14ac:dyDescent="0.35">
      <c r="A127" s="186" t="s">
        <v>135</v>
      </c>
      <c r="B127" s="186" t="s">
        <v>135</v>
      </c>
      <c r="C127" s="209"/>
      <c r="D127" s="188"/>
      <c r="E127" s="189"/>
      <c r="F127" s="190"/>
      <c r="G127" s="499" t="s">
        <v>742</v>
      </c>
      <c r="H127" s="192">
        <f>SUM(H102:H126)</f>
        <v>181186796</v>
      </c>
      <c r="I127" s="182"/>
      <c r="J127" s="180"/>
      <c r="K127" s="180"/>
      <c r="L127" s="180"/>
      <c r="M127" s="183"/>
      <c r="N127" s="184"/>
      <c r="O127" s="193">
        <f>SUM(O102:O126)</f>
        <v>181186796</v>
      </c>
      <c r="P127" s="39"/>
      <c r="Q127" s="194" t="e">
        <f>SUM(Q101:Q126)</f>
        <v>#REF!</v>
      </c>
      <c r="R127" s="195" t="e">
        <f>SUM(R101:R126)</f>
        <v>#REF!</v>
      </c>
      <c r="S127" s="195" t="e">
        <f>SUM(S101:S126)</f>
        <v>#REF!</v>
      </c>
      <c r="T127" s="196" t="e">
        <f>SUM(T101:T126)</f>
        <v>#REF!</v>
      </c>
      <c r="U127" s="197" t="e">
        <f>SUM(U101:U126)</f>
        <v>#REF!</v>
      </c>
      <c r="V127" s="44"/>
      <c r="W127" s="27"/>
      <c r="AG127" s="45"/>
      <c r="AH127" s="46" t="str">
        <f t="shared" si="68"/>
        <v>CAP. 8: INSTALACIÓN ELÉCTRICA</v>
      </c>
      <c r="AI127" s="47">
        <f t="shared" si="69"/>
        <v>101</v>
      </c>
      <c r="AJ127" s="47"/>
      <c r="AK127" s="47"/>
      <c r="AL127" s="48"/>
      <c r="AM127" s="49"/>
      <c r="AP127" s="198"/>
      <c r="AQ127" s="199"/>
      <c r="AR127" s="199"/>
      <c r="AS127" s="199"/>
      <c r="AT127" s="200">
        <f>SUM(AT102:AT126)</f>
        <v>181186796</v>
      </c>
      <c r="AV127" s="55"/>
    </row>
    <row r="128" spans="1:48" ht="22.95" customHeight="1" thickBot="1" x14ac:dyDescent="0.35">
      <c r="A128" s="78"/>
      <c r="B128" s="78"/>
      <c r="C128" s="131"/>
      <c r="D128" s="128"/>
      <c r="E128" s="129"/>
      <c r="F128" s="130"/>
      <c r="G128" s="500"/>
      <c r="H128" s="201"/>
      <c r="W128" s="27"/>
      <c r="AG128" s="45"/>
      <c r="AH128" s="46"/>
      <c r="AI128" s="47"/>
      <c r="AJ128" s="47"/>
      <c r="AK128" s="47"/>
      <c r="AL128" s="48"/>
      <c r="AM128" s="49"/>
      <c r="AV128" s="55"/>
    </row>
    <row r="129" spans="1:48" ht="15.6" x14ac:dyDescent="0.3">
      <c r="A129" s="133" t="s">
        <v>97</v>
      </c>
      <c r="B129" s="133" t="s">
        <v>97</v>
      </c>
      <c r="C129" s="202" t="s">
        <v>345</v>
      </c>
      <c r="D129" s="203" t="s">
        <v>346</v>
      </c>
      <c r="E129" s="136"/>
      <c r="F129" s="136"/>
      <c r="G129" s="501"/>
      <c r="H129" s="137">
        <f>SUM(H130:H133)</f>
        <v>59319616</v>
      </c>
      <c r="I129" s="27"/>
      <c r="J129" s="27"/>
      <c r="K129" s="27"/>
      <c r="L129" s="27"/>
      <c r="M129" s="27"/>
      <c r="N129" s="27"/>
      <c r="O129" s="138">
        <f>SUM(O130:O133)</f>
        <v>59319616</v>
      </c>
      <c r="P129" s="44"/>
      <c r="Q129" s="139"/>
      <c r="R129" s="140"/>
      <c r="S129" s="140"/>
      <c r="T129" s="141"/>
      <c r="U129" s="142"/>
      <c r="V129" s="44">
        <f>IF(H129&lt;&gt;"",O129-H129*$O$2,0)</f>
        <v>0</v>
      </c>
      <c r="W129" s="143" t="s">
        <v>100</v>
      </c>
      <c r="AG129" s="45"/>
      <c r="AH129" s="46" t="str">
        <f t="shared" ref="AH129:AH134" si="79">"CAP. " &amp; $C$129 &amp; ": " &amp; $D$129</f>
        <v>CAP. 9: CUBIERTA</v>
      </c>
      <c r="AI129" s="47">
        <f t="shared" ref="AI129:AI134" si="80">ROW($C$129)</f>
        <v>129</v>
      </c>
      <c r="AJ129" s="47"/>
      <c r="AK129" s="47"/>
      <c r="AL129" s="48"/>
      <c r="AM129" s="49"/>
      <c r="AP129" s="144"/>
      <c r="AQ129" s="145"/>
      <c r="AR129" s="145"/>
      <c r="AS129" s="145"/>
      <c r="AT129" s="146">
        <f>SUM(AT130:AT133)</f>
        <v>59319616</v>
      </c>
      <c r="AV129" s="55"/>
    </row>
    <row r="130" spans="1:48" hidden="1" x14ac:dyDescent="0.3">
      <c r="A130" s="147" t="s">
        <v>101</v>
      </c>
      <c r="B130" s="147" t="s">
        <v>101</v>
      </c>
      <c r="C130" s="204"/>
      <c r="D130" s="149"/>
      <c r="E130" s="150"/>
      <c r="F130" s="151"/>
      <c r="G130" s="496"/>
      <c r="H130" s="153"/>
      <c r="I130" s="154"/>
      <c r="J130" s="152"/>
      <c r="K130" s="152"/>
      <c r="L130" s="152"/>
      <c r="M130" s="155"/>
      <c r="N130" s="156"/>
      <c r="O130" s="157"/>
      <c r="P130" s="39"/>
      <c r="Q130" s="40"/>
      <c r="R130" s="41"/>
      <c r="S130" s="41"/>
      <c r="T130" s="42"/>
      <c r="U130" s="43"/>
      <c r="V130" s="44"/>
      <c r="W130" s="27"/>
      <c r="AG130" s="45"/>
      <c r="AH130" s="46" t="str">
        <f t="shared" si="79"/>
        <v>CAP. 9: CUBIERTA</v>
      </c>
      <c r="AI130" s="47">
        <f t="shared" si="80"/>
        <v>129</v>
      </c>
      <c r="AJ130" s="47"/>
      <c r="AK130" s="47"/>
      <c r="AL130" s="48"/>
      <c r="AM130" s="49"/>
      <c r="AP130" s="50"/>
      <c r="AQ130" s="51"/>
      <c r="AR130" s="52"/>
      <c r="AS130" s="158"/>
      <c r="AT130" s="159"/>
      <c r="AV130" s="55"/>
    </row>
    <row r="131" spans="1:48" ht="27.6" x14ac:dyDescent="0.3">
      <c r="A131" s="160" t="s">
        <v>347</v>
      </c>
      <c r="B131" s="473" t="s">
        <v>347</v>
      </c>
      <c r="C131" s="205" t="s">
        <v>348</v>
      </c>
      <c r="D131" s="162" t="s">
        <v>349</v>
      </c>
      <c r="E131" s="163" t="s">
        <v>112</v>
      </c>
      <c r="F131" s="164">
        <v>357.36</v>
      </c>
      <c r="G131" s="497">
        <v>87292</v>
      </c>
      <c r="H131" s="34">
        <f>ROUND(F131 * G131,$K$2)</f>
        <v>31194669</v>
      </c>
      <c r="I131" s="35" t="e">
        <f>#REF!</f>
        <v>#REF!</v>
      </c>
      <c r="J131" s="33" t="e">
        <f>#REF!</f>
        <v>#REF!</v>
      </c>
      <c r="K131" s="33">
        <v>1</v>
      </c>
      <c r="L131" s="33" t="e">
        <f>ROUNDUP(#REF!/$K$131,0)</f>
        <v>#REF!</v>
      </c>
      <c r="M131" s="36" t="e">
        <f>ROUND(J131 * F131,$K$2)</f>
        <v>#REF!</v>
      </c>
      <c r="N131" s="37" t="e">
        <f>ROUND(I131 * F131,$K$2)</f>
        <v>#REF!</v>
      </c>
      <c r="O131" s="38">
        <f>H131*$O$2</f>
        <v>31194669</v>
      </c>
      <c r="P131" s="39"/>
      <c r="Q131" s="40" t="e">
        <f>ROUND(#REF!*F131,0)</f>
        <v>#REF!</v>
      </c>
      <c r="R131" s="41" t="e">
        <f>ROUND(#REF!*F131,0) + 89</f>
        <v>#REF!</v>
      </c>
      <c r="S131" s="41" t="e">
        <f>ROUND(#REF!*F131,0)</f>
        <v>#REF!</v>
      </c>
      <c r="T131" s="42" t="e">
        <f>ROUND(#REF!*F131,0)</f>
        <v>#REF!</v>
      </c>
      <c r="U131" s="43" t="e">
        <f>Q131+R131+S131+T131</f>
        <v>#REF!</v>
      </c>
      <c r="V131" s="44"/>
      <c r="W131" s="27">
        <v>92</v>
      </c>
      <c r="AG131" s="45"/>
      <c r="AH131" s="46" t="str">
        <f t="shared" si="79"/>
        <v>CAP. 9: CUBIERTA</v>
      </c>
      <c r="AI131" s="47">
        <f t="shared" si="80"/>
        <v>129</v>
      </c>
      <c r="AJ131" s="47"/>
      <c r="AK131" s="47"/>
      <c r="AL131" s="48"/>
      <c r="AM131" s="49"/>
      <c r="AP131" s="50">
        <f>F131</f>
        <v>357.36</v>
      </c>
      <c r="AQ131" s="51"/>
      <c r="AR131" s="52">
        <f>AP131+AQ131</f>
        <v>357.36</v>
      </c>
      <c r="AS131" s="53">
        <f>G131</f>
        <v>87292</v>
      </c>
      <c r="AT131" s="54">
        <f>ROUND(AR131 * AS131,$K$2)</f>
        <v>31194669</v>
      </c>
      <c r="AV131" s="55"/>
    </row>
    <row r="132" spans="1:48" x14ac:dyDescent="0.3">
      <c r="A132" s="170" t="s">
        <v>350</v>
      </c>
      <c r="B132" s="475" t="s">
        <v>350</v>
      </c>
      <c r="C132" s="207" t="s">
        <v>351</v>
      </c>
      <c r="D132" s="172" t="s">
        <v>352</v>
      </c>
      <c r="E132" s="173" t="s">
        <v>112</v>
      </c>
      <c r="F132" s="174">
        <v>357.36</v>
      </c>
      <c r="G132" s="497">
        <v>78702</v>
      </c>
      <c r="H132" s="34">
        <f>ROUND(F132 * G132,$K$2)</f>
        <v>28124947</v>
      </c>
      <c r="I132" s="35" t="e">
        <f>#REF!</f>
        <v>#REF!</v>
      </c>
      <c r="J132" s="33" t="e">
        <f>#REF!</f>
        <v>#REF!</v>
      </c>
      <c r="K132" s="33">
        <v>1</v>
      </c>
      <c r="L132" s="33" t="e">
        <f>ROUNDUP(#REF!/$K$132,0)</f>
        <v>#REF!</v>
      </c>
      <c r="M132" s="36" t="e">
        <f>ROUND(J132 * F132,$K$2)</f>
        <v>#REF!</v>
      </c>
      <c r="N132" s="37" t="e">
        <f>ROUND(I132 * F132,$K$2)</f>
        <v>#REF!</v>
      </c>
      <c r="O132" s="38">
        <f>H132*$O$2</f>
        <v>28124947</v>
      </c>
      <c r="P132" s="39"/>
      <c r="Q132" s="40" t="e">
        <f>ROUND(#REF!*F132,0)</f>
        <v>#REF!</v>
      </c>
      <c r="R132" s="41" t="e">
        <f>ROUND(#REF!*F132,0) + 72</f>
        <v>#REF!</v>
      </c>
      <c r="S132" s="41" t="e">
        <f>ROUND(#REF!*F132,0)</f>
        <v>#REF!</v>
      </c>
      <c r="T132" s="42" t="e">
        <f>ROUND(#REF!*F132,0)</f>
        <v>#REF!</v>
      </c>
      <c r="U132" s="43" t="e">
        <f>Q132+R132+S132+T132</f>
        <v>#REF!</v>
      </c>
      <c r="V132" s="44"/>
      <c r="W132" s="27">
        <v>93</v>
      </c>
      <c r="AG132" s="45"/>
      <c r="AH132" s="46" t="str">
        <f t="shared" si="79"/>
        <v>CAP. 9: CUBIERTA</v>
      </c>
      <c r="AI132" s="47">
        <f t="shared" si="80"/>
        <v>129</v>
      </c>
      <c r="AJ132" s="47"/>
      <c r="AK132" s="47"/>
      <c r="AL132" s="48"/>
      <c r="AM132" s="49"/>
      <c r="AP132" s="50">
        <f>F132</f>
        <v>357.36</v>
      </c>
      <c r="AQ132" s="51"/>
      <c r="AR132" s="52">
        <f>AP132+AQ132</f>
        <v>357.36</v>
      </c>
      <c r="AS132" s="53">
        <f>G132</f>
        <v>78702</v>
      </c>
      <c r="AT132" s="54">
        <f>ROUND(AR132 * AS132,$K$2)</f>
        <v>28124947</v>
      </c>
      <c r="AV132" s="55"/>
    </row>
    <row r="133" spans="1:48" x14ac:dyDescent="0.3">
      <c r="A133" s="175"/>
      <c r="B133" s="175"/>
      <c r="C133" s="208"/>
      <c r="D133" s="177"/>
      <c r="E133" s="178"/>
      <c r="F133" s="179"/>
      <c r="G133" s="503"/>
      <c r="H133" s="181"/>
      <c r="I133" s="182"/>
      <c r="J133" s="180"/>
      <c r="K133" s="180"/>
      <c r="L133" s="180"/>
      <c r="M133" s="183"/>
      <c r="N133" s="184"/>
      <c r="O133" s="185"/>
      <c r="P133" s="39"/>
      <c r="Q133" s="40"/>
      <c r="R133" s="41"/>
      <c r="S133" s="41"/>
      <c r="T133" s="42"/>
      <c r="U133" s="43"/>
      <c r="V133" s="44"/>
      <c r="W133" s="27"/>
      <c r="AG133" s="45"/>
      <c r="AH133" s="46" t="str">
        <f t="shared" si="79"/>
        <v>CAP. 9: CUBIERTA</v>
      </c>
      <c r="AI133" s="47">
        <f t="shared" si="80"/>
        <v>129</v>
      </c>
      <c r="AJ133" s="47"/>
      <c r="AK133" s="47"/>
      <c r="AL133" s="48"/>
      <c r="AM133" s="49"/>
      <c r="AP133" s="50"/>
      <c r="AQ133" s="51"/>
      <c r="AR133" s="52"/>
      <c r="AS133" s="158"/>
      <c r="AT133" s="159"/>
      <c r="AV133" s="55"/>
    </row>
    <row r="134" spans="1:48" ht="15" thickBot="1" x14ac:dyDescent="0.35">
      <c r="A134" s="186" t="s">
        <v>135</v>
      </c>
      <c r="B134" s="186" t="s">
        <v>135</v>
      </c>
      <c r="C134" s="209"/>
      <c r="D134" s="188"/>
      <c r="E134" s="189"/>
      <c r="F134" s="190"/>
      <c r="G134" s="499" t="s">
        <v>743</v>
      </c>
      <c r="H134" s="192">
        <f>SUM(H130:H133)</f>
        <v>59319616</v>
      </c>
      <c r="I134" s="182"/>
      <c r="J134" s="180"/>
      <c r="K134" s="180"/>
      <c r="L134" s="180"/>
      <c r="M134" s="183"/>
      <c r="N134" s="184"/>
      <c r="O134" s="193">
        <f>SUM(O130:O133)</f>
        <v>59319616</v>
      </c>
      <c r="P134" s="39"/>
      <c r="Q134" s="194" t="e">
        <f>SUM(Q129:Q133)</f>
        <v>#REF!</v>
      </c>
      <c r="R134" s="195" t="e">
        <f>SUM(R129:R133)</f>
        <v>#REF!</v>
      </c>
      <c r="S134" s="195" t="e">
        <f>SUM(S129:S133)</f>
        <v>#REF!</v>
      </c>
      <c r="T134" s="196" t="e">
        <f>SUM(T129:T133)</f>
        <v>#REF!</v>
      </c>
      <c r="U134" s="197" t="e">
        <f>SUM(U129:U133)</f>
        <v>#REF!</v>
      </c>
      <c r="V134" s="44"/>
      <c r="W134" s="27"/>
      <c r="AG134" s="45"/>
      <c r="AH134" s="46" t="str">
        <f t="shared" si="79"/>
        <v>CAP. 9: CUBIERTA</v>
      </c>
      <c r="AI134" s="47">
        <f t="shared" si="80"/>
        <v>129</v>
      </c>
      <c r="AJ134" s="47"/>
      <c r="AK134" s="47"/>
      <c r="AL134" s="48"/>
      <c r="AM134" s="49"/>
      <c r="AP134" s="198"/>
      <c r="AQ134" s="199"/>
      <c r="AR134" s="199"/>
      <c r="AS134" s="199"/>
      <c r="AT134" s="200">
        <f>SUM(AT130:AT133)</f>
        <v>59319616</v>
      </c>
      <c r="AV134" s="55"/>
    </row>
    <row r="135" spans="1:48" ht="22.95" customHeight="1" thickBot="1" x14ac:dyDescent="0.35">
      <c r="A135" s="78"/>
      <c r="B135" s="78"/>
      <c r="C135" s="131"/>
      <c r="D135" s="128"/>
      <c r="E135" s="129"/>
      <c r="F135" s="130"/>
      <c r="G135" s="500"/>
      <c r="H135" s="201"/>
      <c r="W135" s="27"/>
      <c r="AG135" s="45"/>
      <c r="AH135" s="46"/>
      <c r="AI135" s="47"/>
      <c r="AJ135" s="47"/>
      <c r="AK135" s="47"/>
      <c r="AL135" s="48"/>
      <c r="AM135" s="49"/>
      <c r="AV135" s="55"/>
    </row>
    <row r="136" spans="1:48" ht="15.6" x14ac:dyDescent="0.3">
      <c r="A136" s="133" t="s">
        <v>97</v>
      </c>
      <c r="B136" s="133" t="s">
        <v>97</v>
      </c>
      <c r="C136" s="202" t="s">
        <v>353</v>
      </c>
      <c r="D136" s="203" t="s">
        <v>354</v>
      </c>
      <c r="E136" s="136"/>
      <c r="F136" s="136"/>
      <c r="G136" s="501"/>
      <c r="H136" s="137">
        <f>SUM(H137:H151)</f>
        <v>343453731</v>
      </c>
      <c r="I136" s="27"/>
      <c r="J136" s="27"/>
      <c r="K136" s="27"/>
      <c r="L136" s="27"/>
      <c r="M136" s="27"/>
      <c r="N136" s="27"/>
      <c r="O136" s="138">
        <f>SUM(O137:O151)</f>
        <v>343453731</v>
      </c>
      <c r="P136" s="44"/>
      <c r="Q136" s="139"/>
      <c r="R136" s="140"/>
      <c r="S136" s="140"/>
      <c r="T136" s="141"/>
      <c r="U136" s="142"/>
      <c r="V136" s="44">
        <f>IF(H136&lt;&gt;"",O136-H136*$O$2,0)</f>
        <v>0</v>
      </c>
      <c r="W136" s="143" t="s">
        <v>100</v>
      </c>
      <c r="AG136" s="45"/>
      <c r="AH136" s="46" t="str">
        <f t="shared" ref="AH136:AH152" si="81">"CAP. " &amp; $C$136 &amp; ": " &amp; $D$136</f>
        <v>CAP. 10: FACHADA</v>
      </c>
      <c r="AI136" s="47">
        <f t="shared" ref="AI136:AI152" si="82">ROW($C$136)</f>
        <v>136</v>
      </c>
      <c r="AJ136" s="47"/>
      <c r="AK136" s="47"/>
      <c r="AL136" s="48"/>
      <c r="AM136" s="49"/>
      <c r="AP136" s="144"/>
      <c r="AQ136" s="145"/>
      <c r="AR136" s="145"/>
      <c r="AS136" s="145"/>
      <c r="AT136" s="146">
        <f>SUM(AT137:AT151)</f>
        <v>343453731</v>
      </c>
      <c r="AV136" s="55"/>
    </row>
    <row r="137" spans="1:48" hidden="1" x14ac:dyDescent="0.3">
      <c r="A137" s="147" t="s">
        <v>101</v>
      </c>
      <c r="B137" s="147" t="s">
        <v>101</v>
      </c>
      <c r="C137" s="204"/>
      <c r="D137" s="149"/>
      <c r="E137" s="150"/>
      <c r="F137" s="151"/>
      <c r="G137" s="496"/>
      <c r="H137" s="153"/>
      <c r="I137" s="154"/>
      <c r="J137" s="152"/>
      <c r="K137" s="152"/>
      <c r="L137" s="152"/>
      <c r="M137" s="155"/>
      <c r="N137" s="156"/>
      <c r="O137" s="157"/>
      <c r="P137" s="39"/>
      <c r="Q137" s="40"/>
      <c r="R137" s="41"/>
      <c r="S137" s="41"/>
      <c r="T137" s="42"/>
      <c r="U137" s="43"/>
      <c r="V137" s="44"/>
      <c r="W137" s="27"/>
      <c r="AG137" s="45"/>
      <c r="AH137" s="46" t="str">
        <f t="shared" si="81"/>
        <v>CAP. 10: FACHADA</v>
      </c>
      <c r="AI137" s="47">
        <f t="shared" si="82"/>
        <v>136</v>
      </c>
      <c r="AJ137" s="47"/>
      <c r="AK137" s="47"/>
      <c r="AL137" s="48"/>
      <c r="AM137" s="49"/>
      <c r="AP137" s="50"/>
      <c r="AQ137" s="51"/>
      <c r="AR137" s="52"/>
      <c r="AS137" s="158"/>
      <c r="AT137" s="159"/>
      <c r="AV137" s="55"/>
    </row>
    <row r="138" spans="1:48" ht="27.6" x14ac:dyDescent="0.3">
      <c r="A138" s="160" t="s">
        <v>355</v>
      </c>
      <c r="B138" s="473" t="s">
        <v>355</v>
      </c>
      <c r="C138" s="205" t="s">
        <v>356</v>
      </c>
      <c r="D138" s="162" t="s">
        <v>357</v>
      </c>
      <c r="E138" s="163" t="s">
        <v>131</v>
      </c>
      <c r="F138" s="164">
        <v>2.96</v>
      </c>
      <c r="G138" s="497">
        <v>1297603</v>
      </c>
      <c r="H138" s="34">
        <f t="shared" ref="H138:H150" si="83">ROUND(F138 * G138,$K$2)</f>
        <v>3840905</v>
      </c>
      <c r="I138" s="35" t="e">
        <f>#REF!</f>
        <v>#REF!</v>
      </c>
      <c r="J138" s="33" t="e">
        <f>#REF!</f>
        <v>#REF!</v>
      </c>
      <c r="K138" s="33">
        <v>1</v>
      </c>
      <c r="L138" s="33" t="e">
        <f>ROUNDUP(#REF!/$K$138,0)</f>
        <v>#REF!</v>
      </c>
      <c r="M138" s="36" t="e">
        <f t="shared" ref="M138:M150" si="84">ROUND(J138 * F138,$K$2)</f>
        <v>#REF!</v>
      </c>
      <c r="N138" s="37" t="e">
        <f t="shared" ref="N138:N150" si="85">ROUND(I138 * F138,$K$2)</f>
        <v>#REF!</v>
      </c>
      <c r="O138" s="38">
        <f t="shared" ref="O138:O150" si="86">H138*$O$2</f>
        <v>3840905</v>
      </c>
      <c r="P138" s="39"/>
      <c r="Q138" s="40" t="e">
        <f>ROUND(#REF!*F138,0)</f>
        <v>#REF!</v>
      </c>
      <c r="R138" s="41" t="e">
        <f>ROUND(#REF!*F138,0)</f>
        <v>#REF!</v>
      </c>
      <c r="S138" s="41" t="e">
        <f>ROUND(#REF!*F138,0)</f>
        <v>#REF!</v>
      </c>
      <c r="T138" s="42" t="e">
        <f>ROUND(#REF!*F138,0)</f>
        <v>#REF!</v>
      </c>
      <c r="U138" s="43" t="e">
        <f t="shared" ref="U138:U150" si="87">Q138+R138+S138+T138</f>
        <v>#REF!</v>
      </c>
      <c r="V138" s="44"/>
      <c r="W138" s="27">
        <v>95</v>
      </c>
      <c r="AG138" s="45"/>
      <c r="AH138" s="46" t="str">
        <f t="shared" si="81"/>
        <v>CAP. 10: FACHADA</v>
      </c>
      <c r="AI138" s="47">
        <f t="shared" si="82"/>
        <v>136</v>
      </c>
      <c r="AJ138" s="47"/>
      <c r="AK138" s="47"/>
      <c r="AL138" s="48"/>
      <c r="AM138" s="49"/>
      <c r="AP138" s="50">
        <f t="shared" ref="AP138:AP150" si="88">F138</f>
        <v>2.96</v>
      </c>
      <c r="AQ138" s="51"/>
      <c r="AR138" s="52">
        <f t="shared" ref="AR138:AR150" si="89">AP138+AQ138</f>
        <v>2.96</v>
      </c>
      <c r="AS138" s="53">
        <f t="shared" ref="AS138:AS150" si="90">G138</f>
        <v>1297603</v>
      </c>
      <c r="AT138" s="54">
        <f t="shared" ref="AT138:AT150" si="91">ROUND(AR138 * AS138,$K$2)</f>
        <v>3840905</v>
      </c>
      <c r="AV138" s="55"/>
    </row>
    <row r="139" spans="1:48" ht="27.6" x14ac:dyDescent="0.3">
      <c r="A139" s="210" t="s">
        <v>358</v>
      </c>
      <c r="B139" s="476" t="s">
        <v>358</v>
      </c>
      <c r="C139" s="206" t="s">
        <v>359</v>
      </c>
      <c r="D139" s="167" t="s">
        <v>143</v>
      </c>
      <c r="E139" s="168" t="s">
        <v>131</v>
      </c>
      <c r="F139" s="169">
        <v>2.4700000000000002</v>
      </c>
      <c r="G139" s="497">
        <v>848510</v>
      </c>
      <c r="H139" s="34">
        <f t="shared" si="83"/>
        <v>2095820</v>
      </c>
      <c r="I139" s="35" t="e">
        <f>#REF!</f>
        <v>#REF!</v>
      </c>
      <c r="J139" s="33" t="e">
        <f>#REF!</f>
        <v>#REF!</v>
      </c>
      <c r="K139" s="33">
        <v>1</v>
      </c>
      <c r="L139" s="33" t="e">
        <f>ROUNDUP(#REF!/$K$139,0)</f>
        <v>#REF!</v>
      </c>
      <c r="M139" s="36" t="e">
        <f t="shared" si="84"/>
        <v>#REF!</v>
      </c>
      <c r="N139" s="37" t="e">
        <f t="shared" si="85"/>
        <v>#REF!</v>
      </c>
      <c r="O139" s="38">
        <f t="shared" si="86"/>
        <v>2095820</v>
      </c>
      <c r="P139" s="39"/>
      <c r="Q139" s="40" t="e">
        <f>ROUND(#REF!*F139,0)</f>
        <v>#REF!</v>
      </c>
      <c r="R139" s="41" t="e">
        <f>ROUND(#REF!*F139,0)</f>
        <v>#REF!</v>
      </c>
      <c r="S139" s="41" t="e">
        <f>ROUND(#REF!*F139,0)</f>
        <v>#REF!</v>
      </c>
      <c r="T139" s="42" t="e">
        <f>ROUND(#REF!*F139,0)</f>
        <v>#REF!</v>
      </c>
      <c r="U139" s="43" t="e">
        <f t="shared" si="87"/>
        <v>#REF!</v>
      </c>
      <c r="V139" s="44"/>
      <c r="W139" s="27"/>
      <c r="AG139" s="45"/>
      <c r="AH139" s="46" t="str">
        <f t="shared" si="81"/>
        <v>CAP. 10: FACHADA</v>
      </c>
      <c r="AI139" s="47">
        <f t="shared" si="82"/>
        <v>136</v>
      </c>
      <c r="AJ139" s="47"/>
      <c r="AK139" s="47"/>
      <c r="AL139" s="48"/>
      <c r="AM139" s="49"/>
      <c r="AP139" s="50">
        <f t="shared" si="88"/>
        <v>2.4700000000000002</v>
      </c>
      <c r="AQ139" s="51"/>
      <c r="AR139" s="52">
        <f t="shared" si="89"/>
        <v>2.4700000000000002</v>
      </c>
      <c r="AS139" s="53">
        <f t="shared" si="90"/>
        <v>848510</v>
      </c>
      <c r="AT139" s="54">
        <f t="shared" si="91"/>
        <v>2095820</v>
      </c>
      <c r="AV139" s="55"/>
    </row>
    <row r="140" spans="1:48" ht="27.6" x14ac:dyDescent="0.3">
      <c r="A140" s="210" t="s">
        <v>360</v>
      </c>
      <c r="B140" s="476" t="s">
        <v>360</v>
      </c>
      <c r="C140" s="206" t="s">
        <v>361</v>
      </c>
      <c r="D140" s="167" t="s">
        <v>140</v>
      </c>
      <c r="E140" s="168" t="s">
        <v>112</v>
      </c>
      <c r="F140" s="169">
        <v>12.35</v>
      </c>
      <c r="G140" s="497">
        <v>49270</v>
      </c>
      <c r="H140" s="34">
        <f t="shared" si="83"/>
        <v>608485</v>
      </c>
      <c r="I140" s="35" t="e">
        <f>#REF!</f>
        <v>#REF!</v>
      </c>
      <c r="J140" s="33" t="e">
        <f>#REF!</f>
        <v>#REF!</v>
      </c>
      <c r="K140" s="33">
        <v>1</v>
      </c>
      <c r="L140" s="33" t="e">
        <f>ROUNDUP(#REF!/$K$140,0)</f>
        <v>#REF!</v>
      </c>
      <c r="M140" s="36" t="e">
        <f t="shared" si="84"/>
        <v>#REF!</v>
      </c>
      <c r="N140" s="37" t="e">
        <f t="shared" si="85"/>
        <v>#REF!</v>
      </c>
      <c r="O140" s="38">
        <f t="shared" si="86"/>
        <v>608485</v>
      </c>
      <c r="P140" s="39"/>
      <c r="Q140" s="40" t="e">
        <f>ROUND(#REF!*F140,0)</f>
        <v>#REF!</v>
      </c>
      <c r="R140" s="41" t="e">
        <f>ROUND(#REF!*F140,0)</f>
        <v>#REF!</v>
      </c>
      <c r="S140" s="41" t="e">
        <f>ROUND(#REF!*F140,0)</f>
        <v>#REF!</v>
      </c>
      <c r="T140" s="42" t="e">
        <f>ROUND(#REF!*F140,0)</f>
        <v>#REF!</v>
      </c>
      <c r="U140" s="43" t="e">
        <f t="shared" si="87"/>
        <v>#REF!</v>
      </c>
      <c r="V140" s="44"/>
      <c r="W140" s="27"/>
      <c r="AG140" s="45"/>
      <c r="AH140" s="46" t="str">
        <f t="shared" si="81"/>
        <v>CAP. 10: FACHADA</v>
      </c>
      <c r="AI140" s="47">
        <f t="shared" si="82"/>
        <v>136</v>
      </c>
      <c r="AJ140" s="47"/>
      <c r="AK140" s="47"/>
      <c r="AL140" s="48"/>
      <c r="AM140" s="49"/>
      <c r="AP140" s="50">
        <f t="shared" si="88"/>
        <v>12.35</v>
      </c>
      <c r="AQ140" s="51"/>
      <c r="AR140" s="52">
        <f t="shared" si="89"/>
        <v>12.35</v>
      </c>
      <c r="AS140" s="53">
        <f t="shared" si="90"/>
        <v>49270</v>
      </c>
      <c r="AT140" s="54">
        <f t="shared" si="91"/>
        <v>608485</v>
      </c>
      <c r="AV140" s="55"/>
    </row>
    <row r="141" spans="1:48" ht="27.6" x14ac:dyDescent="0.3">
      <c r="A141" s="210" t="s">
        <v>362</v>
      </c>
      <c r="B141" s="476" t="s">
        <v>362</v>
      </c>
      <c r="C141" s="206" t="s">
        <v>363</v>
      </c>
      <c r="D141" s="167" t="s">
        <v>155</v>
      </c>
      <c r="E141" s="168" t="s">
        <v>156</v>
      </c>
      <c r="F141" s="169">
        <v>643.82000000000005</v>
      </c>
      <c r="G141" s="497">
        <v>8162</v>
      </c>
      <c r="H141" s="34">
        <f t="shared" si="83"/>
        <v>5254859</v>
      </c>
      <c r="I141" s="35" t="e">
        <f>#REF!</f>
        <v>#REF!</v>
      </c>
      <c r="J141" s="33" t="e">
        <f>#REF!</f>
        <v>#REF!</v>
      </c>
      <c r="K141" s="33">
        <v>1</v>
      </c>
      <c r="L141" s="33" t="e">
        <f>ROUNDUP(#REF!/$K$141,0)</f>
        <v>#REF!</v>
      </c>
      <c r="M141" s="36" t="e">
        <f t="shared" si="84"/>
        <v>#REF!</v>
      </c>
      <c r="N141" s="37" t="e">
        <f t="shared" si="85"/>
        <v>#REF!</v>
      </c>
      <c r="O141" s="38">
        <f t="shared" si="86"/>
        <v>5254859</v>
      </c>
      <c r="P141" s="39"/>
      <c r="Q141" s="40" t="e">
        <f>ROUND(#REF!*F141,0)</f>
        <v>#REF!</v>
      </c>
      <c r="R141" s="41" t="e">
        <f>ROUND(#REF!*F141,0)</f>
        <v>#REF!</v>
      </c>
      <c r="S141" s="41" t="e">
        <f>ROUND(#REF!*F141,0)</f>
        <v>#REF!</v>
      </c>
      <c r="T141" s="42" t="e">
        <f>ROUND(#REF!*F141,0)</f>
        <v>#REF!</v>
      </c>
      <c r="U141" s="43" t="e">
        <f t="shared" si="87"/>
        <v>#REF!</v>
      </c>
      <c r="V141" s="44"/>
      <c r="W141" s="27"/>
      <c r="AG141" s="45"/>
      <c r="AH141" s="46" t="str">
        <f t="shared" si="81"/>
        <v>CAP. 10: FACHADA</v>
      </c>
      <c r="AI141" s="47">
        <f t="shared" si="82"/>
        <v>136</v>
      </c>
      <c r="AJ141" s="47"/>
      <c r="AK141" s="47"/>
      <c r="AL141" s="48"/>
      <c r="AM141" s="49"/>
      <c r="AP141" s="50">
        <f t="shared" si="88"/>
        <v>643.82000000000005</v>
      </c>
      <c r="AQ141" s="51"/>
      <c r="AR141" s="52">
        <f t="shared" si="89"/>
        <v>643.82000000000005</v>
      </c>
      <c r="AS141" s="53">
        <f t="shared" si="90"/>
        <v>8162</v>
      </c>
      <c r="AT141" s="54">
        <f t="shared" si="91"/>
        <v>5254859</v>
      </c>
      <c r="AV141" s="55"/>
    </row>
    <row r="142" spans="1:48" x14ac:dyDescent="0.3">
      <c r="A142" s="165" t="s">
        <v>364</v>
      </c>
      <c r="B142" s="474" t="s">
        <v>364</v>
      </c>
      <c r="C142" s="206" t="s">
        <v>365</v>
      </c>
      <c r="D142" s="167" t="s">
        <v>366</v>
      </c>
      <c r="E142" s="168" t="s">
        <v>89</v>
      </c>
      <c r="F142" s="169">
        <v>99</v>
      </c>
      <c r="G142" s="497">
        <v>209215</v>
      </c>
      <c r="H142" s="34">
        <f t="shared" si="83"/>
        <v>20712285</v>
      </c>
      <c r="I142" s="35" t="e">
        <f>#REF!</f>
        <v>#REF!</v>
      </c>
      <c r="J142" s="33" t="e">
        <f>#REF!</f>
        <v>#REF!</v>
      </c>
      <c r="K142" s="33">
        <v>1</v>
      </c>
      <c r="L142" s="33" t="e">
        <f>ROUNDUP(#REF!/$K$142,0)</f>
        <v>#REF!</v>
      </c>
      <c r="M142" s="36" t="e">
        <f t="shared" si="84"/>
        <v>#REF!</v>
      </c>
      <c r="N142" s="37" t="e">
        <f t="shared" si="85"/>
        <v>#REF!</v>
      </c>
      <c r="O142" s="38">
        <f t="shared" si="86"/>
        <v>20712285</v>
      </c>
      <c r="P142" s="39"/>
      <c r="Q142" s="40" t="e">
        <f>ROUND(#REF!*F142,0)</f>
        <v>#REF!</v>
      </c>
      <c r="R142" s="41" t="e">
        <f>ROUND(#REF!*F142,0)</f>
        <v>#REF!</v>
      </c>
      <c r="S142" s="41" t="e">
        <f>ROUND(#REF!*F142,0)</f>
        <v>#REF!</v>
      </c>
      <c r="T142" s="42" t="e">
        <f>ROUND(#REF!*F142,0)</f>
        <v>#REF!</v>
      </c>
      <c r="U142" s="43" t="e">
        <f t="shared" si="87"/>
        <v>#REF!</v>
      </c>
      <c r="V142" s="44"/>
      <c r="W142" s="27">
        <v>99</v>
      </c>
      <c r="AG142" s="45"/>
      <c r="AH142" s="46" t="str">
        <f t="shared" si="81"/>
        <v>CAP. 10: FACHADA</v>
      </c>
      <c r="AI142" s="47">
        <f t="shared" si="82"/>
        <v>136</v>
      </c>
      <c r="AJ142" s="47"/>
      <c r="AK142" s="47"/>
      <c r="AL142" s="48"/>
      <c r="AM142" s="49"/>
      <c r="AP142" s="50">
        <f t="shared" si="88"/>
        <v>99</v>
      </c>
      <c r="AQ142" s="51"/>
      <c r="AR142" s="52">
        <f t="shared" si="89"/>
        <v>99</v>
      </c>
      <c r="AS142" s="53">
        <f t="shared" si="90"/>
        <v>209215</v>
      </c>
      <c r="AT142" s="54">
        <f t="shared" si="91"/>
        <v>20712285</v>
      </c>
      <c r="AV142" s="55"/>
    </row>
    <row r="143" spans="1:48" x14ac:dyDescent="0.3">
      <c r="A143" s="165" t="s">
        <v>367</v>
      </c>
      <c r="B143" s="474" t="s">
        <v>367</v>
      </c>
      <c r="C143" s="206" t="s">
        <v>368</v>
      </c>
      <c r="D143" s="167" t="s">
        <v>369</v>
      </c>
      <c r="E143" s="168" t="s">
        <v>112</v>
      </c>
      <c r="F143" s="169">
        <v>123.5</v>
      </c>
      <c r="G143" s="497">
        <v>39464</v>
      </c>
      <c r="H143" s="34">
        <f t="shared" si="83"/>
        <v>4873804</v>
      </c>
      <c r="I143" s="35" t="e">
        <f>#REF!</f>
        <v>#REF!</v>
      </c>
      <c r="J143" s="33" t="e">
        <f>#REF!</f>
        <v>#REF!</v>
      </c>
      <c r="K143" s="33">
        <v>1</v>
      </c>
      <c r="L143" s="33" t="e">
        <f>ROUNDUP(#REF!/$K$143,0)</f>
        <v>#REF!</v>
      </c>
      <c r="M143" s="36" t="e">
        <f t="shared" si="84"/>
        <v>#REF!</v>
      </c>
      <c r="N143" s="37" t="e">
        <f t="shared" si="85"/>
        <v>#REF!</v>
      </c>
      <c r="O143" s="38">
        <f t="shared" si="86"/>
        <v>4873804</v>
      </c>
      <c r="P143" s="39"/>
      <c r="Q143" s="40" t="e">
        <f>ROUND(#REF!*F143,0)</f>
        <v>#REF!</v>
      </c>
      <c r="R143" s="41" t="e">
        <f>ROUND(#REF!*F143,0) + 55</f>
        <v>#REF!</v>
      </c>
      <c r="S143" s="41" t="e">
        <f>ROUND(#REF!*F143,0)</f>
        <v>#REF!</v>
      </c>
      <c r="T143" s="42" t="e">
        <f>ROUND(#REF!*F143,0)</f>
        <v>#REF!</v>
      </c>
      <c r="U143" s="43" t="e">
        <f t="shared" si="87"/>
        <v>#REF!</v>
      </c>
      <c r="V143" s="44"/>
      <c r="W143" s="27">
        <v>100</v>
      </c>
      <c r="AG143" s="45"/>
      <c r="AH143" s="46" t="str">
        <f t="shared" si="81"/>
        <v>CAP. 10: FACHADA</v>
      </c>
      <c r="AI143" s="47">
        <f t="shared" si="82"/>
        <v>136</v>
      </c>
      <c r="AJ143" s="47"/>
      <c r="AK143" s="47"/>
      <c r="AL143" s="48"/>
      <c r="AM143" s="49"/>
      <c r="AP143" s="50">
        <f t="shared" si="88"/>
        <v>123.5</v>
      </c>
      <c r="AQ143" s="51"/>
      <c r="AR143" s="52">
        <f t="shared" si="89"/>
        <v>123.5</v>
      </c>
      <c r="AS143" s="53">
        <f t="shared" si="90"/>
        <v>39464</v>
      </c>
      <c r="AT143" s="54">
        <f t="shared" si="91"/>
        <v>4873804</v>
      </c>
      <c r="AV143" s="55"/>
    </row>
    <row r="144" spans="1:48" x14ac:dyDescent="0.3">
      <c r="A144" s="165" t="s">
        <v>370</v>
      </c>
      <c r="B144" s="474" t="s">
        <v>370</v>
      </c>
      <c r="C144" s="206" t="s">
        <v>371</v>
      </c>
      <c r="D144" s="167" t="s">
        <v>372</v>
      </c>
      <c r="E144" s="168" t="s">
        <v>112</v>
      </c>
      <c r="F144" s="169">
        <v>6</v>
      </c>
      <c r="G144" s="497">
        <v>394503</v>
      </c>
      <c r="H144" s="34">
        <f t="shared" si="83"/>
        <v>2367018</v>
      </c>
      <c r="I144" s="35" t="e">
        <f>#REF!</f>
        <v>#REF!</v>
      </c>
      <c r="J144" s="33" t="e">
        <f>#REF!</f>
        <v>#REF!</v>
      </c>
      <c r="K144" s="33">
        <v>1</v>
      </c>
      <c r="L144" s="33" t="e">
        <f>ROUNDUP(#REF!/$K$144,0)</f>
        <v>#REF!</v>
      </c>
      <c r="M144" s="36" t="e">
        <f t="shared" si="84"/>
        <v>#REF!</v>
      </c>
      <c r="N144" s="37" t="e">
        <f t="shared" si="85"/>
        <v>#REF!</v>
      </c>
      <c r="O144" s="38">
        <f t="shared" si="86"/>
        <v>2367018</v>
      </c>
      <c r="P144" s="39"/>
      <c r="Q144" s="40" t="e">
        <f>ROUND(#REF!*F144,0)</f>
        <v>#REF!</v>
      </c>
      <c r="R144" s="41" t="e">
        <f>ROUND(#REF!*F144,0) + 3</f>
        <v>#REF!</v>
      </c>
      <c r="S144" s="41" t="e">
        <f>ROUND(#REF!*F144,0)</f>
        <v>#REF!</v>
      </c>
      <c r="T144" s="42" t="e">
        <f>ROUND(#REF!*F144,0)</f>
        <v>#REF!</v>
      </c>
      <c r="U144" s="43" t="e">
        <f t="shared" si="87"/>
        <v>#REF!</v>
      </c>
      <c r="V144" s="44"/>
      <c r="W144" s="27">
        <v>101</v>
      </c>
      <c r="AG144" s="45"/>
      <c r="AH144" s="46" t="str">
        <f t="shared" si="81"/>
        <v>CAP. 10: FACHADA</v>
      </c>
      <c r="AI144" s="47">
        <f t="shared" si="82"/>
        <v>136</v>
      </c>
      <c r="AJ144" s="47"/>
      <c r="AK144" s="47"/>
      <c r="AL144" s="48"/>
      <c r="AM144" s="49"/>
      <c r="AP144" s="50">
        <f t="shared" si="88"/>
        <v>6</v>
      </c>
      <c r="AQ144" s="51"/>
      <c r="AR144" s="52">
        <f t="shared" si="89"/>
        <v>6</v>
      </c>
      <c r="AS144" s="53">
        <f t="shared" si="90"/>
        <v>394503</v>
      </c>
      <c r="AT144" s="54">
        <f t="shared" si="91"/>
        <v>2367018</v>
      </c>
      <c r="AV144" s="55"/>
    </row>
    <row r="145" spans="1:49" x14ac:dyDescent="0.3">
      <c r="A145" s="210" t="s">
        <v>373</v>
      </c>
      <c r="B145" s="476" t="s">
        <v>373</v>
      </c>
      <c r="C145" s="206" t="s">
        <v>374</v>
      </c>
      <c r="D145" s="167" t="s">
        <v>220</v>
      </c>
      <c r="E145" s="168" t="s">
        <v>112</v>
      </c>
      <c r="F145" s="169">
        <v>453</v>
      </c>
      <c r="G145" s="497">
        <v>52970</v>
      </c>
      <c r="H145" s="34">
        <f t="shared" si="83"/>
        <v>23995410</v>
      </c>
      <c r="I145" s="35" t="e">
        <f>#REF!</f>
        <v>#REF!</v>
      </c>
      <c r="J145" s="33" t="e">
        <f>#REF!</f>
        <v>#REF!</v>
      </c>
      <c r="K145" s="33">
        <v>1</v>
      </c>
      <c r="L145" s="33" t="e">
        <f>ROUNDUP(#REF!/$K$145,0)</f>
        <v>#REF!</v>
      </c>
      <c r="M145" s="36" t="e">
        <f t="shared" si="84"/>
        <v>#REF!</v>
      </c>
      <c r="N145" s="37" t="e">
        <f t="shared" si="85"/>
        <v>#REF!</v>
      </c>
      <c r="O145" s="38">
        <f t="shared" si="86"/>
        <v>23995410</v>
      </c>
      <c r="P145" s="39"/>
      <c r="Q145" s="40" t="e">
        <f>ROUND(#REF!*F145,0)</f>
        <v>#REF!</v>
      </c>
      <c r="R145" s="41" t="e">
        <f>ROUND(#REF!*F145,0)</f>
        <v>#REF!</v>
      </c>
      <c r="S145" s="41" t="e">
        <f>ROUND(#REF!*F145,0)</f>
        <v>#REF!</v>
      </c>
      <c r="T145" s="42" t="e">
        <f>ROUND(#REF!*F145,0)</f>
        <v>#REF!</v>
      </c>
      <c r="U145" s="43" t="e">
        <f t="shared" si="87"/>
        <v>#REF!</v>
      </c>
      <c r="V145" s="44"/>
      <c r="W145" s="27"/>
      <c r="AG145" s="45"/>
      <c r="AH145" s="46" t="str">
        <f t="shared" si="81"/>
        <v>CAP. 10: FACHADA</v>
      </c>
      <c r="AI145" s="47">
        <f t="shared" si="82"/>
        <v>136</v>
      </c>
      <c r="AJ145" s="47"/>
      <c r="AK145" s="47"/>
      <c r="AL145" s="48"/>
      <c r="AM145" s="49"/>
      <c r="AP145" s="50">
        <f t="shared" si="88"/>
        <v>453</v>
      </c>
      <c r="AQ145" s="51"/>
      <c r="AR145" s="52">
        <f t="shared" si="89"/>
        <v>453</v>
      </c>
      <c r="AS145" s="53">
        <f t="shared" si="90"/>
        <v>52970</v>
      </c>
      <c r="AT145" s="54">
        <f t="shared" si="91"/>
        <v>23995410</v>
      </c>
      <c r="AV145" s="55"/>
    </row>
    <row r="146" spans="1:49" ht="27.6" x14ac:dyDescent="0.3">
      <c r="A146" s="165" t="s">
        <v>375</v>
      </c>
      <c r="B146" s="474" t="s">
        <v>375</v>
      </c>
      <c r="C146" s="206" t="s">
        <v>376</v>
      </c>
      <c r="D146" s="167" t="s">
        <v>377</v>
      </c>
      <c r="E146" s="168" t="s">
        <v>131</v>
      </c>
      <c r="F146" s="169">
        <v>12.35</v>
      </c>
      <c r="G146" s="497">
        <v>54347</v>
      </c>
      <c r="H146" s="34">
        <f t="shared" si="83"/>
        <v>671185</v>
      </c>
      <c r="I146" s="35" t="e">
        <f>#REF!</f>
        <v>#REF!</v>
      </c>
      <c r="J146" s="33" t="e">
        <f>#REF!</f>
        <v>#REF!</v>
      </c>
      <c r="K146" s="33">
        <v>1</v>
      </c>
      <c r="L146" s="33" t="e">
        <f>ROUNDUP(#REF!/$K$146,0)</f>
        <v>#REF!</v>
      </c>
      <c r="M146" s="36" t="e">
        <f t="shared" si="84"/>
        <v>#REF!</v>
      </c>
      <c r="N146" s="37" t="e">
        <f t="shared" si="85"/>
        <v>#REF!</v>
      </c>
      <c r="O146" s="38">
        <f t="shared" si="86"/>
        <v>671185</v>
      </c>
      <c r="P146" s="39"/>
      <c r="Q146" s="40" t="e">
        <f>ROUND(#REF!*F146,0)</f>
        <v>#REF!</v>
      </c>
      <c r="R146" s="41" t="e">
        <f>ROUND(#REF!*F146,0)</f>
        <v>#REF!</v>
      </c>
      <c r="S146" s="41" t="e">
        <f>ROUND(#REF!*F146,0)</f>
        <v>#REF!</v>
      </c>
      <c r="T146" s="42"/>
      <c r="U146" s="43" t="e">
        <f t="shared" si="87"/>
        <v>#REF!</v>
      </c>
      <c r="V146" s="44"/>
      <c r="W146" s="27">
        <v>103</v>
      </c>
      <c r="AG146" s="45"/>
      <c r="AH146" s="46" t="str">
        <f t="shared" si="81"/>
        <v>CAP. 10: FACHADA</v>
      </c>
      <c r="AI146" s="47">
        <f t="shared" si="82"/>
        <v>136</v>
      </c>
      <c r="AJ146" s="47"/>
      <c r="AK146" s="47"/>
      <c r="AL146" s="48"/>
      <c r="AM146" s="49"/>
      <c r="AP146" s="50">
        <f t="shared" si="88"/>
        <v>12.35</v>
      </c>
      <c r="AQ146" s="51"/>
      <c r="AR146" s="52">
        <f t="shared" si="89"/>
        <v>12.35</v>
      </c>
      <c r="AS146" s="53">
        <f t="shared" si="90"/>
        <v>54347</v>
      </c>
      <c r="AT146" s="54">
        <f t="shared" si="91"/>
        <v>671185</v>
      </c>
      <c r="AV146" s="55"/>
    </row>
    <row r="147" spans="1:49" x14ac:dyDescent="0.3">
      <c r="A147" s="165" t="s">
        <v>378</v>
      </c>
      <c r="B147" s="474" t="s">
        <v>378</v>
      </c>
      <c r="C147" s="206" t="s">
        <v>379</v>
      </c>
      <c r="D147" s="167" t="s">
        <v>380</v>
      </c>
      <c r="E147" s="168" t="s">
        <v>112</v>
      </c>
      <c r="F147" s="169">
        <v>453.47</v>
      </c>
      <c r="G147" s="497">
        <v>39400</v>
      </c>
      <c r="H147" s="34">
        <f t="shared" si="83"/>
        <v>17866718</v>
      </c>
      <c r="I147" s="35" t="e">
        <f>#REF!</f>
        <v>#REF!</v>
      </c>
      <c r="J147" s="33" t="e">
        <f>#REF!</f>
        <v>#REF!</v>
      </c>
      <c r="K147" s="33">
        <v>1</v>
      </c>
      <c r="L147" s="33" t="e">
        <f>ROUNDUP(#REF!/$K$147,0)</f>
        <v>#REF!</v>
      </c>
      <c r="M147" s="36" t="e">
        <f t="shared" si="84"/>
        <v>#REF!</v>
      </c>
      <c r="N147" s="37" t="e">
        <f t="shared" si="85"/>
        <v>#REF!</v>
      </c>
      <c r="O147" s="38">
        <f t="shared" si="86"/>
        <v>17866718</v>
      </c>
      <c r="P147" s="39"/>
      <c r="Q147" s="40" t="e">
        <f>ROUND(#REF!*F147,0)</f>
        <v>#REF!</v>
      </c>
      <c r="R147" s="41" t="e">
        <f>ROUND(#REF!*F147,0) + 87</f>
        <v>#REF!</v>
      </c>
      <c r="S147" s="41" t="e">
        <f>ROUND(#REF!*F147,0)</f>
        <v>#REF!</v>
      </c>
      <c r="T147" s="42" t="e">
        <f>ROUND(#REF!*F147,0)</f>
        <v>#REF!</v>
      </c>
      <c r="U147" s="43" t="e">
        <f t="shared" si="87"/>
        <v>#REF!</v>
      </c>
      <c r="V147" s="44"/>
      <c r="W147" s="27">
        <v>104</v>
      </c>
      <c r="AG147" s="45"/>
      <c r="AH147" s="46" t="str">
        <f t="shared" si="81"/>
        <v>CAP. 10: FACHADA</v>
      </c>
      <c r="AI147" s="47">
        <f t="shared" si="82"/>
        <v>136</v>
      </c>
      <c r="AJ147" s="47"/>
      <c r="AK147" s="47"/>
      <c r="AL147" s="48"/>
      <c r="AM147" s="49"/>
      <c r="AP147" s="50">
        <f t="shared" si="88"/>
        <v>453.47</v>
      </c>
      <c r="AQ147" s="51"/>
      <c r="AR147" s="52">
        <f t="shared" si="89"/>
        <v>453.47</v>
      </c>
      <c r="AS147" s="53">
        <f t="shared" si="90"/>
        <v>39400</v>
      </c>
      <c r="AT147" s="54">
        <f t="shared" si="91"/>
        <v>17866718</v>
      </c>
      <c r="AV147" s="55"/>
    </row>
    <row r="148" spans="1:49" x14ac:dyDescent="0.3">
      <c r="A148" s="165" t="s">
        <v>381</v>
      </c>
      <c r="B148" s="474" t="s">
        <v>381</v>
      </c>
      <c r="C148" s="206" t="s">
        <v>382</v>
      </c>
      <c r="D148" s="167" t="s">
        <v>383</v>
      </c>
      <c r="E148" s="168" t="s">
        <v>112</v>
      </c>
      <c r="F148" s="169">
        <v>553.47</v>
      </c>
      <c r="G148" s="497">
        <v>6633</v>
      </c>
      <c r="H148" s="34">
        <f t="shared" si="83"/>
        <v>3671167</v>
      </c>
      <c r="I148" s="35" t="e">
        <f>#REF!</f>
        <v>#REF!</v>
      </c>
      <c r="J148" s="33" t="e">
        <f>#REF!</f>
        <v>#REF!</v>
      </c>
      <c r="K148" s="33">
        <v>1</v>
      </c>
      <c r="L148" s="33" t="e">
        <f>ROUNDUP(#REF!/$K$148,0)</f>
        <v>#REF!</v>
      </c>
      <c r="M148" s="36" t="e">
        <f t="shared" si="84"/>
        <v>#REF!</v>
      </c>
      <c r="N148" s="37" t="e">
        <f t="shared" si="85"/>
        <v>#REF!</v>
      </c>
      <c r="O148" s="38">
        <f t="shared" si="86"/>
        <v>3671167</v>
      </c>
      <c r="P148" s="39"/>
      <c r="Q148" s="40" t="e">
        <f>ROUND(#REF!*F148,0)</f>
        <v>#REF!</v>
      </c>
      <c r="R148" s="41" t="e">
        <f>ROUND(#REF!*F148,0)</f>
        <v>#REF!</v>
      </c>
      <c r="S148" s="41" t="e">
        <f>ROUND(#REF!*F148,0)</f>
        <v>#REF!</v>
      </c>
      <c r="T148" s="42" t="e">
        <f>ROUND(#REF!*F148,0)</f>
        <v>#REF!</v>
      </c>
      <c r="U148" s="43" t="e">
        <f t="shared" si="87"/>
        <v>#REF!</v>
      </c>
      <c r="V148" s="44"/>
      <c r="W148" s="27">
        <v>105</v>
      </c>
      <c r="AG148" s="45"/>
      <c r="AH148" s="46" t="str">
        <f t="shared" si="81"/>
        <v>CAP. 10: FACHADA</v>
      </c>
      <c r="AI148" s="47">
        <f t="shared" si="82"/>
        <v>136</v>
      </c>
      <c r="AJ148" s="47"/>
      <c r="AK148" s="47"/>
      <c r="AL148" s="48"/>
      <c r="AM148" s="49"/>
      <c r="AP148" s="50">
        <f t="shared" si="88"/>
        <v>553.47</v>
      </c>
      <c r="AQ148" s="51"/>
      <c r="AR148" s="52">
        <f t="shared" si="89"/>
        <v>553.47</v>
      </c>
      <c r="AS148" s="53">
        <f t="shared" si="90"/>
        <v>6633</v>
      </c>
      <c r="AT148" s="54">
        <f t="shared" si="91"/>
        <v>3671167</v>
      </c>
      <c r="AV148" s="55"/>
    </row>
    <row r="149" spans="1:49" ht="27.6" x14ac:dyDescent="0.3">
      <c r="A149" s="165" t="s">
        <v>384</v>
      </c>
      <c r="B149" s="474" t="s">
        <v>384</v>
      </c>
      <c r="C149" s="206" t="s">
        <v>385</v>
      </c>
      <c r="D149" s="167" t="s">
        <v>386</v>
      </c>
      <c r="E149" s="168" t="s">
        <v>112</v>
      </c>
      <c r="F149" s="169">
        <v>553.47</v>
      </c>
      <c r="G149" s="497">
        <v>79186</v>
      </c>
      <c r="H149" s="34">
        <f t="shared" si="83"/>
        <v>43827075</v>
      </c>
      <c r="I149" s="35" t="e">
        <f>#REF!</f>
        <v>#REF!</v>
      </c>
      <c r="J149" s="33" t="e">
        <f>#REF!</f>
        <v>#REF!</v>
      </c>
      <c r="K149" s="33">
        <v>1</v>
      </c>
      <c r="L149" s="33" t="e">
        <f>ROUNDUP(#REF!/$K$149,0)</f>
        <v>#REF!</v>
      </c>
      <c r="M149" s="36" t="e">
        <f t="shared" si="84"/>
        <v>#REF!</v>
      </c>
      <c r="N149" s="37" t="e">
        <f t="shared" si="85"/>
        <v>#REF!</v>
      </c>
      <c r="O149" s="38">
        <f t="shared" si="86"/>
        <v>43827075</v>
      </c>
      <c r="P149" s="39"/>
      <c r="Q149" s="40" t="e">
        <f>ROUND(#REF!*F149,0)</f>
        <v>#REF!</v>
      </c>
      <c r="R149" s="41" t="e">
        <f>ROUND(#REF!*F149,0)</f>
        <v>#REF!</v>
      </c>
      <c r="S149" s="41" t="e">
        <f>ROUND(#REF!*F149,0)</f>
        <v>#REF!</v>
      </c>
      <c r="T149" s="42" t="e">
        <f>ROUND(#REF!*F149,0)</f>
        <v>#REF!</v>
      </c>
      <c r="U149" s="43" t="e">
        <f t="shared" si="87"/>
        <v>#REF!</v>
      </c>
      <c r="V149" s="44"/>
      <c r="W149" s="27">
        <v>107</v>
      </c>
      <c r="AG149" s="45"/>
      <c r="AH149" s="46" t="str">
        <f t="shared" si="81"/>
        <v>CAP. 10: FACHADA</v>
      </c>
      <c r="AI149" s="47">
        <f t="shared" si="82"/>
        <v>136</v>
      </c>
      <c r="AJ149" s="47"/>
      <c r="AK149" s="47"/>
      <c r="AL149" s="48"/>
      <c r="AM149" s="49"/>
      <c r="AP149" s="50">
        <f t="shared" si="88"/>
        <v>553.47</v>
      </c>
      <c r="AQ149" s="51"/>
      <c r="AR149" s="52">
        <f t="shared" si="89"/>
        <v>553.47</v>
      </c>
      <c r="AS149" s="53">
        <f t="shared" si="90"/>
        <v>79186</v>
      </c>
      <c r="AT149" s="54">
        <f t="shared" si="91"/>
        <v>43827075</v>
      </c>
      <c r="AV149" s="55"/>
    </row>
    <row r="150" spans="1:49" ht="96.6" x14ac:dyDescent="0.3">
      <c r="A150" s="28" t="s">
        <v>387</v>
      </c>
      <c r="B150" s="28" t="s">
        <v>387</v>
      </c>
      <c r="C150" s="29"/>
      <c r="D150" s="30" t="s">
        <v>388</v>
      </c>
      <c r="E150" s="31" t="s">
        <v>112</v>
      </c>
      <c r="F150" s="32">
        <v>250</v>
      </c>
      <c r="G150" s="497">
        <v>854676</v>
      </c>
      <c r="H150" s="34">
        <f t="shared" si="83"/>
        <v>213669000</v>
      </c>
      <c r="I150" s="35" t="e">
        <f>#REF!</f>
        <v>#REF!</v>
      </c>
      <c r="J150" s="33" t="e">
        <f>#REF!</f>
        <v>#REF!</v>
      </c>
      <c r="K150" s="33">
        <v>1</v>
      </c>
      <c r="L150" s="33" t="e">
        <f>ROUNDUP(#REF!/$K$150,0)</f>
        <v>#REF!</v>
      </c>
      <c r="M150" s="36" t="e">
        <f t="shared" si="84"/>
        <v>#REF!</v>
      </c>
      <c r="N150" s="37" t="e">
        <f t="shared" si="85"/>
        <v>#REF!</v>
      </c>
      <c r="O150" s="38">
        <f t="shared" si="86"/>
        <v>213669000</v>
      </c>
      <c r="P150" s="39"/>
      <c r="Q150" s="40" t="e">
        <f>ROUND(#REF!*F150,0)</f>
        <v>#REF!</v>
      </c>
      <c r="R150" s="41" t="e">
        <f>ROUND(#REF!*F150,0)</f>
        <v>#REF!</v>
      </c>
      <c r="S150" s="41" t="e">
        <f>ROUND(#REF!*F150,0)</f>
        <v>#REF!</v>
      </c>
      <c r="T150" s="42" t="e">
        <f>ROUND(#REF!*F150,0)</f>
        <v>#REF!</v>
      </c>
      <c r="U150" s="43" t="e">
        <f t="shared" si="87"/>
        <v>#REF!</v>
      </c>
      <c r="V150" s="44"/>
      <c r="W150" s="27"/>
      <c r="AG150" s="45"/>
      <c r="AH150" s="46" t="str">
        <f t="shared" si="81"/>
        <v>CAP. 10: FACHADA</v>
      </c>
      <c r="AI150" s="47">
        <f t="shared" si="82"/>
        <v>136</v>
      </c>
      <c r="AJ150" s="47"/>
      <c r="AK150" s="47"/>
      <c r="AL150" s="48"/>
      <c r="AM150" s="49"/>
      <c r="AP150" s="50">
        <f t="shared" si="88"/>
        <v>250</v>
      </c>
      <c r="AQ150" s="51"/>
      <c r="AR150" s="52">
        <f t="shared" si="89"/>
        <v>250</v>
      </c>
      <c r="AS150" s="53">
        <f t="shared" si="90"/>
        <v>854676</v>
      </c>
      <c r="AT150" s="54">
        <f t="shared" si="91"/>
        <v>213669000</v>
      </c>
      <c r="AV150" s="55"/>
    </row>
    <row r="151" spans="1:49" x14ac:dyDescent="0.3">
      <c r="A151" s="175"/>
      <c r="B151" s="175"/>
      <c r="C151" s="208"/>
      <c r="D151" s="177"/>
      <c r="E151" s="178"/>
      <c r="F151" s="179"/>
      <c r="G151" s="503"/>
      <c r="H151" s="181"/>
      <c r="I151" s="182"/>
      <c r="J151" s="180"/>
      <c r="K151" s="180"/>
      <c r="L151" s="180"/>
      <c r="M151" s="183"/>
      <c r="N151" s="184"/>
      <c r="O151" s="185"/>
      <c r="P151" s="39"/>
      <c r="Q151" s="40"/>
      <c r="R151" s="41"/>
      <c r="S151" s="41"/>
      <c r="T151" s="42"/>
      <c r="U151" s="43"/>
      <c r="V151" s="44"/>
      <c r="W151" s="27"/>
      <c r="AG151" s="45"/>
      <c r="AH151" s="46" t="str">
        <f t="shared" si="81"/>
        <v>CAP. 10: FACHADA</v>
      </c>
      <c r="AI151" s="47">
        <f t="shared" si="82"/>
        <v>136</v>
      </c>
      <c r="AJ151" s="47"/>
      <c r="AK151" s="47"/>
      <c r="AL151" s="48"/>
      <c r="AM151" s="49"/>
      <c r="AP151" s="50"/>
      <c r="AQ151" s="51"/>
      <c r="AR151" s="52"/>
      <c r="AS151" s="158"/>
      <c r="AT151" s="159"/>
      <c r="AV151" s="55"/>
    </row>
    <row r="152" spans="1:49" ht="15" thickBot="1" x14ac:dyDescent="0.35">
      <c r="A152" s="186" t="s">
        <v>135</v>
      </c>
      <c r="B152" s="186" t="s">
        <v>135</v>
      </c>
      <c r="C152" s="209"/>
      <c r="D152" s="188"/>
      <c r="E152" s="189"/>
      <c r="F152" s="190"/>
      <c r="G152" s="499" t="s">
        <v>744</v>
      </c>
      <c r="H152" s="192">
        <f>SUM(H137:H151)</f>
        <v>343453731</v>
      </c>
      <c r="I152" s="182"/>
      <c r="J152" s="180"/>
      <c r="K152" s="180"/>
      <c r="L152" s="180"/>
      <c r="M152" s="183"/>
      <c r="N152" s="184"/>
      <c r="O152" s="193">
        <f>SUM(O137:O151)</f>
        <v>343453731</v>
      </c>
      <c r="P152" s="39"/>
      <c r="Q152" s="194" t="e">
        <f>SUM(Q136:Q151)</f>
        <v>#REF!</v>
      </c>
      <c r="R152" s="195" t="e">
        <f>SUM(R136:R151)</f>
        <v>#REF!</v>
      </c>
      <c r="S152" s="195" t="e">
        <f>SUM(S136:S151)</f>
        <v>#REF!</v>
      </c>
      <c r="T152" s="196" t="e">
        <f>SUM(T136:T151)</f>
        <v>#REF!</v>
      </c>
      <c r="U152" s="197" t="e">
        <f>SUM(U136:U151)</f>
        <v>#REF!</v>
      </c>
      <c r="V152" s="44"/>
      <c r="W152" s="27"/>
      <c r="AG152" s="45"/>
      <c r="AH152" s="46" t="str">
        <f t="shared" si="81"/>
        <v>CAP. 10: FACHADA</v>
      </c>
      <c r="AI152" s="47">
        <f t="shared" si="82"/>
        <v>136</v>
      </c>
      <c r="AJ152" s="47"/>
      <c r="AK152" s="47"/>
      <c r="AL152" s="48"/>
      <c r="AM152" s="49"/>
      <c r="AP152" s="198"/>
      <c r="AQ152" s="199"/>
      <c r="AR152" s="199"/>
      <c r="AS152" s="199"/>
      <c r="AT152" s="200">
        <f>SUM(AT137:AT151)</f>
        <v>343453731</v>
      </c>
      <c r="AV152" s="55"/>
    </row>
    <row r="153" spans="1:49" ht="22.95" customHeight="1" thickBot="1" x14ac:dyDescent="0.35">
      <c r="A153" s="78"/>
      <c r="B153" s="78"/>
      <c r="C153" s="131"/>
      <c r="D153" s="128"/>
      <c r="E153" s="129"/>
      <c r="F153" s="130"/>
      <c r="G153" s="500"/>
      <c r="H153" s="201"/>
      <c r="W153" s="27"/>
      <c r="AG153" s="45"/>
      <c r="AH153" s="46"/>
      <c r="AI153" s="47"/>
      <c r="AJ153" s="47"/>
      <c r="AK153" s="47"/>
      <c r="AL153" s="48"/>
      <c r="AM153" s="49"/>
      <c r="AV153" s="55"/>
    </row>
    <row r="154" spans="1:49" ht="15.6" x14ac:dyDescent="0.3">
      <c r="A154" s="133" t="s">
        <v>97</v>
      </c>
      <c r="B154" s="133" t="s">
        <v>97</v>
      </c>
      <c r="C154" s="202" t="s">
        <v>389</v>
      </c>
      <c r="D154" s="203" t="s">
        <v>390</v>
      </c>
      <c r="E154" s="136"/>
      <c r="F154" s="136"/>
      <c r="G154" s="501"/>
      <c r="H154" s="137">
        <f>SUM(H155:H159)</f>
        <v>67073108</v>
      </c>
      <c r="I154" s="27"/>
      <c r="J154" s="27"/>
      <c r="K154" s="27"/>
      <c r="L154" s="27"/>
      <c r="M154" s="27"/>
      <c r="N154" s="27"/>
      <c r="O154" s="138">
        <f>SUM(O155:O159)</f>
        <v>26025334</v>
      </c>
      <c r="P154" s="44"/>
      <c r="Q154" s="139"/>
      <c r="R154" s="140"/>
      <c r="S154" s="140"/>
      <c r="T154" s="141"/>
      <c r="U154" s="142"/>
      <c r="V154" s="44">
        <f>IF(H154&lt;&gt;"",O154-H154*$O$2,0)</f>
        <v>-41047774</v>
      </c>
      <c r="W154" s="143" t="s">
        <v>100</v>
      </c>
      <c r="AG154" s="45"/>
      <c r="AH154" s="46"/>
      <c r="AI154" s="47"/>
      <c r="AJ154" s="47"/>
      <c r="AK154" s="47"/>
      <c r="AL154" s="48"/>
      <c r="AM154" s="49"/>
      <c r="AP154" s="144"/>
      <c r="AQ154" s="145"/>
      <c r="AR154" s="145"/>
      <c r="AS154" s="145"/>
      <c r="AT154" s="146">
        <f>SUM(AT155:AT159)</f>
        <v>26025334</v>
      </c>
      <c r="AV154" s="55"/>
    </row>
    <row r="155" spans="1:49" hidden="1" x14ac:dyDescent="0.3">
      <c r="A155" s="147" t="s">
        <v>101</v>
      </c>
      <c r="B155" s="147" t="s">
        <v>101</v>
      </c>
      <c r="C155" s="204"/>
      <c r="D155" s="149"/>
      <c r="E155" s="150"/>
      <c r="F155" s="151"/>
      <c r="G155" s="496"/>
      <c r="H155" s="153"/>
      <c r="I155" s="154"/>
      <c r="J155" s="152"/>
      <c r="K155" s="152"/>
      <c r="L155" s="152"/>
      <c r="M155" s="155"/>
      <c r="N155" s="156"/>
      <c r="O155" s="157"/>
      <c r="P155" s="39"/>
      <c r="Q155" s="40"/>
      <c r="R155" s="41"/>
      <c r="S155" s="41"/>
      <c r="T155" s="42"/>
      <c r="U155" s="43"/>
      <c r="V155" s="44"/>
      <c r="W155" s="27"/>
      <c r="AG155" s="45"/>
      <c r="AH155" s="46"/>
      <c r="AI155" s="47"/>
      <c r="AJ155" s="47"/>
      <c r="AK155" s="47"/>
      <c r="AL155" s="48"/>
      <c r="AM155" s="49"/>
      <c r="AP155" s="50"/>
      <c r="AQ155" s="51"/>
      <c r="AR155" s="52"/>
      <c r="AS155" s="158"/>
      <c r="AT155" s="159"/>
      <c r="AV155" s="55"/>
    </row>
    <row r="156" spans="1:49" ht="69" x14ac:dyDescent="0.3">
      <c r="A156" s="28" t="s">
        <v>391</v>
      </c>
      <c r="B156" s="28" t="s">
        <v>391</v>
      </c>
      <c r="C156" s="211" t="s">
        <v>392</v>
      </c>
      <c r="D156" s="30" t="s">
        <v>393</v>
      </c>
      <c r="E156" s="31" t="s">
        <v>89</v>
      </c>
      <c r="F156" s="32">
        <v>1</v>
      </c>
      <c r="G156" s="497">
        <v>26025334</v>
      </c>
      <c r="H156" s="34">
        <f>ROUND(F156 * G156,$K$2)</f>
        <v>26025334</v>
      </c>
      <c r="I156" s="35" t="e">
        <f>#REF!</f>
        <v>#REF!</v>
      </c>
      <c r="J156" s="33" t="e">
        <f>#REF!</f>
        <v>#REF!</v>
      </c>
      <c r="K156" s="33">
        <v>1</v>
      </c>
      <c r="L156" s="33" t="e">
        <f>ROUNDUP(#REF!/$K$156,0)</f>
        <v>#REF!</v>
      </c>
      <c r="M156" s="36" t="e">
        <f>ROUND(J156 * F156,$K$2)</f>
        <v>#REF!</v>
      </c>
      <c r="N156" s="37" t="e">
        <f>ROUND(I156 * F156,$K$2)</f>
        <v>#REF!</v>
      </c>
      <c r="O156" s="38">
        <f>H156*$O$2</f>
        <v>26025334</v>
      </c>
      <c r="P156" s="39"/>
      <c r="Q156" s="40" t="e">
        <f>ROUND(#REF!*F156,0)</f>
        <v>#REF!</v>
      </c>
      <c r="R156" s="41" t="e">
        <f>ROUND(#REF!*F156,0)</f>
        <v>#REF!</v>
      </c>
      <c r="S156" s="41" t="e">
        <f>ROUND(#REF!*F156,0)</f>
        <v>#REF!</v>
      </c>
      <c r="T156" s="42" t="e">
        <f>ROUND(#REF!*F156,0)</f>
        <v>#REF!</v>
      </c>
      <c r="U156" s="43" t="e">
        <f>Q156+R156+S156+T156</f>
        <v>#REF!</v>
      </c>
      <c r="V156" s="44"/>
      <c r="W156" s="27"/>
      <c r="AG156" s="45"/>
      <c r="AH156" s="46"/>
      <c r="AI156" s="47"/>
      <c r="AJ156" s="47"/>
      <c r="AK156" s="47"/>
      <c r="AL156" s="48"/>
      <c r="AM156" s="49"/>
      <c r="AP156" s="50">
        <f>F156</f>
        <v>1</v>
      </c>
      <c r="AQ156" s="51"/>
      <c r="AR156" s="52">
        <f>AP156+AQ156</f>
        <v>1</v>
      </c>
      <c r="AS156" s="53">
        <f>G156</f>
        <v>26025334</v>
      </c>
      <c r="AT156" s="54">
        <f>ROUND(AR156 * AS156,$K$2)</f>
        <v>26025334</v>
      </c>
      <c r="AV156" s="55"/>
    </row>
    <row r="157" spans="1:49" ht="69" x14ac:dyDescent="0.3">
      <c r="A157" s="28"/>
      <c r="B157" s="28" t="s">
        <v>766</v>
      </c>
      <c r="C157" s="211" t="s">
        <v>733</v>
      </c>
      <c r="D157" s="30" t="s">
        <v>732</v>
      </c>
      <c r="E157" s="31" t="s">
        <v>89</v>
      </c>
      <c r="F157" s="32">
        <v>1</v>
      </c>
      <c r="G157" s="497">
        <v>9260569.790000001</v>
      </c>
      <c r="H157" s="34">
        <f>ROUND(F157 * G157,$K$2)</f>
        <v>9260570</v>
      </c>
      <c r="I157" s="35"/>
      <c r="J157" s="33"/>
      <c r="K157" s="33"/>
      <c r="L157" s="33"/>
      <c r="M157" s="36"/>
      <c r="N157" s="37"/>
      <c r="O157" s="38"/>
      <c r="P157" s="39"/>
      <c r="Q157" s="40"/>
      <c r="R157" s="41"/>
      <c r="S157" s="41"/>
      <c r="T157" s="42"/>
      <c r="U157" s="43"/>
      <c r="V157" s="44"/>
      <c r="W157" s="27"/>
      <c r="AG157" s="45"/>
      <c r="AH157" s="46"/>
      <c r="AI157" s="47"/>
      <c r="AJ157" s="47"/>
      <c r="AK157" s="47"/>
      <c r="AL157" s="48"/>
      <c r="AM157" s="49"/>
      <c r="AP157" s="50"/>
      <c r="AQ157" s="51"/>
      <c r="AR157" s="52"/>
      <c r="AS157" s="53"/>
      <c r="AT157" s="54"/>
      <c r="AV157" s="55"/>
    </row>
    <row r="158" spans="1:49" ht="41.4" x14ac:dyDescent="0.3">
      <c r="A158" s="28"/>
      <c r="B158" s="28" t="s">
        <v>767</v>
      </c>
      <c r="C158" s="211" t="s">
        <v>734</v>
      </c>
      <c r="D158" s="30" t="s">
        <v>765</v>
      </c>
      <c r="E158" s="442" t="s">
        <v>89</v>
      </c>
      <c r="F158" s="443">
        <v>1</v>
      </c>
      <c r="G158" s="497">
        <v>31787204</v>
      </c>
      <c r="H158" s="34">
        <f>+G158*F158</f>
        <v>31787204</v>
      </c>
      <c r="I158" s="35"/>
      <c r="J158" s="33"/>
      <c r="K158" s="33"/>
      <c r="L158" s="33"/>
      <c r="M158" s="36"/>
      <c r="N158" s="37"/>
      <c r="O158" s="38"/>
      <c r="P158" s="39"/>
      <c r="Q158" s="40"/>
      <c r="R158" s="41"/>
      <c r="S158" s="41"/>
      <c r="T158" s="42"/>
      <c r="U158" s="43"/>
      <c r="V158" s="44"/>
      <c r="W158" s="27"/>
      <c r="AG158" s="45"/>
      <c r="AH158" s="46"/>
      <c r="AI158" s="47"/>
      <c r="AJ158" s="47"/>
      <c r="AK158" s="47"/>
      <c r="AL158" s="48"/>
      <c r="AM158" s="49"/>
      <c r="AP158" s="50"/>
      <c r="AQ158" s="51"/>
      <c r="AR158" s="52"/>
      <c r="AS158" s="53"/>
      <c r="AT158" s="54"/>
      <c r="AV158" s="55"/>
      <c r="AW158" s="132"/>
    </row>
    <row r="159" spans="1:49" x14ac:dyDescent="0.3">
      <c r="A159" s="175"/>
      <c r="B159" s="175"/>
      <c r="C159" s="208"/>
      <c r="D159" s="177"/>
      <c r="E159" s="178"/>
      <c r="F159" s="179"/>
      <c r="G159" s="180"/>
      <c r="H159" s="181"/>
      <c r="I159" s="182"/>
      <c r="J159" s="180"/>
      <c r="K159" s="180"/>
      <c r="L159" s="180"/>
      <c r="M159" s="183"/>
      <c r="N159" s="184"/>
      <c r="O159" s="185"/>
      <c r="P159" s="39"/>
      <c r="Q159" s="40"/>
      <c r="R159" s="41"/>
      <c r="S159" s="41"/>
      <c r="T159" s="42"/>
      <c r="U159" s="43"/>
      <c r="V159" s="44"/>
      <c r="W159" s="27"/>
      <c r="AG159" s="45"/>
      <c r="AH159" s="46"/>
      <c r="AI159" s="47"/>
      <c r="AJ159" s="47"/>
      <c r="AK159" s="47"/>
      <c r="AL159" s="48"/>
      <c r="AM159" s="49"/>
      <c r="AP159" s="50"/>
      <c r="AQ159" s="51"/>
      <c r="AR159" s="52"/>
      <c r="AS159" s="158"/>
      <c r="AT159" s="159"/>
      <c r="AV159" s="55"/>
    </row>
    <row r="160" spans="1:49" ht="15" thickBot="1" x14ac:dyDescent="0.35">
      <c r="A160" s="186" t="s">
        <v>135</v>
      </c>
      <c r="B160" s="186" t="s">
        <v>135</v>
      </c>
      <c r="C160" s="209"/>
      <c r="D160" s="188"/>
      <c r="E160" s="189"/>
      <c r="F160" s="190"/>
      <c r="G160" s="191" t="str">
        <f>IF(D154="ESCRIBA AQUÍ EL NOMBRE DEL CAPITULO","SUBTOTAL","SUBTOTAL CAP. "&amp;C154&amp;"  "&amp;D154&amp;":")</f>
        <v>SUBTOTAL CAP. 11  EQUIPOS ESPECIALES:</v>
      </c>
      <c r="H160" s="192">
        <f>SUM(H155:H159)</f>
        <v>67073108</v>
      </c>
      <c r="I160" s="182"/>
      <c r="J160" s="180"/>
      <c r="K160" s="180"/>
      <c r="L160" s="180"/>
      <c r="M160" s="183"/>
      <c r="N160" s="184"/>
      <c r="O160" s="193">
        <f>SUM(O155:O159)</f>
        <v>26025334</v>
      </c>
      <c r="P160" s="39"/>
      <c r="Q160" s="194" t="e">
        <f>SUM(Q154:Q159)</f>
        <v>#REF!</v>
      </c>
      <c r="R160" s="195" t="e">
        <f>SUM(R154:R159)</f>
        <v>#REF!</v>
      </c>
      <c r="S160" s="195" t="e">
        <f>SUM(S154:S159)</f>
        <v>#REF!</v>
      </c>
      <c r="T160" s="196" t="e">
        <f>SUM(T154:T159)</f>
        <v>#REF!</v>
      </c>
      <c r="U160" s="197" t="e">
        <f>SUM(U154:U159)</f>
        <v>#REF!</v>
      </c>
      <c r="V160" s="44"/>
      <c r="W160" s="27"/>
      <c r="AG160" s="45"/>
      <c r="AH160" s="46"/>
      <c r="AI160" s="47"/>
      <c r="AJ160" s="47"/>
      <c r="AK160" s="47"/>
      <c r="AL160" s="48"/>
      <c r="AM160" s="49"/>
      <c r="AP160" s="198"/>
      <c r="AQ160" s="199"/>
      <c r="AR160" s="199"/>
      <c r="AS160" s="199"/>
      <c r="AT160" s="200">
        <f>SUM(AT155:AT159)</f>
        <v>26025334</v>
      </c>
      <c r="AV160" s="55"/>
    </row>
    <row r="161" spans="1:51" x14ac:dyDescent="0.3">
      <c r="A161" s="78"/>
      <c r="B161" s="78"/>
      <c r="C161" s="131"/>
      <c r="D161" s="128"/>
      <c r="E161" s="129"/>
      <c r="F161" s="130"/>
      <c r="G161" s="131"/>
      <c r="H161" s="201"/>
      <c r="W161" s="27"/>
      <c r="AG161" s="45"/>
      <c r="AH161" s="46"/>
      <c r="AI161" s="47"/>
      <c r="AJ161" s="47"/>
      <c r="AK161" s="47"/>
      <c r="AL161" s="48"/>
      <c r="AM161" s="49"/>
      <c r="AV161" s="55"/>
    </row>
    <row r="162" spans="1:51" s="212" customFormat="1" ht="15" thickBot="1" x14ac:dyDescent="0.35">
      <c r="A162" s="219" t="s">
        <v>394</v>
      </c>
      <c r="B162" s="477"/>
      <c r="C162" s="220"/>
      <c r="D162" s="221"/>
      <c r="E162" s="222"/>
      <c r="F162" s="222"/>
      <c r="G162" s="223" t="s">
        <v>747</v>
      </c>
      <c r="H162" s="224">
        <f>+H160+H152+H134+H127+H99+H87+H75+H64+H53+H45+H28</f>
        <v>1807927486</v>
      </c>
      <c r="I162" s="479"/>
      <c r="J162" s="225"/>
      <c r="K162" s="225"/>
      <c r="L162" s="225"/>
      <c r="M162" s="226" t="e">
        <f>SUM(M12:M161)</f>
        <v>#REF!</v>
      </c>
      <c r="N162" s="227" t="e">
        <f>SUM(N12:N161)</f>
        <v>#REF!</v>
      </c>
      <c r="O162" s="228">
        <f>+H162*$O$2</f>
        <v>1807927486</v>
      </c>
      <c r="P162" s="229"/>
      <c r="Q162" s="230" t="e">
        <f>SUM(Q13:Q161)/2</f>
        <v>#REF!</v>
      </c>
      <c r="R162" s="230" t="e">
        <f>SUM(R13:R161)/2</f>
        <v>#REF!</v>
      </c>
      <c r="S162" s="230" t="e">
        <f>SUM(S13:S161)/2</f>
        <v>#REF!</v>
      </c>
      <c r="T162" s="230" t="e">
        <f>SUM(T13:T161)/2</f>
        <v>#REF!</v>
      </c>
      <c r="U162" s="230" t="e">
        <f>SUM(U13:U161)/2</f>
        <v>#REF!</v>
      </c>
      <c r="V162" s="231"/>
      <c r="W162" s="231"/>
      <c r="X162" s="231"/>
      <c r="Y162" s="231"/>
      <c r="Z162" s="231"/>
      <c r="AA162" s="231"/>
      <c r="AB162" s="231"/>
      <c r="AC162" s="231"/>
      <c r="AD162" s="231"/>
      <c r="AE162" s="231"/>
      <c r="AF162" s="232"/>
      <c r="AG162" s="233"/>
      <c r="AH162" s="234"/>
      <c r="AI162" s="235"/>
      <c r="AJ162" s="235"/>
      <c r="AK162" s="235"/>
      <c r="AL162" s="236"/>
      <c r="AM162" s="237"/>
      <c r="AP162" s="238"/>
      <c r="AQ162" s="239" t="e">
        <f>[1]ACTAS!L17</f>
        <v>#REF!</v>
      </c>
      <c r="AR162" s="239"/>
      <c r="AS162" s="240"/>
      <c r="AT162" s="241">
        <f>SUM(AT12:AT161)/3</f>
        <v>1766879712</v>
      </c>
      <c r="AV162" s="242"/>
      <c r="AY162" s="444"/>
    </row>
    <row r="163" spans="1:51" s="85" customFormat="1" x14ac:dyDescent="0.3">
      <c r="A163" s="78"/>
      <c r="B163" s="78"/>
      <c r="C163" s="213"/>
      <c r="D163" s="221"/>
      <c r="E163" s="222"/>
      <c r="F163" s="222"/>
      <c r="G163" s="223" t="s">
        <v>745</v>
      </c>
      <c r="H163" s="445">
        <v>129517898</v>
      </c>
      <c r="I163" s="112"/>
      <c r="J163" s="112"/>
      <c r="K163" s="112"/>
      <c r="L163" s="112"/>
      <c r="M163" s="214"/>
      <c r="N163" s="215"/>
      <c r="O163" s="44" t="e">
        <f>IF($A$2="CD",N162-O162,IF($A$2="CT",M162-O162,""))</f>
        <v>#REF!</v>
      </c>
      <c r="P163" s="112"/>
      <c r="Q163" s="112"/>
      <c r="R163" s="112"/>
      <c r="S163" s="112"/>
      <c r="T163" s="112"/>
      <c r="U163" s="112"/>
      <c r="V163" s="216"/>
      <c r="W163" s="216"/>
      <c r="X163" s="216"/>
      <c r="Y163" s="216"/>
      <c r="Z163" s="216"/>
      <c r="AA163" s="216"/>
      <c r="AB163" s="216"/>
      <c r="AC163" s="216"/>
      <c r="AD163" s="216"/>
      <c r="AE163" s="216"/>
      <c r="AF163" s="217"/>
      <c r="AG163" s="45"/>
      <c r="AH163" s="46"/>
      <c r="AI163" s="47"/>
      <c r="AJ163" s="47"/>
      <c r="AK163" s="47"/>
      <c r="AL163" s="48"/>
      <c r="AM163" s="49"/>
      <c r="AT163" s="218"/>
      <c r="AV163" s="86"/>
    </row>
    <row r="164" spans="1:51" s="212" customFormat="1" ht="15" hidden="1" thickBot="1" x14ac:dyDescent="0.35">
      <c r="A164" s="219" t="s">
        <v>395</v>
      </c>
      <c r="B164" s="477"/>
      <c r="C164" s="220"/>
      <c r="D164" s="480"/>
      <c r="E164" s="27"/>
      <c r="F164" s="27"/>
      <c r="G164" s="313"/>
      <c r="H164" s="481" t="e">
        <f>IF(#REF!="CT",IF(#REF!&lt;&gt;0,"Ubiquese en la celda inmediatamente superior (TOTAL) y presione CAMBIAR",0),0)</f>
        <v>#REF!</v>
      </c>
      <c r="I164" s="479"/>
      <c r="J164" s="225"/>
      <c r="K164" s="225"/>
      <c r="L164" s="225"/>
      <c r="M164" s="226"/>
      <c r="N164" s="227"/>
      <c r="O164" s="228" t="e">
        <f>+H164*$O$2</f>
        <v>#REF!</v>
      </c>
      <c r="P164" s="229"/>
      <c r="Q164" s="247" t="e">
        <f>SUM(Q13:Q161)/2</f>
        <v>#REF!</v>
      </c>
      <c r="R164" s="248"/>
      <c r="S164" s="248"/>
      <c r="T164" s="248"/>
      <c r="U164" s="248"/>
      <c r="V164" s="231"/>
      <c r="W164" s="231"/>
      <c r="X164" s="231"/>
      <c r="Y164" s="231"/>
      <c r="Z164" s="231"/>
      <c r="AA164" s="231"/>
      <c r="AB164" s="231"/>
      <c r="AC164" s="231"/>
      <c r="AD164" s="231"/>
      <c r="AE164" s="231"/>
      <c r="AF164" s="232"/>
      <c r="AG164" s="233"/>
      <c r="AH164" s="234"/>
      <c r="AI164" s="235"/>
      <c r="AJ164" s="235"/>
      <c r="AK164" s="235"/>
      <c r="AL164" s="236"/>
      <c r="AM164" s="237"/>
      <c r="AP164" s="243"/>
      <c r="AQ164" s="244"/>
      <c r="AR164" s="244"/>
      <c r="AS164" s="245" t="s">
        <v>396</v>
      </c>
      <c r="AT164" s="246"/>
      <c r="AV164" s="242"/>
    </row>
    <row r="165" spans="1:51" s="85" customFormat="1" hidden="1" x14ac:dyDescent="0.3">
      <c r="A165" s="78"/>
      <c r="B165" s="78"/>
      <c r="C165" s="213"/>
      <c r="D165" s="356"/>
      <c r="E165" s="357"/>
      <c r="F165" s="358" t="s">
        <v>430</v>
      </c>
      <c r="G165" s="359">
        <v>0</v>
      </c>
      <c r="H165" s="360" t="e">
        <f>#REF!*G165</f>
        <v>#REF!</v>
      </c>
      <c r="I165" s="112"/>
      <c r="J165" s="112"/>
      <c r="K165" s="112"/>
      <c r="L165" s="112"/>
      <c r="M165" s="214"/>
      <c r="N165" s="215"/>
      <c r="O165" s="44" t="e">
        <f>IF($A$2="CD",N164-O164,IF($A$2="CT",M164-O164,""))</f>
        <v>#REF!</v>
      </c>
      <c r="P165" s="112"/>
      <c r="Q165" s="112"/>
      <c r="R165" s="112"/>
      <c r="S165" s="112"/>
      <c r="T165" s="112"/>
      <c r="U165" s="112"/>
      <c r="V165" s="216"/>
      <c r="W165" s="216"/>
      <c r="X165" s="216"/>
      <c r="Y165" s="216"/>
      <c r="Z165" s="216"/>
      <c r="AA165" s="216"/>
      <c r="AB165" s="216"/>
      <c r="AC165" s="216"/>
      <c r="AD165" s="216"/>
      <c r="AE165" s="216"/>
      <c r="AF165" s="217"/>
      <c r="AG165" s="45"/>
      <c r="AH165" s="46"/>
      <c r="AI165" s="47"/>
      <c r="AJ165" s="47"/>
      <c r="AK165" s="47"/>
      <c r="AL165" s="48"/>
      <c r="AM165" s="49"/>
      <c r="AT165" s="218"/>
      <c r="AV165" s="86"/>
    </row>
    <row r="166" spans="1:51" s="212" customFormat="1" ht="15" hidden="1" thickBot="1" x14ac:dyDescent="0.35">
      <c r="A166" s="219" t="s">
        <v>397</v>
      </c>
      <c r="B166" s="477"/>
      <c r="C166" s="220"/>
      <c r="D166" s="361"/>
      <c r="E166" s="362"/>
      <c r="F166" s="363"/>
      <c r="G166" s="364" t="s">
        <v>431</v>
      </c>
      <c r="H166" s="365" t="e">
        <f>H165+#REF!</f>
        <v>#REF!</v>
      </c>
      <c r="I166" s="479"/>
      <c r="J166" s="225"/>
      <c r="K166" s="225"/>
      <c r="L166" s="225"/>
      <c r="M166" s="226"/>
      <c r="N166" s="227"/>
      <c r="O166" s="228" t="e">
        <f>+H166*$O$2</f>
        <v>#REF!</v>
      </c>
      <c r="P166" s="229"/>
      <c r="Q166" s="247" t="e">
        <f>SUM(Q13:Q164)/2</f>
        <v>#REF!</v>
      </c>
      <c r="R166" s="248"/>
      <c r="S166" s="248"/>
      <c r="T166" s="248"/>
      <c r="U166" s="248"/>
      <c r="V166" s="231"/>
      <c r="W166" s="231"/>
      <c r="X166" s="231"/>
      <c r="Y166" s="231"/>
      <c r="Z166" s="231"/>
      <c r="AA166" s="231"/>
      <c r="AB166" s="231"/>
      <c r="AC166" s="231"/>
      <c r="AD166" s="231"/>
      <c r="AE166" s="231"/>
      <c r="AF166" s="232"/>
      <c r="AG166" s="233"/>
      <c r="AH166" s="234"/>
      <c r="AI166" s="235"/>
      <c r="AJ166" s="235"/>
      <c r="AK166" s="235"/>
      <c r="AL166" s="236"/>
      <c r="AM166" s="237"/>
      <c r="AP166" s="249"/>
      <c r="AQ166" s="250"/>
      <c r="AR166" s="250"/>
      <c r="AS166" s="251" t="s">
        <v>398</v>
      </c>
      <c r="AT166" s="252"/>
      <c r="AV166" s="242"/>
    </row>
    <row r="167" spans="1:51" s="85" customFormat="1" ht="23.25" hidden="1" customHeight="1" x14ac:dyDescent="0.3">
      <c r="A167" s="78"/>
      <c r="B167" s="78"/>
      <c r="C167" s="213"/>
      <c r="D167" s="480"/>
      <c r="E167" s="27"/>
      <c r="F167" s="27"/>
      <c r="G167" s="27"/>
      <c r="H167" s="482"/>
      <c r="I167" s="112"/>
      <c r="J167" s="112"/>
      <c r="K167" s="112"/>
      <c r="L167" s="112"/>
      <c r="M167" s="214"/>
      <c r="N167" s="215"/>
      <c r="O167" s="44" t="e">
        <f>IF($A$2="CD",N166-O166,IF($A$2="CT",M166-O166,""))</f>
        <v>#REF!</v>
      </c>
      <c r="P167" s="112"/>
      <c r="Q167" s="112"/>
      <c r="R167" s="112"/>
      <c r="S167" s="112"/>
      <c r="T167" s="112"/>
      <c r="U167" s="112"/>
      <c r="V167" s="216"/>
      <c r="W167" s="216"/>
      <c r="X167" s="216"/>
      <c r="Y167" s="216"/>
      <c r="Z167" s="216"/>
      <c r="AA167" s="216"/>
      <c r="AB167" s="216"/>
      <c r="AC167" s="216"/>
      <c r="AD167" s="216"/>
      <c r="AE167" s="216"/>
      <c r="AF167" s="217"/>
      <c r="AG167" s="45"/>
      <c r="AH167" s="46"/>
      <c r="AI167" s="47"/>
      <c r="AJ167" s="47"/>
      <c r="AK167" s="47"/>
      <c r="AL167" s="48"/>
      <c r="AM167" s="49"/>
      <c r="AT167" s="218"/>
      <c r="AV167" s="86"/>
    </row>
    <row r="168" spans="1:51" s="85" customFormat="1" hidden="1" x14ac:dyDescent="0.3">
      <c r="A168" s="253" t="s">
        <v>399</v>
      </c>
      <c r="B168" s="478"/>
      <c r="C168" s="213"/>
      <c r="D168" s="366"/>
      <c r="E168" s="367"/>
      <c r="F168" s="368" t="s">
        <v>432</v>
      </c>
      <c r="G168" s="369">
        <v>0</v>
      </c>
      <c r="H168" s="370"/>
      <c r="I168" s="256"/>
      <c r="J168" s="256"/>
      <c r="K168" s="256"/>
      <c r="L168" s="256"/>
      <c r="M168" s="257"/>
      <c r="N168" s="258"/>
      <c r="O168" s="259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3"/>
      <c r="AG168" s="45"/>
      <c r="AH168" s="46"/>
      <c r="AI168" s="47"/>
      <c r="AJ168" s="47"/>
      <c r="AK168" s="47"/>
      <c r="AL168" s="48"/>
      <c r="AM168" s="49"/>
      <c r="AP168" s="544" t="s">
        <v>400</v>
      </c>
      <c r="AQ168" s="545"/>
      <c r="AR168" s="545"/>
      <c r="AS168" s="545"/>
      <c r="AT168" s="254"/>
      <c r="AV168" s="86"/>
    </row>
    <row r="169" spans="1:51" s="85" customFormat="1" hidden="1" x14ac:dyDescent="0.3">
      <c r="A169" s="260" t="s">
        <v>401</v>
      </c>
      <c r="B169" s="312"/>
      <c r="C169" s="261"/>
      <c r="D169" s="483"/>
      <c r="E169"/>
      <c r="F169"/>
      <c r="G169"/>
      <c r="H169" s="484"/>
      <c r="I169" s="354"/>
      <c r="J169" s="266"/>
      <c r="K169" s="266"/>
      <c r="L169" s="266"/>
      <c r="M169" s="267"/>
      <c r="N169" s="268"/>
      <c r="O169" s="269">
        <f t="shared" ref="O169:O175" si="92">H169*$O$2</f>
        <v>0</v>
      </c>
      <c r="P169" s="266"/>
      <c r="Q169" s="266"/>
      <c r="R169" s="266"/>
      <c r="S169" s="266"/>
      <c r="T169" s="266"/>
      <c r="U169" s="266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0"/>
      <c r="AG169" s="45"/>
      <c r="AH169" s="46"/>
      <c r="AI169" s="47"/>
      <c r="AJ169" s="47"/>
      <c r="AK169" s="47"/>
      <c r="AL169" s="48"/>
      <c r="AM169" s="49"/>
      <c r="AP169" s="262"/>
      <c r="AQ169" s="263"/>
      <c r="AR169" s="263"/>
      <c r="AS169" s="264" t="s">
        <v>396</v>
      </c>
      <c r="AT169" s="265">
        <f>AT164</f>
        <v>0</v>
      </c>
      <c r="AV169" s="86"/>
    </row>
    <row r="170" spans="1:51" s="85" customFormat="1" hidden="1" x14ac:dyDescent="0.3">
      <c r="A170" s="260" t="s">
        <v>402</v>
      </c>
      <c r="B170" s="312"/>
      <c r="C170" s="261"/>
      <c r="D170" s="485" t="s">
        <v>433</v>
      </c>
      <c r="E170" s="371"/>
      <c r="F170" s="372"/>
      <c r="G170" s="373"/>
      <c r="H170" s="374"/>
      <c r="I170" s="355"/>
      <c r="J170" s="276"/>
      <c r="K170" s="276"/>
      <c r="L170" s="276"/>
      <c r="M170" s="277"/>
      <c r="N170" s="278"/>
      <c r="O170" s="279">
        <f t="shared" si="92"/>
        <v>0</v>
      </c>
      <c r="P170" s="276"/>
      <c r="Q170" s="276"/>
      <c r="R170" s="276"/>
      <c r="S170" s="276"/>
      <c r="T170" s="276"/>
      <c r="U170" s="276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0"/>
      <c r="AG170" s="45"/>
      <c r="AH170" s="46"/>
      <c r="AI170" s="47"/>
      <c r="AJ170" s="47"/>
      <c r="AK170" s="47"/>
      <c r="AL170" s="48"/>
      <c r="AM170" s="49"/>
      <c r="AP170" s="271"/>
      <c r="AQ170" s="272"/>
      <c r="AR170" s="273" t="s">
        <v>403</v>
      </c>
      <c r="AS170" s="274">
        <f>G170</f>
        <v>0</v>
      </c>
      <c r="AT170" s="275">
        <f>ROUND(AT169*AS170,0)</f>
        <v>0</v>
      </c>
      <c r="AV170" s="86"/>
    </row>
    <row r="171" spans="1:51" s="85" customFormat="1" hidden="1" x14ac:dyDescent="0.3">
      <c r="A171" s="260" t="s">
        <v>404</v>
      </c>
      <c r="B171" s="312"/>
      <c r="C171" s="261"/>
      <c r="D171" s="486"/>
      <c r="E171" s="487"/>
      <c r="F171" s="488"/>
      <c r="G171" s="489"/>
      <c r="H171" s="375"/>
      <c r="I171" s="355"/>
      <c r="J171" s="276"/>
      <c r="K171" s="276"/>
      <c r="L171" s="276"/>
      <c r="M171" s="277"/>
      <c r="N171" s="284"/>
      <c r="O171" s="285">
        <f t="shared" si="92"/>
        <v>0</v>
      </c>
      <c r="P171" s="276"/>
      <c r="Q171" s="276"/>
      <c r="R171" s="276"/>
      <c r="S171" s="276"/>
      <c r="T171" s="276"/>
      <c r="U171" s="276"/>
      <c r="V171" s="276"/>
      <c r="W171" s="276"/>
      <c r="X171" s="276"/>
      <c r="Y171" s="276"/>
      <c r="Z171" s="276"/>
      <c r="AA171" s="276"/>
      <c r="AB171" s="276"/>
      <c r="AC171" s="276"/>
      <c r="AD171" s="276"/>
      <c r="AE171" s="276"/>
      <c r="AF171" s="286"/>
      <c r="AG171" s="45"/>
      <c r="AH171" s="46"/>
      <c r="AI171" s="47"/>
      <c r="AJ171" s="47"/>
      <c r="AK171" s="47"/>
      <c r="AL171" s="48"/>
      <c r="AM171" s="49"/>
      <c r="AP171" s="280"/>
      <c r="AQ171" s="281"/>
      <c r="AR171" s="282" t="s">
        <v>405</v>
      </c>
      <c r="AS171" s="274">
        <f>G171</f>
        <v>0</v>
      </c>
      <c r="AT171" s="283">
        <f>ROUND(AT169*AS171,0)</f>
        <v>0</v>
      </c>
      <c r="AV171" s="86"/>
    </row>
    <row r="172" spans="1:51" s="85" customFormat="1" hidden="1" x14ac:dyDescent="0.3">
      <c r="A172" s="260" t="s">
        <v>406</v>
      </c>
      <c r="B172" s="312"/>
      <c r="C172" s="261"/>
      <c r="D172" s="490"/>
      <c r="E172" s="129"/>
      <c r="F172" s="130"/>
      <c r="G172" s="131"/>
      <c r="H172" s="491"/>
      <c r="I172" s="355"/>
      <c r="J172" s="276"/>
      <c r="K172" s="276"/>
      <c r="L172" s="276"/>
      <c r="M172" s="277"/>
      <c r="N172" s="278"/>
      <c r="O172" s="285">
        <f t="shared" si="92"/>
        <v>0</v>
      </c>
      <c r="P172" s="276"/>
      <c r="Q172" s="276"/>
      <c r="R172" s="276"/>
      <c r="S172" s="276"/>
      <c r="T172" s="276"/>
      <c r="U172" s="276"/>
      <c r="V172" s="276"/>
      <c r="W172" s="276"/>
      <c r="X172" s="276"/>
      <c r="Y172" s="276"/>
      <c r="Z172" s="276"/>
      <c r="AA172" s="276"/>
      <c r="AB172" s="276"/>
      <c r="AC172" s="276"/>
      <c r="AD172" s="276"/>
      <c r="AE172" s="276"/>
      <c r="AF172" s="286"/>
      <c r="AG172" s="45"/>
      <c r="AH172" s="46"/>
      <c r="AI172" s="47"/>
      <c r="AJ172" s="47"/>
      <c r="AK172" s="47"/>
      <c r="AL172" s="48"/>
      <c r="AM172" s="49"/>
      <c r="AP172" s="280"/>
      <c r="AQ172" s="281"/>
      <c r="AR172" s="282" t="s">
        <v>407</v>
      </c>
      <c r="AS172" s="274">
        <f>G172</f>
        <v>0</v>
      </c>
      <c r="AT172" s="283">
        <f>ROUND(AT169*AS172,0)</f>
        <v>0</v>
      </c>
      <c r="AV172" s="86"/>
    </row>
    <row r="173" spans="1:51" s="85" customFormat="1" hidden="1" x14ac:dyDescent="0.3">
      <c r="A173" s="260" t="s">
        <v>408</v>
      </c>
      <c r="B173" s="312"/>
      <c r="C173" s="261"/>
      <c r="D173" s="486"/>
      <c r="E173" s="487"/>
      <c r="F173" s="488"/>
      <c r="G173" s="489"/>
      <c r="H173" s="375"/>
      <c r="I173" s="352"/>
      <c r="J173" s="293"/>
      <c r="K173" s="293"/>
      <c r="L173" s="293"/>
      <c r="M173" s="294"/>
      <c r="N173" s="295" t="e">
        <f>+TtlCD*N171</f>
        <v>#REF!</v>
      </c>
      <c r="O173" s="296">
        <f t="shared" si="92"/>
        <v>0</v>
      </c>
      <c r="P173" s="293"/>
      <c r="Q173" s="293"/>
      <c r="R173" s="293"/>
      <c r="S173" s="293"/>
      <c r="T173" s="293"/>
      <c r="U173" s="293"/>
      <c r="V173" s="297"/>
      <c r="W173" s="297"/>
      <c r="X173" s="297"/>
      <c r="Y173" s="297"/>
      <c r="Z173" s="297"/>
      <c r="AA173" s="297"/>
      <c r="AB173" s="297"/>
      <c r="AC173" s="297"/>
      <c r="AD173" s="297"/>
      <c r="AE173" s="297"/>
      <c r="AF173" s="298"/>
      <c r="AG173" s="45"/>
      <c r="AH173" s="46"/>
      <c r="AI173" s="47"/>
      <c r="AJ173" s="47"/>
      <c r="AK173" s="47"/>
      <c r="AL173" s="48"/>
      <c r="AM173" s="49"/>
      <c r="AP173" s="287"/>
      <c r="AQ173" s="288"/>
      <c r="AR173" s="289" t="s">
        <v>409</v>
      </c>
      <c r="AS173" s="290">
        <f>SUM(AS170:AS172)</f>
        <v>0</v>
      </c>
      <c r="AT173" s="291">
        <f>SUM(AT170:AT172)</f>
        <v>0</v>
      </c>
      <c r="AV173" s="86"/>
    </row>
    <row r="174" spans="1:51" s="85" customFormat="1" ht="15.75" hidden="1" customHeight="1" x14ac:dyDescent="0.3">
      <c r="A174" s="260" t="s">
        <v>410</v>
      </c>
      <c r="B174" s="312"/>
      <c r="C174" s="261"/>
      <c r="D174" s="492"/>
      <c r="E174" s="376"/>
      <c r="F174" s="377"/>
      <c r="G174" s="378" t="s">
        <v>434</v>
      </c>
      <c r="H174" s="379">
        <f>SUM(H170:H173)/3</f>
        <v>0</v>
      </c>
      <c r="I174" s="352"/>
      <c r="J174" s="293"/>
      <c r="K174" s="293"/>
      <c r="L174" s="293"/>
      <c r="M174" s="294"/>
      <c r="N174" s="295"/>
      <c r="O174" s="302">
        <f t="shared" si="92"/>
        <v>0</v>
      </c>
      <c r="P174" s="293"/>
      <c r="Q174" s="293"/>
      <c r="R174" s="293"/>
      <c r="S174" s="293"/>
      <c r="T174" s="293"/>
      <c r="U174" s="293"/>
      <c r="V174" s="297"/>
      <c r="W174" s="297"/>
      <c r="X174" s="297"/>
      <c r="Y174" s="297"/>
      <c r="Z174" s="297"/>
      <c r="AA174" s="297"/>
      <c r="AB174" s="297"/>
      <c r="AC174" s="297"/>
      <c r="AD174" s="297"/>
      <c r="AE174" s="297"/>
      <c r="AF174" s="298"/>
      <c r="AG174" s="45"/>
      <c r="AH174" s="46"/>
      <c r="AI174" s="47"/>
      <c r="AJ174" s="47"/>
      <c r="AK174" s="47"/>
      <c r="AL174" s="48"/>
      <c r="AM174" s="49"/>
      <c r="AP174" s="287"/>
      <c r="AQ174" s="288"/>
      <c r="AR174" s="299" t="s">
        <v>411</v>
      </c>
      <c r="AS174" s="300" t="str">
        <f>G174</f>
        <v xml:space="preserve">SUBTOTAL ITEMS FUERA DE AIU:   </v>
      </c>
      <c r="AT174" s="301" t="e">
        <f>ROUND(AT172*AS174,0)-(AZ175)</f>
        <v>#VALUE!</v>
      </c>
      <c r="AV174" s="86"/>
    </row>
    <row r="175" spans="1:51" s="85" customFormat="1" hidden="1" x14ac:dyDescent="0.3">
      <c r="A175" s="260" t="s">
        <v>412</v>
      </c>
      <c r="B175" s="312"/>
      <c r="C175" s="261"/>
      <c r="D175" s="493"/>
      <c r="E175" s="380"/>
      <c r="F175" s="381" t="s">
        <v>435</v>
      </c>
      <c r="G175" s="382">
        <v>0</v>
      </c>
      <c r="H175" s="383">
        <f>ROUND(H174*G175,0)</f>
        <v>0</v>
      </c>
      <c r="I175" s="308">
        <f>+I173+I169+I174</f>
        <v>0</v>
      </c>
      <c r="J175" s="307" t="e">
        <f>ROUND(H175-H164,4)</f>
        <v>#REF!</v>
      </c>
      <c r="K175" s="308">
        <f>+K173+K169+K174</f>
        <v>0</v>
      </c>
      <c r="L175" s="308">
        <f>+L173+L169+L174</f>
        <v>0</v>
      </c>
      <c r="M175" s="309">
        <f>+M173+M169+M174</f>
        <v>0</v>
      </c>
      <c r="N175" s="310"/>
      <c r="O175" s="311">
        <f t="shared" si="92"/>
        <v>0</v>
      </c>
      <c r="P175" s="297"/>
      <c r="Q175" s="297"/>
      <c r="R175" s="297"/>
      <c r="S175" s="297"/>
      <c r="T175" s="297"/>
      <c r="U175" s="29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0"/>
      <c r="AG175" s="45"/>
      <c r="AH175" s="46"/>
      <c r="AI175" s="47"/>
      <c r="AJ175" s="47"/>
      <c r="AK175" s="47"/>
      <c r="AL175" s="48"/>
      <c r="AM175" s="49"/>
      <c r="AP175" s="303"/>
      <c r="AQ175" s="304"/>
      <c r="AR175" s="304"/>
      <c r="AS175" s="305" t="s">
        <v>413</v>
      </c>
      <c r="AT175" s="306" t="e">
        <f>AT169+AT173+AT174</f>
        <v>#VALUE!</v>
      </c>
      <c r="AV175" s="86"/>
    </row>
    <row r="176" spans="1:51" s="85" customFormat="1" hidden="1" x14ac:dyDescent="0.3">
      <c r="A176" s="312"/>
      <c r="B176" s="312"/>
      <c r="C176" s="261"/>
      <c r="D176" s="387"/>
      <c r="E176" s="384"/>
      <c r="F176" s="384"/>
      <c r="G176" s="385" t="str">
        <f>"VALOR TOTAL  " &amp; D170</f>
        <v>VALOR TOTAL  ITEMS  POR  FUERA  DE   AIU:</v>
      </c>
      <c r="H176" s="386">
        <f>SUM(H170:H173)/3</f>
        <v>0</v>
      </c>
      <c r="I176" s="297"/>
      <c r="J176" s="297"/>
      <c r="K176" s="297"/>
      <c r="L176" s="297"/>
      <c r="M176" s="315"/>
      <c r="N176" s="315"/>
      <c r="O176" s="297"/>
      <c r="P176" s="297"/>
      <c r="Q176" s="297"/>
      <c r="R176" s="297"/>
      <c r="S176" s="297"/>
      <c r="T176" s="297"/>
      <c r="U176" s="29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0"/>
      <c r="AG176" s="45"/>
      <c r="AH176" s="46"/>
      <c r="AI176" s="47"/>
      <c r="AJ176" s="47"/>
      <c r="AK176" s="47"/>
      <c r="AL176" s="48"/>
      <c r="AM176" s="49"/>
      <c r="AT176" s="218"/>
      <c r="AV176" s="86"/>
    </row>
    <row r="177" spans="1:48" s="85" customFormat="1" hidden="1" x14ac:dyDescent="0.3">
      <c r="A177" s="253" t="s">
        <v>414</v>
      </c>
      <c r="B177" s="478"/>
      <c r="C177" s="213"/>
      <c r="D177" s="486"/>
      <c r="E177" s="487"/>
      <c r="F177" s="488"/>
      <c r="G177" s="489"/>
      <c r="H177" s="375"/>
      <c r="I177" s="256"/>
      <c r="J177" s="256"/>
      <c r="K177" s="256"/>
      <c r="L177" s="256"/>
      <c r="M177" s="257"/>
      <c r="N177" s="258"/>
      <c r="O177" s="259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3"/>
      <c r="AG177" s="45"/>
      <c r="AH177" s="46"/>
      <c r="AI177" s="47"/>
      <c r="AJ177" s="47"/>
      <c r="AK177" s="47"/>
      <c r="AL177" s="48"/>
      <c r="AM177" s="49"/>
      <c r="AP177" s="526" t="s">
        <v>415</v>
      </c>
      <c r="AQ177" s="527"/>
      <c r="AR177" s="527"/>
      <c r="AS177" s="527"/>
      <c r="AT177" s="316"/>
      <c r="AV177" s="86"/>
    </row>
    <row r="178" spans="1:48" s="85" customFormat="1" hidden="1" x14ac:dyDescent="0.3">
      <c r="A178" s="260" t="s">
        <v>416</v>
      </c>
      <c r="B178" s="312"/>
      <c r="C178" s="261"/>
      <c r="D178" s="366"/>
      <c r="E178" s="367"/>
      <c r="F178" s="368" t="str">
        <f>"INTERVENTORIA A " &amp; D170</f>
        <v>INTERVENTORIA A ITEMS  POR  FUERA  DE   AIU:</v>
      </c>
      <c r="G178" s="369">
        <v>0</v>
      </c>
      <c r="H178" s="370"/>
      <c r="I178" s="354"/>
      <c r="J178" s="266"/>
      <c r="K178" s="266"/>
      <c r="L178" s="266"/>
      <c r="M178" s="267"/>
      <c r="N178" s="268"/>
      <c r="O178" s="269">
        <f t="shared" ref="O178:O184" si="93">H178*$O$2</f>
        <v>0</v>
      </c>
      <c r="P178" s="266"/>
      <c r="Q178" s="266"/>
      <c r="R178" s="266"/>
      <c r="S178" s="266"/>
      <c r="T178" s="266"/>
      <c r="U178" s="266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0"/>
      <c r="AG178" s="45"/>
      <c r="AH178" s="46"/>
      <c r="AI178" s="47"/>
      <c r="AJ178" s="47"/>
      <c r="AK178" s="47"/>
      <c r="AL178" s="48"/>
      <c r="AM178" s="49"/>
      <c r="AP178" s="317"/>
      <c r="AQ178" s="318"/>
      <c r="AR178" s="318"/>
      <c r="AS178" s="319" t="s">
        <v>398</v>
      </c>
      <c r="AT178" s="320">
        <f>AT166</f>
        <v>0</v>
      </c>
      <c r="AV178" s="86"/>
    </row>
    <row r="179" spans="1:48" s="85" customFormat="1" hidden="1" x14ac:dyDescent="0.3">
      <c r="A179" s="260" t="s">
        <v>417</v>
      </c>
      <c r="B179" s="312"/>
      <c r="C179" s="261"/>
      <c r="D179" s="483"/>
      <c r="E179"/>
      <c r="F179"/>
      <c r="G179"/>
      <c r="H179" s="484"/>
      <c r="I179" s="355"/>
      <c r="J179" s="276"/>
      <c r="K179" s="276"/>
      <c r="L179" s="276"/>
      <c r="M179" s="277"/>
      <c r="N179" s="278"/>
      <c r="O179" s="279">
        <f t="shared" si="93"/>
        <v>0</v>
      </c>
      <c r="P179" s="276"/>
      <c r="Q179" s="276"/>
      <c r="R179" s="276"/>
      <c r="S179" s="276"/>
      <c r="T179" s="276"/>
      <c r="U179" s="276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0"/>
      <c r="AG179" s="45"/>
      <c r="AH179" s="46"/>
      <c r="AI179" s="47"/>
      <c r="AJ179" s="47"/>
      <c r="AK179" s="47"/>
      <c r="AL179" s="48"/>
      <c r="AM179" s="49"/>
      <c r="AP179" s="321"/>
      <c r="AQ179" s="322"/>
      <c r="AR179" s="323" t="s">
        <v>403</v>
      </c>
      <c r="AS179" s="324">
        <f>G179</f>
        <v>0</v>
      </c>
      <c r="AT179" s="325">
        <f>ROUND(AT178*AS179,0)</f>
        <v>0</v>
      </c>
      <c r="AV179" s="86"/>
    </row>
    <row r="180" spans="1:48" s="85" customFormat="1" hidden="1" x14ac:dyDescent="0.3">
      <c r="A180" s="260" t="s">
        <v>418</v>
      </c>
      <c r="B180" s="312"/>
      <c r="C180" s="261"/>
      <c r="D180" s="388"/>
      <c r="E180" s="389"/>
      <c r="F180" s="389"/>
      <c r="G180" s="390" t="s">
        <v>746</v>
      </c>
      <c r="H180" s="391">
        <f>+H163+SbtPpto</f>
        <v>1937445384</v>
      </c>
      <c r="I180" s="355"/>
      <c r="J180" s="276"/>
      <c r="K180" s="276"/>
      <c r="L180" s="276"/>
      <c r="M180" s="277"/>
      <c r="N180" s="284" t="e">
        <f>1+(Adm+Imprev+Utilidad+IvaSUtl*Utilidad)</f>
        <v>#REF!</v>
      </c>
      <c r="O180" s="285">
        <f t="shared" si="93"/>
        <v>1937445384</v>
      </c>
      <c r="P180" s="276"/>
      <c r="Q180" s="276"/>
      <c r="R180" s="276"/>
      <c r="S180" s="276"/>
      <c r="T180" s="276"/>
      <c r="U180" s="276"/>
      <c r="V180" s="276"/>
      <c r="W180" s="276"/>
      <c r="X180" s="276"/>
      <c r="Y180" s="276"/>
      <c r="Z180" s="276"/>
      <c r="AA180" s="276"/>
      <c r="AB180" s="276"/>
      <c r="AC180" s="276"/>
      <c r="AD180" s="276"/>
      <c r="AE180" s="276"/>
      <c r="AF180" s="286"/>
      <c r="AG180" s="45"/>
      <c r="AH180" s="46"/>
      <c r="AI180" s="47"/>
      <c r="AJ180" s="47"/>
      <c r="AK180" s="47"/>
      <c r="AL180" s="48"/>
      <c r="AM180" s="49"/>
      <c r="AP180" s="326"/>
      <c r="AQ180" s="327"/>
      <c r="AR180" s="328" t="s">
        <v>405</v>
      </c>
      <c r="AS180" s="324" t="str">
        <f>G180</f>
        <v>VALOR TOTAL PRESUPUESTO C.A.L.I. 15</v>
      </c>
      <c r="AT180" s="330" t="e">
        <f>ROUND(AT178*AS180,0)</f>
        <v>#VALUE!</v>
      </c>
      <c r="AV180" s="86"/>
    </row>
    <row r="181" spans="1:48" s="85" customFormat="1" hidden="1" x14ac:dyDescent="0.3">
      <c r="A181" s="260" t="s">
        <v>419</v>
      </c>
      <c r="B181" s="312"/>
      <c r="C181" s="261"/>
      <c r="D181" s="326"/>
      <c r="E181" s="327"/>
      <c r="F181" s="328" t="s">
        <v>407</v>
      </c>
      <c r="G181" s="329">
        <v>0.01</v>
      </c>
      <c r="H181" s="446">
        <f>ROUND(H178*G181,0)</f>
        <v>0</v>
      </c>
      <c r="I181" s="355"/>
      <c r="J181" s="276"/>
      <c r="K181" s="276"/>
      <c r="L181" s="276"/>
      <c r="M181" s="277"/>
      <c r="N181" s="278"/>
      <c r="O181" s="285">
        <f t="shared" si="93"/>
        <v>0</v>
      </c>
      <c r="P181" s="276"/>
      <c r="Q181" s="276"/>
      <c r="R181" s="276"/>
      <c r="S181" s="276"/>
      <c r="T181" s="276"/>
      <c r="U181" s="276"/>
      <c r="V181" s="276"/>
      <c r="W181" s="276"/>
      <c r="X181" s="276"/>
      <c r="Y181" s="276"/>
      <c r="Z181" s="276"/>
      <c r="AA181" s="276"/>
      <c r="AB181" s="276"/>
      <c r="AC181" s="276"/>
      <c r="AD181" s="276"/>
      <c r="AE181" s="276"/>
      <c r="AF181" s="286"/>
      <c r="AG181" s="45"/>
      <c r="AH181" s="46"/>
      <c r="AI181" s="47"/>
      <c r="AJ181" s="47"/>
      <c r="AK181" s="47"/>
      <c r="AL181" s="48"/>
      <c r="AM181" s="49"/>
      <c r="AP181" s="326"/>
      <c r="AQ181" s="327"/>
      <c r="AR181" s="328" t="s">
        <v>407</v>
      </c>
      <c r="AS181" s="324">
        <f>G181</f>
        <v>0.01</v>
      </c>
      <c r="AT181" s="330">
        <f>ROUND(AT178*AS181,0)</f>
        <v>0</v>
      </c>
      <c r="AV181" s="86"/>
    </row>
    <row r="182" spans="1:48" s="85" customFormat="1" hidden="1" x14ac:dyDescent="0.3">
      <c r="A182" s="260" t="s">
        <v>420</v>
      </c>
      <c r="B182" s="312"/>
      <c r="C182" s="261"/>
      <c r="D182" s="331"/>
      <c r="E182" s="332"/>
      <c r="F182" s="333" t="s">
        <v>409</v>
      </c>
      <c r="G182" s="334">
        <f>SUM(G179:G181)</f>
        <v>0.01</v>
      </c>
      <c r="H182" s="447">
        <f>SUM(H179:H181)</f>
        <v>1937445384</v>
      </c>
      <c r="I182" s="352"/>
      <c r="J182" s="293"/>
      <c r="K182" s="293"/>
      <c r="L182" s="293"/>
      <c r="M182" s="294"/>
      <c r="N182" s="295" t="e">
        <f>+TtlCD*N180</f>
        <v>#REF!</v>
      </c>
      <c r="O182" s="296">
        <f t="shared" si="93"/>
        <v>1937445384</v>
      </c>
      <c r="P182" s="293"/>
      <c r="Q182" s="293"/>
      <c r="R182" s="293"/>
      <c r="S182" s="293"/>
      <c r="T182" s="293"/>
      <c r="U182" s="293"/>
      <c r="V182" s="297"/>
      <c r="W182" s="297"/>
      <c r="X182" s="297"/>
      <c r="Y182" s="297"/>
      <c r="Z182" s="297"/>
      <c r="AA182" s="297"/>
      <c r="AB182" s="297"/>
      <c r="AC182" s="297"/>
      <c r="AD182" s="297"/>
      <c r="AE182" s="297"/>
      <c r="AF182" s="298"/>
      <c r="AG182" s="45"/>
      <c r="AH182" s="46"/>
      <c r="AI182" s="47"/>
      <c r="AJ182" s="47"/>
      <c r="AK182" s="47"/>
      <c r="AL182" s="48"/>
      <c r="AM182" s="49"/>
      <c r="AP182" s="331"/>
      <c r="AQ182" s="332"/>
      <c r="AR182" s="333" t="s">
        <v>409</v>
      </c>
      <c r="AS182" s="334">
        <f>SUM(AS179:AS181)</f>
        <v>0.01</v>
      </c>
      <c r="AT182" s="335" t="e">
        <f>SUM(AT179:AT181)</f>
        <v>#VALUE!</v>
      </c>
      <c r="AV182" s="86"/>
    </row>
    <row r="183" spans="1:48" s="85" customFormat="1" ht="15.75" hidden="1" customHeight="1" x14ac:dyDescent="0.3">
      <c r="A183" s="260" t="s">
        <v>421</v>
      </c>
      <c r="B183" s="312"/>
      <c r="C183" s="261"/>
      <c r="D183" s="331"/>
      <c r="E183" s="332"/>
      <c r="F183" s="336" t="s">
        <v>411</v>
      </c>
      <c r="G183" s="337">
        <v>0.19</v>
      </c>
      <c r="H183" s="338">
        <f>ROUND(H181*G183,0)-(N184)</f>
        <v>0</v>
      </c>
      <c r="I183" s="352"/>
      <c r="J183" s="293"/>
      <c r="K183" s="293"/>
      <c r="L183" s="293"/>
      <c r="M183" s="294"/>
      <c r="N183" s="295"/>
      <c r="O183" s="302">
        <f t="shared" si="93"/>
        <v>0</v>
      </c>
      <c r="P183" s="293"/>
      <c r="Q183" s="293"/>
      <c r="R183" s="293"/>
      <c r="S183" s="293"/>
      <c r="T183" s="293"/>
      <c r="U183" s="293"/>
      <c r="V183" s="297"/>
      <c r="W183" s="297"/>
      <c r="X183" s="297"/>
      <c r="Y183" s="297"/>
      <c r="Z183" s="297"/>
      <c r="AA183" s="297"/>
      <c r="AB183" s="297"/>
      <c r="AC183" s="297"/>
      <c r="AD183" s="297"/>
      <c r="AE183" s="297"/>
      <c r="AF183" s="298"/>
      <c r="AG183" s="45"/>
      <c r="AH183" s="46"/>
      <c r="AI183" s="47"/>
      <c r="AJ183" s="47"/>
      <c r="AK183" s="47"/>
      <c r="AL183" s="48"/>
      <c r="AM183" s="49"/>
      <c r="AP183" s="331"/>
      <c r="AQ183" s="332"/>
      <c r="AR183" s="336" t="s">
        <v>411</v>
      </c>
      <c r="AS183" s="337">
        <f>G183</f>
        <v>0.19</v>
      </c>
      <c r="AT183" s="338">
        <f>ROUND(AT181*AS183,0)-(AZ184)</f>
        <v>0</v>
      </c>
      <c r="AV183" s="86"/>
    </row>
    <row r="184" spans="1:48" s="85" customFormat="1" hidden="1" x14ac:dyDescent="0.3">
      <c r="A184" s="260" t="s">
        <v>422</v>
      </c>
      <c r="B184" s="312"/>
      <c r="C184" s="261"/>
      <c r="D184" s="339"/>
      <c r="E184" s="340"/>
      <c r="F184" s="340"/>
      <c r="G184" s="341" t="s">
        <v>423</v>
      </c>
      <c r="H184" s="342">
        <f>H178+H182+H183</f>
        <v>1937445384</v>
      </c>
      <c r="I184" s="308">
        <f>+I182+I178+I183</f>
        <v>0</v>
      </c>
      <c r="J184" s="307" t="e">
        <f>ROUND(H184-H166,4)</f>
        <v>#REF!</v>
      </c>
      <c r="K184" s="308">
        <f>+K182+K178+K183</f>
        <v>0</v>
      </c>
      <c r="L184" s="308">
        <f>+L182+L178+L183</f>
        <v>0</v>
      </c>
      <c r="M184" s="309">
        <f>+M182+M178+M183</f>
        <v>0</v>
      </c>
      <c r="N184" s="310"/>
      <c r="O184" s="311">
        <f t="shared" si="93"/>
        <v>1937445384</v>
      </c>
      <c r="P184" s="297"/>
      <c r="Q184" s="297"/>
      <c r="R184" s="297"/>
      <c r="S184" s="297"/>
      <c r="T184" s="297"/>
      <c r="U184" s="29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0"/>
      <c r="AG184" s="45"/>
      <c r="AH184" s="46"/>
      <c r="AI184" s="47"/>
      <c r="AJ184" s="47"/>
      <c r="AK184" s="47"/>
      <c r="AL184" s="48"/>
      <c r="AM184" s="49"/>
      <c r="AP184" s="339"/>
      <c r="AQ184" s="340"/>
      <c r="AR184" s="340"/>
      <c r="AS184" s="341" t="s">
        <v>423</v>
      </c>
      <c r="AT184" s="342" t="e">
        <f>AT178+AT182+AT183</f>
        <v>#VALUE!</v>
      </c>
      <c r="AV184" s="86"/>
    </row>
    <row r="185" spans="1:48" s="85" customFormat="1" hidden="1" x14ac:dyDescent="0.3">
      <c r="A185" s="312"/>
      <c r="B185" s="312"/>
      <c r="C185" s="261"/>
      <c r="D185" s="480"/>
      <c r="E185" s="27"/>
      <c r="F185" s="27"/>
      <c r="G185" s="313"/>
      <c r="H185" s="481"/>
      <c r="I185" s="297"/>
      <c r="J185" s="297"/>
      <c r="K185" s="297"/>
      <c r="L185" s="297"/>
      <c r="M185" s="315"/>
      <c r="N185" s="315"/>
      <c r="O185" s="297"/>
      <c r="P185" s="297"/>
      <c r="Q185" s="297"/>
      <c r="R185" s="297"/>
      <c r="S185" s="297"/>
      <c r="T185" s="297"/>
      <c r="U185" s="29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0"/>
      <c r="AG185" s="45"/>
      <c r="AH185" s="46"/>
      <c r="AI185" s="47"/>
      <c r="AJ185" s="47"/>
      <c r="AK185" s="47"/>
      <c r="AL185" s="48"/>
      <c r="AM185" s="49"/>
      <c r="AT185" s="218"/>
      <c r="AV185" s="86"/>
    </row>
    <row r="186" spans="1:48" hidden="1" x14ac:dyDescent="0.3">
      <c r="A186" s="343"/>
      <c r="B186" s="343"/>
      <c r="C186" s="343"/>
      <c r="D186" s="483"/>
      <c r="H186" s="484"/>
      <c r="M186" s="132"/>
      <c r="N186" s="132"/>
      <c r="AF186" s="344"/>
      <c r="AG186" s="45"/>
      <c r="AH186" s="46"/>
      <c r="AI186" s="47"/>
      <c r="AJ186" s="47"/>
      <c r="AK186" s="47"/>
      <c r="AL186" s="48"/>
      <c r="AM186" s="49"/>
      <c r="AT186" s="132"/>
      <c r="AV186" s="55"/>
    </row>
    <row r="187" spans="1:48" s="85" customFormat="1" x14ac:dyDescent="0.3">
      <c r="A187" s="253" t="s">
        <v>424</v>
      </c>
      <c r="B187" s="478"/>
      <c r="C187" s="213"/>
      <c r="D187" s="522" t="s">
        <v>748</v>
      </c>
      <c r="E187" s="523"/>
      <c r="F187" s="523"/>
      <c r="G187" s="523"/>
      <c r="H187" s="445">
        <f>+SbtPpto+H163</f>
        <v>1937445384</v>
      </c>
      <c r="I187" s="256"/>
      <c r="J187" s="256"/>
      <c r="K187" s="256"/>
      <c r="L187" s="256"/>
      <c r="M187" s="257"/>
      <c r="N187" s="258"/>
      <c r="O187" s="259"/>
      <c r="P187" s="112"/>
      <c r="Q187" s="255"/>
      <c r="R187" s="256"/>
      <c r="S187" s="256"/>
      <c r="T187" s="256"/>
      <c r="U187" s="345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3"/>
      <c r="AG187" s="45"/>
      <c r="AH187" s="46"/>
      <c r="AI187" s="47"/>
      <c r="AJ187" s="47"/>
      <c r="AK187" s="47"/>
      <c r="AL187" s="48"/>
      <c r="AM187" s="49"/>
      <c r="AP187" s="546" t="s">
        <v>425</v>
      </c>
      <c r="AQ187" s="547"/>
      <c r="AR187" s="547"/>
      <c r="AS187" s="547"/>
      <c r="AT187" s="346"/>
      <c r="AV187" s="86"/>
    </row>
    <row r="188" spans="1:48" s="85" customFormat="1" ht="14.7" hidden="1" customHeight="1" x14ac:dyDescent="0.3">
      <c r="A188" s="260" t="s">
        <v>426</v>
      </c>
      <c r="B188" s="260"/>
      <c r="C188" s="261"/>
      <c r="D188" s="347"/>
      <c r="E188" s="348"/>
      <c r="F188" s="349"/>
      <c r="G188" s="350" t="s">
        <v>429</v>
      </c>
      <c r="H188" s="351">
        <f>H184</f>
        <v>1937445384</v>
      </c>
      <c r="I188" s="292"/>
      <c r="J188" s="293"/>
      <c r="K188" s="293"/>
      <c r="L188" s="293"/>
      <c r="M188" s="294"/>
      <c r="N188" s="295"/>
      <c r="O188" s="302"/>
      <c r="P188" s="293"/>
      <c r="Q188" s="292"/>
      <c r="R188" s="352"/>
      <c r="S188" s="352"/>
      <c r="T188" s="352"/>
      <c r="U188" s="353"/>
      <c r="V188" s="297"/>
      <c r="W188" s="297"/>
      <c r="X188" s="297"/>
      <c r="Y188" s="297"/>
      <c r="Z188" s="297"/>
      <c r="AA188" s="297"/>
      <c r="AB188" s="297"/>
      <c r="AC188" s="297"/>
      <c r="AD188" s="297"/>
      <c r="AE188" s="297"/>
      <c r="AF188" s="298"/>
      <c r="AG188" s="45"/>
      <c r="AH188" s="46"/>
      <c r="AI188" s="47"/>
      <c r="AJ188" s="47"/>
      <c r="AK188" s="47"/>
      <c r="AL188" s="48"/>
      <c r="AM188" s="49"/>
      <c r="AP188" s="347"/>
      <c r="AQ188" s="348"/>
      <c r="AR188" s="349"/>
      <c r="AS188" s="350" t="s">
        <v>427</v>
      </c>
      <c r="AT188" s="351" t="e">
        <f>AT175</f>
        <v>#VALUE!</v>
      </c>
      <c r="AV188" s="86"/>
    </row>
    <row r="189" spans="1:48" s="85" customFormat="1" ht="14.7" hidden="1" customHeight="1" x14ac:dyDescent="0.3">
      <c r="A189" s="260" t="s">
        <v>428</v>
      </c>
      <c r="B189" s="260"/>
      <c r="C189" s="261"/>
      <c r="D189" s="27"/>
      <c r="E189" s="27"/>
      <c r="F189" s="27"/>
      <c r="G189" s="313"/>
      <c r="H189" s="314"/>
      <c r="I189" s="292"/>
      <c r="J189" s="293"/>
      <c r="K189" s="293"/>
      <c r="L189" s="293"/>
      <c r="M189" s="294"/>
      <c r="N189" s="295"/>
      <c r="O189" s="302"/>
      <c r="P189" s="293"/>
      <c r="Q189" s="292"/>
      <c r="R189" s="352"/>
      <c r="S189" s="352"/>
      <c r="T189" s="352"/>
      <c r="U189" s="353"/>
      <c r="V189" s="297"/>
      <c r="W189" s="297"/>
      <c r="X189" s="297"/>
      <c r="Y189" s="297"/>
      <c r="Z189" s="297"/>
      <c r="AA189" s="297"/>
      <c r="AB189" s="297"/>
      <c r="AC189" s="297"/>
      <c r="AD189" s="297"/>
      <c r="AE189" s="297"/>
      <c r="AF189" s="298"/>
      <c r="AG189" s="45"/>
      <c r="AH189" s="46"/>
      <c r="AI189" s="47"/>
      <c r="AJ189" s="47"/>
      <c r="AK189" s="47"/>
      <c r="AL189" s="48"/>
      <c r="AM189" s="49"/>
      <c r="AP189" s="347"/>
      <c r="AQ189" s="348"/>
      <c r="AR189" s="349"/>
      <c r="AS189" s="350" t="s">
        <v>429</v>
      </c>
      <c r="AT189" s="351" t="e">
        <f>AT184</f>
        <v>#VALUE!</v>
      </c>
      <c r="AV189" s="86"/>
    </row>
    <row r="190" spans="1:48" s="85" customFormat="1" x14ac:dyDescent="0.3">
      <c r="A190" s="343"/>
      <c r="B190" s="343"/>
      <c r="C190" s="261"/>
      <c r="D190" s="27"/>
      <c r="E190" s="27"/>
      <c r="F190" s="27"/>
      <c r="G190" s="27"/>
      <c r="H190" s="392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0"/>
      <c r="AG190" s="45"/>
      <c r="AH190" s="46"/>
      <c r="AI190" s="47"/>
      <c r="AJ190" s="47"/>
      <c r="AK190" s="47"/>
      <c r="AL190" s="48"/>
      <c r="AM190" s="49"/>
      <c r="AV190" s="86"/>
    </row>
    <row r="191" spans="1:48" s="85" customFormat="1" ht="15" thickBot="1" x14ac:dyDescent="0.35">
      <c r="A191" s="343"/>
      <c r="B191" s="343"/>
      <c r="C191" s="524" t="s">
        <v>749</v>
      </c>
      <c r="D191" s="524"/>
      <c r="E191" s="524"/>
      <c r="F191" s="524"/>
      <c r="G191" s="524"/>
      <c r="H191" s="524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0"/>
      <c r="AG191" s="45"/>
      <c r="AH191" s="46"/>
      <c r="AI191" s="47"/>
      <c r="AJ191" s="47"/>
      <c r="AK191" s="47"/>
      <c r="AL191" s="48"/>
      <c r="AM191" s="49"/>
      <c r="AV191" s="86"/>
    </row>
    <row r="192" spans="1:48" s="85" customFormat="1" ht="15.6" x14ac:dyDescent="0.3">
      <c r="A192" s="343"/>
      <c r="B192" s="133" t="s">
        <v>97</v>
      </c>
      <c r="C192" s="134" t="s">
        <v>98</v>
      </c>
      <c r="D192" s="135" t="s">
        <v>99</v>
      </c>
      <c r="E192" s="136"/>
      <c r="F192" s="136"/>
      <c r="G192" s="136"/>
      <c r="H192" s="137">
        <f>SUM(H193:H203)</f>
        <v>17785249</v>
      </c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0"/>
      <c r="AG192" s="45"/>
      <c r="AH192" s="46"/>
      <c r="AI192" s="47"/>
      <c r="AJ192" s="47"/>
      <c r="AK192" s="47"/>
      <c r="AL192" s="48"/>
      <c r="AM192" s="49"/>
      <c r="AV192" s="86"/>
    </row>
    <row r="193" spans="1:48" s="85" customFormat="1" x14ac:dyDescent="0.3">
      <c r="A193" s="343"/>
      <c r="B193" s="147" t="s">
        <v>101</v>
      </c>
      <c r="C193" s="148"/>
      <c r="D193" s="149"/>
      <c r="E193" s="150"/>
      <c r="F193" s="151"/>
      <c r="G193" s="496"/>
      <c r="H193" s="153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0"/>
      <c r="AG193" s="45"/>
      <c r="AH193" s="46"/>
      <c r="AI193" s="47"/>
      <c r="AJ193" s="47"/>
      <c r="AK193" s="47"/>
      <c r="AL193" s="48"/>
      <c r="AM193" s="49"/>
      <c r="AV193" s="86"/>
    </row>
    <row r="194" spans="1:48" s="85" customFormat="1" ht="15" thickBot="1" x14ac:dyDescent="0.35">
      <c r="A194" s="393"/>
      <c r="B194" s="473" t="s">
        <v>768</v>
      </c>
      <c r="C194" s="448" t="s">
        <v>103</v>
      </c>
      <c r="D194" s="449" t="s">
        <v>708</v>
      </c>
      <c r="E194" s="450" t="s">
        <v>112</v>
      </c>
      <c r="F194" s="451">
        <v>16.46</v>
      </c>
      <c r="G194" s="497">
        <v>13565</v>
      </c>
      <c r="H194" s="34">
        <f t="shared" ref="H194:H202" si="94">ROUND(F194 * G194,$K$2)</f>
        <v>223280</v>
      </c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394"/>
      <c r="AG194" s="45"/>
      <c r="AH194" s="46"/>
      <c r="AI194" s="47"/>
      <c r="AJ194" s="47"/>
      <c r="AK194" s="47"/>
      <c r="AL194" s="48"/>
      <c r="AM194" s="49"/>
      <c r="AU194" s="395"/>
      <c r="AV194" s="86"/>
    </row>
    <row r="195" spans="1:48" ht="15" thickTop="1" x14ac:dyDescent="0.3">
      <c r="B195" s="474" t="s">
        <v>116</v>
      </c>
      <c r="C195" s="452" t="s">
        <v>107</v>
      </c>
      <c r="D195" s="453" t="s">
        <v>118</v>
      </c>
      <c r="E195" s="454" t="s">
        <v>89</v>
      </c>
      <c r="F195" s="455">
        <v>18</v>
      </c>
      <c r="G195" s="497">
        <v>41712</v>
      </c>
      <c r="H195" s="34">
        <f t="shared" si="94"/>
        <v>750816</v>
      </c>
    </row>
    <row r="196" spans="1:48" ht="27.6" x14ac:dyDescent="0.3">
      <c r="B196" s="474" t="s">
        <v>128</v>
      </c>
      <c r="C196" s="452" t="s">
        <v>110</v>
      </c>
      <c r="D196" s="453" t="s">
        <v>130</v>
      </c>
      <c r="E196" s="454" t="s">
        <v>131</v>
      </c>
      <c r="F196" s="455">
        <v>32</v>
      </c>
      <c r="G196" s="497">
        <v>43650</v>
      </c>
      <c r="H196" s="34">
        <f t="shared" si="94"/>
        <v>1396800</v>
      </c>
    </row>
    <row r="197" spans="1:48" ht="27.6" x14ac:dyDescent="0.3">
      <c r="B197" s="474" t="s">
        <v>132</v>
      </c>
      <c r="C197" s="452" t="s">
        <v>114</v>
      </c>
      <c r="D197" s="453" t="s">
        <v>134</v>
      </c>
      <c r="E197" s="454" t="s">
        <v>131</v>
      </c>
      <c r="F197" s="455">
        <v>32</v>
      </c>
      <c r="G197" s="497">
        <v>6480</v>
      </c>
      <c r="H197" s="34">
        <f t="shared" si="94"/>
        <v>207360</v>
      </c>
    </row>
    <row r="198" spans="1:48" x14ac:dyDescent="0.3">
      <c r="B198" s="474" t="s">
        <v>769</v>
      </c>
      <c r="C198" s="452" t="s">
        <v>117</v>
      </c>
      <c r="D198" s="453" t="s">
        <v>709</v>
      </c>
      <c r="E198" s="454" t="s">
        <v>112</v>
      </c>
      <c r="F198" s="455">
        <v>84.36</v>
      </c>
      <c r="G198" s="497">
        <v>36057</v>
      </c>
      <c r="H198" s="34">
        <f t="shared" si="94"/>
        <v>3041769</v>
      </c>
    </row>
    <row r="199" spans="1:48" x14ac:dyDescent="0.3">
      <c r="B199" s="474" t="s">
        <v>770</v>
      </c>
      <c r="C199" s="452" t="s">
        <v>120</v>
      </c>
      <c r="D199" s="453" t="s">
        <v>710</v>
      </c>
      <c r="E199" s="454" t="s">
        <v>112</v>
      </c>
      <c r="F199" s="455">
        <v>43.58</v>
      </c>
      <c r="G199" s="497">
        <v>45963</v>
      </c>
      <c r="H199" s="34">
        <f t="shared" si="94"/>
        <v>2003068</v>
      </c>
    </row>
    <row r="200" spans="1:48" x14ac:dyDescent="0.3">
      <c r="B200" s="474" t="s">
        <v>113</v>
      </c>
      <c r="C200" s="452" t="s">
        <v>123</v>
      </c>
      <c r="D200" s="453" t="s">
        <v>115</v>
      </c>
      <c r="E200" s="454" t="s">
        <v>112</v>
      </c>
      <c r="F200" s="455">
        <v>436.42</v>
      </c>
      <c r="G200" s="497">
        <v>18975</v>
      </c>
      <c r="H200" s="34">
        <f t="shared" si="94"/>
        <v>8281070</v>
      </c>
    </row>
    <row r="201" spans="1:48" x14ac:dyDescent="0.3">
      <c r="B201" s="474" t="s">
        <v>119</v>
      </c>
      <c r="C201" s="452" t="s">
        <v>126</v>
      </c>
      <c r="D201" s="453" t="s">
        <v>121</v>
      </c>
      <c r="E201" s="454" t="s">
        <v>89</v>
      </c>
      <c r="F201" s="455">
        <v>1</v>
      </c>
      <c r="G201" s="497">
        <v>124102</v>
      </c>
      <c r="H201" s="34">
        <f t="shared" si="94"/>
        <v>124102</v>
      </c>
    </row>
    <row r="202" spans="1:48" x14ac:dyDescent="0.3">
      <c r="B202" s="475" t="s">
        <v>771</v>
      </c>
      <c r="C202" s="456" t="s">
        <v>129</v>
      </c>
      <c r="D202" s="457" t="s">
        <v>796</v>
      </c>
      <c r="E202" s="458" t="s">
        <v>711</v>
      </c>
      <c r="F202" s="459">
        <v>4</v>
      </c>
      <c r="G202" s="497">
        <v>439246</v>
      </c>
      <c r="H202" s="34">
        <f t="shared" si="94"/>
        <v>1756984</v>
      </c>
    </row>
    <row r="203" spans="1:48" x14ac:dyDescent="0.3">
      <c r="B203" s="175"/>
      <c r="C203" s="176"/>
      <c r="D203" s="460"/>
      <c r="E203" s="461"/>
      <c r="F203" s="462"/>
      <c r="G203" s="498"/>
      <c r="H203" s="469"/>
    </row>
    <row r="204" spans="1:48" ht="15" thickBot="1" x14ac:dyDescent="0.35">
      <c r="B204" s="186" t="s">
        <v>135</v>
      </c>
      <c r="C204" s="187"/>
      <c r="D204" s="188"/>
      <c r="E204" s="189"/>
      <c r="F204" s="190"/>
      <c r="G204" s="499" t="s">
        <v>735</v>
      </c>
      <c r="H204" s="192">
        <f>SUM(H193:H203)</f>
        <v>17785249</v>
      </c>
    </row>
    <row r="205" spans="1:48" ht="15" thickBot="1" x14ac:dyDescent="0.35">
      <c r="C205" s="78"/>
      <c r="D205" s="128"/>
      <c r="E205" s="129"/>
      <c r="F205" s="130"/>
      <c r="G205" s="500"/>
      <c r="H205" s="201"/>
    </row>
    <row r="206" spans="1:48" ht="15.6" x14ac:dyDescent="0.3">
      <c r="B206" s="133" t="s">
        <v>97</v>
      </c>
      <c r="C206" s="464">
        <v>2</v>
      </c>
      <c r="D206" s="203" t="s">
        <v>188</v>
      </c>
      <c r="E206" s="136"/>
      <c r="F206" s="136"/>
      <c r="G206" s="501"/>
      <c r="H206" s="137">
        <f>SUM(H207:H213)</f>
        <v>125010663</v>
      </c>
    </row>
    <row r="207" spans="1:48" x14ac:dyDescent="0.3">
      <c r="B207" s="147" t="s">
        <v>101</v>
      </c>
      <c r="C207" s="204"/>
      <c r="D207" s="149"/>
      <c r="E207" s="150"/>
      <c r="F207" s="151"/>
      <c r="G207" s="496"/>
      <c r="H207" s="153"/>
    </row>
    <row r="208" spans="1:48" x14ac:dyDescent="0.3">
      <c r="B208" s="473" t="s">
        <v>189</v>
      </c>
      <c r="C208" s="465">
        <v>2.1</v>
      </c>
      <c r="D208" s="449" t="s">
        <v>191</v>
      </c>
      <c r="E208" s="450" t="s">
        <v>112</v>
      </c>
      <c r="F208" s="451">
        <v>374.62</v>
      </c>
      <c r="G208" s="497">
        <v>54060</v>
      </c>
      <c r="H208" s="34">
        <f>ROUND(F208 * G208,$K$2)</f>
        <v>20251957</v>
      </c>
    </row>
    <row r="209" spans="2:8" x14ac:dyDescent="0.3">
      <c r="B209" s="474" t="s">
        <v>192</v>
      </c>
      <c r="C209" s="466">
        <v>2.2000000000000002</v>
      </c>
      <c r="D209" s="453" t="s">
        <v>194</v>
      </c>
      <c r="E209" s="454" t="s">
        <v>112</v>
      </c>
      <c r="F209" s="455">
        <v>61.8</v>
      </c>
      <c r="G209" s="497">
        <v>133586</v>
      </c>
      <c r="H209" s="34">
        <f>ROUND(F209 * G209,$K$2)</f>
        <v>8255615</v>
      </c>
    </row>
    <row r="210" spans="2:8" x14ac:dyDescent="0.3">
      <c r="B210" s="474" t="s">
        <v>198</v>
      </c>
      <c r="C210" s="466">
        <v>2.2999999999999998</v>
      </c>
      <c r="D210" s="453" t="s">
        <v>200</v>
      </c>
      <c r="E210" s="454" t="s">
        <v>112</v>
      </c>
      <c r="F210" s="455">
        <v>374.62</v>
      </c>
      <c r="G210" s="497">
        <v>226394</v>
      </c>
      <c r="H210" s="34">
        <f>ROUND(F210 * G210,$K$2)</f>
        <v>84811720</v>
      </c>
    </row>
    <row r="211" spans="2:8" x14ac:dyDescent="0.3">
      <c r="B211" s="474" t="s">
        <v>201</v>
      </c>
      <c r="C211" s="466">
        <v>2.4</v>
      </c>
      <c r="D211" s="453" t="s">
        <v>203</v>
      </c>
      <c r="E211" s="454" t="s">
        <v>33</v>
      </c>
      <c r="F211" s="455">
        <v>170.28</v>
      </c>
      <c r="G211" s="497">
        <v>52339</v>
      </c>
      <c r="H211" s="34">
        <f>ROUND(F211 * G211,$K$2)</f>
        <v>8912285</v>
      </c>
    </row>
    <row r="212" spans="2:8" x14ac:dyDescent="0.3">
      <c r="B212" s="475" t="s">
        <v>195</v>
      </c>
      <c r="C212" s="467">
        <v>2.5</v>
      </c>
      <c r="D212" s="457" t="s">
        <v>197</v>
      </c>
      <c r="E212" s="458" t="s">
        <v>112</v>
      </c>
      <c r="F212" s="459">
        <v>23.24</v>
      </c>
      <c r="G212" s="497">
        <v>119582</v>
      </c>
      <c r="H212" s="34">
        <f>ROUND(F212 * G212,$K$2)</f>
        <v>2779086</v>
      </c>
    </row>
    <row r="213" spans="2:8" x14ac:dyDescent="0.3">
      <c r="B213" s="175"/>
      <c r="C213" s="208"/>
      <c r="D213" s="460"/>
      <c r="E213" s="461"/>
      <c r="F213" s="462"/>
      <c r="G213" s="498"/>
      <c r="H213" s="469"/>
    </row>
    <row r="214" spans="2:8" ht="15" thickBot="1" x14ac:dyDescent="0.35">
      <c r="B214" s="186" t="s">
        <v>135</v>
      </c>
      <c r="C214" s="209"/>
      <c r="D214" s="188"/>
      <c r="E214" s="189"/>
      <c r="F214" s="190"/>
      <c r="G214" s="499" t="s">
        <v>750</v>
      </c>
      <c r="H214" s="192">
        <f>SUM(H207:H213)</f>
        <v>125010663</v>
      </c>
    </row>
    <row r="215" spans="2:8" ht="15" thickBot="1" x14ac:dyDescent="0.35">
      <c r="C215" s="131"/>
      <c r="D215" s="128"/>
      <c r="E215" s="129"/>
      <c r="F215" s="130"/>
      <c r="G215" s="500"/>
      <c r="H215" s="201"/>
    </row>
    <row r="216" spans="2:8" ht="15.6" x14ac:dyDescent="0.3">
      <c r="B216" s="133" t="s">
        <v>97</v>
      </c>
      <c r="C216" s="464">
        <v>3</v>
      </c>
      <c r="D216" s="203" t="s">
        <v>251</v>
      </c>
      <c r="E216" s="136"/>
      <c r="F216" s="136"/>
      <c r="G216" s="501"/>
      <c r="H216" s="137">
        <f>SUM(H217:H225)</f>
        <v>12595199</v>
      </c>
    </row>
    <row r="217" spans="2:8" x14ac:dyDescent="0.3">
      <c r="B217" s="147" t="s">
        <v>101</v>
      </c>
      <c r="C217" s="204"/>
      <c r="D217" s="149"/>
      <c r="E217" s="150"/>
      <c r="F217" s="151"/>
      <c r="G217" s="496"/>
      <c r="H217" s="153"/>
    </row>
    <row r="218" spans="2:8" x14ac:dyDescent="0.3">
      <c r="B218" s="473" t="s">
        <v>252</v>
      </c>
      <c r="C218" s="465">
        <v>3.1</v>
      </c>
      <c r="D218" s="449" t="s">
        <v>254</v>
      </c>
      <c r="E218" s="450" t="s">
        <v>89</v>
      </c>
      <c r="F218" s="451">
        <v>5</v>
      </c>
      <c r="G218" s="497">
        <v>1073357</v>
      </c>
      <c r="H218" s="34">
        <f t="shared" ref="H218:H224" si="95">ROUND(F218 * G218,$K$2)</f>
        <v>5366785</v>
      </c>
    </row>
    <row r="219" spans="2:8" ht="28.8" x14ac:dyDescent="0.3">
      <c r="B219" s="474" t="s">
        <v>255</v>
      </c>
      <c r="C219" s="466">
        <v>3.2</v>
      </c>
      <c r="D219" s="453" t="s">
        <v>257</v>
      </c>
      <c r="E219" s="454" t="s">
        <v>258</v>
      </c>
      <c r="F219" s="455">
        <v>5</v>
      </c>
      <c r="G219" s="497">
        <v>398428</v>
      </c>
      <c r="H219" s="34">
        <f t="shared" si="95"/>
        <v>1992140</v>
      </c>
    </row>
    <row r="220" spans="2:8" x14ac:dyDescent="0.3">
      <c r="B220" s="474" t="s">
        <v>259</v>
      </c>
      <c r="C220" s="466">
        <v>3.3</v>
      </c>
      <c r="D220" s="453" t="s">
        <v>261</v>
      </c>
      <c r="E220" s="454" t="s">
        <v>89</v>
      </c>
      <c r="F220" s="455">
        <v>6</v>
      </c>
      <c r="G220" s="497">
        <v>251922</v>
      </c>
      <c r="H220" s="34">
        <f t="shared" si="95"/>
        <v>1511532</v>
      </c>
    </row>
    <row r="221" spans="2:8" ht="27.6" x14ac:dyDescent="0.3">
      <c r="B221" s="474" t="s">
        <v>262</v>
      </c>
      <c r="C221" s="466">
        <v>3.4</v>
      </c>
      <c r="D221" s="453" t="s">
        <v>264</v>
      </c>
      <c r="E221" s="454" t="s">
        <v>89</v>
      </c>
      <c r="F221" s="455">
        <v>1</v>
      </c>
      <c r="G221" s="497">
        <v>1866915</v>
      </c>
      <c r="H221" s="34">
        <f t="shared" si="95"/>
        <v>1866915</v>
      </c>
    </row>
    <row r="222" spans="2:8" ht="27.6" x14ac:dyDescent="0.3">
      <c r="B222" s="474" t="s">
        <v>265</v>
      </c>
      <c r="C222" s="466">
        <v>3.5</v>
      </c>
      <c r="D222" s="453" t="s">
        <v>267</v>
      </c>
      <c r="E222" s="454" t="s">
        <v>89</v>
      </c>
      <c r="F222" s="455">
        <v>1</v>
      </c>
      <c r="G222" s="497">
        <v>1046253</v>
      </c>
      <c r="H222" s="34">
        <f t="shared" si="95"/>
        <v>1046253</v>
      </c>
    </row>
    <row r="223" spans="2:8" x14ac:dyDescent="0.3">
      <c r="B223" s="474" t="s">
        <v>268</v>
      </c>
      <c r="C223" s="466">
        <v>3.6</v>
      </c>
      <c r="D223" s="453" t="s">
        <v>270</v>
      </c>
      <c r="E223" s="454" t="s">
        <v>89</v>
      </c>
      <c r="F223" s="455">
        <v>1</v>
      </c>
      <c r="G223" s="497">
        <v>627819</v>
      </c>
      <c r="H223" s="34">
        <f t="shared" si="95"/>
        <v>627819</v>
      </c>
    </row>
    <row r="224" spans="2:8" x14ac:dyDescent="0.3">
      <c r="B224" s="475" t="s">
        <v>271</v>
      </c>
      <c r="C224" s="467">
        <v>3.7</v>
      </c>
      <c r="D224" s="457" t="s">
        <v>273</v>
      </c>
      <c r="E224" s="458" t="s">
        <v>89</v>
      </c>
      <c r="F224" s="459">
        <v>5</v>
      </c>
      <c r="G224" s="497">
        <v>36751</v>
      </c>
      <c r="H224" s="34">
        <f t="shared" si="95"/>
        <v>183755</v>
      </c>
    </row>
    <row r="225" spans="2:8" x14ac:dyDescent="0.3">
      <c r="B225" s="175"/>
      <c r="C225" s="208"/>
      <c r="D225" s="460"/>
      <c r="E225" s="461"/>
      <c r="F225" s="462"/>
      <c r="G225" s="498"/>
      <c r="H225" s="469"/>
    </row>
    <row r="226" spans="2:8" ht="15" thickBot="1" x14ac:dyDescent="0.35">
      <c r="B226" s="186" t="s">
        <v>135</v>
      </c>
      <c r="C226" s="209"/>
      <c r="D226" s="188"/>
      <c r="E226" s="189"/>
      <c r="F226" s="190"/>
      <c r="G226" s="499" t="s">
        <v>751</v>
      </c>
      <c r="H226" s="192">
        <f>SUM(H217:H225)</f>
        <v>12595199</v>
      </c>
    </row>
    <row r="227" spans="2:8" ht="15" thickBot="1" x14ac:dyDescent="0.35">
      <c r="C227" s="131"/>
      <c r="D227" s="128"/>
      <c r="E227" s="129"/>
      <c r="F227" s="130"/>
      <c r="G227" s="500"/>
      <c r="H227" s="201"/>
    </row>
    <row r="228" spans="2:8" ht="15.6" x14ac:dyDescent="0.3">
      <c r="B228" s="133" t="s">
        <v>97</v>
      </c>
      <c r="C228" s="464">
        <v>4</v>
      </c>
      <c r="D228" s="203" t="s">
        <v>177</v>
      </c>
      <c r="E228" s="136"/>
      <c r="F228" s="136"/>
      <c r="G228" s="501"/>
      <c r="H228" s="137">
        <f>SUM(H229:H241)</f>
        <v>223708619</v>
      </c>
    </row>
    <row r="229" spans="2:8" x14ac:dyDescent="0.3">
      <c r="B229" s="147" t="s">
        <v>101</v>
      </c>
      <c r="C229" s="204"/>
      <c r="D229" s="149"/>
      <c r="E229" s="150"/>
      <c r="F229" s="151"/>
      <c r="G229" s="496"/>
      <c r="H229" s="153"/>
    </row>
    <row r="230" spans="2:8" x14ac:dyDescent="0.3">
      <c r="B230" s="473" t="s">
        <v>221</v>
      </c>
      <c r="C230" s="465">
        <v>4.0999999999999996</v>
      </c>
      <c r="D230" s="449" t="s">
        <v>223</v>
      </c>
      <c r="E230" s="450" t="s">
        <v>112</v>
      </c>
      <c r="F230" s="451">
        <v>46.9</v>
      </c>
      <c r="G230" s="497">
        <v>6225</v>
      </c>
      <c r="H230" s="34">
        <f t="shared" ref="H230:H240" si="96">ROUND(F230 * G230,$K$2)</f>
        <v>291953</v>
      </c>
    </row>
    <row r="231" spans="2:8" x14ac:dyDescent="0.3">
      <c r="B231" s="474" t="s">
        <v>772</v>
      </c>
      <c r="C231" s="466">
        <v>4.2</v>
      </c>
      <c r="D231" s="453" t="s">
        <v>712</v>
      </c>
      <c r="E231" s="454" t="s">
        <v>112</v>
      </c>
      <c r="F231" s="455">
        <v>16.46</v>
      </c>
      <c r="G231" s="497">
        <v>66540</v>
      </c>
      <c r="H231" s="34">
        <f t="shared" si="96"/>
        <v>1095248</v>
      </c>
    </row>
    <row r="232" spans="2:8" x14ac:dyDescent="0.3">
      <c r="B232" s="474" t="s">
        <v>773</v>
      </c>
      <c r="C232" s="466">
        <v>4.3</v>
      </c>
      <c r="D232" s="453" t="s">
        <v>713</v>
      </c>
      <c r="E232" s="454" t="s">
        <v>112</v>
      </c>
      <c r="F232" s="455">
        <v>16.46</v>
      </c>
      <c r="G232" s="497">
        <v>69576</v>
      </c>
      <c r="H232" s="34">
        <f t="shared" si="96"/>
        <v>1145221</v>
      </c>
    </row>
    <row r="233" spans="2:8" x14ac:dyDescent="0.3">
      <c r="B233" s="474" t="s">
        <v>209</v>
      </c>
      <c r="C233" s="466">
        <v>4.4000000000000004</v>
      </c>
      <c r="D233" s="453" t="s">
        <v>211</v>
      </c>
      <c r="E233" s="454" t="s">
        <v>112</v>
      </c>
      <c r="F233" s="455">
        <v>849.48</v>
      </c>
      <c r="G233" s="497">
        <v>23953</v>
      </c>
      <c r="H233" s="34">
        <f t="shared" si="96"/>
        <v>20347594</v>
      </c>
    </row>
    <row r="234" spans="2:8" x14ac:dyDescent="0.3">
      <c r="B234" s="474" t="s">
        <v>215</v>
      </c>
      <c r="C234" s="466">
        <v>4.5</v>
      </c>
      <c r="D234" s="453" t="s">
        <v>217</v>
      </c>
      <c r="E234" s="454" t="s">
        <v>112</v>
      </c>
      <c r="F234" s="455">
        <v>896.38</v>
      </c>
      <c r="G234" s="497">
        <v>22486</v>
      </c>
      <c r="H234" s="34">
        <f t="shared" si="96"/>
        <v>20156001</v>
      </c>
    </row>
    <row r="235" spans="2:8" x14ac:dyDescent="0.3">
      <c r="B235" s="474" t="s">
        <v>774</v>
      </c>
      <c r="C235" s="466">
        <v>4.5999999999999996</v>
      </c>
      <c r="D235" s="453" t="s">
        <v>714</v>
      </c>
      <c r="E235" s="454" t="s">
        <v>112</v>
      </c>
      <c r="F235" s="455">
        <v>93.71</v>
      </c>
      <c r="G235" s="497">
        <v>33717</v>
      </c>
      <c r="H235" s="34">
        <f t="shared" si="96"/>
        <v>3159620</v>
      </c>
    </row>
    <row r="236" spans="2:8" x14ac:dyDescent="0.3">
      <c r="B236" s="474" t="s">
        <v>181</v>
      </c>
      <c r="C236" s="466">
        <v>4.7</v>
      </c>
      <c r="D236" s="453" t="s">
        <v>183</v>
      </c>
      <c r="E236" s="454" t="s">
        <v>112</v>
      </c>
      <c r="F236" s="455">
        <v>833.02</v>
      </c>
      <c r="G236" s="497">
        <v>45418</v>
      </c>
      <c r="H236" s="34">
        <f t="shared" si="96"/>
        <v>37834102</v>
      </c>
    </row>
    <row r="237" spans="2:8" x14ac:dyDescent="0.3">
      <c r="B237" s="474" t="s">
        <v>212</v>
      </c>
      <c r="C237" s="466">
        <v>4.8</v>
      </c>
      <c r="D237" s="453" t="s">
        <v>214</v>
      </c>
      <c r="E237" s="454" t="s">
        <v>112</v>
      </c>
      <c r="F237" s="455">
        <v>494</v>
      </c>
      <c r="G237" s="497">
        <v>28393</v>
      </c>
      <c r="H237" s="34">
        <f t="shared" si="96"/>
        <v>14026142</v>
      </c>
    </row>
    <row r="238" spans="2:8" ht="27.6" x14ac:dyDescent="0.3">
      <c r="B238" s="474" t="s">
        <v>384</v>
      </c>
      <c r="C238" s="466">
        <v>4.9000000000000004</v>
      </c>
      <c r="D238" s="453" t="s">
        <v>386</v>
      </c>
      <c r="E238" s="454" t="s">
        <v>112</v>
      </c>
      <c r="F238" s="455">
        <v>174.73</v>
      </c>
      <c r="G238" s="497">
        <v>79186</v>
      </c>
      <c r="H238" s="34">
        <f t="shared" si="96"/>
        <v>13836170</v>
      </c>
    </row>
    <row r="239" spans="2:8" x14ac:dyDescent="0.3">
      <c r="B239" s="474" t="s">
        <v>218</v>
      </c>
      <c r="C239" s="466">
        <v>4.0999999999999996</v>
      </c>
      <c r="D239" s="453" t="s">
        <v>220</v>
      </c>
      <c r="E239" s="454" t="s">
        <v>112</v>
      </c>
      <c r="F239" s="455">
        <v>174.73</v>
      </c>
      <c r="G239" s="497">
        <v>52970</v>
      </c>
      <c r="H239" s="34">
        <f t="shared" si="96"/>
        <v>9255448</v>
      </c>
    </row>
    <row r="240" spans="2:8" ht="96.6" x14ac:dyDescent="0.3">
      <c r="B240" s="28" t="s">
        <v>387</v>
      </c>
      <c r="C240" s="29"/>
      <c r="D240" s="30" t="s">
        <v>388</v>
      </c>
      <c r="E240" s="31" t="s">
        <v>112</v>
      </c>
      <c r="F240" s="32">
        <v>120</v>
      </c>
      <c r="G240" s="497">
        <v>854676</v>
      </c>
      <c r="H240" s="34">
        <f t="shared" si="96"/>
        <v>102561120</v>
      </c>
    </row>
    <row r="241" spans="2:8" x14ac:dyDescent="0.3">
      <c r="B241" s="175"/>
      <c r="C241" s="208"/>
      <c r="D241" s="460"/>
      <c r="E241" s="461"/>
      <c r="F241" s="462"/>
      <c r="G241" s="498"/>
      <c r="H241" s="469"/>
    </row>
    <row r="242" spans="2:8" ht="15" thickBot="1" x14ac:dyDescent="0.35">
      <c r="B242" s="186" t="s">
        <v>135</v>
      </c>
      <c r="C242" s="209"/>
      <c r="D242" s="188"/>
      <c r="E242" s="189"/>
      <c r="F242" s="190"/>
      <c r="G242" s="499" t="s">
        <v>752</v>
      </c>
      <c r="H242" s="192">
        <f>SUM(H229:H241)</f>
        <v>223708619</v>
      </c>
    </row>
    <row r="243" spans="2:8" ht="15" thickBot="1" x14ac:dyDescent="0.35">
      <c r="C243" s="131"/>
      <c r="D243" s="128"/>
      <c r="E243" s="129"/>
      <c r="F243" s="130"/>
      <c r="G243" s="500"/>
      <c r="H243" s="201"/>
    </row>
    <row r="244" spans="2:8" ht="15.6" x14ac:dyDescent="0.3">
      <c r="B244" s="133" t="s">
        <v>97</v>
      </c>
      <c r="C244" s="464">
        <v>5</v>
      </c>
      <c r="D244" s="203" t="s">
        <v>753</v>
      </c>
      <c r="E244" s="136"/>
      <c r="F244" s="136"/>
      <c r="G244" s="501"/>
      <c r="H244" s="137">
        <f>SUM(H245:H255)</f>
        <v>82592078</v>
      </c>
    </row>
    <row r="245" spans="2:8" x14ac:dyDescent="0.3">
      <c r="B245" s="147" t="s">
        <v>101</v>
      </c>
      <c r="C245" s="204"/>
      <c r="D245" s="149"/>
      <c r="E245" s="150"/>
      <c r="F245" s="151"/>
      <c r="G245" s="496"/>
      <c r="H245" s="153"/>
    </row>
    <row r="246" spans="2:8" x14ac:dyDescent="0.3">
      <c r="B246" s="473" t="s">
        <v>775</v>
      </c>
      <c r="C246" s="465">
        <v>5.0999999999999996</v>
      </c>
      <c r="D246" s="449" t="s">
        <v>715</v>
      </c>
      <c r="E246" s="450" t="s">
        <v>112</v>
      </c>
      <c r="F246" s="451">
        <v>35.76</v>
      </c>
      <c r="G246" s="497">
        <v>200279</v>
      </c>
      <c r="H246" s="34">
        <f t="shared" ref="H246:H254" si="97">ROUND(F246 * G246,$K$2)</f>
        <v>7161977</v>
      </c>
    </row>
    <row r="247" spans="2:8" ht="28.8" x14ac:dyDescent="0.3">
      <c r="B247" s="476" t="s">
        <v>776</v>
      </c>
      <c r="C247" s="466">
        <v>5.2</v>
      </c>
      <c r="D247" s="453" t="s">
        <v>237</v>
      </c>
      <c r="E247" s="454" t="s">
        <v>89</v>
      </c>
      <c r="F247" s="455">
        <v>17</v>
      </c>
      <c r="G247" s="497">
        <v>1516089</v>
      </c>
      <c r="H247" s="34">
        <f t="shared" si="97"/>
        <v>25773513</v>
      </c>
    </row>
    <row r="248" spans="2:8" x14ac:dyDescent="0.3">
      <c r="B248" s="474" t="s">
        <v>777</v>
      </c>
      <c r="C248" s="466">
        <v>5.3</v>
      </c>
      <c r="D248" s="453" t="s">
        <v>716</v>
      </c>
      <c r="E248" s="454" t="s">
        <v>89</v>
      </c>
      <c r="F248" s="455">
        <v>4</v>
      </c>
      <c r="G248" s="497">
        <v>175947</v>
      </c>
      <c r="H248" s="34">
        <f t="shared" si="97"/>
        <v>703788</v>
      </c>
    </row>
    <row r="249" spans="2:8" x14ac:dyDescent="0.3">
      <c r="B249" s="474" t="s">
        <v>778</v>
      </c>
      <c r="C249" s="466">
        <v>5.4</v>
      </c>
      <c r="D249" s="453" t="s">
        <v>717</v>
      </c>
      <c r="E249" s="454" t="s">
        <v>89</v>
      </c>
      <c r="F249" s="455">
        <v>13</v>
      </c>
      <c r="G249" s="497">
        <v>173024</v>
      </c>
      <c r="H249" s="34">
        <f t="shared" si="97"/>
        <v>2249312</v>
      </c>
    </row>
    <row r="250" spans="2:8" x14ac:dyDescent="0.3">
      <c r="B250" s="474" t="s">
        <v>241</v>
      </c>
      <c r="C250" s="466">
        <v>5.5</v>
      </c>
      <c r="D250" s="453" t="s">
        <v>243</v>
      </c>
      <c r="E250" s="454" t="s">
        <v>112</v>
      </c>
      <c r="F250" s="455">
        <v>43.58</v>
      </c>
      <c r="G250" s="497">
        <v>526873</v>
      </c>
      <c r="H250" s="34">
        <f t="shared" si="97"/>
        <v>22961125</v>
      </c>
    </row>
    <row r="251" spans="2:8" ht="27.6" x14ac:dyDescent="0.3">
      <c r="B251" s="474" t="s">
        <v>779</v>
      </c>
      <c r="C251" s="466">
        <v>5.6</v>
      </c>
      <c r="D251" s="453" t="s">
        <v>718</v>
      </c>
      <c r="E251" s="454" t="s">
        <v>112</v>
      </c>
      <c r="F251" s="455">
        <v>10</v>
      </c>
      <c r="G251" s="497">
        <v>1034282</v>
      </c>
      <c r="H251" s="34">
        <f t="shared" si="97"/>
        <v>10342820</v>
      </c>
    </row>
    <row r="252" spans="2:8" ht="28.8" x14ac:dyDescent="0.3">
      <c r="B252" s="476" t="s">
        <v>780</v>
      </c>
      <c r="C252" s="466">
        <v>5.7</v>
      </c>
      <c r="D252" s="453" t="s">
        <v>240</v>
      </c>
      <c r="E252" s="454" t="s">
        <v>89</v>
      </c>
      <c r="F252" s="455">
        <v>17</v>
      </c>
      <c r="G252" s="497">
        <v>346761</v>
      </c>
      <c r="H252" s="34">
        <f t="shared" si="97"/>
        <v>5894937</v>
      </c>
    </row>
    <row r="253" spans="2:8" x14ac:dyDescent="0.3">
      <c r="B253" s="474" t="s">
        <v>781</v>
      </c>
      <c r="C253" s="466">
        <v>5.8</v>
      </c>
      <c r="D253" s="453" t="s">
        <v>719</v>
      </c>
      <c r="E253" s="454" t="s">
        <v>112</v>
      </c>
      <c r="F253" s="455">
        <v>291.2</v>
      </c>
      <c r="G253" s="497">
        <v>10506</v>
      </c>
      <c r="H253" s="34">
        <f t="shared" si="97"/>
        <v>3059347</v>
      </c>
    </row>
    <row r="254" spans="2:8" ht="27.6" x14ac:dyDescent="0.3">
      <c r="B254" s="475" t="s">
        <v>782</v>
      </c>
      <c r="C254" s="467">
        <v>5.9</v>
      </c>
      <c r="D254" s="457" t="s">
        <v>720</v>
      </c>
      <c r="E254" s="458" t="s">
        <v>33</v>
      </c>
      <c r="F254" s="459">
        <v>13.81</v>
      </c>
      <c r="G254" s="497">
        <v>321887</v>
      </c>
      <c r="H254" s="34">
        <f t="shared" si="97"/>
        <v>4445259</v>
      </c>
    </row>
    <row r="255" spans="2:8" x14ac:dyDescent="0.3">
      <c r="B255" s="175"/>
      <c r="C255" s="208"/>
      <c r="D255" s="460"/>
      <c r="E255" s="461"/>
      <c r="F255" s="462"/>
      <c r="G255" s="498"/>
      <c r="H255" s="469"/>
    </row>
    <row r="256" spans="2:8" ht="15" thickBot="1" x14ac:dyDescent="0.35">
      <c r="B256" s="186" t="s">
        <v>135</v>
      </c>
      <c r="C256" s="209"/>
      <c r="D256" s="188"/>
      <c r="E256" s="189"/>
      <c r="F256" s="190"/>
      <c r="G256" s="499" t="s">
        <v>754</v>
      </c>
      <c r="H256" s="192">
        <f>SUM(H245:H255)</f>
        <v>82592078</v>
      </c>
    </row>
    <row r="257" spans="2:8" ht="15" thickBot="1" x14ac:dyDescent="0.35">
      <c r="C257" s="131"/>
      <c r="D257" s="128"/>
      <c r="E257" s="129"/>
      <c r="F257" s="130"/>
      <c r="G257" s="500"/>
      <c r="H257" s="201"/>
    </row>
    <row r="258" spans="2:8" ht="15.6" x14ac:dyDescent="0.3">
      <c r="B258" s="133" t="s">
        <v>97</v>
      </c>
      <c r="C258" s="464">
        <v>6</v>
      </c>
      <c r="D258" s="203" t="s">
        <v>755</v>
      </c>
      <c r="E258" s="136"/>
      <c r="F258" s="136"/>
      <c r="G258" s="501"/>
      <c r="H258" s="137">
        <f>SUM(H259:H266)</f>
        <v>85532094</v>
      </c>
    </row>
    <row r="259" spans="2:8" x14ac:dyDescent="0.3">
      <c r="B259" s="147" t="s">
        <v>101</v>
      </c>
      <c r="C259" s="204"/>
      <c r="D259" s="149"/>
      <c r="E259" s="150"/>
      <c r="F259" s="151"/>
      <c r="G259" s="496"/>
      <c r="H259" s="153"/>
    </row>
    <row r="260" spans="2:8" ht="27.6" x14ac:dyDescent="0.3">
      <c r="B260" s="494" t="s">
        <v>783</v>
      </c>
      <c r="C260" s="465">
        <v>6.1</v>
      </c>
      <c r="D260" s="449" t="s">
        <v>130</v>
      </c>
      <c r="E260" s="450" t="s">
        <v>131</v>
      </c>
      <c r="F260" s="451">
        <v>193.6</v>
      </c>
      <c r="G260" s="497">
        <v>43650</v>
      </c>
      <c r="H260" s="34">
        <f t="shared" ref="H260:H265" si="98">ROUND(F260 * G260,$K$2)</f>
        <v>8450640</v>
      </c>
    </row>
    <row r="261" spans="2:8" x14ac:dyDescent="0.3">
      <c r="B261" s="474" t="s">
        <v>784</v>
      </c>
      <c r="C261" s="466">
        <v>6.2</v>
      </c>
      <c r="D261" s="453" t="s">
        <v>721</v>
      </c>
      <c r="E261" s="454" t="s">
        <v>131</v>
      </c>
      <c r="F261" s="455">
        <v>154.88</v>
      </c>
      <c r="G261" s="497">
        <v>7356</v>
      </c>
      <c r="H261" s="34">
        <f t="shared" si="98"/>
        <v>1139297</v>
      </c>
    </row>
    <row r="262" spans="2:8" x14ac:dyDescent="0.3">
      <c r="B262" s="474" t="s">
        <v>785</v>
      </c>
      <c r="C262" s="466">
        <v>6.3</v>
      </c>
      <c r="D262" s="453" t="s">
        <v>722</v>
      </c>
      <c r="E262" s="454" t="s">
        <v>112</v>
      </c>
      <c r="F262" s="455">
        <v>258.14</v>
      </c>
      <c r="G262" s="497">
        <v>10132</v>
      </c>
      <c r="H262" s="34">
        <f t="shared" si="98"/>
        <v>2615474</v>
      </c>
    </row>
    <row r="263" spans="2:8" ht="41.4" x14ac:dyDescent="0.3">
      <c r="B263" s="474" t="s">
        <v>786</v>
      </c>
      <c r="C263" s="466">
        <v>6.4</v>
      </c>
      <c r="D263" s="453" t="s">
        <v>723</v>
      </c>
      <c r="E263" s="454" t="s">
        <v>131</v>
      </c>
      <c r="F263" s="455">
        <v>64.53</v>
      </c>
      <c r="G263" s="497">
        <v>122651</v>
      </c>
      <c r="H263" s="34">
        <f t="shared" si="98"/>
        <v>7914669</v>
      </c>
    </row>
    <row r="264" spans="2:8" ht="41.4" x14ac:dyDescent="0.3">
      <c r="B264" s="474" t="s">
        <v>787</v>
      </c>
      <c r="C264" s="466">
        <v>6.5</v>
      </c>
      <c r="D264" s="453" t="s">
        <v>724</v>
      </c>
      <c r="E264" s="454" t="s">
        <v>131</v>
      </c>
      <c r="F264" s="455">
        <v>38.72</v>
      </c>
      <c r="G264" s="497">
        <v>132253</v>
      </c>
      <c r="H264" s="34">
        <f t="shared" si="98"/>
        <v>5120836</v>
      </c>
    </row>
    <row r="265" spans="2:8" ht="27.6" x14ac:dyDescent="0.3">
      <c r="B265" s="475" t="s">
        <v>788</v>
      </c>
      <c r="C265" s="467">
        <v>6.6</v>
      </c>
      <c r="D265" s="457" t="s">
        <v>725</v>
      </c>
      <c r="E265" s="458" t="s">
        <v>112</v>
      </c>
      <c r="F265" s="459">
        <v>258.14</v>
      </c>
      <c r="G265" s="497">
        <v>233560</v>
      </c>
      <c r="H265" s="34">
        <f t="shared" si="98"/>
        <v>60291178</v>
      </c>
    </row>
    <row r="266" spans="2:8" x14ac:dyDescent="0.3">
      <c r="B266" s="175"/>
      <c r="C266" s="208"/>
      <c r="D266" s="460"/>
      <c r="E266" s="461"/>
      <c r="F266" s="462"/>
      <c r="G266" s="498"/>
      <c r="H266" s="469"/>
    </row>
    <row r="267" spans="2:8" ht="15" thickBot="1" x14ac:dyDescent="0.35">
      <c r="B267" s="186" t="s">
        <v>135</v>
      </c>
      <c r="C267" s="209"/>
      <c r="D267" s="188"/>
      <c r="E267" s="189"/>
      <c r="F267" s="190"/>
      <c r="G267" s="499" t="s">
        <v>756</v>
      </c>
      <c r="H267" s="192">
        <f>SUM(H259:H266)</f>
        <v>85532094</v>
      </c>
    </row>
    <row r="268" spans="2:8" ht="15" thickBot="1" x14ac:dyDescent="0.35">
      <c r="C268" s="131"/>
      <c r="D268" s="128"/>
      <c r="E268" s="129"/>
      <c r="F268" s="130"/>
      <c r="G268" s="500"/>
      <c r="H268" s="201"/>
    </row>
    <row r="269" spans="2:8" ht="15.6" x14ac:dyDescent="0.3">
      <c r="B269" s="133" t="s">
        <v>97</v>
      </c>
      <c r="C269" s="464">
        <v>7</v>
      </c>
      <c r="D269" s="203" t="s">
        <v>757</v>
      </c>
      <c r="E269" s="136"/>
      <c r="F269" s="136"/>
      <c r="G269" s="501"/>
      <c r="H269" s="137">
        <f>SUM(H270:H286)</f>
        <v>91684566</v>
      </c>
    </row>
    <row r="270" spans="2:8" x14ac:dyDescent="0.3">
      <c r="B270" s="147" t="s">
        <v>101</v>
      </c>
      <c r="C270" s="204"/>
      <c r="D270" s="149"/>
      <c r="E270" s="150"/>
      <c r="F270" s="151"/>
      <c r="G270" s="496"/>
      <c r="H270" s="153"/>
    </row>
    <row r="271" spans="2:8" x14ac:dyDescent="0.3">
      <c r="B271" s="473" t="s">
        <v>288</v>
      </c>
      <c r="C271" s="465">
        <v>7.1</v>
      </c>
      <c r="D271" s="449" t="s">
        <v>290</v>
      </c>
      <c r="E271" s="450" t="s">
        <v>89</v>
      </c>
      <c r="F271" s="451">
        <v>24</v>
      </c>
      <c r="G271" s="497">
        <v>202546</v>
      </c>
      <c r="H271" s="34">
        <f t="shared" ref="H271:H285" si="99">ROUND(F271 * G271,$K$2)</f>
        <v>4861104</v>
      </c>
    </row>
    <row r="272" spans="2:8" x14ac:dyDescent="0.3">
      <c r="B272" s="474" t="s">
        <v>291</v>
      </c>
      <c r="C272" s="466">
        <v>7.2</v>
      </c>
      <c r="D272" s="453" t="s">
        <v>293</v>
      </c>
      <c r="E272" s="454" t="s">
        <v>33</v>
      </c>
      <c r="F272" s="455">
        <v>120</v>
      </c>
      <c r="G272" s="497">
        <v>99407</v>
      </c>
      <c r="H272" s="34">
        <f t="shared" si="99"/>
        <v>11928840</v>
      </c>
    </row>
    <row r="273" spans="2:8" x14ac:dyDescent="0.3">
      <c r="B273" s="474" t="s">
        <v>294</v>
      </c>
      <c r="C273" s="466">
        <v>7.3</v>
      </c>
      <c r="D273" s="453" t="s">
        <v>296</v>
      </c>
      <c r="E273" s="454" t="s">
        <v>33</v>
      </c>
      <c r="F273" s="455">
        <v>60</v>
      </c>
      <c r="G273" s="497">
        <v>391071</v>
      </c>
      <c r="H273" s="34">
        <f t="shared" si="99"/>
        <v>23464260</v>
      </c>
    </row>
    <row r="274" spans="2:8" x14ac:dyDescent="0.3">
      <c r="B274" s="474" t="s">
        <v>300</v>
      </c>
      <c r="C274" s="466">
        <v>7.4</v>
      </c>
      <c r="D274" s="453" t="s">
        <v>302</v>
      </c>
      <c r="E274" s="454" t="s">
        <v>33</v>
      </c>
      <c r="F274" s="455">
        <v>1408</v>
      </c>
      <c r="G274" s="497">
        <v>6844</v>
      </c>
      <c r="H274" s="34">
        <f t="shared" si="99"/>
        <v>9636352</v>
      </c>
    </row>
    <row r="275" spans="2:8" x14ac:dyDescent="0.3">
      <c r="B275" s="474" t="s">
        <v>303</v>
      </c>
      <c r="C275" s="466">
        <v>7.5</v>
      </c>
      <c r="D275" s="453" t="s">
        <v>305</v>
      </c>
      <c r="E275" s="454" t="s">
        <v>33</v>
      </c>
      <c r="F275" s="455">
        <v>1218</v>
      </c>
      <c r="G275" s="497">
        <v>5499</v>
      </c>
      <c r="H275" s="34">
        <f t="shared" si="99"/>
        <v>6697782</v>
      </c>
    </row>
    <row r="276" spans="2:8" x14ac:dyDescent="0.3">
      <c r="B276" s="474" t="s">
        <v>318</v>
      </c>
      <c r="C276" s="466">
        <v>7.6</v>
      </c>
      <c r="D276" s="453" t="s">
        <v>320</v>
      </c>
      <c r="E276" s="454" t="s">
        <v>89</v>
      </c>
      <c r="F276" s="455">
        <v>8</v>
      </c>
      <c r="G276" s="497">
        <v>583845</v>
      </c>
      <c r="H276" s="34">
        <f t="shared" si="99"/>
        <v>4670760</v>
      </c>
    </row>
    <row r="277" spans="2:8" x14ac:dyDescent="0.3">
      <c r="B277" s="474" t="s">
        <v>285</v>
      </c>
      <c r="C277" s="466">
        <v>7.7</v>
      </c>
      <c r="D277" s="453" t="s">
        <v>287</v>
      </c>
      <c r="E277" s="454" t="s">
        <v>89</v>
      </c>
      <c r="F277" s="455">
        <v>1</v>
      </c>
      <c r="G277" s="497">
        <v>671024</v>
      </c>
      <c r="H277" s="34">
        <f t="shared" si="99"/>
        <v>671024</v>
      </c>
    </row>
    <row r="278" spans="2:8" x14ac:dyDescent="0.3">
      <c r="B278" s="474" t="s">
        <v>321</v>
      </c>
      <c r="C278" s="466">
        <v>7.8</v>
      </c>
      <c r="D278" s="453" t="s">
        <v>323</v>
      </c>
      <c r="E278" s="454" t="s">
        <v>89</v>
      </c>
      <c r="F278" s="455">
        <v>1</v>
      </c>
      <c r="G278" s="497">
        <v>598962</v>
      </c>
      <c r="H278" s="34">
        <f t="shared" si="99"/>
        <v>598962</v>
      </c>
    </row>
    <row r="279" spans="2:8" x14ac:dyDescent="0.3">
      <c r="B279" s="474" t="s">
        <v>324</v>
      </c>
      <c r="C279" s="466">
        <v>7.9</v>
      </c>
      <c r="D279" s="453" t="s">
        <v>326</v>
      </c>
      <c r="E279" s="454" t="s">
        <v>89</v>
      </c>
      <c r="F279" s="455">
        <v>1</v>
      </c>
      <c r="G279" s="497">
        <v>499308</v>
      </c>
      <c r="H279" s="34">
        <f t="shared" si="99"/>
        <v>499308</v>
      </c>
    </row>
    <row r="280" spans="2:8" x14ac:dyDescent="0.3">
      <c r="B280" s="474" t="s">
        <v>327</v>
      </c>
      <c r="C280" s="466">
        <v>7.1</v>
      </c>
      <c r="D280" s="453" t="s">
        <v>329</v>
      </c>
      <c r="E280" s="454" t="s">
        <v>89</v>
      </c>
      <c r="F280" s="455">
        <v>1</v>
      </c>
      <c r="G280" s="497">
        <v>358940</v>
      </c>
      <c r="H280" s="34">
        <f t="shared" si="99"/>
        <v>358940</v>
      </c>
    </row>
    <row r="281" spans="2:8" x14ac:dyDescent="0.3">
      <c r="B281" s="474" t="s">
        <v>330</v>
      </c>
      <c r="C281" s="466">
        <v>7.11</v>
      </c>
      <c r="D281" s="453" t="s">
        <v>332</v>
      </c>
      <c r="E281" s="454" t="s">
        <v>89</v>
      </c>
      <c r="F281" s="455">
        <v>1</v>
      </c>
      <c r="G281" s="497">
        <v>465775</v>
      </c>
      <c r="H281" s="34">
        <f t="shared" si="99"/>
        <v>465775</v>
      </c>
    </row>
    <row r="282" spans="2:8" x14ac:dyDescent="0.3">
      <c r="B282" s="474" t="s">
        <v>333</v>
      </c>
      <c r="C282" s="466">
        <v>7.12</v>
      </c>
      <c r="D282" s="453" t="s">
        <v>335</v>
      </c>
      <c r="E282" s="454" t="s">
        <v>89</v>
      </c>
      <c r="F282" s="455">
        <v>30</v>
      </c>
      <c r="G282" s="497">
        <v>385542</v>
      </c>
      <c r="H282" s="34">
        <f t="shared" si="99"/>
        <v>11566260</v>
      </c>
    </row>
    <row r="283" spans="2:8" ht="27.6" x14ac:dyDescent="0.3">
      <c r="B283" s="474" t="s">
        <v>336</v>
      </c>
      <c r="C283" s="466">
        <v>7.13</v>
      </c>
      <c r="D283" s="453" t="s">
        <v>338</v>
      </c>
      <c r="E283" s="454" t="s">
        <v>89</v>
      </c>
      <c r="F283" s="455">
        <v>1</v>
      </c>
      <c r="G283" s="497">
        <v>1660707</v>
      </c>
      <c r="H283" s="34">
        <f t="shared" si="99"/>
        <v>1660707</v>
      </c>
    </row>
    <row r="284" spans="2:8" x14ac:dyDescent="0.3">
      <c r="B284" s="474" t="s">
        <v>339</v>
      </c>
      <c r="C284" s="466">
        <v>7.14</v>
      </c>
      <c r="D284" s="453" t="s">
        <v>341</v>
      </c>
      <c r="E284" s="454" t="s">
        <v>33</v>
      </c>
      <c r="F284" s="455">
        <v>594</v>
      </c>
      <c r="G284" s="497">
        <v>9268</v>
      </c>
      <c r="H284" s="34">
        <f t="shared" si="99"/>
        <v>5505192</v>
      </c>
    </row>
    <row r="285" spans="2:8" x14ac:dyDescent="0.3">
      <c r="B285" s="475" t="s">
        <v>342</v>
      </c>
      <c r="C285" s="467">
        <v>7.15</v>
      </c>
      <c r="D285" s="457" t="s">
        <v>344</v>
      </c>
      <c r="E285" s="458" t="s">
        <v>89</v>
      </c>
      <c r="F285" s="459">
        <v>50</v>
      </c>
      <c r="G285" s="497">
        <v>181986</v>
      </c>
      <c r="H285" s="34">
        <f t="shared" si="99"/>
        <v>9099300</v>
      </c>
    </row>
    <row r="286" spans="2:8" x14ac:dyDescent="0.3">
      <c r="B286" s="175"/>
      <c r="C286" s="208"/>
      <c r="D286" s="460"/>
      <c r="E286" s="461"/>
      <c r="F286" s="462"/>
      <c r="G286" s="498"/>
      <c r="H286" s="469"/>
    </row>
    <row r="287" spans="2:8" ht="15" thickBot="1" x14ac:dyDescent="0.35">
      <c r="B287" s="186" t="s">
        <v>135</v>
      </c>
      <c r="C287" s="209"/>
      <c r="D287" s="188"/>
      <c r="E287" s="189"/>
      <c r="F287" s="190"/>
      <c r="G287" s="499" t="s">
        <v>758</v>
      </c>
      <c r="H287" s="192">
        <f>SUM(H270:H286)</f>
        <v>91684566</v>
      </c>
    </row>
    <row r="288" spans="2:8" ht="15" thickBot="1" x14ac:dyDescent="0.35">
      <c r="C288" s="131"/>
      <c r="D288" s="128"/>
      <c r="E288" s="129"/>
      <c r="F288" s="130"/>
      <c r="G288" s="500"/>
      <c r="H288" s="201"/>
    </row>
    <row r="289" spans="2:8" ht="15.6" x14ac:dyDescent="0.3">
      <c r="B289" s="133" t="s">
        <v>97</v>
      </c>
      <c r="C289" s="464">
        <v>8</v>
      </c>
      <c r="D289" s="203" t="s">
        <v>759</v>
      </c>
      <c r="E289" s="136"/>
      <c r="F289" s="136"/>
      <c r="G289" s="501"/>
      <c r="H289" s="137">
        <f>SUM(H290:H296)</f>
        <v>43520850</v>
      </c>
    </row>
    <row r="290" spans="2:8" x14ac:dyDescent="0.3">
      <c r="B290" s="147" t="s">
        <v>101</v>
      </c>
      <c r="C290" s="204"/>
      <c r="D290" s="149"/>
      <c r="E290" s="150"/>
      <c r="F290" s="151"/>
      <c r="G290" s="496"/>
      <c r="H290" s="153"/>
    </row>
    <row r="291" spans="2:8" x14ac:dyDescent="0.3">
      <c r="B291" s="473" t="s">
        <v>789</v>
      </c>
      <c r="C291" s="465">
        <v>8.1</v>
      </c>
      <c r="D291" s="449" t="s">
        <v>726</v>
      </c>
      <c r="E291" s="450" t="s">
        <v>156</v>
      </c>
      <c r="F291" s="451">
        <v>1328</v>
      </c>
      <c r="G291" s="497">
        <v>23302</v>
      </c>
      <c r="H291" s="34">
        <f>ROUND(F291 * G291,$K$2)</f>
        <v>30945056</v>
      </c>
    </row>
    <row r="292" spans="2:8" x14ac:dyDescent="0.3">
      <c r="B292" s="474" t="s">
        <v>790</v>
      </c>
      <c r="C292" s="466">
        <v>8.1999999999999993</v>
      </c>
      <c r="D292" s="453" t="s">
        <v>727</v>
      </c>
      <c r="E292" s="454" t="s">
        <v>112</v>
      </c>
      <c r="F292" s="455">
        <v>84.36</v>
      </c>
      <c r="G292" s="497">
        <v>84349</v>
      </c>
      <c r="H292" s="34">
        <f>ROUND(F292 * G292,$K$2)</f>
        <v>7115682</v>
      </c>
    </row>
    <row r="293" spans="2:8" x14ac:dyDescent="0.3">
      <c r="B293" s="474" t="s">
        <v>791</v>
      </c>
      <c r="C293" s="466">
        <v>8.3000000000000007</v>
      </c>
      <c r="D293" s="453" t="s">
        <v>728</v>
      </c>
      <c r="E293" s="454" t="s">
        <v>33</v>
      </c>
      <c r="F293" s="455">
        <v>22</v>
      </c>
      <c r="G293" s="497">
        <v>175287</v>
      </c>
      <c r="H293" s="34">
        <f>ROUND(F293 * G293,$K$2)</f>
        <v>3856314</v>
      </c>
    </row>
    <row r="294" spans="2:8" x14ac:dyDescent="0.3">
      <c r="B294" s="474" t="s">
        <v>792</v>
      </c>
      <c r="C294" s="466">
        <v>8.4</v>
      </c>
      <c r="D294" s="453" t="s">
        <v>729</v>
      </c>
      <c r="E294" s="454" t="s">
        <v>33</v>
      </c>
      <c r="F294" s="455">
        <v>9</v>
      </c>
      <c r="G294" s="497">
        <v>56180</v>
      </c>
      <c r="H294" s="34">
        <f>ROUND(F294 * G294,$K$2)</f>
        <v>505620</v>
      </c>
    </row>
    <row r="295" spans="2:8" ht="27.6" x14ac:dyDescent="0.3">
      <c r="B295" s="475" t="s">
        <v>793</v>
      </c>
      <c r="C295" s="467">
        <v>8.5</v>
      </c>
      <c r="D295" s="457" t="s">
        <v>730</v>
      </c>
      <c r="E295" s="458" t="s">
        <v>33</v>
      </c>
      <c r="F295" s="459">
        <v>29.4</v>
      </c>
      <c r="G295" s="497">
        <v>37353</v>
      </c>
      <c r="H295" s="34">
        <f>ROUND(F295 * G295,$K$2)</f>
        <v>1098178</v>
      </c>
    </row>
    <row r="296" spans="2:8" x14ac:dyDescent="0.3">
      <c r="B296" s="175"/>
      <c r="C296" s="208"/>
      <c r="D296" s="460"/>
      <c r="E296" s="461"/>
      <c r="F296" s="462"/>
      <c r="G296" s="498"/>
      <c r="H296" s="469"/>
    </row>
    <row r="297" spans="2:8" ht="15" thickBot="1" x14ac:dyDescent="0.35">
      <c r="B297" s="186" t="s">
        <v>135</v>
      </c>
      <c r="C297" s="209"/>
      <c r="D297" s="188"/>
      <c r="E297" s="189"/>
      <c r="F297" s="190"/>
      <c r="G297" s="499" t="s">
        <v>760</v>
      </c>
      <c r="H297" s="192">
        <f>SUM(H290:H296)</f>
        <v>43520850</v>
      </c>
    </row>
    <row r="298" spans="2:8" ht="15" thickBot="1" x14ac:dyDescent="0.35">
      <c r="C298" s="131"/>
      <c r="D298" s="128"/>
      <c r="E298" s="129"/>
      <c r="F298" s="130"/>
      <c r="G298" s="500"/>
      <c r="H298" s="201"/>
    </row>
    <row r="299" spans="2:8" ht="15.6" x14ac:dyDescent="0.3">
      <c r="B299" s="133" t="s">
        <v>97</v>
      </c>
      <c r="C299" s="464">
        <v>9</v>
      </c>
      <c r="D299" s="203" t="s">
        <v>761</v>
      </c>
      <c r="E299" s="136"/>
      <c r="F299" s="136"/>
      <c r="G299" s="501"/>
      <c r="H299" s="137">
        <f>SUM(H300:H302)</f>
        <v>1058147</v>
      </c>
    </row>
    <row r="300" spans="2:8" x14ac:dyDescent="0.3">
      <c r="B300" s="147" t="s">
        <v>101</v>
      </c>
      <c r="C300" s="204"/>
      <c r="D300" s="149"/>
      <c r="E300" s="150"/>
      <c r="F300" s="151"/>
      <c r="G300" s="496"/>
      <c r="H300" s="153"/>
    </row>
    <row r="301" spans="2:8" x14ac:dyDescent="0.3">
      <c r="B301" s="28" t="s">
        <v>794</v>
      </c>
      <c r="C301" s="29">
        <v>9.1</v>
      </c>
      <c r="D301" s="30" t="s">
        <v>731</v>
      </c>
      <c r="E301" s="31" t="s">
        <v>112</v>
      </c>
      <c r="F301" s="468">
        <v>12.42</v>
      </c>
      <c r="G301" s="497">
        <v>85197</v>
      </c>
      <c r="H301" s="34">
        <f>ROUND(F301 * G301,$K$2)</f>
        <v>1058147</v>
      </c>
    </row>
    <row r="302" spans="2:8" x14ac:dyDescent="0.3">
      <c r="B302" s="175"/>
      <c r="C302" s="208"/>
      <c r="D302" s="460"/>
      <c r="E302" s="461"/>
      <c r="F302" s="462"/>
      <c r="G302" s="498"/>
      <c r="H302" s="469"/>
    </row>
    <row r="303" spans="2:8" ht="15" thickBot="1" x14ac:dyDescent="0.35">
      <c r="B303" s="186" t="s">
        <v>135</v>
      </c>
      <c r="C303" s="209"/>
      <c r="D303" s="188"/>
      <c r="E303" s="189"/>
      <c r="F303" s="190"/>
      <c r="G303" s="499" t="s">
        <v>762</v>
      </c>
      <c r="H303" s="192">
        <f>SUM(H300:H302)</f>
        <v>1058147</v>
      </c>
    </row>
    <row r="304" spans="2:8" ht="15" thickBot="1" x14ac:dyDescent="0.35">
      <c r="C304" s="131"/>
      <c r="D304" s="128"/>
      <c r="E304" s="129"/>
      <c r="F304" s="130"/>
      <c r="G304" s="500"/>
      <c r="H304" s="201"/>
    </row>
    <row r="305" spans="2:50" ht="15.6" x14ac:dyDescent="0.3">
      <c r="B305" s="133" t="s">
        <v>97</v>
      </c>
      <c r="C305" s="464">
        <v>10</v>
      </c>
      <c r="D305" s="203" t="s">
        <v>390</v>
      </c>
      <c r="E305" s="136"/>
      <c r="F305" s="136"/>
      <c r="G305" s="501"/>
      <c r="H305" s="137">
        <f>SUM(H306:H309)</f>
        <v>57814487</v>
      </c>
    </row>
    <row r="306" spans="2:50" x14ac:dyDescent="0.3">
      <c r="B306" s="147" t="s">
        <v>101</v>
      </c>
      <c r="C306" s="204"/>
      <c r="D306" s="149"/>
      <c r="E306" s="150"/>
      <c r="F306" s="151"/>
      <c r="G306" s="496"/>
      <c r="H306" s="153"/>
    </row>
    <row r="307" spans="2:50" ht="41.4" x14ac:dyDescent="0.3">
      <c r="B307" s="28" t="s">
        <v>767</v>
      </c>
      <c r="C307" s="467" t="s">
        <v>356</v>
      </c>
      <c r="D307" s="457" t="s">
        <v>765</v>
      </c>
      <c r="E307" s="458" t="s">
        <v>89</v>
      </c>
      <c r="F307" s="459">
        <v>1</v>
      </c>
      <c r="G307" s="502">
        <v>31789153</v>
      </c>
      <c r="H307" s="470">
        <f>+G307*F307</f>
        <v>31789153</v>
      </c>
    </row>
    <row r="308" spans="2:50" ht="69" x14ac:dyDescent="0.3">
      <c r="B308" s="28" t="s">
        <v>391</v>
      </c>
      <c r="C308" s="29" t="s">
        <v>359</v>
      </c>
      <c r="D308" s="30" t="s">
        <v>393</v>
      </c>
      <c r="E308" s="31" t="s">
        <v>89</v>
      </c>
      <c r="F308" s="32">
        <v>1</v>
      </c>
      <c r="G308" s="497">
        <v>26025334</v>
      </c>
      <c r="H308" s="34">
        <f>ROUND(F308 * G308,$K$2)</f>
        <v>26025334</v>
      </c>
    </row>
    <row r="309" spans="2:50" x14ac:dyDescent="0.3">
      <c r="B309" s="175"/>
      <c r="C309" s="208"/>
      <c r="D309" s="460"/>
      <c r="E309" s="461"/>
      <c r="F309" s="462"/>
      <c r="G309" s="463"/>
      <c r="H309" s="469"/>
    </row>
    <row r="310" spans="2:50" ht="15" thickBot="1" x14ac:dyDescent="0.35">
      <c r="B310" s="186" t="s">
        <v>135</v>
      </c>
      <c r="C310" s="209"/>
      <c r="D310" s="188"/>
      <c r="E310" s="189"/>
      <c r="F310" s="190"/>
      <c r="G310" s="191" t="str">
        <f>IF(D305="ESCRIBA AQUÍ EL NOMBRE DEL CAPITULO","SUBTOTAL","SUBTOTAL CAP. "&amp;C305&amp;"  "&amp;D305&amp;":")</f>
        <v>SUBTOTAL CAP. 10  EQUIPOS ESPECIALES:</v>
      </c>
      <c r="H310" s="192">
        <f>SUM(H306:H309)</f>
        <v>57814487</v>
      </c>
    </row>
    <row r="311" spans="2:50" x14ac:dyDescent="0.3">
      <c r="C311" s="131"/>
      <c r="D311" s="128"/>
      <c r="E311" s="129"/>
      <c r="F311" s="130"/>
      <c r="G311" s="131"/>
      <c r="H311" s="201"/>
    </row>
    <row r="312" spans="2:50" x14ac:dyDescent="0.3">
      <c r="C312" s="220"/>
      <c r="D312" s="221"/>
      <c r="E312" s="222"/>
      <c r="F312" s="222"/>
      <c r="G312" s="223" t="s">
        <v>763</v>
      </c>
      <c r="H312" s="445">
        <f>+H310+H303+H297+H287+H267+H256+H242+H226+H214+H204</f>
        <v>741301952</v>
      </c>
    </row>
    <row r="313" spans="2:50" x14ac:dyDescent="0.3">
      <c r="H313" s="471"/>
    </row>
    <row r="314" spans="2:50" x14ac:dyDescent="0.3">
      <c r="D314" s="472"/>
      <c r="E314" s="224"/>
      <c r="F314" s="223"/>
      <c r="G314" s="224" t="s">
        <v>436</v>
      </c>
      <c r="H314" s="495">
        <f>+H312+H187</f>
        <v>2678747336</v>
      </c>
      <c r="AW314" s="510"/>
      <c r="AX314" s="441"/>
    </row>
  </sheetData>
  <mergeCells count="16">
    <mergeCell ref="D187:G187"/>
    <mergeCell ref="C191:H191"/>
    <mergeCell ref="C13:H13"/>
    <mergeCell ref="AP177:AS177"/>
    <mergeCell ref="G1:G2"/>
    <mergeCell ref="Q1:U2"/>
    <mergeCell ref="C9:C10"/>
    <mergeCell ref="D9:F10"/>
    <mergeCell ref="Q10:U10"/>
    <mergeCell ref="AP168:AS168"/>
    <mergeCell ref="AP187:AS187"/>
    <mergeCell ref="BA1:BA2"/>
    <mergeCell ref="AP2:AT2"/>
    <mergeCell ref="C7:H7"/>
    <mergeCell ref="AP7:AT7"/>
    <mergeCell ref="C8:H8"/>
  </mergeCells>
  <conditionalFormatting sqref="C9">
    <cfRule type="cellIs" dxfId="77" priority="84" stopIfTrue="1" operator="equal">
      <formula>"ESCRIBA AQUÍ EL NOMBRE DE LA OBRA"</formula>
    </cfRule>
  </conditionalFormatting>
  <conditionalFormatting sqref="C14:D14">
    <cfRule type="cellIs" dxfId="76" priority="79" operator="equal">
      <formula>"ESCRIBA AQUÍ EL NOMBRE DEL CAPITULO"</formula>
    </cfRule>
  </conditionalFormatting>
  <conditionalFormatting sqref="C30:D30">
    <cfRule type="cellIs" dxfId="75" priority="75" operator="equal">
      <formula>"ESCRIBA AQUÍ EL NOMBRE DEL CAPITULO"</formula>
    </cfRule>
  </conditionalFormatting>
  <conditionalFormatting sqref="C47:D47">
    <cfRule type="cellIs" dxfId="74" priority="71" operator="equal">
      <formula>"ESCRIBA AQUÍ EL NOMBRE DEL CAPITULO"</formula>
    </cfRule>
  </conditionalFormatting>
  <conditionalFormatting sqref="C55:D55">
    <cfRule type="cellIs" dxfId="73" priority="67" operator="equal">
      <formula>"ESCRIBA AQUÍ EL NOMBRE DEL CAPITULO"</formula>
    </cfRule>
  </conditionalFormatting>
  <conditionalFormatting sqref="C66:D66">
    <cfRule type="cellIs" dxfId="72" priority="63" operator="equal">
      <formula>"ESCRIBA AQUÍ EL NOMBRE DEL CAPITULO"</formula>
    </cfRule>
  </conditionalFormatting>
  <conditionalFormatting sqref="C77:D77">
    <cfRule type="cellIs" dxfId="71" priority="59" operator="equal">
      <formula>"ESCRIBA AQUÍ EL NOMBRE DEL CAPITULO"</formula>
    </cfRule>
  </conditionalFormatting>
  <conditionalFormatting sqref="C89:D89">
    <cfRule type="cellIs" dxfId="70" priority="55" operator="equal">
      <formula>"ESCRIBA AQUÍ EL NOMBRE DEL CAPITULO"</formula>
    </cfRule>
  </conditionalFormatting>
  <conditionalFormatting sqref="C101:D101">
    <cfRule type="cellIs" dxfId="69" priority="51" operator="equal">
      <formula>"ESCRIBA AQUÍ EL NOMBRE DEL CAPITULO"</formula>
    </cfRule>
  </conditionalFormatting>
  <conditionalFormatting sqref="C129:D129">
    <cfRule type="cellIs" dxfId="68" priority="47" operator="equal">
      <formula>"ESCRIBA AQUÍ EL NOMBRE DEL CAPITULO"</formula>
    </cfRule>
  </conditionalFormatting>
  <conditionalFormatting sqref="C136:D136">
    <cfRule type="cellIs" dxfId="67" priority="43" operator="equal">
      <formula>"ESCRIBA AQUÍ EL NOMBRE DEL CAPITULO"</formula>
    </cfRule>
  </conditionalFormatting>
  <conditionalFormatting sqref="C154:D154">
    <cfRule type="cellIs" dxfId="66" priority="39" operator="equal">
      <formula>"ESCRIBA AQUÍ EL NOMBRE DEL CAPITULO"</formula>
    </cfRule>
  </conditionalFormatting>
  <conditionalFormatting sqref="C192:D192">
    <cfRule type="cellIs" dxfId="65" priority="10" operator="equal">
      <formula>"ESCRIBA AQUÍ EL NOMBRE DEL CAPITULO"</formula>
    </cfRule>
  </conditionalFormatting>
  <conditionalFormatting sqref="C206:D206">
    <cfRule type="cellIs" dxfId="64" priority="9" operator="equal">
      <formula>"ESCRIBA AQUÍ EL NOMBRE DEL CAPITULO"</formula>
    </cfRule>
  </conditionalFormatting>
  <conditionalFormatting sqref="C216:D216">
    <cfRule type="cellIs" dxfId="63" priority="8" operator="equal">
      <formula>"ESCRIBA AQUÍ EL NOMBRE DEL CAPITULO"</formula>
    </cfRule>
  </conditionalFormatting>
  <conditionalFormatting sqref="C228:D228">
    <cfRule type="cellIs" dxfId="62" priority="7" operator="equal">
      <formula>"ESCRIBA AQUÍ EL NOMBRE DEL CAPITULO"</formula>
    </cfRule>
  </conditionalFormatting>
  <conditionalFormatting sqref="C244:D244">
    <cfRule type="cellIs" dxfId="61" priority="6" operator="equal">
      <formula>"ESCRIBA AQUÍ EL NOMBRE DEL CAPITULO"</formula>
    </cfRule>
  </conditionalFormatting>
  <conditionalFormatting sqref="C258:D258">
    <cfRule type="cellIs" dxfId="60" priority="5" operator="equal">
      <formula>"ESCRIBA AQUÍ EL NOMBRE DEL CAPITULO"</formula>
    </cfRule>
  </conditionalFormatting>
  <conditionalFormatting sqref="C269:D269">
    <cfRule type="cellIs" dxfId="59" priority="4" operator="equal">
      <formula>"ESCRIBA AQUÍ EL NOMBRE DEL CAPITULO"</formula>
    </cfRule>
  </conditionalFormatting>
  <conditionalFormatting sqref="C289:D289">
    <cfRule type="cellIs" dxfId="58" priority="3" operator="equal">
      <formula>"ESCRIBA AQUÍ EL NOMBRE DEL CAPITULO"</formula>
    </cfRule>
  </conditionalFormatting>
  <conditionalFormatting sqref="C299:D299">
    <cfRule type="cellIs" dxfId="57" priority="2" operator="equal">
      <formula>"ESCRIBA AQUÍ EL NOMBRE DEL CAPITULO"</formula>
    </cfRule>
  </conditionalFormatting>
  <conditionalFormatting sqref="C305:D305">
    <cfRule type="cellIs" dxfId="56" priority="1" operator="equal">
      <formula>"ESCRIBA AQUÍ EL NOMBRE DEL CAPITULO"</formula>
    </cfRule>
  </conditionalFormatting>
  <conditionalFormatting sqref="H164">
    <cfRule type="cellIs" dxfId="55" priority="24" stopIfTrue="1" operator="equal">
      <formula>0</formula>
    </cfRule>
    <cfRule type="cellIs" dxfId="54" priority="23" stopIfTrue="1" operator="notEqual">
      <formula>0</formula>
    </cfRule>
  </conditionalFormatting>
  <conditionalFormatting sqref="H185">
    <cfRule type="cellIs" dxfId="53" priority="28" stopIfTrue="1" operator="equal">
      <formula>0</formula>
    </cfRule>
    <cfRule type="cellIs" dxfId="52" priority="27" stopIfTrue="1" operator="notEqual">
      <formula>0</formula>
    </cfRule>
  </conditionalFormatting>
  <conditionalFormatting sqref="H189">
    <cfRule type="cellIs" dxfId="51" priority="30" stopIfTrue="1" operator="equal">
      <formula>0</formula>
    </cfRule>
    <cfRule type="cellIs" dxfId="50" priority="29" stopIfTrue="1" operator="notEqual">
      <formula>0</formula>
    </cfRule>
  </conditionalFormatting>
  <conditionalFormatting sqref="H184:I184">
    <cfRule type="expression" dxfId="49" priority="26" stopIfTrue="1">
      <formula>"&lt;G29"""</formula>
    </cfRule>
    <cfRule type="expression" dxfId="48" priority="25" stopIfTrue="1">
      <formula>"&gt;G29"</formula>
    </cfRule>
  </conditionalFormatting>
  <conditionalFormatting sqref="H2:P6">
    <cfRule type="cellIs" dxfId="47" priority="113" stopIfTrue="1" operator="equal">
      <formula>"CHEQ. INSUMOS"</formula>
    </cfRule>
  </conditionalFormatting>
  <conditionalFormatting sqref="H1:Q1">
    <cfRule type="cellIs" dxfId="46" priority="112" stopIfTrue="1" operator="equal">
      <formula>"CHEQ. INSUMOS"</formula>
    </cfRule>
  </conditionalFormatting>
  <conditionalFormatting sqref="I175 K175:O175">
    <cfRule type="expression" dxfId="45" priority="97" stopIfTrue="1">
      <formula>"&lt;G29"""</formula>
    </cfRule>
    <cfRule type="expression" dxfId="44" priority="96" stopIfTrue="1">
      <formula>"&gt;G29"</formula>
    </cfRule>
  </conditionalFormatting>
  <conditionalFormatting sqref="K184:O184">
    <cfRule type="expression" dxfId="43" priority="100" stopIfTrue="1">
      <formula>"&gt;G29"</formula>
    </cfRule>
    <cfRule type="expression" dxfId="42" priority="101" stopIfTrue="1">
      <formula>"&lt;G29"""</formula>
    </cfRule>
  </conditionalFormatting>
  <conditionalFormatting sqref="O163">
    <cfRule type="cellIs" dxfId="41" priority="86" stopIfTrue="1" operator="notEqual">
      <formula>0</formula>
    </cfRule>
  </conditionalFormatting>
  <conditionalFormatting sqref="O165">
    <cfRule type="cellIs" dxfId="40" priority="95" stopIfTrue="1" operator="notEqual">
      <formula>0</formula>
    </cfRule>
  </conditionalFormatting>
  <conditionalFormatting sqref="O167">
    <cfRule type="cellIs" dxfId="39" priority="94" stopIfTrue="1" operator="notEqual">
      <formula>0</formula>
    </cfRule>
  </conditionalFormatting>
  <conditionalFormatting sqref="P2:P6">
    <cfRule type="cellIs" dxfId="38" priority="111" stopIfTrue="1" operator="equal">
      <formula>"ESCRIBA AQUÍ EL NOMBRE DE LA OBRA"</formula>
    </cfRule>
  </conditionalFormatting>
  <conditionalFormatting sqref="P14:V14">
    <cfRule type="cellIs" dxfId="37" priority="81" stopIfTrue="1" operator="notEqual">
      <formula>0</formula>
    </cfRule>
  </conditionalFormatting>
  <conditionalFormatting sqref="P30:V30">
    <cfRule type="cellIs" dxfId="36" priority="76" stopIfTrue="1" operator="notEqual">
      <formula>0</formula>
    </cfRule>
  </conditionalFormatting>
  <conditionalFormatting sqref="P47:V47">
    <cfRule type="cellIs" dxfId="35" priority="72" stopIfTrue="1" operator="notEqual">
      <formula>0</formula>
    </cfRule>
  </conditionalFormatting>
  <conditionalFormatting sqref="P55:V55">
    <cfRule type="cellIs" dxfId="34" priority="68" stopIfTrue="1" operator="notEqual">
      <formula>0</formula>
    </cfRule>
  </conditionalFormatting>
  <conditionalFormatting sqref="P66:V66">
    <cfRule type="cellIs" dxfId="33" priority="64" stopIfTrue="1" operator="notEqual">
      <formula>0</formula>
    </cfRule>
  </conditionalFormatting>
  <conditionalFormatting sqref="P77:V77">
    <cfRule type="cellIs" dxfId="32" priority="60" stopIfTrue="1" operator="notEqual">
      <formula>0</formula>
    </cfRule>
  </conditionalFormatting>
  <conditionalFormatting sqref="P89:V89">
    <cfRule type="cellIs" dxfId="31" priority="56" stopIfTrue="1" operator="notEqual">
      <formula>0</formula>
    </cfRule>
  </conditionalFormatting>
  <conditionalFormatting sqref="P101:V101">
    <cfRule type="cellIs" dxfId="30" priority="52" stopIfTrue="1" operator="notEqual">
      <formula>0</formula>
    </cfRule>
  </conditionalFormatting>
  <conditionalFormatting sqref="P129:V129">
    <cfRule type="cellIs" dxfId="29" priority="48" stopIfTrue="1" operator="notEqual">
      <formula>0</formula>
    </cfRule>
  </conditionalFormatting>
  <conditionalFormatting sqref="P136:V136">
    <cfRule type="cellIs" dxfId="28" priority="44" stopIfTrue="1" operator="notEqual">
      <formula>0</formula>
    </cfRule>
  </conditionalFormatting>
  <conditionalFormatting sqref="P154:V154">
    <cfRule type="cellIs" dxfId="27" priority="40" stopIfTrue="1" operator="notEqual">
      <formula>0</formula>
    </cfRule>
  </conditionalFormatting>
  <conditionalFormatting sqref="V14">
    <cfRule type="cellIs" dxfId="26" priority="83" stopIfTrue="1" operator="equal">
      <formula>0</formula>
    </cfRule>
  </conditionalFormatting>
  <conditionalFormatting sqref="V30">
    <cfRule type="cellIs" dxfId="25" priority="78" stopIfTrue="1" operator="equal">
      <formula>0</formula>
    </cfRule>
  </conditionalFormatting>
  <conditionalFormatting sqref="V47">
    <cfRule type="cellIs" dxfId="24" priority="74" stopIfTrue="1" operator="equal">
      <formula>0</formula>
    </cfRule>
  </conditionalFormatting>
  <conditionalFormatting sqref="V55">
    <cfRule type="cellIs" dxfId="23" priority="70" stopIfTrue="1" operator="equal">
      <formula>0</formula>
    </cfRule>
  </conditionalFormatting>
  <conditionalFormatting sqref="V66">
    <cfRule type="cellIs" dxfId="22" priority="66" stopIfTrue="1" operator="equal">
      <formula>0</formula>
    </cfRule>
  </conditionalFormatting>
  <conditionalFormatting sqref="V77">
    <cfRule type="cellIs" dxfId="21" priority="62" stopIfTrue="1" operator="equal">
      <formula>0</formula>
    </cfRule>
  </conditionalFormatting>
  <conditionalFormatting sqref="V89">
    <cfRule type="cellIs" dxfId="20" priority="58" stopIfTrue="1" operator="equal">
      <formula>0</formula>
    </cfRule>
  </conditionalFormatting>
  <conditionalFormatting sqref="V101">
    <cfRule type="cellIs" dxfId="19" priority="54" stopIfTrue="1" operator="equal">
      <formula>0</formula>
    </cfRule>
  </conditionalFormatting>
  <conditionalFormatting sqref="V129">
    <cfRule type="cellIs" dxfId="18" priority="50" stopIfTrue="1" operator="equal">
      <formula>0</formula>
    </cfRule>
  </conditionalFormatting>
  <conditionalFormatting sqref="V136">
    <cfRule type="cellIs" dxfId="17" priority="46" stopIfTrue="1" operator="equal">
      <formula>0</formula>
    </cfRule>
  </conditionalFormatting>
  <conditionalFormatting sqref="V154">
    <cfRule type="cellIs" dxfId="16" priority="42" stopIfTrue="1" operator="equal">
      <formula>0</formula>
    </cfRule>
  </conditionalFormatting>
  <conditionalFormatting sqref="V2:AF6">
    <cfRule type="cellIs" dxfId="15" priority="104" stopIfTrue="1" operator="equal">
      <formula>"ESCRIBA AQUÍ EL NOMBRE DE LA OBRA"</formula>
    </cfRule>
  </conditionalFormatting>
  <conditionalFormatting sqref="AT1">
    <cfRule type="cellIs" dxfId="14" priority="87" stopIfTrue="1" operator="equal">
      <formula>"CHEQ. INSUMOS"</formula>
    </cfRule>
  </conditionalFormatting>
  <conditionalFormatting sqref="AT175">
    <cfRule type="expression" dxfId="13" priority="92" stopIfTrue="1">
      <formula>"&gt;G29"</formula>
    </cfRule>
    <cfRule type="expression" dxfId="12" priority="93" stopIfTrue="1">
      <formula>"&lt;G29"""</formula>
    </cfRule>
  </conditionalFormatting>
  <conditionalFormatting sqref="AT184">
    <cfRule type="expression" dxfId="11" priority="90" stopIfTrue="1">
      <formula>"&gt;G29"</formula>
    </cfRule>
    <cfRule type="expression" dxfId="10" priority="91" stopIfTrue="1">
      <formula>"&lt;G29"""</formula>
    </cfRule>
  </conditionalFormatting>
  <conditionalFormatting sqref="BA1:BA2">
    <cfRule type="containsText" dxfId="9" priority="85" operator="containsText" text="Precios Base">
      <formula>NOT(ISERROR(SEARCH("Precios Base",BA1)))</formula>
    </cfRule>
  </conditionalFormatting>
  <pageMargins left="0.25" right="0.25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A7C81-2DAC-470B-9E20-3443A1EB1612}">
  <dimension ref="A1:J257"/>
  <sheetViews>
    <sheetView showGridLines="0" topLeftCell="C5" workbookViewId="0"/>
  </sheetViews>
  <sheetFormatPr baseColWidth="10" defaultColWidth="10.77734375" defaultRowHeight="14.4" x14ac:dyDescent="0.3"/>
  <cols>
    <col min="1" max="1" width="11.109375" hidden="1" customWidth="1"/>
    <col min="2" max="2" width="0" hidden="1" customWidth="1"/>
    <col min="3" max="3" width="40" customWidth="1"/>
    <col min="4" max="4" width="9.33203125" customWidth="1"/>
    <col min="5" max="5" width="1.77734375" customWidth="1"/>
    <col min="6" max="6" width="0" hidden="1" customWidth="1"/>
    <col min="7" max="7" width="12.77734375" customWidth="1"/>
    <col min="8" max="8" width="0" hidden="1" customWidth="1"/>
    <col min="9" max="9" width="17.21875" customWidth="1"/>
    <col min="10" max="10" width="17.77734375" customWidth="1"/>
  </cols>
  <sheetData>
    <row r="1" spans="1:10" hidden="1" x14ac:dyDescent="0.3"/>
    <row r="2" spans="1:10" hidden="1" x14ac:dyDescent="0.3"/>
    <row r="3" spans="1:10" hidden="1" x14ac:dyDescent="0.3"/>
    <row r="4" spans="1:10" ht="15" hidden="1" thickBot="1" x14ac:dyDescent="0.35"/>
    <row r="5" spans="1:10" ht="17.399999999999999" x14ac:dyDescent="0.3">
      <c r="A5" s="399"/>
      <c r="B5" s="400"/>
      <c r="C5" s="548" t="str">
        <f>+'PRESUPUESTO 15-7'!C7</f>
        <v>SECRETARIA DE DESARROLLO TERRITORIAL Y PARTICIPACIÓN CIUDADANA</v>
      </c>
      <c r="D5" s="549"/>
      <c r="E5" s="549"/>
      <c r="F5" s="549"/>
      <c r="G5" s="549"/>
      <c r="H5" s="549"/>
      <c r="I5" s="549"/>
      <c r="J5" s="550"/>
    </row>
    <row r="6" spans="1:10" ht="15.6" x14ac:dyDescent="0.3">
      <c r="A6" s="401"/>
      <c r="B6" s="400"/>
      <c r="C6" s="551" t="s">
        <v>703</v>
      </c>
      <c r="D6" s="552"/>
      <c r="E6" s="552"/>
      <c r="F6" s="552"/>
      <c r="G6" s="552"/>
      <c r="H6" s="552"/>
      <c r="I6" s="552"/>
      <c r="J6" s="553"/>
    </row>
    <row r="7" spans="1:10" x14ac:dyDescent="0.3">
      <c r="A7" s="401"/>
      <c r="B7" s="400"/>
      <c r="C7" s="554" t="str">
        <f>'PRESUPUESTO 15-7'!D9</f>
        <v>MANTENIMIENTO CORRECTIVO Y PREVENTIVO DE LOS CENTROS DE ADMINISTRACIÓN LOCAL INTEGRADA DE LAS COMUNAS 15 Y 7 DEL DISTRITO DE SANTIAGO DE CALI</v>
      </c>
      <c r="D7" s="555"/>
      <c r="E7" s="555"/>
      <c r="F7" s="555"/>
      <c r="G7" s="555"/>
      <c r="H7" s="402"/>
      <c r="I7" s="396" t="s">
        <v>84</v>
      </c>
      <c r="J7" s="403">
        <f>'PRESUPUESTO 15-7'!H9</f>
        <v>0</v>
      </c>
    </row>
    <row r="8" spans="1:10" ht="15" thickBot="1" x14ac:dyDescent="0.35">
      <c r="A8" s="404"/>
      <c r="B8" s="400"/>
      <c r="C8" s="556"/>
      <c r="D8" s="557"/>
      <c r="E8" s="557"/>
      <c r="F8" s="557"/>
      <c r="G8" s="557"/>
      <c r="H8" s="405"/>
      <c r="I8" s="397" t="s">
        <v>85</v>
      </c>
      <c r="J8" s="398">
        <f ca="1">'PRESUPUESTO 15-7'!H10</f>
        <v>46079</v>
      </c>
    </row>
    <row r="9" spans="1:10" x14ac:dyDescent="0.3">
      <c r="A9" s="68"/>
      <c r="D9" s="68"/>
      <c r="E9" s="406"/>
      <c r="F9" s="68"/>
      <c r="G9" s="407"/>
      <c r="H9" s="407"/>
      <c r="I9" s="408"/>
      <c r="J9" s="409"/>
    </row>
    <row r="10" spans="1:10" x14ac:dyDescent="0.3">
      <c r="A10" s="410" t="s">
        <v>704</v>
      </c>
      <c r="B10" s="410"/>
      <c r="C10" s="411" t="s">
        <v>88</v>
      </c>
      <c r="D10" s="412" t="s">
        <v>89</v>
      </c>
      <c r="E10" s="413"/>
      <c r="F10" s="414"/>
      <c r="G10" s="415" t="s">
        <v>90</v>
      </c>
      <c r="H10" s="414"/>
      <c r="I10" s="416" t="s">
        <v>663</v>
      </c>
      <c r="J10" s="411" t="s">
        <v>95</v>
      </c>
    </row>
    <row r="11" spans="1:10" x14ac:dyDescent="0.3">
      <c r="A11" s="68"/>
      <c r="D11" s="68"/>
      <c r="E11" s="406"/>
      <c r="F11" s="68"/>
      <c r="G11" s="407"/>
      <c r="H11" s="407"/>
      <c r="I11" s="408"/>
      <c r="J11" s="409"/>
    </row>
    <row r="14" spans="1:10" ht="16.8" x14ac:dyDescent="0.3">
      <c r="A14" s="417" t="s">
        <v>437</v>
      </c>
      <c r="C14" s="418" t="s">
        <v>438</v>
      </c>
      <c r="I14" s="419"/>
      <c r="J14" s="420">
        <f>SUM(J15:J212)</f>
        <v>794149354.5614953</v>
      </c>
    </row>
    <row r="15" spans="1:10" x14ac:dyDescent="0.3">
      <c r="A15" s="421" t="s">
        <v>704</v>
      </c>
      <c r="B15" s="421" t="s">
        <v>705</v>
      </c>
      <c r="C15" s="422" t="s">
        <v>88</v>
      </c>
      <c r="D15" s="423" t="s">
        <v>89</v>
      </c>
      <c r="E15" s="424"/>
      <c r="F15" s="425"/>
      <c r="G15" s="422" t="str">
        <f>IF($B$3&gt;1,"CANT.  / " &amp;$B$1,"CANT.")</f>
        <v>CANT.</v>
      </c>
      <c r="H15" s="425"/>
      <c r="I15" s="422" t="s">
        <v>663</v>
      </c>
      <c r="J15" s="426" t="str">
        <f>IF($B$3&gt;1,"VR.  / " &amp;$B$1,"VR.TOTAL")</f>
        <v>VR.TOTAL</v>
      </c>
    </row>
    <row r="16" spans="1:10" x14ac:dyDescent="0.3">
      <c r="A16" s="427">
        <v>100011</v>
      </c>
      <c r="B16" s="428" t="s">
        <v>456</v>
      </c>
      <c r="C16" s="428" t="s">
        <v>459</v>
      </c>
      <c r="D16" s="429" t="s">
        <v>458</v>
      </c>
      <c r="E16" s="430" t="str">
        <f t="shared" ref="E16:E47" si="0">C16&amp;D16</f>
        <v>ACEITE MOTOR 4 TIEMPOSGLN</v>
      </c>
      <c r="F16" s="431">
        <v>1</v>
      </c>
      <c r="G16" s="428">
        <v>0.87403506000000009</v>
      </c>
      <c r="H16" s="428">
        <v>703.74</v>
      </c>
      <c r="I16" s="432">
        <v>123272</v>
      </c>
      <c r="J16" s="433">
        <f t="shared" ref="J16:J47" si="1">G16*I16</f>
        <v>107744.04991632001</v>
      </c>
    </row>
    <row r="17" spans="1:10" x14ac:dyDescent="0.3">
      <c r="A17" s="427">
        <v>101010</v>
      </c>
      <c r="B17" s="428" t="s">
        <v>472</v>
      </c>
      <c r="C17" s="428" t="s">
        <v>499</v>
      </c>
      <c r="D17" s="429" t="s">
        <v>156</v>
      </c>
      <c r="E17" s="430" t="str">
        <f t="shared" si="0"/>
        <v>ACERO DE REFUERZO 1/2" 60.000 FIGURADOKG</v>
      </c>
      <c r="F17" s="431">
        <v>1</v>
      </c>
      <c r="G17" s="428">
        <v>210</v>
      </c>
      <c r="H17" s="428">
        <v>2550</v>
      </c>
      <c r="I17" s="432">
        <v>4467</v>
      </c>
      <c r="J17" s="433">
        <f t="shared" si="1"/>
        <v>938070</v>
      </c>
    </row>
    <row r="18" spans="1:10" x14ac:dyDescent="0.3">
      <c r="A18" s="427">
        <v>101013</v>
      </c>
      <c r="B18" s="428" t="s">
        <v>472</v>
      </c>
      <c r="C18" s="428" t="s">
        <v>504</v>
      </c>
      <c r="D18" s="429" t="s">
        <v>156</v>
      </c>
      <c r="E18" s="430" t="str">
        <f t="shared" si="0"/>
        <v>ACERO DE REFUERZO 3/4" 60.000 FIGURADOKG</v>
      </c>
      <c r="F18" s="431">
        <v>1</v>
      </c>
      <c r="G18" s="428">
        <v>1614.8000000000002</v>
      </c>
      <c r="H18" s="428">
        <v>9350</v>
      </c>
      <c r="I18" s="432">
        <v>4467</v>
      </c>
      <c r="J18" s="433">
        <f t="shared" si="1"/>
        <v>7213311.6000000006</v>
      </c>
    </row>
    <row r="19" spans="1:10" x14ac:dyDescent="0.3">
      <c r="A19" s="427">
        <v>101015</v>
      </c>
      <c r="B19" s="428" t="s">
        <v>472</v>
      </c>
      <c r="C19" s="428" t="s">
        <v>494</v>
      </c>
      <c r="D19" s="429" t="s">
        <v>156</v>
      </c>
      <c r="E19" s="430" t="str">
        <f t="shared" si="0"/>
        <v>ACERO DE REFUERZO 3/8" 60.000KG</v>
      </c>
      <c r="F19" s="431">
        <v>1</v>
      </c>
      <c r="G19" s="428">
        <v>806.4</v>
      </c>
      <c r="H19" s="428">
        <v>1275</v>
      </c>
      <c r="I19" s="432">
        <v>4467</v>
      </c>
      <c r="J19" s="433">
        <f t="shared" si="1"/>
        <v>3602188.8</v>
      </c>
    </row>
    <row r="20" spans="1:10" x14ac:dyDescent="0.3">
      <c r="A20" s="427">
        <v>101017</v>
      </c>
      <c r="B20" s="428" t="s">
        <v>472</v>
      </c>
      <c r="C20" s="428" t="s">
        <v>498</v>
      </c>
      <c r="D20" s="429" t="s">
        <v>156</v>
      </c>
      <c r="E20" s="430" t="str">
        <f t="shared" si="0"/>
        <v>ACERO DE REFUERZO 5/8" 60.000KG</v>
      </c>
      <c r="F20" s="431">
        <v>1</v>
      </c>
      <c r="G20" s="428">
        <v>1173.5999999999999</v>
      </c>
      <c r="H20" s="428">
        <v>5100</v>
      </c>
      <c r="I20" s="432">
        <v>4467</v>
      </c>
      <c r="J20" s="433">
        <f t="shared" si="1"/>
        <v>5242471.1999999993</v>
      </c>
    </row>
    <row r="21" spans="1:10" x14ac:dyDescent="0.3">
      <c r="A21" s="427">
        <v>101008</v>
      </c>
      <c r="B21" s="428" t="s">
        <v>472</v>
      </c>
      <c r="C21" s="428" t="s">
        <v>492</v>
      </c>
      <c r="D21" s="429" t="s">
        <v>156</v>
      </c>
      <c r="E21" s="430" t="str">
        <f t="shared" si="0"/>
        <v>ACERO DE REFUERZO 60.000 PSI 420 MPAKG</v>
      </c>
      <c r="F21" s="431">
        <v>1</v>
      </c>
      <c r="G21" s="428">
        <v>17055.8112</v>
      </c>
      <c r="H21" s="428">
        <v>4377.5</v>
      </c>
      <c r="I21" s="432">
        <v>4467</v>
      </c>
      <c r="J21" s="433">
        <f t="shared" si="1"/>
        <v>76188308.630400002</v>
      </c>
    </row>
    <row r="22" spans="1:10" x14ac:dyDescent="0.3">
      <c r="A22" s="427">
        <v>100014</v>
      </c>
      <c r="B22" s="428"/>
      <c r="C22" s="428" t="s">
        <v>686</v>
      </c>
      <c r="D22" s="429" t="s">
        <v>458</v>
      </c>
      <c r="E22" s="430" t="str">
        <f t="shared" si="0"/>
        <v>ACIDO MURIATICOGLN</v>
      </c>
      <c r="F22" s="431">
        <v>1</v>
      </c>
      <c r="G22" s="428">
        <v>2.7950235000000001</v>
      </c>
      <c r="H22" s="428">
        <v>116.34</v>
      </c>
      <c r="I22" s="432">
        <v>24214</v>
      </c>
      <c r="J22" s="433">
        <f t="shared" si="1"/>
        <v>67678.699028999996</v>
      </c>
    </row>
    <row r="23" spans="1:10" x14ac:dyDescent="0.3">
      <c r="A23" s="427">
        <v>100018</v>
      </c>
      <c r="B23" s="428"/>
      <c r="C23" s="428" t="s">
        <v>527</v>
      </c>
      <c r="D23" s="429" t="s">
        <v>458</v>
      </c>
      <c r="E23" s="430" t="str">
        <f t="shared" si="0"/>
        <v>ACRONALGLN</v>
      </c>
      <c r="F23" s="431">
        <v>1</v>
      </c>
      <c r="G23" s="428">
        <v>6.2727139999999997</v>
      </c>
      <c r="H23" s="428">
        <v>533.88</v>
      </c>
      <c r="I23" s="432">
        <v>55556</v>
      </c>
      <c r="J23" s="433">
        <f t="shared" si="1"/>
        <v>348486.89898399997</v>
      </c>
    </row>
    <row r="24" spans="1:10" x14ac:dyDescent="0.3">
      <c r="A24" s="427">
        <v>101897</v>
      </c>
      <c r="B24" s="428"/>
      <c r="C24" s="428" t="s">
        <v>621</v>
      </c>
      <c r="D24" s="429" t="s">
        <v>89</v>
      </c>
      <c r="E24" s="430" t="str">
        <f t="shared" si="0"/>
        <v>ADAP. TERMINAL PVC 1/2"UND</v>
      </c>
      <c r="F24" s="431">
        <v>1</v>
      </c>
      <c r="G24" s="428">
        <v>308</v>
      </c>
      <c r="H24" s="428">
        <v>934</v>
      </c>
      <c r="I24" s="432">
        <v>491</v>
      </c>
      <c r="J24" s="433">
        <f t="shared" si="1"/>
        <v>151228</v>
      </c>
    </row>
    <row r="25" spans="1:10" x14ac:dyDescent="0.3">
      <c r="A25" s="427">
        <v>117006</v>
      </c>
      <c r="B25" s="428"/>
      <c r="C25" s="428" t="s">
        <v>500</v>
      </c>
      <c r="D25" s="429" t="s">
        <v>156</v>
      </c>
      <c r="E25" s="430" t="str">
        <f t="shared" si="0"/>
        <v>ADHERENTE EPOX. CONCRETO SECADO LENTOKG</v>
      </c>
      <c r="F25" s="431">
        <v>1</v>
      </c>
      <c r="G25" s="428">
        <v>175.96799999999999</v>
      </c>
      <c r="H25" s="428">
        <v>104707.8</v>
      </c>
      <c r="I25" s="432">
        <v>183413</v>
      </c>
      <c r="J25" s="433">
        <f t="shared" si="1"/>
        <v>32274818.783999998</v>
      </c>
    </row>
    <row r="26" spans="1:10" x14ac:dyDescent="0.3">
      <c r="A26" s="427">
        <v>106015</v>
      </c>
      <c r="B26" s="428" t="s">
        <v>456</v>
      </c>
      <c r="C26" s="428" t="s">
        <v>493</v>
      </c>
      <c r="D26" s="429" t="s">
        <v>89</v>
      </c>
      <c r="E26" s="430" t="str">
        <f t="shared" si="0"/>
        <v>ADHES. ANCL. ESTR. 600ML TIPO ANCHORFIX 3001UND</v>
      </c>
      <c r="F26" s="431">
        <v>1</v>
      </c>
      <c r="G26" s="428">
        <v>229.72720000000001</v>
      </c>
      <c r="H26" s="428">
        <v>8884.08</v>
      </c>
      <c r="I26" s="432">
        <v>233429</v>
      </c>
      <c r="J26" s="433">
        <f t="shared" si="1"/>
        <v>53624990.568800002</v>
      </c>
    </row>
    <row r="27" spans="1:10" x14ac:dyDescent="0.3">
      <c r="A27" s="427">
        <v>101619</v>
      </c>
      <c r="B27" s="428" t="s">
        <v>456</v>
      </c>
      <c r="C27" s="428" t="s">
        <v>667</v>
      </c>
      <c r="D27" s="429" t="s">
        <v>156</v>
      </c>
      <c r="E27" s="430" t="str">
        <f t="shared" si="0"/>
        <v>ADITIVO LIQ. IMPERMEAB. PARA MORTEROKG</v>
      </c>
      <c r="F27" s="431">
        <v>1</v>
      </c>
      <c r="G27" s="428">
        <v>250.15199999999999</v>
      </c>
      <c r="H27" s="428">
        <v>17113.599999999999</v>
      </c>
      <c r="I27" s="432">
        <v>25695</v>
      </c>
      <c r="J27" s="433">
        <f t="shared" si="1"/>
        <v>6427655.6399999997</v>
      </c>
    </row>
    <row r="28" spans="1:10" x14ac:dyDescent="0.3">
      <c r="A28" s="427">
        <v>100053</v>
      </c>
      <c r="B28" s="428" t="s">
        <v>439</v>
      </c>
      <c r="C28" s="428" t="s">
        <v>440</v>
      </c>
      <c r="D28" s="429" t="s">
        <v>441</v>
      </c>
      <c r="E28" s="430" t="str">
        <f t="shared" si="0"/>
        <v>AGUALT</v>
      </c>
      <c r="F28" s="431">
        <v>1</v>
      </c>
      <c r="G28" s="428">
        <v>59551.436107000009</v>
      </c>
      <c r="H28" s="428">
        <v>18500</v>
      </c>
      <c r="I28" s="432">
        <v>78</v>
      </c>
      <c r="J28" s="433">
        <f t="shared" si="1"/>
        <v>4645012.0163460011</v>
      </c>
    </row>
    <row r="29" spans="1:10" x14ac:dyDescent="0.3">
      <c r="A29" s="427">
        <v>140208</v>
      </c>
      <c r="B29" s="428" t="s">
        <v>697</v>
      </c>
      <c r="C29" s="428" t="s">
        <v>701</v>
      </c>
      <c r="D29" s="429" t="s">
        <v>89</v>
      </c>
      <c r="E29" s="430" t="str">
        <f t="shared" si="0"/>
        <v>AIRE ACONDICIONADO TIPO INVERTER 60000BTUUND</v>
      </c>
      <c r="F29" s="431">
        <v>1</v>
      </c>
      <c r="G29" s="428">
        <v>1</v>
      </c>
      <c r="H29" s="428">
        <v>13253625</v>
      </c>
      <c r="I29" s="432">
        <v>13929560</v>
      </c>
      <c r="J29" s="433">
        <f t="shared" si="1"/>
        <v>13929560</v>
      </c>
    </row>
    <row r="30" spans="1:10" x14ac:dyDescent="0.3">
      <c r="A30" s="427">
        <v>119095</v>
      </c>
      <c r="B30" s="428"/>
      <c r="C30" s="428" t="s">
        <v>691</v>
      </c>
      <c r="D30" s="429" t="s">
        <v>89</v>
      </c>
      <c r="E30" s="430" t="str">
        <f t="shared" si="0"/>
        <v>AISLANTE TERMICO RUBATEX 7/8" X 1.80MUND</v>
      </c>
      <c r="F30" s="431">
        <v>1</v>
      </c>
      <c r="G30" s="428">
        <v>44</v>
      </c>
      <c r="H30" s="428">
        <v>616924</v>
      </c>
      <c r="I30" s="432">
        <v>14736</v>
      </c>
      <c r="J30" s="433">
        <f t="shared" si="1"/>
        <v>648384</v>
      </c>
    </row>
    <row r="31" spans="1:10" x14ac:dyDescent="0.3">
      <c r="A31" s="427">
        <v>100065</v>
      </c>
      <c r="B31" s="428" t="s">
        <v>607</v>
      </c>
      <c r="C31" s="428" t="s">
        <v>608</v>
      </c>
      <c r="D31" s="429" t="s">
        <v>33</v>
      </c>
      <c r="E31" s="430" t="str">
        <f t="shared" si="0"/>
        <v>ALAMBRE COBRE THWN #12M</v>
      </c>
      <c r="F31" s="431">
        <v>1</v>
      </c>
      <c r="G31" s="428">
        <v>1532.1000000000001</v>
      </c>
      <c r="H31" s="428">
        <v>23049</v>
      </c>
      <c r="I31" s="432">
        <v>2692</v>
      </c>
      <c r="J31" s="433">
        <f t="shared" si="1"/>
        <v>4124413.2</v>
      </c>
    </row>
    <row r="32" spans="1:10" x14ac:dyDescent="0.3">
      <c r="A32" s="427">
        <v>100066</v>
      </c>
      <c r="B32" s="428" t="s">
        <v>607</v>
      </c>
      <c r="C32" s="428" t="s">
        <v>609</v>
      </c>
      <c r="D32" s="429" t="s">
        <v>33</v>
      </c>
      <c r="E32" s="430" t="str">
        <f t="shared" si="0"/>
        <v>ALAMBRE COBRE THWN #14M</v>
      </c>
      <c r="F32" s="431">
        <v>1</v>
      </c>
      <c r="G32" s="428">
        <v>725.85</v>
      </c>
      <c r="H32" s="428">
        <v>7708.5</v>
      </c>
      <c r="I32" s="432">
        <v>1800</v>
      </c>
      <c r="J32" s="433">
        <f t="shared" si="1"/>
        <v>1306530</v>
      </c>
    </row>
    <row r="33" spans="1:10" x14ac:dyDescent="0.3">
      <c r="A33" s="427">
        <v>100075</v>
      </c>
      <c r="B33" s="428" t="s">
        <v>607</v>
      </c>
      <c r="C33" s="428" t="s">
        <v>610</v>
      </c>
      <c r="D33" s="429" t="s">
        <v>156</v>
      </c>
      <c r="E33" s="430" t="str">
        <f t="shared" si="0"/>
        <v>ALAMBRE GALVANIZADO CALIBRE 18KG</v>
      </c>
      <c r="F33" s="431">
        <v>1</v>
      </c>
      <c r="G33" s="428">
        <v>21.799999999999997</v>
      </c>
      <c r="H33" s="428">
        <v>1688.4</v>
      </c>
      <c r="I33" s="432">
        <v>17745</v>
      </c>
      <c r="J33" s="433">
        <f t="shared" si="1"/>
        <v>386840.99999999994</v>
      </c>
    </row>
    <row r="34" spans="1:10" x14ac:dyDescent="0.3">
      <c r="A34" s="427">
        <v>100076</v>
      </c>
      <c r="B34" s="428" t="s">
        <v>472</v>
      </c>
      <c r="C34" s="428" t="s">
        <v>489</v>
      </c>
      <c r="D34" s="429" t="s">
        <v>156</v>
      </c>
      <c r="E34" s="430" t="str">
        <f t="shared" si="0"/>
        <v>ALAMBRE NEGRO PARA AMARRE CALIBRE 18KG</v>
      </c>
      <c r="F34" s="431">
        <v>1</v>
      </c>
      <c r="G34" s="428">
        <v>662.36159999999995</v>
      </c>
      <c r="H34" s="428">
        <v>250</v>
      </c>
      <c r="I34" s="432">
        <v>6569</v>
      </c>
      <c r="J34" s="433">
        <f t="shared" si="1"/>
        <v>4351053.3503999999</v>
      </c>
    </row>
    <row r="35" spans="1:10" x14ac:dyDescent="0.3">
      <c r="A35" s="427">
        <v>117009</v>
      </c>
      <c r="B35" s="428"/>
      <c r="C35" s="428" t="s">
        <v>524</v>
      </c>
      <c r="D35" s="429" t="s">
        <v>441</v>
      </c>
      <c r="E35" s="430" t="str">
        <f t="shared" si="0"/>
        <v>ALFACRILLT</v>
      </c>
      <c r="F35" s="431">
        <v>1</v>
      </c>
      <c r="G35" s="428">
        <v>55.9</v>
      </c>
      <c r="H35" s="428">
        <v>853.84</v>
      </c>
      <c r="I35" s="432">
        <v>3451</v>
      </c>
      <c r="J35" s="433">
        <f t="shared" si="1"/>
        <v>192910.9</v>
      </c>
    </row>
    <row r="36" spans="1:10" x14ac:dyDescent="0.3">
      <c r="A36" s="427">
        <v>117010</v>
      </c>
      <c r="B36" s="428"/>
      <c r="C36" s="428" t="s">
        <v>523</v>
      </c>
      <c r="D36" s="429" t="s">
        <v>156</v>
      </c>
      <c r="E36" s="430" t="str">
        <f t="shared" si="0"/>
        <v>ALFALISTOKG</v>
      </c>
      <c r="F36" s="431">
        <v>1</v>
      </c>
      <c r="G36" s="428">
        <v>193.5</v>
      </c>
      <c r="H36" s="428">
        <v>1712.7</v>
      </c>
      <c r="I36" s="432">
        <v>2000</v>
      </c>
      <c r="J36" s="433">
        <f t="shared" si="1"/>
        <v>387000</v>
      </c>
    </row>
    <row r="37" spans="1:10" x14ac:dyDescent="0.3">
      <c r="A37" s="427">
        <v>100097</v>
      </c>
      <c r="B37" s="428" t="s">
        <v>607</v>
      </c>
      <c r="C37" s="428" t="s">
        <v>634</v>
      </c>
      <c r="D37" s="429" t="s">
        <v>89</v>
      </c>
      <c r="E37" s="430" t="str">
        <f t="shared" si="0"/>
        <v>ANGULAR EN V DE 18 X 48"UND</v>
      </c>
      <c r="F37" s="431">
        <v>1</v>
      </c>
      <c r="G37" s="428">
        <v>4</v>
      </c>
      <c r="H37" s="428">
        <v>266352</v>
      </c>
      <c r="I37" s="432">
        <v>69984</v>
      </c>
      <c r="J37" s="433">
        <f t="shared" si="1"/>
        <v>279936</v>
      </c>
    </row>
    <row r="38" spans="1:10" x14ac:dyDescent="0.3">
      <c r="A38" s="427">
        <v>100107</v>
      </c>
      <c r="B38" s="428" t="s">
        <v>530</v>
      </c>
      <c r="C38" s="428" t="s">
        <v>680</v>
      </c>
      <c r="D38" s="429" t="s">
        <v>458</v>
      </c>
      <c r="E38" s="430" t="str">
        <f t="shared" si="0"/>
        <v>ANTICORROSIVO PHCLGLN</v>
      </c>
      <c r="F38" s="431">
        <v>1</v>
      </c>
      <c r="G38" s="428">
        <v>0.91799999999999993</v>
      </c>
      <c r="H38" s="428">
        <v>12606.43</v>
      </c>
      <c r="I38" s="432">
        <v>86597</v>
      </c>
      <c r="J38" s="433">
        <f t="shared" si="1"/>
        <v>79496.045999999988</v>
      </c>
    </row>
    <row r="39" spans="1:10" x14ac:dyDescent="0.3">
      <c r="A39" s="427">
        <v>100111</v>
      </c>
      <c r="B39" s="428" t="s">
        <v>456</v>
      </c>
      <c r="C39" s="428" t="s">
        <v>481</v>
      </c>
      <c r="D39" s="429" t="s">
        <v>156</v>
      </c>
      <c r="E39" s="430" t="str">
        <f t="shared" si="0"/>
        <v>ANTISOL BLANCOKG</v>
      </c>
      <c r="F39" s="431">
        <v>1</v>
      </c>
      <c r="G39" s="428">
        <v>39.1</v>
      </c>
      <c r="H39" s="428">
        <v>27424</v>
      </c>
      <c r="I39" s="432">
        <v>14411</v>
      </c>
      <c r="J39" s="433">
        <f t="shared" si="1"/>
        <v>563470.1</v>
      </c>
    </row>
    <row r="40" spans="1:10" x14ac:dyDescent="0.3">
      <c r="A40" s="427">
        <v>100123</v>
      </c>
      <c r="B40" s="428" t="s">
        <v>442</v>
      </c>
      <c r="C40" s="428" t="s">
        <v>454</v>
      </c>
      <c r="D40" s="429" t="s">
        <v>131</v>
      </c>
      <c r="E40" s="430" t="str">
        <f t="shared" si="0"/>
        <v>ARENA DE TRITURACIÓN Y/O ARENA GRUESA DE RIOM3</v>
      </c>
      <c r="F40" s="431">
        <v>1</v>
      </c>
      <c r="G40" s="428">
        <v>84.023903768000025</v>
      </c>
      <c r="H40" s="428">
        <v>30153.95</v>
      </c>
      <c r="I40" s="432">
        <v>54944</v>
      </c>
      <c r="J40" s="433">
        <f t="shared" si="1"/>
        <v>4616609.3686289936</v>
      </c>
    </row>
    <row r="41" spans="1:10" x14ac:dyDescent="0.3">
      <c r="A41" s="427">
        <v>100122</v>
      </c>
      <c r="B41" s="428" t="s">
        <v>442</v>
      </c>
      <c r="C41" s="428" t="s">
        <v>453</v>
      </c>
      <c r="D41" s="429" t="s">
        <v>131</v>
      </c>
      <c r="E41" s="430" t="str">
        <f t="shared" si="0"/>
        <v>ARENA FINA DE RIOM3</v>
      </c>
      <c r="F41" s="431">
        <v>1</v>
      </c>
      <c r="G41" s="428">
        <v>24.425326999999999</v>
      </c>
      <c r="H41" s="428">
        <v>65797.52</v>
      </c>
      <c r="I41" s="432">
        <v>59615</v>
      </c>
      <c r="J41" s="433">
        <f t="shared" si="1"/>
        <v>1456115.869105</v>
      </c>
    </row>
    <row r="42" spans="1:10" x14ac:dyDescent="0.3">
      <c r="A42" s="427">
        <v>100124</v>
      </c>
      <c r="B42" s="428" t="s">
        <v>442</v>
      </c>
      <c r="C42" s="428" t="s">
        <v>443</v>
      </c>
      <c r="D42" s="429" t="s">
        <v>131</v>
      </c>
      <c r="E42" s="430" t="str">
        <f t="shared" si="0"/>
        <v>ARENA MEDIA DE RIO Y/O DE TRITURACIÓNM3</v>
      </c>
      <c r="F42" s="431">
        <v>1</v>
      </c>
      <c r="G42" s="428">
        <v>109.12522677000001</v>
      </c>
      <c r="H42" s="428">
        <v>55283.21</v>
      </c>
      <c r="I42" s="432">
        <v>59900</v>
      </c>
      <c r="J42" s="433">
        <f t="shared" si="1"/>
        <v>6536601.0835230006</v>
      </c>
    </row>
    <row r="43" spans="1:10" x14ac:dyDescent="0.3">
      <c r="A43" s="427">
        <v>100157</v>
      </c>
      <c r="B43" s="428" t="s">
        <v>607</v>
      </c>
      <c r="C43" s="428" t="s">
        <v>635</v>
      </c>
      <c r="D43" s="429" t="s">
        <v>89</v>
      </c>
      <c r="E43" s="430" t="str">
        <f t="shared" si="0"/>
        <v>BANDA COPA DOBLE 6-7" COMPUND</v>
      </c>
      <c r="F43" s="431">
        <v>1</v>
      </c>
      <c r="G43" s="428">
        <v>4</v>
      </c>
      <c r="H43" s="428">
        <v>99308</v>
      </c>
      <c r="I43" s="432">
        <v>26093</v>
      </c>
      <c r="J43" s="433">
        <f t="shared" si="1"/>
        <v>104372</v>
      </c>
    </row>
    <row r="44" spans="1:10" x14ac:dyDescent="0.3">
      <c r="A44" s="427">
        <v>119075</v>
      </c>
      <c r="B44" s="428"/>
      <c r="C44" s="428" t="s">
        <v>653</v>
      </c>
      <c r="D44" s="429" t="s">
        <v>89</v>
      </c>
      <c r="E44" s="430" t="str">
        <f t="shared" si="0"/>
        <v>BASE 7 PINESUND</v>
      </c>
      <c r="F44" s="431">
        <v>1</v>
      </c>
      <c r="G44" s="428">
        <v>3</v>
      </c>
      <c r="H44" s="428">
        <v>94312</v>
      </c>
      <c r="I44" s="432">
        <v>99122</v>
      </c>
      <c r="J44" s="433">
        <f t="shared" si="1"/>
        <v>297366</v>
      </c>
    </row>
    <row r="45" spans="1:10" x14ac:dyDescent="0.3">
      <c r="A45" s="427">
        <v>105018</v>
      </c>
      <c r="B45" s="428" t="s">
        <v>530</v>
      </c>
      <c r="C45" s="428" t="s">
        <v>540</v>
      </c>
      <c r="D45" s="429" t="s">
        <v>458</v>
      </c>
      <c r="E45" s="430" t="str">
        <f t="shared" si="0"/>
        <v>BASE ESGRAFIADOGLN</v>
      </c>
      <c r="F45" s="431">
        <v>1</v>
      </c>
      <c r="G45" s="428">
        <v>24.55</v>
      </c>
      <c r="H45" s="428">
        <v>1395.75</v>
      </c>
      <c r="I45" s="432">
        <v>29339</v>
      </c>
      <c r="J45" s="433">
        <f t="shared" si="1"/>
        <v>720272.45000000007</v>
      </c>
    </row>
    <row r="46" spans="1:10" x14ac:dyDescent="0.3">
      <c r="A46" s="427">
        <v>100204</v>
      </c>
      <c r="B46" s="428"/>
      <c r="C46" s="428" t="s">
        <v>553</v>
      </c>
      <c r="D46" s="429" t="s">
        <v>89</v>
      </c>
      <c r="E46" s="430" t="str">
        <f t="shared" si="0"/>
        <v>BISAGRA ALUMINIO 3"X2-1/2"UND</v>
      </c>
      <c r="F46" s="431">
        <v>1</v>
      </c>
      <c r="G46" s="428">
        <v>3</v>
      </c>
      <c r="H46" s="428">
        <v>17502</v>
      </c>
      <c r="I46" s="432">
        <v>6132</v>
      </c>
      <c r="J46" s="433">
        <f t="shared" si="1"/>
        <v>18396</v>
      </c>
    </row>
    <row r="47" spans="1:10" x14ac:dyDescent="0.3">
      <c r="A47" s="427">
        <v>100201</v>
      </c>
      <c r="B47" s="428" t="s">
        <v>542</v>
      </c>
      <c r="C47" s="428" t="s">
        <v>559</v>
      </c>
      <c r="D47" s="429" t="s">
        <v>560</v>
      </c>
      <c r="E47" s="430" t="str">
        <f t="shared" si="0"/>
        <v>BISAGRA COBRIZADA 3"X1-1/4"PAR</v>
      </c>
      <c r="F47" s="431">
        <v>1</v>
      </c>
      <c r="G47" s="428">
        <v>144</v>
      </c>
      <c r="H47" s="428">
        <v>63048</v>
      </c>
      <c r="I47" s="432">
        <v>11044</v>
      </c>
      <c r="J47" s="433">
        <f t="shared" si="1"/>
        <v>1590336</v>
      </c>
    </row>
    <row r="48" spans="1:10" x14ac:dyDescent="0.3">
      <c r="A48" s="427">
        <v>106000</v>
      </c>
      <c r="B48" s="428" t="s">
        <v>542</v>
      </c>
      <c r="C48" s="428" t="s">
        <v>676</v>
      </c>
      <c r="D48" s="429" t="s">
        <v>560</v>
      </c>
      <c r="E48" s="430" t="str">
        <f t="shared" ref="E48:E79" si="2">C48&amp;D48</f>
        <v>BISAGRA COBRIZADA 3"X2-1/2"PAR</v>
      </c>
      <c r="F48" s="431">
        <v>1</v>
      </c>
      <c r="G48" s="428">
        <v>6</v>
      </c>
      <c r="H48" s="428">
        <v>13461</v>
      </c>
      <c r="I48" s="432">
        <v>14148</v>
      </c>
      <c r="J48" s="433">
        <f t="shared" ref="J48:J79" si="3">G48*I48</f>
        <v>84888</v>
      </c>
    </row>
    <row r="49" spans="1:10" x14ac:dyDescent="0.3">
      <c r="A49" s="427">
        <v>140205</v>
      </c>
      <c r="B49" s="428" t="s">
        <v>697</v>
      </c>
      <c r="C49" s="428" t="s">
        <v>698</v>
      </c>
      <c r="D49" s="429" t="s">
        <v>89</v>
      </c>
      <c r="E49" s="430" t="str">
        <f t="shared" si="2"/>
        <v>BOMBA DE CONDENSADOUND</v>
      </c>
      <c r="F49" s="431">
        <v>1</v>
      </c>
      <c r="G49" s="428">
        <v>1</v>
      </c>
      <c r="H49" s="428">
        <v>700000</v>
      </c>
      <c r="I49" s="432">
        <v>735700</v>
      </c>
      <c r="J49" s="433">
        <f t="shared" si="3"/>
        <v>735700</v>
      </c>
    </row>
    <row r="50" spans="1:10" x14ac:dyDescent="0.3">
      <c r="A50" s="427">
        <v>100312</v>
      </c>
      <c r="B50" s="428" t="s">
        <v>607</v>
      </c>
      <c r="C50" s="428" t="s">
        <v>628</v>
      </c>
      <c r="D50" s="429" t="s">
        <v>89</v>
      </c>
      <c r="E50" s="430" t="str">
        <f t="shared" si="2"/>
        <v>BREAKER 2 X 15AUND</v>
      </c>
      <c r="F50" s="431">
        <v>1</v>
      </c>
      <c r="G50" s="428">
        <v>24</v>
      </c>
      <c r="H50" s="428">
        <v>58490</v>
      </c>
      <c r="I50" s="432">
        <v>61473</v>
      </c>
      <c r="J50" s="433">
        <f t="shared" si="3"/>
        <v>1475352</v>
      </c>
    </row>
    <row r="51" spans="1:10" x14ac:dyDescent="0.3">
      <c r="A51" s="427">
        <v>140207</v>
      </c>
      <c r="B51" s="428" t="s">
        <v>607</v>
      </c>
      <c r="C51" s="428" t="s">
        <v>700</v>
      </c>
      <c r="D51" s="429" t="s">
        <v>89</v>
      </c>
      <c r="E51" s="430" t="str">
        <f t="shared" si="2"/>
        <v>BREAKER 2X40 AUND</v>
      </c>
      <c r="F51" s="431">
        <v>1</v>
      </c>
      <c r="G51" s="428">
        <v>1</v>
      </c>
      <c r="H51" s="428">
        <v>67400</v>
      </c>
      <c r="I51" s="432">
        <v>70837</v>
      </c>
      <c r="J51" s="433">
        <f t="shared" si="3"/>
        <v>70837</v>
      </c>
    </row>
    <row r="52" spans="1:10" x14ac:dyDescent="0.3">
      <c r="A52" s="427">
        <v>105024</v>
      </c>
      <c r="B52" s="428" t="s">
        <v>439</v>
      </c>
      <c r="C52" s="428" t="s">
        <v>495</v>
      </c>
      <c r="D52" s="429" t="s">
        <v>89</v>
      </c>
      <c r="E52" s="430" t="str">
        <f t="shared" si="2"/>
        <v>BROCA TUGSTENO SDS MAX 3/4" X 20" (50 CM)UND</v>
      </c>
      <c r="F52" s="431">
        <v>1</v>
      </c>
      <c r="G52" s="428">
        <v>18.720000000000002</v>
      </c>
      <c r="H52" s="428">
        <v>997.94</v>
      </c>
      <c r="I52" s="432">
        <v>262209</v>
      </c>
      <c r="J52" s="433">
        <f t="shared" si="3"/>
        <v>4908552.4800000004</v>
      </c>
    </row>
    <row r="53" spans="1:10" x14ac:dyDescent="0.3">
      <c r="A53" s="427">
        <v>105026</v>
      </c>
      <c r="B53" s="428" t="s">
        <v>490</v>
      </c>
      <c r="C53" s="428" t="s">
        <v>505</v>
      </c>
      <c r="D53" s="429" t="s">
        <v>89</v>
      </c>
      <c r="E53" s="430" t="str">
        <f t="shared" si="2"/>
        <v>BROCA TUGSTENO SDS MAX 7/8" X 18" (45 CM)UND</v>
      </c>
      <c r="F53" s="431">
        <v>1</v>
      </c>
      <c r="G53" s="428">
        <v>4.4039999999999999</v>
      </c>
      <c r="H53" s="428">
        <v>2405.11</v>
      </c>
      <c r="I53" s="432">
        <v>421295</v>
      </c>
      <c r="J53" s="433">
        <f t="shared" si="3"/>
        <v>1855383.18</v>
      </c>
    </row>
    <row r="54" spans="1:10" x14ac:dyDescent="0.3">
      <c r="A54" s="427">
        <v>117033</v>
      </c>
      <c r="B54" s="428"/>
      <c r="C54" s="428" t="s">
        <v>534</v>
      </c>
      <c r="D54" s="429" t="s">
        <v>89</v>
      </c>
      <c r="E54" s="430" t="str">
        <f t="shared" si="2"/>
        <v>BROCHA CERDA MONA 4"UND</v>
      </c>
      <c r="F54" s="431">
        <v>1</v>
      </c>
      <c r="G54" s="428">
        <v>15.2987</v>
      </c>
      <c r="H54" s="428">
        <v>193.57</v>
      </c>
      <c r="I54" s="432">
        <v>20344</v>
      </c>
      <c r="J54" s="433">
        <f t="shared" si="3"/>
        <v>311236.75280000002</v>
      </c>
    </row>
    <row r="55" spans="1:10" x14ac:dyDescent="0.3">
      <c r="A55" s="427">
        <v>117037</v>
      </c>
      <c r="B55" s="428"/>
      <c r="C55" s="428" t="s">
        <v>647</v>
      </c>
      <c r="D55" s="429" t="s">
        <v>33</v>
      </c>
      <c r="E55" s="430" t="str">
        <f t="shared" si="2"/>
        <v>CABLE 3X12 AWG-7H TRENZADOM</v>
      </c>
      <c r="F55" s="431">
        <v>1</v>
      </c>
      <c r="G55" s="428">
        <v>300</v>
      </c>
      <c r="H55" s="428">
        <v>50195</v>
      </c>
      <c r="I55" s="432">
        <v>10551</v>
      </c>
      <c r="J55" s="433">
        <f t="shared" si="3"/>
        <v>3165300</v>
      </c>
    </row>
    <row r="56" spans="1:10" x14ac:dyDescent="0.3">
      <c r="A56" s="427">
        <v>140201</v>
      </c>
      <c r="B56" s="428" t="s">
        <v>607</v>
      </c>
      <c r="C56" s="428" t="s">
        <v>693</v>
      </c>
      <c r="D56" s="429" t="s">
        <v>694</v>
      </c>
      <c r="E56" s="430" t="str">
        <f t="shared" si="2"/>
        <v>CABLE 3X14 AWG ENCAUCHETADOML</v>
      </c>
      <c r="F56" s="431">
        <v>1</v>
      </c>
      <c r="G56" s="428">
        <v>30</v>
      </c>
      <c r="H56" s="428">
        <v>240000</v>
      </c>
      <c r="I56" s="432">
        <v>8408</v>
      </c>
      <c r="J56" s="433">
        <f t="shared" si="3"/>
        <v>252240</v>
      </c>
    </row>
    <row r="57" spans="1:10" x14ac:dyDescent="0.3">
      <c r="A57" s="427">
        <v>100360</v>
      </c>
      <c r="B57" s="428" t="s">
        <v>607</v>
      </c>
      <c r="C57" s="428" t="s">
        <v>643</v>
      </c>
      <c r="D57" s="429" t="s">
        <v>33</v>
      </c>
      <c r="E57" s="430" t="str">
        <f t="shared" si="2"/>
        <v>CABLE ACSR NUMERO 4M</v>
      </c>
      <c r="F57" s="431">
        <v>1</v>
      </c>
      <c r="G57" s="428">
        <v>600</v>
      </c>
      <c r="H57" s="428">
        <v>1356000</v>
      </c>
      <c r="I57" s="432">
        <v>2375</v>
      </c>
      <c r="J57" s="433">
        <f t="shared" si="3"/>
        <v>1425000</v>
      </c>
    </row>
    <row r="58" spans="1:10" x14ac:dyDescent="0.3">
      <c r="A58" s="427">
        <v>100373</v>
      </c>
      <c r="B58" s="428" t="s">
        <v>607</v>
      </c>
      <c r="C58" s="428" t="s">
        <v>632</v>
      </c>
      <c r="D58" s="429" t="s">
        <v>33</v>
      </c>
      <c r="E58" s="430" t="str">
        <f t="shared" si="2"/>
        <v>CABLE COBRE THW #1/0M</v>
      </c>
      <c r="F58" s="431">
        <v>1</v>
      </c>
      <c r="G58" s="428">
        <v>252</v>
      </c>
      <c r="H58" s="428">
        <v>187000.8</v>
      </c>
      <c r="I58" s="432">
        <v>46795</v>
      </c>
      <c r="J58" s="433">
        <f t="shared" si="3"/>
        <v>11792340</v>
      </c>
    </row>
    <row r="59" spans="1:10" x14ac:dyDescent="0.3">
      <c r="A59" s="427">
        <v>100382</v>
      </c>
      <c r="B59" s="428" t="s">
        <v>607</v>
      </c>
      <c r="C59" s="428" t="s">
        <v>645</v>
      </c>
      <c r="D59" s="429" t="s">
        <v>33</v>
      </c>
      <c r="E59" s="430" t="str">
        <f t="shared" si="2"/>
        <v>CABLE COBRE THW #12M</v>
      </c>
      <c r="F59" s="431">
        <v>1</v>
      </c>
      <c r="G59" s="428">
        <v>2504.25</v>
      </c>
      <c r="H59" s="428">
        <v>3029.25</v>
      </c>
      <c r="I59" s="432">
        <v>3032</v>
      </c>
      <c r="J59" s="433">
        <f t="shared" si="3"/>
        <v>7592886</v>
      </c>
    </row>
    <row r="60" spans="1:10" x14ac:dyDescent="0.3">
      <c r="A60" s="427">
        <v>100383</v>
      </c>
      <c r="B60" s="428" t="s">
        <v>607</v>
      </c>
      <c r="C60" s="428" t="s">
        <v>646</v>
      </c>
      <c r="D60" s="429" t="s">
        <v>33</v>
      </c>
      <c r="E60" s="430" t="str">
        <f t="shared" si="2"/>
        <v>CABLE COBRE THW #14M</v>
      </c>
      <c r="F60" s="431">
        <v>1</v>
      </c>
      <c r="G60" s="428">
        <v>1871.1000000000001</v>
      </c>
      <c r="H60" s="428">
        <v>2094.75</v>
      </c>
      <c r="I60" s="432">
        <v>2097</v>
      </c>
      <c r="J60" s="433">
        <f t="shared" si="3"/>
        <v>3923696.7</v>
      </c>
    </row>
    <row r="61" spans="1:10" x14ac:dyDescent="0.3">
      <c r="A61" s="427">
        <v>100377</v>
      </c>
      <c r="B61" s="428" t="s">
        <v>607</v>
      </c>
      <c r="C61" s="428" t="s">
        <v>630</v>
      </c>
      <c r="D61" s="429" t="s">
        <v>33</v>
      </c>
      <c r="E61" s="430" t="str">
        <f t="shared" si="2"/>
        <v>CABLE COBRE THW #4M</v>
      </c>
      <c r="F61" s="431">
        <v>1</v>
      </c>
      <c r="G61" s="428">
        <v>252</v>
      </c>
      <c r="H61" s="428">
        <v>45345.3</v>
      </c>
      <c r="I61" s="432">
        <v>22694</v>
      </c>
      <c r="J61" s="433">
        <f t="shared" si="3"/>
        <v>5718888</v>
      </c>
    </row>
    <row r="62" spans="1:10" x14ac:dyDescent="0.3">
      <c r="A62" s="427">
        <v>100380</v>
      </c>
      <c r="B62" s="428" t="s">
        <v>607</v>
      </c>
      <c r="C62" s="428" t="s">
        <v>629</v>
      </c>
      <c r="D62" s="429" t="s">
        <v>33</v>
      </c>
      <c r="E62" s="430" t="str">
        <f t="shared" si="2"/>
        <v>CABLE COBRE THW #8M</v>
      </c>
      <c r="F62" s="431">
        <v>1</v>
      </c>
      <c r="G62" s="428">
        <v>126</v>
      </c>
      <c r="H62" s="428">
        <v>7152.6</v>
      </c>
      <c r="I62" s="432">
        <v>7159</v>
      </c>
      <c r="J62" s="433">
        <f t="shared" si="3"/>
        <v>902034</v>
      </c>
    </row>
    <row r="63" spans="1:10" x14ac:dyDescent="0.3">
      <c r="A63" s="427">
        <v>140206</v>
      </c>
      <c r="B63" s="428" t="s">
        <v>607</v>
      </c>
      <c r="C63" s="428" t="s">
        <v>699</v>
      </c>
      <c r="D63" s="429" t="s">
        <v>694</v>
      </c>
      <c r="E63" s="430" t="str">
        <f t="shared" si="2"/>
        <v>CABLE ENCAUCHETADO 3X10 AWGML</v>
      </c>
      <c r="F63" s="431">
        <v>1</v>
      </c>
      <c r="G63" s="428">
        <v>30</v>
      </c>
      <c r="H63" s="428">
        <v>507000</v>
      </c>
      <c r="I63" s="432">
        <v>17762</v>
      </c>
      <c r="J63" s="433">
        <f t="shared" si="3"/>
        <v>532860</v>
      </c>
    </row>
    <row r="64" spans="1:10" x14ac:dyDescent="0.3">
      <c r="A64" s="427">
        <v>117041</v>
      </c>
      <c r="B64" s="428"/>
      <c r="C64" s="428" t="s">
        <v>661</v>
      </c>
      <c r="D64" s="429" t="s">
        <v>33</v>
      </c>
      <c r="E64" s="430" t="str">
        <f t="shared" si="2"/>
        <v>CABLE UTP CAT 6AM</v>
      </c>
      <c r="F64" s="431">
        <v>1</v>
      </c>
      <c r="G64" s="428">
        <v>620</v>
      </c>
      <c r="H64" s="428">
        <v>4554</v>
      </c>
      <c r="I64" s="432">
        <v>4786</v>
      </c>
      <c r="J64" s="433">
        <f t="shared" si="3"/>
        <v>2967320</v>
      </c>
    </row>
    <row r="65" spans="1:10" x14ac:dyDescent="0.3">
      <c r="A65" s="427">
        <v>100443</v>
      </c>
      <c r="B65" s="428"/>
      <c r="C65" s="428" t="s">
        <v>625</v>
      </c>
      <c r="D65" s="429" t="s">
        <v>89</v>
      </c>
      <c r="E65" s="430" t="str">
        <f t="shared" si="2"/>
        <v>CAJA PVC SENCILLA RECTANGULAR 2" X 4"UND</v>
      </c>
      <c r="F65" s="431">
        <v>1</v>
      </c>
      <c r="G65" s="428">
        <v>154</v>
      </c>
      <c r="H65" s="428">
        <v>1915</v>
      </c>
      <c r="I65" s="432">
        <v>2013</v>
      </c>
      <c r="J65" s="433">
        <f t="shared" si="3"/>
        <v>310002</v>
      </c>
    </row>
    <row r="66" spans="1:10" x14ac:dyDescent="0.3">
      <c r="A66" s="427">
        <v>109017</v>
      </c>
      <c r="B66" s="428"/>
      <c r="C66" s="428" t="s">
        <v>616</v>
      </c>
      <c r="D66" s="429" t="s">
        <v>89</v>
      </c>
      <c r="E66" s="430" t="str">
        <f t="shared" si="2"/>
        <v>CAJA RAWELT 3/4"UND</v>
      </c>
      <c r="F66" s="431">
        <v>1</v>
      </c>
      <c r="G66" s="428">
        <v>124</v>
      </c>
      <c r="H66" s="428">
        <v>19110</v>
      </c>
      <c r="I66" s="432">
        <v>20085</v>
      </c>
      <c r="J66" s="433">
        <f t="shared" si="3"/>
        <v>2490540</v>
      </c>
    </row>
    <row r="67" spans="1:10" x14ac:dyDescent="0.3">
      <c r="A67" s="427">
        <v>100557</v>
      </c>
      <c r="B67" s="428"/>
      <c r="C67" s="428" t="s">
        <v>525</v>
      </c>
      <c r="D67" s="429" t="s">
        <v>156</v>
      </c>
      <c r="E67" s="430" t="str">
        <f t="shared" si="2"/>
        <v>CEMENTO BLANCOKG</v>
      </c>
      <c r="F67" s="431">
        <v>1</v>
      </c>
      <c r="G67" s="428">
        <v>122.06460000000001</v>
      </c>
      <c r="H67" s="428">
        <v>2837.59</v>
      </c>
      <c r="I67" s="432">
        <v>1969</v>
      </c>
      <c r="J67" s="433">
        <f t="shared" si="3"/>
        <v>240345.19740000003</v>
      </c>
    </row>
    <row r="68" spans="1:10" x14ac:dyDescent="0.3">
      <c r="A68" s="427">
        <v>100556</v>
      </c>
      <c r="B68" s="428"/>
      <c r="C68" s="428" t="s">
        <v>511</v>
      </c>
      <c r="D68" s="429" t="s">
        <v>512</v>
      </c>
      <c r="E68" s="430" t="str">
        <f t="shared" si="2"/>
        <v>CEMENTO BLANCO SACO 40KGBULTO</v>
      </c>
      <c r="F68" s="431">
        <v>1</v>
      </c>
      <c r="G68" s="428">
        <v>1.76</v>
      </c>
      <c r="H68" s="428">
        <v>1498</v>
      </c>
      <c r="I68" s="432">
        <v>78720</v>
      </c>
      <c r="J68" s="433">
        <f t="shared" si="3"/>
        <v>138547.20000000001</v>
      </c>
    </row>
    <row r="69" spans="1:10" x14ac:dyDescent="0.3">
      <c r="A69" s="427">
        <v>100558</v>
      </c>
      <c r="B69" s="428" t="s">
        <v>444</v>
      </c>
      <c r="C69" s="428" t="s">
        <v>445</v>
      </c>
      <c r="D69" s="429" t="s">
        <v>156</v>
      </c>
      <c r="E69" s="430" t="str">
        <f t="shared" si="2"/>
        <v>CEMENTO GRIS PORTLANDKG</v>
      </c>
      <c r="F69" s="431">
        <v>1</v>
      </c>
      <c r="G69" s="428">
        <v>105479.09106000001</v>
      </c>
      <c r="H69" s="428">
        <v>328250</v>
      </c>
      <c r="I69" s="432">
        <v>683</v>
      </c>
      <c r="J69" s="433">
        <f t="shared" si="3"/>
        <v>72042219.193980008</v>
      </c>
    </row>
    <row r="70" spans="1:10" x14ac:dyDescent="0.3">
      <c r="A70" s="427">
        <v>100579</v>
      </c>
      <c r="B70" s="428" t="s">
        <v>490</v>
      </c>
      <c r="C70" s="428" t="s">
        <v>528</v>
      </c>
      <c r="D70" s="429" t="s">
        <v>458</v>
      </c>
      <c r="E70" s="430" t="str">
        <f t="shared" si="2"/>
        <v>CERA PARA PISOSGLN</v>
      </c>
      <c r="F70" s="431">
        <v>1</v>
      </c>
      <c r="G70" s="428">
        <v>1.8410000000000002</v>
      </c>
      <c r="H70" s="428">
        <v>1814.7</v>
      </c>
      <c r="I70" s="432">
        <v>76290</v>
      </c>
      <c r="J70" s="433">
        <f t="shared" si="3"/>
        <v>140449.89000000001</v>
      </c>
    </row>
    <row r="71" spans="1:10" x14ac:dyDescent="0.3">
      <c r="A71" s="427">
        <v>117046</v>
      </c>
      <c r="B71" s="428"/>
      <c r="C71" s="428" t="s">
        <v>513</v>
      </c>
      <c r="D71" s="429" t="s">
        <v>112</v>
      </c>
      <c r="E71" s="430" t="str">
        <f t="shared" si="2"/>
        <v>CERAMICA TRAF.3 30 X 30 CMM2</v>
      </c>
      <c r="F71" s="431">
        <v>1</v>
      </c>
      <c r="G71" s="428">
        <v>22.22</v>
      </c>
      <c r="H71" s="428">
        <v>9004.9</v>
      </c>
      <c r="I71" s="432">
        <v>37482</v>
      </c>
      <c r="J71" s="433">
        <f t="shared" si="3"/>
        <v>832850.03999999992</v>
      </c>
    </row>
    <row r="72" spans="1:10" x14ac:dyDescent="0.3">
      <c r="A72" s="427">
        <v>117047</v>
      </c>
      <c r="B72" s="428"/>
      <c r="C72" s="428" t="s">
        <v>514</v>
      </c>
      <c r="D72" s="429" t="s">
        <v>112</v>
      </c>
      <c r="E72" s="430" t="str">
        <f t="shared" si="2"/>
        <v>CERAMICA TRAF.3 33 X 33 CMM2</v>
      </c>
      <c r="F72" s="431">
        <v>1</v>
      </c>
      <c r="G72" s="428">
        <v>22.22</v>
      </c>
      <c r="H72" s="428">
        <v>10662.82</v>
      </c>
      <c r="I72" s="432">
        <v>44383</v>
      </c>
      <c r="J72" s="433">
        <f t="shared" si="3"/>
        <v>986190.25999999989</v>
      </c>
    </row>
    <row r="73" spans="1:10" x14ac:dyDescent="0.3">
      <c r="A73" s="427">
        <v>117048</v>
      </c>
      <c r="B73" s="428"/>
      <c r="C73" s="428" t="s">
        <v>515</v>
      </c>
      <c r="D73" s="429" t="s">
        <v>112</v>
      </c>
      <c r="E73" s="430" t="str">
        <f t="shared" si="2"/>
        <v>CERAMICA TRAF.4 40 X 40 CMM2</v>
      </c>
      <c r="F73" s="431">
        <v>1</v>
      </c>
      <c r="G73" s="428">
        <v>22.22</v>
      </c>
      <c r="H73" s="428">
        <v>16791.25</v>
      </c>
      <c r="I73" s="432">
        <v>69892</v>
      </c>
      <c r="J73" s="433">
        <f t="shared" si="3"/>
        <v>1553000.24</v>
      </c>
    </row>
    <row r="74" spans="1:10" x14ac:dyDescent="0.3">
      <c r="A74" s="427">
        <v>117045</v>
      </c>
      <c r="B74" s="428"/>
      <c r="C74" s="428" t="s">
        <v>516</v>
      </c>
      <c r="D74" s="429" t="s">
        <v>112</v>
      </c>
      <c r="E74" s="430" t="str">
        <f t="shared" si="2"/>
        <v>CERAMICA TRAF.4 41.7 X 41.7 CMM2</v>
      </c>
      <c r="F74" s="431">
        <v>1</v>
      </c>
      <c r="G74" s="428">
        <v>22.22</v>
      </c>
      <c r="H74" s="428">
        <v>14638.94</v>
      </c>
      <c r="I74" s="432">
        <v>60933</v>
      </c>
      <c r="J74" s="433">
        <f t="shared" si="3"/>
        <v>1353931.26</v>
      </c>
    </row>
    <row r="75" spans="1:10" x14ac:dyDescent="0.3">
      <c r="A75" s="427">
        <v>119131</v>
      </c>
      <c r="B75" s="428"/>
      <c r="C75" s="428" t="s">
        <v>572</v>
      </c>
      <c r="D75" s="429" t="s">
        <v>89</v>
      </c>
      <c r="E75" s="430" t="str">
        <f t="shared" si="2"/>
        <v>CERRADURA ALUMINIO JAGUAR VENT. CORREDIZAUND</v>
      </c>
      <c r="F75" s="431">
        <v>1</v>
      </c>
      <c r="G75" s="428">
        <v>69.099999999999994</v>
      </c>
      <c r="H75" s="428">
        <v>11046</v>
      </c>
      <c r="I75" s="432">
        <v>11609</v>
      </c>
      <c r="J75" s="433">
        <f t="shared" si="3"/>
        <v>802181.89999999991</v>
      </c>
    </row>
    <row r="76" spans="1:10" x14ac:dyDescent="0.3">
      <c r="A76" s="427">
        <v>100593</v>
      </c>
      <c r="B76" s="428"/>
      <c r="C76" s="428" t="s">
        <v>554</v>
      </c>
      <c r="D76" s="429" t="s">
        <v>89</v>
      </c>
      <c r="E76" s="430" t="str">
        <f t="shared" si="2"/>
        <v>CHAZO PLASTICO 1/4"UND</v>
      </c>
      <c r="F76" s="431">
        <v>1</v>
      </c>
      <c r="G76" s="428">
        <v>752.88</v>
      </c>
      <c r="H76" s="428">
        <v>452.48</v>
      </c>
      <c r="I76" s="432">
        <v>59</v>
      </c>
      <c r="J76" s="433">
        <f t="shared" si="3"/>
        <v>44419.92</v>
      </c>
    </row>
    <row r="77" spans="1:10" x14ac:dyDescent="0.3">
      <c r="A77" s="427">
        <v>100601</v>
      </c>
      <c r="B77" s="428" t="s">
        <v>607</v>
      </c>
      <c r="C77" s="428" t="s">
        <v>612</v>
      </c>
      <c r="D77" s="429" t="s">
        <v>89</v>
      </c>
      <c r="E77" s="430" t="str">
        <f t="shared" si="2"/>
        <v>CINTA AISLANTE #33UND</v>
      </c>
      <c r="F77" s="431">
        <v>1</v>
      </c>
      <c r="G77" s="428">
        <v>8.0300000000000011</v>
      </c>
      <c r="H77" s="428">
        <v>292.45999999999998</v>
      </c>
      <c r="I77" s="432">
        <v>30738</v>
      </c>
      <c r="J77" s="433">
        <f t="shared" si="3"/>
        <v>246826.14000000004</v>
      </c>
    </row>
    <row r="78" spans="1:10" x14ac:dyDescent="0.3">
      <c r="A78" s="427">
        <v>100603</v>
      </c>
      <c r="B78" s="428"/>
      <c r="C78" s="428" t="s">
        <v>672</v>
      </c>
      <c r="D78" s="429" t="s">
        <v>89</v>
      </c>
      <c r="E78" s="430" t="str">
        <f t="shared" si="2"/>
        <v>CINTA AISLANTE 33 SUPERUND</v>
      </c>
      <c r="F78" s="431">
        <v>1</v>
      </c>
      <c r="G78" s="428">
        <v>99</v>
      </c>
      <c r="H78" s="428">
        <v>4337</v>
      </c>
      <c r="I78" s="432">
        <v>4558</v>
      </c>
      <c r="J78" s="433">
        <f t="shared" si="3"/>
        <v>451242</v>
      </c>
    </row>
    <row r="79" spans="1:10" x14ac:dyDescent="0.3">
      <c r="A79" s="427">
        <v>117049</v>
      </c>
      <c r="B79" s="428"/>
      <c r="C79" s="428" t="s">
        <v>649</v>
      </c>
      <c r="D79" s="429" t="s">
        <v>537</v>
      </c>
      <c r="E79" s="430" t="str">
        <f t="shared" si="2"/>
        <v>CINTA AISLANTE 33 SUPER X 20MROLLO</v>
      </c>
      <c r="F79" s="431">
        <v>1</v>
      </c>
      <c r="G79" s="428">
        <v>0.6</v>
      </c>
      <c r="H79" s="428">
        <v>300.33999999999997</v>
      </c>
      <c r="I79" s="432">
        <v>31566</v>
      </c>
      <c r="J79" s="433">
        <f t="shared" si="3"/>
        <v>18939.599999999999</v>
      </c>
    </row>
    <row r="80" spans="1:10" x14ac:dyDescent="0.3">
      <c r="A80" s="427">
        <v>100606</v>
      </c>
      <c r="B80" s="428"/>
      <c r="C80" s="428" t="s">
        <v>536</v>
      </c>
      <c r="D80" s="429" t="s">
        <v>537</v>
      </c>
      <c r="E80" s="430" t="str">
        <f t="shared" ref="E80:E111" si="4">C80&amp;D80</f>
        <v>CINTA ENMASCARAR 1-1/2"X40MROLLO</v>
      </c>
      <c r="F80" s="431">
        <v>1</v>
      </c>
      <c r="G80" s="428">
        <v>15.2987</v>
      </c>
      <c r="H80" s="428">
        <v>71.900000000000006</v>
      </c>
      <c r="I80" s="432">
        <v>7557</v>
      </c>
      <c r="J80" s="433">
        <f t="shared" ref="J80:J111" si="5">G80*I80</f>
        <v>115612.27590000001</v>
      </c>
    </row>
    <row r="81" spans="1:10" x14ac:dyDescent="0.3">
      <c r="A81" s="427">
        <v>100611</v>
      </c>
      <c r="B81" s="428" t="s">
        <v>439</v>
      </c>
      <c r="C81" s="428" t="s">
        <v>599</v>
      </c>
      <c r="D81" s="429" t="s">
        <v>89</v>
      </c>
      <c r="E81" s="430" t="str">
        <f t="shared" si="4"/>
        <v>CINTA TEFLON 18MM X 10 MUND</v>
      </c>
      <c r="F81" s="431">
        <v>1</v>
      </c>
      <c r="G81" s="428">
        <v>2.8699999999999997</v>
      </c>
      <c r="H81" s="428">
        <v>986.76</v>
      </c>
      <c r="I81" s="432">
        <v>8642</v>
      </c>
      <c r="J81" s="433">
        <f t="shared" si="5"/>
        <v>24802.539999999997</v>
      </c>
    </row>
    <row r="82" spans="1:10" x14ac:dyDescent="0.3">
      <c r="A82" s="427">
        <v>100778</v>
      </c>
      <c r="B82" s="428" t="s">
        <v>607</v>
      </c>
      <c r="C82" s="428" t="s">
        <v>636</v>
      </c>
      <c r="D82" s="429" t="s">
        <v>89</v>
      </c>
      <c r="E82" s="430" t="str">
        <f t="shared" si="4"/>
        <v>CRUCETA MET. 3" X 3" X 3/8" X 3 MUND</v>
      </c>
      <c r="F82" s="431">
        <v>1</v>
      </c>
      <c r="G82" s="428">
        <v>4</v>
      </c>
      <c r="H82" s="428">
        <v>1256796</v>
      </c>
      <c r="I82" s="432">
        <v>330223</v>
      </c>
      <c r="J82" s="433">
        <f t="shared" si="5"/>
        <v>1320892</v>
      </c>
    </row>
    <row r="83" spans="1:10" x14ac:dyDescent="0.3">
      <c r="A83" s="427">
        <v>100804</v>
      </c>
      <c r="B83" s="428" t="s">
        <v>470</v>
      </c>
      <c r="C83" s="428" t="s">
        <v>668</v>
      </c>
      <c r="D83" s="429" t="s">
        <v>33</v>
      </c>
      <c r="E83" s="430" t="str">
        <f t="shared" si="4"/>
        <v>CUARTON 2" X 4" AMARILLOM</v>
      </c>
      <c r="F83" s="431">
        <v>1</v>
      </c>
      <c r="G83" s="428">
        <v>8.879999999999999</v>
      </c>
      <c r="H83" s="428">
        <v>44001</v>
      </c>
      <c r="I83" s="432">
        <v>15415</v>
      </c>
      <c r="J83" s="433">
        <f t="shared" si="5"/>
        <v>136885.19999999998</v>
      </c>
    </row>
    <row r="84" spans="1:10" x14ac:dyDescent="0.3">
      <c r="A84" s="427">
        <v>100806</v>
      </c>
      <c r="B84" s="428" t="s">
        <v>470</v>
      </c>
      <c r="C84" s="428" t="s">
        <v>471</v>
      </c>
      <c r="D84" s="429" t="s">
        <v>89</v>
      </c>
      <c r="E84" s="430" t="str">
        <f t="shared" si="4"/>
        <v>CUARTON 2" X 4" X 300 AMARILLOUND</v>
      </c>
      <c r="F84" s="431">
        <v>1</v>
      </c>
      <c r="G84" s="428">
        <v>177.51550000000003</v>
      </c>
      <c r="H84" s="428">
        <v>2927.2</v>
      </c>
      <c r="I84" s="432">
        <v>30765</v>
      </c>
      <c r="J84" s="433">
        <f t="shared" si="5"/>
        <v>5461264.3575000009</v>
      </c>
    </row>
    <row r="85" spans="1:10" x14ac:dyDescent="0.3">
      <c r="A85" s="427">
        <v>109046</v>
      </c>
      <c r="B85" s="428"/>
      <c r="C85" s="428" t="s">
        <v>615</v>
      </c>
      <c r="D85" s="429" t="s">
        <v>89</v>
      </c>
      <c r="E85" s="430" t="str">
        <f t="shared" si="4"/>
        <v>CURVA EMT 3/4"UND</v>
      </c>
      <c r="F85" s="431">
        <v>1</v>
      </c>
      <c r="G85" s="428">
        <v>124</v>
      </c>
      <c r="H85" s="428">
        <v>2809</v>
      </c>
      <c r="I85" s="432">
        <v>2952</v>
      </c>
      <c r="J85" s="433">
        <f t="shared" si="5"/>
        <v>366048</v>
      </c>
    </row>
    <row r="86" spans="1:10" x14ac:dyDescent="0.3">
      <c r="A86" s="427">
        <v>100821</v>
      </c>
      <c r="B86" s="428"/>
      <c r="C86" s="428" t="s">
        <v>622</v>
      </c>
      <c r="D86" s="429" t="s">
        <v>89</v>
      </c>
      <c r="E86" s="430" t="str">
        <f t="shared" si="4"/>
        <v>CURVA PVC 1/2"UND</v>
      </c>
      <c r="F86" s="431">
        <v>1</v>
      </c>
      <c r="G86" s="428">
        <v>94</v>
      </c>
      <c r="H86" s="428">
        <v>1116</v>
      </c>
      <c r="I86" s="432">
        <v>1173</v>
      </c>
      <c r="J86" s="433">
        <f t="shared" si="5"/>
        <v>110262</v>
      </c>
    </row>
    <row r="87" spans="1:10" x14ac:dyDescent="0.3">
      <c r="A87" s="427">
        <v>101904</v>
      </c>
      <c r="B87" s="428" t="s">
        <v>439</v>
      </c>
      <c r="C87" s="428" t="s">
        <v>674</v>
      </c>
      <c r="D87" s="429" t="s">
        <v>458</v>
      </c>
      <c r="E87" s="430" t="str">
        <f t="shared" si="4"/>
        <v>DISOLVENTE PARA PINTURA (TINNER)GLN</v>
      </c>
      <c r="F87" s="431">
        <v>1</v>
      </c>
      <c r="G87" s="428">
        <v>3.8273999999999999</v>
      </c>
      <c r="H87" s="428">
        <v>842.76</v>
      </c>
      <c r="I87" s="432">
        <v>29525</v>
      </c>
      <c r="J87" s="433">
        <f t="shared" si="5"/>
        <v>113003.985</v>
      </c>
    </row>
    <row r="88" spans="1:10" x14ac:dyDescent="0.3">
      <c r="A88" s="427">
        <v>134337</v>
      </c>
      <c r="B88" s="428"/>
      <c r="C88" s="428" t="s">
        <v>469</v>
      </c>
      <c r="D88" s="429" t="s">
        <v>131</v>
      </c>
      <c r="E88" s="430" t="str">
        <f t="shared" si="4"/>
        <v>DISPOSICION FINAL DE ESCOMBRO Y SOBRANTESM3</v>
      </c>
      <c r="F88" s="431">
        <v>1</v>
      </c>
      <c r="G88" s="428">
        <v>104</v>
      </c>
      <c r="H88" s="428">
        <v>4500</v>
      </c>
      <c r="I88" s="432">
        <v>4730</v>
      </c>
      <c r="J88" s="433">
        <f t="shared" si="5"/>
        <v>491920</v>
      </c>
    </row>
    <row r="89" spans="1:10" x14ac:dyDescent="0.3">
      <c r="A89" s="427">
        <v>100861</v>
      </c>
      <c r="B89" s="428" t="s">
        <v>520</v>
      </c>
      <c r="C89" s="428" t="s">
        <v>521</v>
      </c>
      <c r="D89" s="429" t="s">
        <v>156</v>
      </c>
      <c r="E89" s="430" t="str">
        <f t="shared" si="4"/>
        <v>EMBOQUILLADORKG</v>
      </c>
      <c r="F89" s="431">
        <v>1</v>
      </c>
      <c r="G89" s="428">
        <v>178.941</v>
      </c>
      <c r="H89" s="428">
        <v>2136.3000000000002</v>
      </c>
      <c r="I89" s="432">
        <v>7484</v>
      </c>
      <c r="J89" s="433">
        <f t="shared" si="5"/>
        <v>1339194.4440000001</v>
      </c>
    </row>
    <row r="90" spans="1:10" x14ac:dyDescent="0.3">
      <c r="A90" s="427">
        <v>100862</v>
      </c>
      <c r="B90" s="428" t="s">
        <v>542</v>
      </c>
      <c r="C90" s="428" t="s">
        <v>584</v>
      </c>
      <c r="D90" s="429" t="s">
        <v>33</v>
      </c>
      <c r="E90" s="430" t="str">
        <f t="shared" si="4"/>
        <v>EMPAQUE NEOPRENOM</v>
      </c>
      <c r="F90" s="431">
        <v>1</v>
      </c>
      <c r="G90" s="428">
        <v>418.74599999999998</v>
      </c>
      <c r="H90" s="428">
        <v>15925.68</v>
      </c>
      <c r="I90" s="432">
        <v>2762</v>
      </c>
      <c r="J90" s="433">
        <f t="shared" si="5"/>
        <v>1156576.452</v>
      </c>
    </row>
    <row r="91" spans="1:10" x14ac:dyDescent="0.3">
      <c r="A91" s="427">
        <v>100863</v>
      </c>
      <c r="B91" s="428" t="s">
        <v>442</v>
      </c>
      <c r="C91" s="428" t="s">
        <v>666</v>
      </c>
      <c r="D91" s="429" t="s">
        <v>156</v>
      </c>
      <c r="E91" s="430" t="str">
        <f t="shared" si="4"/>
        <v>EMULSION ASFALTICAKG</v>
      </c>
      <c r="F91" s="431">
        <v>1</v>
      </c>
      <c r="G91" s="428">
        <v>36.450720000000004</v>
      </c>
      <c r="H91" s="428">
        <v>927.28</v>
      </c>
      <c r="I91" s="432">
        <v>9555</v>
      </c>
      <c r="J91" s="433">
        <f t="shared" si="5"/>
        <v>348286.62960000004</v>
      </c>
    </row>
    <row r="92" spans="1:10" x14ac:dyDescent="0.3">
      <c r="A92" s="427">
        <v>100882</v>
      </c>
      <c r="B92" s="428"/>
      <c r="C92" s="428" t="s">
        <v>675</v>
      </c>
      <c r="D92" s="429" t="s">
        <v>458</v>
      </c>
      <c r="E92" s="430" t="str">
        <f t="shared" si="4"/>
        <v>ESMALTE SINTETICO MATEGLN</v>
      </c>
      <c r="F92" s="431">
        <v>1</v>
      </c>
      <c r="G92" s="428">
        <v>6.2367500000000007</v>
      </c>
      <c r="H92" s="428">
        <v>5243.36</v>
      </c>
      <c r="I92" s="432">
        <v>109124</v>
      </c>
      <c r="J92" s="433">
        <f t="shared" si="5"/>
        <v>680579.10700000008</v>
      </c>
    </row>
    <row r="93" spans="1:10" x14ac:dyDescent="0.3">
      <c r="A93" s="427">
        <v>119021</v>
      </c>
      <c r="B93" s="428"/>
      <c r="C93" s="428" t="s">
        <v>541</v>
      </c>
      <c r="D93" s="429" t="s">
        <v>156</v>
      </c>
      <c r="E93" s="430" t="str">
        <f t="shared" si="4"/>
        <v>ESTUCO PLASTICO EXTERIOR POLVOKG</v>
      </c>
      <c r="F93" s="431">
        <v>1</v>
      </c>
      <c r="G93" s="428">
        <v>738.3743750000001</v>
      </c>
      <c r="H93" s="428">
        <v>293.10000000000002</v>
      </c>
      <c r="I93" s="432">
        <v>2054</v>
      </c>
      <c r="J93" s="433">
        <f t="shared" si="5"/>
        <v>1516620.9662500003</v>
      </c>
    </row>
    <row r="94" spans="1:10" x14ac:dyDescent="0.3">
      <c r="A94" s="427">
        <v>100894</v>
      </c>
      <c r="B94" s="428" t="s">
        <v>530</v>
      </c>
      <c r="C94" s="428" t="s">
        <v>531</v>
      </c>
      <c r="D94" s="429" t="s">
        <v>156</v>
      </c>
      <c r="E94" s="430" t="str">
        <f t="shared" si="4"/>
        <v>ESTUCO PLASTICO PASTAKG</v>
      </c>
      <c r="F94" s="431">
        <v>1</v>
      </c>
      <c r="G94" s="428">
        <v>3633.7335600000001</v>
      </c>
      <c r="H94" s="428">
        <v>6853.25</v>
      </c>
      <c r="I94" s="432">
        <v>3317</v>
      </c>
      <c r="J94" s="433">
        <f t="shared" si="5"/>
        <v>12053094.218520001</v>
      </c>
    </row>
    <row r="95" spans="1:10" x14ac:dyDescent="0.3">
      <c r="A95" s="427">
        <v>101250</v>
      </c>
      <c r="B95" s="428" t="s">
        <v>607</v>
      </c>
      <c r="C95" s="428" t="s">
        <v>660</v>
      </c>
      <c r="D95" s="429" t="s">
        <v>89</v>
      </c>
      <c r="E95" s="430" t="str">
        <f t="shared" si="4"/>
        <v>GABINETE CON RACK 19"X43" ALT. CERRADOUND</v>
      </c>
      <c r="F95" s="431">
        <v>1</v>
      </c>
      <c r="G95" s="428">
        <v>4</v>
      </c>
      <c r="H95" s="428">
        <v>810994</v>
      </c>
      <c r="I95" s="432">
        <v>852355</v>
      </c>
      <c r="J95" s="433">
        <f t="shared" si="5"/>
        <v>3409420</v>
      </c>
    </row>
    <row r="96" spans="1:10" x14ac:dyDescent="0.3">
      <c r="A96" s="427">
        <v>100932</v>
      </c>
      <c r="B96" s="428" t="s">
        <v>456</v>
      </c>
      <c r="C96" s="428" t="s">
        <v>457</v>
      </c>
      <c r="D96" s="429" t="s">
        <v>458</v>
      </c>
      <c r="E96" s="430" t="str">
        <f t="shared" si="4"/>
        <v>GASOLINA CORRIENTEGLN</v>
      </c>
      <c r="F96" s="431">
        <v>1</v>
      </c>
      <c r="G96" s="428">
        <v>14.567251000000002</v>
      </c>
      <c r="H96" s="428">
        <v>1675.8</v>
      </c>
      <c r="I96" s="432">
        <v>17613</v>
      </c>
      <c r="J96" s="433">
        <f t="shared" si="5"/>
        <v>256572.99186300003</v>
      </c>
    </row>
    <row r="97" spans="1:10" x14ac:dyDescent="0.3">
      <c r="A97" s="427">
        <v>100954</v>
      </c>
      <c r="B97" s="428" t="s">
        <v>530</v>
      </c>
      <c r="C97" s="428" t="s">
        <v>539</v>
      </c>
      <c r="D97" s="429" t="s">
        <v>89</v>
      </c>
      <c r="E97" s="430" t="str">
        <f t="shared" si="4"/>
        <v>GRANIPLAST - ESGRAFIADO 30 KGUND</v>
      </c>
      <c r="F97" s="431">
        <v>1</v>
      </c>
      <c r="G97" s="428">
        <v>59.509200000000007</v>
      </c>
      <c r="H97" s="428">
        <v>21318.35</v>
      </c>
      <c r="I97" s="432">
        <v>184865</v>
      </c>
      <c r="J97" s="433">
        <f t="shared" si="5"/>
        <v>11001168.258000001</v>
      </c>
    </row>
    <row r="98" spans="1:10" x14ac:dyDescent="0.3">
      <c r="A98" s="427">
        <v>109053</v>
      </c>
      <c r="B98" s="428"/>
      <c r="C98" s="428" t="s">
        <v>611</v>
      </c>
      <c r="D98" s="429" t="s">
        <v>89</v>
      </c>
      <c r="E98" s="430" t="str">
        <f t="shared" si="4"/>
        <v>GRAPA GALV.-GRUESA 3/4"UND</v>
      </c>
      <c r="F98" s="431">
        <v>1</v>
      </c>
      <c r="G98" s="428">
        <v>372</v>
      </c>
      <c r="H98" s="428">
        <v>4566</v>
      </c>
      <c r="I98" s="432">
        <v>1600</v>
      </c>
      <c r="J98" s="433">
        <f t="shared" si="5"/>
        <v>595200</v>
      </c>
    </row>
    <row r="99" spans="1:10" x14ac:dyDescent="0.3">
      <c r="A99" s="427">
        <v>100962</v>
      </c>
      <c r="B99" s="428" t="s">
        <v>442</v>
      </c>
      <c r="C99" s="428" t="s">
        <v>455</v>
      </c>
      <c r="D99" s="429" t="s">
        <v>131</v>
      </c>
      <c r="E99" s="430" t="str">
        <f t="shared" si="4"/>
        <v>GRAVA TRITURADA 3/4"M3</v>
      </c>
      <c r="F99" s="431">
        <v>1</v>
      </c>
      <c r="G99" s="428">
        <v>126.03585565200001</v>
      </c>
      <c r="H99" s="428">
        <v>75791.520000000004</v>
      </c>
      <c r="I99" s="432">
        <v>92068</v>
      </c>
      <c r="J99" s="433">
        <f t="shared" si="5"/>
        <v>11603869.158168336</v>
      </c>
    </row>
    <row r="100" spans="1:10" x14ac:dyDescent="0.3">
      <c r="A100" s="427">
        <v>100969</v>
      </c>
      <c r="B100" s="428" t="s">
        <v>251</v>
      </c>
      <c r="C100" s="428" t="s">
        <v>598</v>
      </c>
      <c r="D100" s="429" t="s">
        <v>89</v>
      </c>
      <c r="E100" s="430" t="str">
        <f t="shared" si="4"/>
        <v>GRIFERIA LAVAM 8"UND</v>
      </c>
      <c r="F100" s="431">
        <v>1</v>
      </c>
      <c r="G100" s="428">
        <v>7</v>
      </c>
      <c r="H100" s="428">
        <v>119034</v>
      </c>
      <c r="I100" s="432">
        <v>125105</v>
      </c>
      <c r="J100" s="433">
        <f t="shared" si="5"/>
        <v>875735</v>
      </c>
    </row>
    <row r="101" spans="1:10" x14ac:dyDescent="0.3">
      <c r="A101" s="427">
        <v>105067</v>
      </c>
      <c r="B101" s="428" t="s">
        <v>251</v>
      </c>
      <c r="C101" s="428" t="s">
        <v>604</v>
      </c>
      <c r="D101" s="429" t="s">
        <v>89</v>
      </c>
      <c r="E101" s="430" t="str">
        <f t="shared" si="4"/>
        <v>GRIFO ORINAL PUSH ANTIVANDAUND</v>
      </c>
      <c r="F101" s="431">
        <v>1</v>
      </c>
      <c r="G101" s="428">
        <v>1</v>
      </c>
      <c r="H101" s="428">
        <v>406037</v>
      </c>
      <c r="I101" s="432">
        <v>426745</v>
      </c>
      <c r="J101" s="433">
        <f t="shared" si="5"/>
        <v>426745</v>
      </c>
    </row>
    <row r="102" spans="1:10" x14ac:dyDescent="0.3">
      <c r="A102" s="427">
        <v>100977</v>
      </c>
      <c r="B102" s="428" t="s">
        <v>470</v>
      </c>
      <c r="C102" s="428" t="s">
        <v>488</v>
      </c>
      <c r="D102" s="429" t="s">
        <v>89</v>
      </c>
      <c r="E102" s="430" t="str">
        <f t="shared" si="4"/>
        <v>GUADUA [TACO] 2.50-3MUND</v>
      </c>
      <c r="F102" s="431">
        <v>1</v>
      </c>
      <c r="G102" s="428">
        <v>169.92</v>
      </c>
      <c r="H102" s="428">
        <v>21880</v>
      </c>
      <c r="I102" s="432">
        <v>5749</v>
      </c>
      <c r="J102" s="433">
        <f t="shared" si="5"/>
        <v>976870.08</v>
      </c>
    </row>
    <row r="103" spans="1:10" x14ac:dyDescent="0.3">
      <c r="A103" s="427">
        <v>102439</v>
      </c>
      <c r="B103" s="428"/>
      <c r="C103" s="428" t="s">
        <v>510</v>
      </c>
      <c r="D103" s="429" t="s">
        <v>156</v>
      </c>
      <c r="E103" s="430" t="str">
        <f t="shared" si="4"/>
        <v>GUAIPEKG</v>
      </c>
      <c r="F103" s="431">
        <v>1</v>
      </c>
      <c r="G103" s="428">
        <v>68.447000000000003</v>
      </c>
      <c r="H103" s="428">
        <v>909.7</v>
      </c>
      <c r="I103" s="432">
        <v>9561</v>
      </c>
      <c r="J103" s="433">
        <f t="shared" si="5"/>
        <v>654421.76699999999</v>
      </c>
    </row>
    <row r="104" spans="1:10" x14ac:dyDescent="0.3">
      <c r="A104" s="427">
        <v>100978</v>
      </c>
      <c r="B104" s="428" t="s">
        <v>607</v>
      </c>
      <c r="C104" s="428" t="s">
        <v>640</v>
      </c>
      <c r="D104" s="429" t="s">
        <v>89</v>
      </c>
      <c r="E104" s="430" t="str">
        <f t="shared" si="4"/>
        <v>GUARDACABO CABLE 3/8"UND</v>
      </c>
      <c r="F104" s="431">
        <v>1</v>
      </c>
      <c r="G104" s="428">
        <v>10</v>
      </c>
      <c r="H104" s="428">
        <v>21040</v>
      </c>
      <c r="I104" s="432">
        <v>2211</v>
      </c>
      <c r="J104" s="433">
        <f t="shared" si="5"/>
        <v>22110</v>
      </c>
    </row>
    <row r="105" spans="1:10" x14ac:dyDescent="0.3">
      <c r="A105" s="427">
        <v>100981</v>
      </c>
      <c r="B105" s="428" t="s">
        <v>542</v>
      </c>
      <c r="C105" s="428" t="s">
        <v>585</v>
      </c>
      <c r="D105" s="429" t="s">
        <v>89</v>
      </c>
      <c r="E105" s="430" t="str">
        <f t="shared" si="4"/>
        <v>GUIA PLASTICA VC-50-20UND</v>
      </c>
      <c r="F105" s="431">
        <v>1</v>
      </c>
      <c r="G105" s="428">
        <v>48.024499999999996</v>
      </c>
      <c r="H105" s="428">
        <v>122.32</v>
      </c>
      <c r="I105" s="432">
        <v>185</v>
      </c>
      <c r="J105" s="433">
        <f t="shared" si="5"/>
        <v>8884.5324999999993</v>
      </c>
    </row>
    <row r="106" spans="1:10" x14ac:dyDescent="0.3">
      <c r="A106" s="427">
        <v>100983</v>
      </c>
      <c r="B106" s="428"/>
      <c r="C106" s="428" t="s">
        <v>673</v>
      </c>
      <c r="D106" s="429" t="s">
        <v>89</v>
      </c>
      <c r="E106" s="430" t="str">
        <f t="shared" si="4"/>
        <v>HEBILLAS BAN DIT 5/8"UND</v>
      </c>
      <c r="F106" s="431">
        <v>1</v>
      </c>
      <c r="G106" s="428">
        <v>99</v>
      </c>
      <c r="H106" s="428">
        <v>894</v>
      </c>
      <c r="I106" s="432">
        <v>940</v>
      </c>
      <c r="J106" s="433">
        <f t="shared" si="5"/>
        <v>93060</v>
      </c>
    </row>
    <row r="107" spans="1:10" x14ac:dyDescent="0.3">
      <c r="A107" s="427">
        <v>101053</v>
      </c>
      <c r="B107" s="428" t="s">
        <v>506</v>
      </c>
      <c r="C107" s="428" t="s">
        <v>507</v>
      </c>
      <c r="D107" s="429" t="s">
        <v>89</v>
      </c>
      <c r="E107" s="430" t="str">
        <f t="shared" si="4"/>
        <v>LADRILLO SUCIO COMUNUND</v>
      </c>
      <c r="F107" s="431">
        <v>1</v>
      </c>
      <c r="G107" s="428">
        <v>29914.560000000001</v>
      </c>
      <c r="H107" s="428">
        <v>42840</v>
      </c>
      <c r="I107" s="432">
        <v>736</v>
      </c>
      <c r="J107" s="433">
        <f t="shared" si="5"/>
        <v>22017116.16</v>
      </c>
    </row>
    <row r="108" spans="1:10" x14ac:dyDescent="0.3">
      <c r="A108" s="427">
        <v>103124</v>
      </c>
      <c r="B108" s="428" t="s">
        <v>490</v>
      </c>
      <c r="C108" s="428" t="s">
        <v>508</v>
      </c>
      <c r="D108" s="429" t="s">
        <v>89</v>
      </c>
      <c r="E108" s="430" t="str">
        <f t="shared" si="4"/>
        <v>LAMINA ICOPOR 2CM 1.22X0.61MUND</v>
      </c>
      <c r="F108" s="431">
        <v>1</v>
      </c>
      <c r="G108" s="428">
        <v>41.548000000000002</v>
      </c>
      <c r="H108" s="428">
        <v>2134.2600000000002</v>
      </c>
      <c r="I108" s="432">
        <v>26390</v>
      </c>
      <c r="J108" s="433">
        <f t="shared" si="5"/>
        <v>1096451.72</v>
      </c>
    </row>
    <row r="109" spans="1:10" x14ac:dyDescent="0.3">
      <c r="A109" s="427">
        <v>101080</v>
      </c>
      <c r="B109" s="428" t="s">
        <v>470</v>
      </c>
      <c r="C109" s="428" t="s">
        <v>561</v>
      </c>
      <c r="D109" s="429" t="s">
        <v>89</v>
      </c>
      <c r="E109" s="430" t="str">
        <f t="shared" si="4"/>
        <v>LAMINA TRIPLEX 4 MMUND</v>
      </c>
      <c r="F109" s="431">
        <v>1</v>
      </c>
      <c r="G109" s="428">
        <v>48</v>
      </c>
      <c r="H109" s="428">
        <v>142088</v>
      </c>
      <c r="I109" s="432">
        <v>74667</v>
      </c>
      <c r="J109" s="433">
        <f t="shared" si="5"/>
        <v>3584016</v>
      </c>
    </row>
    <row r="110" spans="1:10" x14ac:dyDescent="0.3">
      <c r="A110" s="427">
        <v>130020</v>
      </c>
      <c r="B110" s="428"/>
      <c r="C110" s="428" t="s">
        <v>601</v>
      </c>
      <c r="D110" s="429" t="s">
        <v>89</v>
      </c>
      <c r="E110" s="430" t="str">
        <f t="shared" si="4"/>
        <v>LAVAMANOS AQUAJET COLGAR CF HGUND</v>
      </c>
      <c r="F110" s="431">
        <v>1</v>
      </c>
      <c r="G110" s="428">
        <v>1</v>
      </c>
      <c r="H110" s="428">
        <v>624685</v>
      </c>
      <c r="I110" s="432">
        <v>656544</v>
      </c>
      <c r="J110" s="433">
        <f t="shared" si="5"/>
        <v>656544</v>
      </c>
    </row>
    <row r="111" spans="1:10" x14ac:dyDescent="0.3">
      <c r="A111" s="427">
        <v>103216</v>
      </c>
      <c r="B111" s="428" t="s">
        <v>251</v>
      </c>
      <c r="C111" s="428" t="s">
        <v>594</v>
      </c>
      <c r="D111" s="429" t="s">
        <v>89</v>
      </c>
      <c r="E111" s="430" t="str">
        <f t="shared" si="4"/>
        <v>LAVAMANOS COLG. PEDEST. LINEA MEDIAUND</v>
      </c>
      <c r="F111" s="431">
        <v>1</v>
      </c>
      <c r="G111" s="428">
        <v>7</v>
      </c>
      <c r="H111" s="428">
        <v>196145</v>
      </c>
      <c r="I111" s="432">
        <v>206148</v>
      </c>
      <c r="J111" s="433">
        <f t="shared" si="5"/>
        <v>1443036</v>
      </c>
    </row>
    <row r="112" spans="1:10" x14ac:dyDescent="0.3">
      <c r="A112" s="427">
        <v>130022</v>
      </c>
      <c r="B112" s="428"/>
      <c r="C112" s="428" t="s">
        <v>600</v>
      </c>
      <c r="D112" s="429" t="s">
        <v>89</v>
      </c>
      <c r="E112" s="430" t="str">
        <f t="shared" ref="E112:E143" si="6">C112&amp;D112</f>
        <v>LAVAMANOS SOPORTE BRAZOS FREEUND</v>
      </c>
      <c r="F112" s="431">
        <v>1</v>
      </c>
      <c r="G112" s="428">
        <v>1</v>
      </c>
      <c r="H112" s="428">
        <v>553147</v>
      </c>
      <c r="I112" s="432">
        <v>581357</v>
      </c>
      <c r="J112" s="433">
        <f t="shared" ref="J112:J143" si="7">G112*I112</f>
        <v>581357</v>
      </c>
    </row>
    <row r="113" spans="1:10" x14ac:dyDescent="0.3">
      <c r="A113" s="427">
        <v>101116</v>
      </c>
      <c r="B113" s="428" t="s">
        <v>439</v>
      </c>
      <c r="C113" s="428" t="s">
        <v>678</v>
      </c>
      <c r="D113" s="429" t="s">
        <v>89</v>
      </c>
      <c r="E113" s="430" t="str">
        <f t="shared" si="6"/>
        <v>LIJA AGUA 320 - 9"X11" (23X28CM)UND</v>
      </c>
      <c r="F113" s="431">
        <v>1</v>
      </c>
      <c r="G113" s="428">
        <v>12.24</v>
      </c>
      <c r="H113" s="428">
        <v>3433.32</v>
      </c>
      <c r="I113" s="432">
        <v>1769</v>
      </c>
      <c r="J113" s="433">
        <f t="shared" si="7"/>
        <v>21652.560000000001</v>
      </c>
    </row>
    <row r="114" spans="1:10" x14ac:dyDescent="0.3">
      <c r="A114" s="427">
        <v>101117</v>
      </c>
      <c r="B114" s="428" t="s">
        <v>439</v>
      </c>
      <c r="C114" s="428" t="s">
        <v>532</v>
      </c>
      <c r="D114" s="429" t="s">
        <v>89</v>
      </c>
      <c r="E114" s="430" t="str">
        <f t="shared" si="6"/>
        <v>LIJA AGUA 400 - 9"X11" (23X28CM)UND</v>
      </c>
      <c r="F114" s="431">
        <v>1</v>
      </c>
      <c r="G114" s="428">
        <v>362.63260000000002</v>
      </c>
      <c r="H114" s="428">
        <v>33.659999999999997</v>
      </c>
      <c r="I114" s="432">
        <v>1769</v>
      </c>
      <c r="J114" s="433">
        <f t="shared" si="7"/>
        <v>641497.06940000004</v>
      </c>
    </row>
    <row r="115" spans="1:10" x14ac:dyDescent="0.3">
      <c r="A115" s="427">
        <v>101128</v>
      </c>
      <c r="B115" s="428"/>
      <c r="C115" s="428" t="s">
        <v>623</v>
      </c>
      <c r="D115" s="429" t="s">
        <v>89</v>
      </c>
      <c r="E115" s="430" t="str">
        <f t="shared" si="6"/>
        <v>LIMPIADOR PVC 1/4 GLN (760 GRMS)UND</v>
      </c>
      <c r="F115" s="431">
        <v>1</v>
      </c>
      <c r="G115" s="428">
        <v>1.3940999999999999</v>
      </c>
      <c r="H115" s="428">
        <v>190.14</v>
      </c>
      <c r="I115" s="432">
        <v>63440</v>
      </c>
      <c r="J115" s="433">
        <f t="shared" si="7"/>
        <v>88441.703999999998</v>
      </c>
    </row>
    <row r="116" spans="1:10" x14ac:dyDescent="0.3">
      <c r="A116" s="427">
        <v>109948</v>
      </c>
      <c r="B116" s="428"/>
      <c r="C116" s="428" t="s">
        <v>558</v>
      </c>
      <c r="D116" s="429" t="s">
        <v>89</v>
      </c>
      <c r="E116" s="430" t="str">
        <f t="shared" si="6"/>
        <v>LISTON AMARILLO 2" X 3" X 300 CMUND</v>
      </c>
      <c r="F116" s="431">
        <v>1</v>
      </c>
      <c r="G116" s="428">
        <v>100.80000000000001</v>
      </c>
      <c r="H116" s="428">
        <v>172939.2</v>
      </c>
      <c r="I116" s="432">
        <v>43276</v>
      </c>
      <c r="J116" s="433">
        <f t="shared" si="7"/>
        <v>4362220.8000000007</v>
      </c>
    </row>
    <row r="117" spans="1:10" x14ac:dyDescent="0.3">
      <c r="A117" s="427">
        <v>101131</v>
      </c>
      <c r="B117" s="428" t="s">
        <v>470</v>
      </c>
      <c r="C117" s="428" t="s">
        <v>501</v>
      </c>
      <c r="D117" s="429" t="s">
        <v>89</v>
      </c>
      <c r="E117" s="430" t="str">
        <f t="shared" si="6"/>
        <v>LISTON OTOBO 1" X 4" X 300 CMUND</v>
      </c>
      <c r="F117" s="431">
        <v>1</v>
      </c>
      <c r="G117" s="428">
        <v>53.807700000000004</v>
      </c>
      <c r="H117" s="428">
        <v>11323.33</v>
      </c>
      <c r="I117" s="432">
        <v>35525</v>
      </c>
      <c r="J117" s="433">
        <f t="shared" si="7"/>
        <v>1911518.5425000002</v>
      </c>
    </row>
    <row r="118" spans="1:10" x14ac:dyDescent="0.3">
      <c r="A118" s="427">
        <v>117090</v>
      </c>
      <c r="B118" s="428"/>
      <c r="C118" s="428" t="s">
        <v>567</v>
      </c>
      <c r="D118" s="429" t="s">
        <v>565</v>
      </c>
      <c r="E118" s="430" t="str">
        <f t="shared" si="6"/>
        <v>MADERA AMARILLO O NOGALPLG2</v>
      </c>
      <c r="F118" s="431">
        <v>1</v>
      </c>
      <c r="G118" s="428">
        <v>768</v>
      </c>
      <c r="H118" s="428">
        <v>145824</v>
      </c>
      <c r="I118" s="432">
        <v>4789</v>
      </c>
      <c r="J118" s="433">
        <f t="shared" si="7"/>
        <v>3677952</v>
      </c>
    </row>
    <row r="119" spans="1:10" x14ac:dyDescent="0.3">
      <c r="A119" s="427">
        <v>100543</v>
      </c>
      <c r="B119" s="428" t="s">
        <v>470</v>
      </c>
      <c r="C119" s="428" t="s">
        <v>564</v>
      </c>
      <c r="D119" s="429" t="s">
        <v>565</v>
      </c>
      <c r="E119" s="430" t="str">
        <f t="shared" si="6"/>
        <v>MADERA CEDRO CAQUETAPLG2</v>
      </c>
      <c r="F119" s="431">
        <v>1</v>
      </c>
      <c r="G119" s="428">
        <v>528</v>
      </c>
      <c r="H119" s="428">
        <v>220968</v>
      </c>
      <c r="I119" s="432">
        <v>10556</v>
      </c>
      <c r="J119" s="433">
        <f t="shared" si="7"/>
        <v>5573568</v>
      </c>
    </row>
    <row r="120" spans="1:10" x14ac:dyDescent="0.3">
      <c r="A120" s="427">
        <v>101168</v>
      </c>
      <c r="B120" s="428"/>
      <c r="C120" s="428" t="s">
        <v>503</v>
      </c>
      <c r="D120" s="429" t="s">
        <v>156</v>
      </c>
      <c r="E120" s="430" t="str">
        <f t="shared" si="6"/>
        <v>MALLA ELEC. M-0.84 / DO84KG</v>
      </c>
      <c r="F120" s="431">
        <v>1</v>
      </c>
      <c r="G120" s="428">
        <v>81.396000000000001</v>
      </c>
      <c r="H120" s="428">
        <v>8451.61</v>
      </c>
      <c r="I120" s="432">
        <v>6548</v>
      </c>
      <c r="J120" s="433">
        <f t="shared" si="7"/>
        <v>532981.00800000003</v>
      </c>
    </row>
    <row r="121" spans="1:10" x14ac:dyDescent="0.3">
      <c r="A121" s="427">
        <v>103029</v>
      </c>
      <c r="B121" s="428" t="s">
        <v>251</v>
      </c>
      <c r="C121" s="428" t="s">
        <v>591</v>
      </c>
      <c r="D121" s="429" t="s">
        <v>89</v>
      </c>
      <c r="E121" s="430" t="str">
        <f t="shared" si="6"/>
        <v>MANGUERA FLEXIBLE GRIFLEX 40CMUND</v>
      </c>
      <c r="F121" s="431">
        <v>1</v>
      </c>
      <c r="G121" s="428">
        <v>21</v>
      </c>
      <c r="H121" s="428">
        <v>4629</v>
      </c>
      <c r="I121" s="432">
        <v>4865</v>
      </c>
      <c r="J121" s="433">
        <f t="shared" si="7"/>
        <v>102165</v>
      </c>
    </row>
    <row r="122" spans="1:10" x14ac:dyDescent="0.3">
      <c r="A122" s="427">
        <v>101178</v>
      </c>
      <c r="B122" s="428"/>
      <c r="C122" s="428" t="s">
        <v>586</v>
      </c>
      <c r="D122" s="429" t="s">
        <v>89</v>
      </c>
      <c r="E122" s="430" t="str">
        <f t="shared" si="6"/>
        <v>MANIJA ALUM. OREJA BURROUND</v>
      </c>
      <c r="F122" s="431">
        <v>1</v>
      </c>
      <c r="G122" s="428">
        <v>2</v>
      </c>
      <c r="H122" s="428">
        <v>7898</v>
      </c>
      <c r="I122" s="432">
        <v>16602</v>
      </c>
      <c r="J122" s="433">
        <f t="shared" si="7"/>
        <v>33204</v>
      </c>
    </row>
    <row r="123" spans="1:10" x14ac:dyDescent="0.3">
      <c r="A123" s="427">
        <v>101187</v>
      </c>
      <c r="B123" s="428" t="s">
        <v>439</v>
      </c>
      <c r="C123" s="428" t="s">
        <v>665</v>
      </c>
      <c r="D123" s="429" t="s">
        <v>112</v>
      </c>
      <c r="E123" s="430" t="str">
        <f t="shared" si="6"/>
        <v>MANTO EDIL 3 MMM2</v>
      </c>
      <c r="F123" s="431">
        <v>1</v>
      </c>
      <c r="G123" s="428">
        <v>375.22800000000001</v>
      </c>
      <c r="H123" s="428">
        <v>22754.55</v>
      </c>
      <c r="I123" s="432">
        <v>22776</v>
      </c>
      <c r="J123" s="433">
        <f t="shared" si="7"/>
        <v>8546192.9279999994</v>
      </c>
    </row>
    <row r="124" spans="1:10" x14ac:dyDescent="0.3">
      <c r="A124" s="427">
        <v>101195</v>
      </c>
      <c r="B124" s="428"/>
      <c r="C124" s="428" t="s">
        <v>526</v>
      </c>
      <c r="D124" s="429" t="s">
        <v>512</v>
      </c>
      <c r="E124" s="430" t="str">
        <f t="shared" si="6"/>
        <v>MARMOLINA BLANCABULTO</v>
      </c>
      <c r="F124" s="431">
        <v>1</v>
      </c>
      <c r="G124" s="428">
        <v>0.74376399999999998</v>
      </c>
      <c r="H124" s="428">
        <v>185.13</v>
      </c>
      <c r="I124" s="432">
        <v>19265</v>
      </c>
      <c r="J124" s="433">
        <f t="shared" si="7"/>
        <v>14328.61346</v>
      </c>
    </row>
    <row r="125" spans="1:10" x14ac:dyDescent="0.3">
      <c r="A125" s="427">
        <v>115018</v>
      </c>
      <c r="B125" s="428"/>
      <c r="C125" s="428" t="s">
        <v>687</v>
      </c>
      <c r="D125" s="429" t="s">
        <v>156</v>
      </c>
      <c r="E125" s="430" t="str">
        <f t="shared" si="6"/>
        <v>MORTERO DE REPARACION ESTRUCTURALESKG</v>
      </c>
      <c r="F125" s="431">
        <v>1</v>
      </c>
      <c r="G125" s="428">
        <v>581.14350000000002</v>
      </c>
      <c r="H125" s="428">
        <v>16963.8</v>
      </c>
      <c r="I125" s="432">
        <v>16980</v>
      </c>
      <c r="J125" s="433">
        <f t="shared" si="7"/>
        <v>9867816.6300000008</v>
      </c>
    </row>
    <row r="126" spans="1:10" x14ac:dyDescent="0.3">
      <c r="A126" s="427">
        <v>101254</v>
      </c>
      <c r="B126" s="428" t="s">
        <v>595</v>
      </c>
      <c r="C126" s="428" t="s">
        <v>596</v>
      </c>
      <c r="D126" s="429" t="s">
        <v>89</v>
      </c>
      <c r="E126" s="430" t="str">
        <f t="shared" si="6"/>
        <v>NIPLE GALV. 1/2" X 5 CMUND</v>
      </c>
      <c r="F126" s="431">
        <v>1</v>
      </c>
      <c r="G126" s="428">
        <v>15</v>
      </c>
      <c r="H126" s="428">
        <v>6132</v>
      </c>
      <c r="I126" s="432">
        <v>3222</v>
      </c>
      <c r="J126" s="433">
        <f t="shared" si="7"/>
        <v>48330</v>
      </c>
    </row>
    <row r="127" spans="1:10" x14ac:dyDescent="0.3">
      <c r="A127" s="427">
        <v>119031</v>
      </c>
      <c r="B127" s="428"/>
      <c r="C127" s="428" t="s">
        <v>267</v>
      </c>
      <c r="D127" s="429" t="s">
        <v>89</v>
      </c>
      <c r="E127" s="430" t="str">
        <f t="shared" si="6"/>
        <v>ORINAL GRANDE SUSPENDIDO INSTITUCIONALUND</v>
      </c>
      <c r="F127" s="431">
        <v>1</v>
      </c>
      <c r="G127" s="428">
        <v>1</v>
      </c>
      <c r="H127" s="428">
        <v>609754</v>
      </c>
      <c r="I127" s="432">
        <v>640851</v>
      </c>
      <c r="J127" s="433">
        <f t="shared" si="7"/>
        <v>640851</v>
      </c>
    </row>
    <row r="128" spans="1:10" x14ac:dyDescent="0.3">
      <c r="A128" s="427">
        <v>140216</v>
      </c>
      <c r="B128" s="428" t="s">
        <v>689</v>
      </c>
      <c r="C128" s="428" t="s">
        <v>690</v>
      </c>
      <c r="D128" s="429" t="s">
        <v>112</v>
      </c>
      <c r="E128" s="430" t="str">
        <f t="shared" si="6"/>
        <v>PANEL DE ALUMINIO COMPUESTO INCLUYE TODO LO NECESARIO PARA SU INSTALACIÓNM2</v>
      </c>
      <c r="F128" s="431">
        <v>1</v>
      </c>
      <c r="G128" s="428">
        <v>250</v>
      </c>
      <c r="H128" s="428">
        <v>558812</v>
      </c>
      <c r="I128" s="432">
        <v>558812</v>
      </c>
      <c r="J128" s="433">
        <f t="shared" si="7"/>
        <v>139703000</v>
      </c>
    </row>
    <row r="129" spans="1:10" x14ac:dyDescent="0.3">
      <c r="A129" s="427">
        <v>140217</v>
      </c>
      <c r="B129" s="428" t="s">
        <v>607</v>
      </c>
      <c r="C129" s="428" t="s">
        <v>664</v>
      </c>
      <c r="D129" s="429" t="s">
        <v>89</v>
      </c>
      <c r="E129" s="430" t="str">
        <f t="shared" si="6"/>
        <v>PANEL LED CUADRADO 60X60 40W LUZ BLANCAUND</v>
      </c>
      <c r="F129" s="431">
        <v>1</v>
      </c>
      <c r="G129" s="428">
        <v>117</v>
      </c>
      <c r="H129" s="428">
        <v>89900</v>
      </c>
      <c r="I129" s="432">
        <v>94485</v>
      </c>
      <c r="J129" s="433">
        <f t="shared" si="7"/>
        <v>11054745</v>
      </c>
    </row>
    <row r="130" spans="1:10" x14ac:dyDescent="0.3">
      <c r="A130" s="427">
        <v>101288</v>
      </c>
      <c r="B130" s="428"/>
      <c r="C130" s="428" t="s">
        <v>509</v>
      </c>
      <c r="D130" s="429" t="s">
        <v>156</v>
      </c>
      <c r="E130" s="430" t="str">
        <f t="shared" si="6"/>
        <v>PEGACOR BLANCOKG</v>
      </c>
      <c r="F130" s="431">
        <v>1</v>
      </c>
      <c r="G130" s="428">
        <v>269.28000000000003</v>
      </c>
      <c r="H130" s="428">
        <v>7983.54</v>
      </c>
      <c r="I130" s="432">
        <v>2742</v>
      </c>
      <c r="J130" s="433">
        <f t="shared" si="7"/>
        <v>738365.76000000013</v>
      </c>
    </row>
    <row r="131" spans="1:10" x14ac:dyDescent="0.3">
      <c r="A131" s="427">
        <v>101289</v>
      </c>
      <c r="B131" s="428" t="s">
        <v>439</v>
      </c>
      <c r="C131" s="428" t="s">
        <v>562</v>
      </c>
      <c r="D131" s="429" t="s">
        <v>458</v>
      </c>
      <c r="E131" s="430" t="str">
        <f t="shared" si="6"/>
        <v>PEGANTE A X WGLN</v>
      </c>
      <c r="F131" s="431">
        <v>1</v>
      </c>
      <c r="G131" s="428">
        <v>7.3439999999999994</v>
      </c>
      <c r="H131" s="428">
        <v>42904.56</v>
      </c>
      <c r="I131" s="432">
        <v>147362</v>
      </c>
      <c r="J131" s="433">
        <f t="shared" si="7"/>
        <v>1082226.5279999999</v>
      </c>
    </row>
    <row r="132" spans="1:10" x14ac:dyDescent="0.3">
      <c r="A132" s="427">
        <v>105103</v>
      </c>
      <c r="B132" s="428" t="s">
        <v>439</v>
      </c>
      <c r="C132" s="428" t="s">
        <v>519</v>
      </c>
      <c r="D132" s="429" t="s">
        <v>156</v>
      </c>
      <c r="E132" s="430" t="str">
        <f t="shared" si="6"/>
        <v>PEGANTE PORCELANATO BAJA ABSORCIONKG</v>
      </c>
      <c r="F132" s="431">
        <v>1</v>
      </c>
      <c r="G132" s="428">
        <v>2213.88</v>
      </c>
      <c r="H132" s="428">
        <v>9336</v>
      </c>
      <c r="I132" s="432">
        <v>2453</v>
      </c>
      <c r="J132" s="433">
        <f t="shared" si="7"/>
        <v>5430647.6400000006</v>
      </c>
    </row>
    <row r="133" spans="1:10" x14ac:dyDescent="0.3">
      <c r="A133" s="427">
        <v>101299</v>
      </c>
      <c r="B133" s="428" t="s">
        <v>544</v>
      </c>
      <c r="C133" s="428" t="s">
        <v>587</v>
      </c>
      <c r="D133" s="429" t="s">
        <v>89</v>
      </c>
      <c r="E133" s="430" t="str">
        <f t="shared" si="6"/>
        <v>PERF. "U" " 1-1/2"X3/4"UND</v>
      </c>
      <c r="F133" s="431">
        <v>1</v>
      </c>
      <c r="G133" s="428">
        <v>3.6720000000000002</v>
      </c>
      <c r="H133" s="428">
        <v>56531.35</v>
      </c>
      <c r="I133" s="432">
        <v>64722</v>
      </c>
      <c r="J133" s="433">
        <f t="shared" si="7"/>
        <v>237659.18400000001</v>
      </c>
    </row>
    <row r="134" spans="1:10" x14ac:dyDescent="0.3">
      <c r="A134" s="427">
        <v>101306</v>
      </c>
      <c r="B134" s="428" t="s">
        <v>439</v>
      </c>
      <c r="C134" s="428" t="s">
        <v>588</v>
      </c>
      <c r="D134" s="429" t="s">
        <v>89</v>
      </c>
      <c r="E134" s="430" t="str">
        <f t="shared" si="6"/>
        <v>PERFIL A/T/L 3"X1"X6UND</v>
      </c>
      <c r="F134" s="431">
        <v>1</v>
      </c>
      <c r="G134" s="428">
        <v>7.5480000000000009</v>
      </c>
      <c r="H134" s="428">
        <v>275977.52</v>
      </c>
      <c r="I134" s="432">
        <v>153711</v>
      </c>
      <c r="J134" s="433">
        <f t="shared" si="7"/>
        <v>1160210.6280000003</v>
      </c>
    </row>
    <row r="135" spans="1:10" x14ac:dyDescent="0.3">
      <c r="A135" s="427">
        <v>101307</v>
      </c>
      <c r="B135" s="428" t="s">
        <v>439</v>
      </c>
      <c r="C135" s="428" t="s">
        <v>548</v>
      </c>
      <c r="D135" s="429" t="s">
        <v>89</v>
      </c>
      <c r="E135" s="430" t="str">
        <f t="shared" si="6"/>
        <v>PERFIL A/T/L 3"X1-1/2"X6UND</v>
      </c>
      <c r="F135" s="431">
        <v>1</v>
      </c>
      <c r="G135" s="428">
        <v>4.6715999999999998</v>
      </c>
      <c r="H135" s="428">
        <v>111282.56</v>
      </c>
      <c r="I135" s="432">
        <v>176407</v>
      </c>
      <c r="J135" s="433">
        <f t="shared" si="7"/>
        <v>824102.9412</v>
      </c>
    </row>
    <row r="136" spans="1:10" x14ac:dyDescent="0.3">
      <c r="A136" s="427">
        <v>119170</v>
      </c>
      <c r="B136" s="428"/>
      <c r="C136" s="428" t="s">
        <v>569</v>
      </c>
      <c r="D136" s="429" t="s">
        <v>89</v>
      </c>
      <c r="E136" s="430" t="str">
        <f t="shared" si="6"/>
        <v>PERFIL ALUM. ADAPTADOR 5020UND</v>
      </c>
      <c r="F136" s="431">
        <v>1</v>
      </c>
      <c r="G136" s="428">
        <v>12.213424999999999</v>
      </c>
      <c r="H136" s="428">
        <v>7744.65</v>
      </c>
      <c r="I136" s="432">
        <v>46052</v>
      </c>
      <c r="J136" s="433">
        <f t="shared" si="7"/>
        <v>562452.64809999999</v>
      </c>
    </row>
    <row r="137" spans="1:10" x14ac:dyDescent="0.3">
      <c r="A137" s="427">
        <v>109960</v>
      </c>
      <c r="B137" s="428"/>
      <c r="C137" s="428" t="s">
        <v>574</v>
      </c>
      <c r="D137" s="429" t="s">
        <v>89</v>
      </c>
      <c r="E137" s="430" t="str">
        <f t="shared" si="6"/>
        <v>PERFIL ALUM. CABEZAL 7-44UND</v>
      </c>
      <c r="F137" s="431">
        <v>1</v>
      </c>
      <c r="G137" s="428">
        <v>12.213424999999999</v>
      </c>
      <c r="H137" s="428">
        <v>14916.1</v>
      </c>
      <c r="I137" s="432">
        <v>88695</v>
      </c>
      <c r="J137" s="433">
        <f t="shared" si="7"/>
        <v>1083269.7303749998</v>
      </c>
    </row>
    <row r="138" spans="1:10" x14ac:dyDescent="0.3">
      <c r="A138" s="427">
        <v>109961</v>
      </c>
      <c r="B138" s="428"/>
      <c r="C138" s="428" t="s">
        <v>579</v>
      </c>
      <c r="D138" s="429" t="s">
        <v>89</v>
      </c>
      <c r="E138" s="430" t="str">
        <f t="shared" si="6"/>
        <v>PERFIL ALUM. ENGANCHE 7-44UND</v>
      </c>
      <c r="F138" s="431">
        <v>1</v>
      </c>
      <c r="G138" s="428">
        <v>23.379985000000001</v>
      </c>
      <c r="H138" s="428">
        <v>29169.49</v>
      </c>
      <c r="I138" s="432">
        <v>90608</v>
      </c>
      <c r="J138" s="433">
        <f t="shared" si="7"/>
        <v>2118413.6808800003</v>
      </c>
    </row>
    <row r="139" spans="1:10" x14ac:dyDescent="0.3">
      <c r="A139" s="427">
        <v>109962</v>
      </c>
      <c r="B139" s="428"/>
      <c r="C139" s="428" t="s">
        <v>576</v>
      </c>
      <c r="D139" s="429" t="s">
        <v>89</v>
      </c>
      <c r="E139" s="430" t="str">
        <f t="shared" si="6"/>
        <v>PERFIL ALUM. HORIZONTAL 7-44 INFUND</v>
      </c>
      <c r="F139" s="431">
        <v>1</v>
      </c>
      <c r="G139" s="428">
        <v>12.213424999999999</v>
      </c>
      <c r="H139" s="428">
        <v>11156.46</v>
      </c>
      <c r="I139" s="432">
        <v>66339</v>
      </c>
      <c r="J139" s="433">
        <f t="shared" si="7"/>
        <v>810226.40107499994</v>
      </c>
    </row>
    <row r="140" spans="1:10" x14ac:dyDescent="0.3">
      <c r="A140" s="427">
        <v>109963</v>
      </c>
      <c r="B140" s="428"/>
      <c r="C140" s="428" t="s">
        <v>575</v>
      </c>
      <c r="D140" s="429" t="s">
        <v>89</v>
      </c>
      <c r="E140" s="430" t="str">
        <f t="shared" si="6"/>
        <v>PERFIL ALUM. HORIZONTAL 7-44 SUPUND</v>
      </c>
      <c r="F140" s="431">
        <v>1</v>
      </c>
      <c r="G140" s="428">
        <v>12.213424999999999</v>
      </c>
      <c r="H140" s="428">
        <v>14965.59</v>
      </c>
      <c r="I140" s="432">
        <v>88989</v>
      </c>
      <c r="J140" s="433">
        <f t="shared" si="7"/>
        <v>1086860.4773249999</v>
      </c>
    </row>
    <row r="141" spans="1:10" x14ac:dyDescent="0.3">
      <c r="A141" s="427">
        <v>109964</v>
      </c>
      <c r="B141" s="428"/>
      <c r="C141" s="428" t="s">
        <v>581</v>
      </c>
      <c r="D141" s="429" t="s">
        <v>89</v>
      </c>
      <c r="E141" s="430" t="str">
        <f t="shared" si="6"/>
        <v>PERFIL ALUM. JAMBA 7-44UND</v>
      </c>
      <c r="F141" s="431">
        <v>1</v>
      </c>
      <c r="G141" s="428">
        <v>23.379985000000001</v>
      </c>
      <c r="H141" s="428">
        <v>25523.77</v>
      </c>
      <c r="I141" s="432">
        <v>79283</v>
      </c>
      <c r="J141" s="433">
        <f t="shared" si="7"/>
        <v>1853635.350755</v>
      </c>
    </row>
    <row r="142" spans="1:10" x14ac:dyDescent="0.3">
      <c r="A142" s="427">
        <v>109965</v>
      </c>
      <c r="B142" s="428"/>
      <c r="C142" s="428" t="s">
        <v>573</v>
      </c>
      <c r="D142" s="429" t="s">
        <v>89</v>
      </c>
      <c r="E142" s="430" t="str">
        <f t="shared" si="6"/>
        <v>PERFIL ALUM. SILLAR 7-44UND</v>
      </c>
      <c r="F142" s="431">
        <v>1</v>
      </c>
      <c r="G142" s="428">
        <v>12.213424999999999</v>
      </c>
      <c r="H142" s="428">
        <v>14334.07</v>
      </c>
      <c r="I142" s="432">
        <v>85234</v>
      </c>
      <c r="J142" s="433">
        <f t="shared" si="7"/>
        <v>1040999.0664499999</v>
      </c>
    </row>
    <row r="143" spans="1:10" x14ac:dyDescent="0.3">
      <c r="A143" s="427">
        <v>109966</v>
      </c>
      <c r="B143" s="428"/>
      <c r="C143" s="428" t="s">
        <v>582</v>
      </c>
      <c r="D143" s="429" t="s">
        <v>89</v>
      </c>
      <c r="E143" s="430" t="str">
        <f t="shared" si="6"/>
        <v>PERFIL ALUM. TRASLAPE 7-44UND</v>
      </c>
      <c r="F143" s="431">
        <v>1</v>
      </c>
      <c r="G143" s="428">
        <v>23.379985000000001</v>
      </c>
      <c r="H143" s="428">
        <v>28648.43</v>
      </c>
      <c r="I143" s="432">
        <v>88989</v>
      </c>
      <c r="J143" s="433">
        <f t="shared" si="7"/>
        <v>2080561.4851650002</v>
      </c>
    </row>
    <row r="144" spans="1:10" x14ac:dyDescent="0.3">
      <c r="A144" s="427">
        <v>101305</v>
      </c>
      <c r="B144" s="428"/>
      <c r="C144" s="428" t="s">
        <v>557</v>
      </c>
      <c r="D144" s="429" t="s">
        <v>89</v>
      </c>
      <c r="E144" s="430" t="str">
        <f t="shared" ref="E144:E175" si="8">C144&amp;D144</f>
        <v>PERFIL TUB ALUM 3" X 1-1/ 2" X 6MUND</v>
      </c>
      <c r="F144" s="431">
        <v>1</v>
      </c>
      <c r="G144" s="428">
        <v>0.40800000000000003</v>
      </c>
      <c r="H144" s="428">
        <v>79162.600000000006</v>
      </c>
      <c r="I144" s="432">
        <v>203921</v>
      </c>
      <c r="J144" s="433">
        <f t="shared" ref="J144:J175" si="9">G144*I144</f>
        <v>83199.768000000011</v>
      </c>
    </row>
    <row r="145" spans="1:10" x14ac:dyDescent="0.3">
      <c r="A145" s="427">
        <v>101337</v>
      </c>
      <c r="B145" s="428"/>
      <c r="C145" s="428" t="s">
        <v>555</v>
      </c>
      <c r="D145" s="429" t="s">
        <v>89</v>
      </c>
      <c r="E145" s="430" t="str">
        <f t="shared" si="8"/>
        <v>PERFIL U 3" X 1-1/2" X 6M SPUND</v>
      </c>
      <c r="F145" s="431">
        <v>1</v>
      </c>
      <c r="G145" s="428">
        <v>1.4279999999999999</v>
      </c>
      <c r="H145" s="428">
        <v>224235.98</v>
      </c>
      <c r="I145" s="432">
        <v>165036</v>
      </c>
      <c r="J145" s="433">
        <f t="shared" si="9"/>
        <v>235671.408</v>
      </c>
    </row>
    <row r="146" spans="1:10" x14ac:dyDescent="0.3">
      <c r="A146" s="427">
        <v>101940</v>
      </c>
      <c r="B146" s="428" t="s">
        <v>607</v>
      </c>
      <c r="C146" s="428" t="s">
        <v>638</v>
      </c>
      <c r="D146" s="429" t="s">
        <v>89</v>
      </c>
      <c r="E146" s="430" t="str">
        <f t="shared" si="8"/>
        <v>PERNO CARRIAJE CON TUERCA 5/8" X 1-1/2"UND</v>
      </c>
      <c r="F146" s="431">
        <v>1</v>
      </c>
      <c r="G146" s="428">
        <v>8</v>
      </c>
      <c r="H146" s="428">
        <v>17688</v>
      </c>
      <c r="I146" s="432">
        <v>2324</v>
      </c>
      <c r="J146" s="433">
        <f t="shared" si="9"/>
        <v>18592</v>
      </c>
    </row>
    <row r="147" spans="1:10" x14ac:dyDescent="0.3">
      <c r="A147" s="427">
        <v>101941</v>
      </c>
      <c r="B147" s="428" t="s">
        <v>607</v>
      </c>
      <c r="C147" s="428" t="s">
        <v>639</v>
      </c>
      <c r="D147" s="429" t="s">
        <v>89</v>
      </c>
      <c r="E147" s="430" t="str">
        <f t="shared" si="8"/>
        <v>PERNO CARRIAJE CON TUERCA 5/8" X 4"UND</v>
      </c>
      <c r="F147" s="431">
        <v>1</v>
      </c>
      <c r="G147" s="428">
        <v>8</v>
      </c>
      <c r="H147" s="428">
        <v>31560</v>
      </c>
      <c r="I147" s="432">
        <v>4146</v>
      </c>
      <c r="J147" s="433">
        <f t="shared" si="9"/>
        <v>33168</v>
      </c>
    </row>
    <row r="148" spans="1:10" x14ac:dyDescent="0.3">
      <c r="A148" s="427">
        <v>130151</v>
      </c>
      <c r="B148" s="428"/>
      <c r="C148" s="428" t="s">
        <v>483</v>
      </c>
      <c r="D148" s="429" t="s">
        <v>156</v>
      </c>
      <c r="E148" s="430" t="str">
        <f t="shared" si="8"/>
        <v>PLASTIFICANTE REDUCTOR AGUA ALTO RANGOKG</v>
      </c>
      <c r="F148" s="431">
        <v>1</v>
      </c>
      <c r="G148" s="428">
        <v>3.91</v>
      </c>
      <c r="H148" s="428">
        <v>3274.6</v>
      </c>
      <c r="I148" s="432">
        <v>17208</v>
      </c>
      <c r="J148" s="433">
        <f t="shared" si="9"/>
        <v>67283.28</v>
      </c>
    </row>
    <row r="149" spans="1:10" x14ac:dyDescent="0.3">
      <c r="A149" s="427">
        <v>105133</v>
      </c>
      <c r="B149" s="428" t="s">
        <v>517</v>
      </c>
      <c r="C149" s="428" t="s">
        <v>518</v>
      </c>
      <c r="D149" s="429" t="s">
        <v>112</v>
      </c>
      <c r="E149" s="430" t="str">
        <f t="shared" si="8"/>
        <v>PORCELANATO 50-60 X 50-60CMM2</v>
      </c>
      <c r="F149" s="431">
        <v>1</v>
      </c>
      <c r="G149" s="428">
        <v>605.22970000000009</v>
      </c>
      <c r="H149" s="428">
        <v>105178.37</v>
      </c>
      <c r="I149" s="432">
        <v>109448</v>
      </c>
      <c r="J149" s="433">
        <f t="shared" si="9"/>
        <v>66241180.205600008</v>
      </c>
    </row>
    <row r="150" spans="1:10" x14ac:dyDescent="0.3">
      <c r="A150" s="427">
        <v>117143</v>
      </c>
      <c r="B150" s="428"/>
      <c r="C150" s="428" t="s">
        <v>589</v>
      </c>
      <c r="D150" s="429" t="s">
        <v>89</v>
      </c>
      <c r="E150" s="430" t="str">
        <f t="shared" si="8"/>
        <v>PUERTA BANO A.INOX 57CM H=1.60MUND</v>
      </c>
      <c r="F150" s="431">
        <v>1</v>
      </c>
      <c r="G150" s="428">
        <v>4</v>
      </c>
      <c r="H150" s="428">
        <v>916187</v>
      </c>
      <c r="I150" s="432">
        <v>962913</v>
      </c>
      <c r="J150" s="433">
        <f t="shared" si="9"/>
        <v>3851652</v>
      </c>
    </row>
    <row r="151" spans="1:10" x14ac:dyDescent="0.3">
      <c r="A151" s="427">
        <v>101507</v>
      </c>
      <c r="B151" s="428" t="s">
        <v>472</v>
      </c>
      <c r="C151" s="428" t="s">
        <v>502</v>
      </c>
      <c r="D151" s="429" t="s">
        <v>474</v>
      </c>
      <c r="E151" s="430" t="str">
        <f t="shared" si="8"/>
        <v>PUNTILLA CON CABEZA 1-1/2"LB</v>
      </c>
      <c r="F151" s="431">
        <v>1</v>
      </c>
      <c r="G151" s="428">
        <v>8.0310000000000006</v>
      </c>
      <c r="H151" s="428">
        <v>246.95</v>
      </c>
      <c r="I151" s="432">
        <v>5191</v>
      </c>
      <c r="J151" s="433">
        <f t="shared" si="9"/>
        <v>41688.921000000002</v>
      </c>
    </row>
    <row r="152" spans="1:10" x14ac:dyDescent="0.3">
      <c r="A152" s="427">
        <v>101509</v>
      </c>
      <c r="B152" s="428" t="s">
        <v>472</v>
      </c>
      <c r="C152" s="428" t="s">
        <v>476</v>
      </c>
      <c r="D152" s="429" t="s">
        <v>474</v>
      </c>
      <c r="E152" s="430" t="str">
        <f t="shared" si="8"/>
        <v>PUNTILLA CON CABEZA 2"LB</v>
      </c>
      <c r="F152" s="431">
        <v>1</v>
      </c>
      <c r="G152" s="428">
        <v>343.61295999999999</v>
      </c>
      <c r="H152" s="428">
        <v>4939</v>
      </c>
      <c r="I152" s="432">
        <v>5191</v>
      </c>
      <c r="J152" s="433">
        <f t="shared" si="9"/>
        <v>1783694.8753599999</v>
      </c>
    </row>
    <row r="153" spans="1:10" x14ac:dyDescent="0.3">
      <c r="A153" s="427">
        <v>101511</v>
      </c>
      <c r="B153" s="428" t="s">
        <v>472</v>
      </c>
      <c r="C153" s="428" t="s">
        <v>473</v>
      </c>
      <c r="D153" s="429" t="s">
        <v>474</v>
      </c>
      <c r="E153" s="430" t="str">
        <f t="shared" si="8"/>
        <v>PUNTILLA CON CABEZA 2-1/2"LB</v>
      </c>
      <c r="F153" s="431">
        <v>1</v>
      </c>
      <c r="G153" s="428">
        <v>11.788</v>
      </c>
      <c r="H153" s="428">
        <v>1975.6</v>
      </c>
      <c r="I153" s="432">
        <v>5191</v>
      </c>
      <c r="J153" s="433">
        <f t="shared" si="9"/>
        <v>61191.508000000002</v>
      </c>
    </row>
    <row r="154" spans="1:10" x14ac:dyDescent="0.3">
      <c r="A154" s="427">
        <v>101506</v>
      </c>
      <c r="B154" s="428" t="s">
        <v>472</v>
      </c>
      <c r="C154" s="428" t="s">
        <v>563</v>
      </c>
      <c r="D154" s="429" t="s">
        <v>474</v>
      </c>
      <c r="E154" s="430" t="str">
        <f t="shared" si="8"/>
        <v>PUNTILLA SIN CABEZA 1"LB</v>
      </c>
      <c r="F154" s="431">
        <v>1</v>
      </c>
      <c r="G154" s="428">
        <v>38.399999999999991</v>
      </c>
      <c r="H154" s="428">
        <v>7651</v>
      </c>
      <c r="I154" s="432">
        <v>5744</v>
      </c>
      <c r="J154" s="433">
        <f t="shared" si="9"/>
        <v>220569.59999999995</v>
      </c>
    </row>
    <row r="155" spans="1:10" x14ac:dyDescent="0.3">
      <c r="A155" s="427">
        <v>119071</v>
      </c>
      <c r="B155" s="428"/>
      <c r="C155" s="428" t="s">
        <v>320</v>
      </c>
      <c r="D155" s="429" t="s">
        <v>89</v>
      </c>
      <c r="E155" s="430" t="str">
        <f t="shared" si="8"/>
        <v>REFLECTOR 64 LEDUND</v>
      </c>
      <c r="F155" s="431">
        <v>1</v>
      </c>
      <c r="G155" s="428">
        <v>3</v>
      </c>
      <c r="H155" s="428">
        <v>214802</v>
      </c>
      <c r="I155" s="432">
        <v>225757</v>
      </c>
      <c r="J155" s="433">
        <f t="shared" si="9"/>
        <v>677271</v>
      </c>
    </row>
    <row r="156" spans="1:10" x14ac:dyDescent="0.3">
      <c r="A156" s="427">
        <v>101561</v>
      </c>
      <c r="B156" s="428" t="s">
        <v>251</v>
      </c>
      <c r="C156" s="428" t="s">
        <v>606</v>
      </c>
      <c r="D156" s="429" t="s">
        <v>89</v>
      </c>
      <c r="E156" s="430" t="str">
        <f t="shared" si="8"/>
        <v>REJILLA SOSCO ALUMINIO 3"X2"UND</v>
      </c>
      <c r="F156" s="431">
        <v>1</v>
      </c>
      <c r="G156" s="428">
        <v>4</v>
      </c>
      <c r="H156" s="428">
        <v>15675</v>
      </c>
      <c r="I156" s="432">
        <v>16474</v>
      </c>
      <c r="J156" s="433">
        <f t="shared" si="9"/>
        <v>65896</v>
      </c>
    </row>
    <row r="157" spans="1:10" x14ac:dyDescent="0.3">
      <c r="A157" s="427">
        <v>119042</v>
      </c>
      <c r="B157" s="428"/>
      <c r="C157" s="428" t="s">
        <v>684</v>
      </c>
      <c r="D157" s="429" t="s">
        <v>156</v>
      </c>
      <c r="E157" s="430" t="str">
        <f t="shared" si="8"/>
        <v>RELLENO FINO INTERIORKG</v>
      </c>
      <c r="F157" s="431">
        <v>1</v>
      </c>
      <c r="G157" s="428">
        <v>1145.0117500000001</v>
      </c>
      <c r="H157" s="428">
        <v>3476.92</v>
      </c>
      <c r="I157" s="432">
        <v>1447</v>
      </c>
      <c r="J157" s="433">
        <f t="shared" si="9"/>
        <v>1656832.0022500001</v>
      </c>
    </row>
    <row r="158" spans="1:10" x14ac:dyDescent="0.3">
      <c r="A158" s="427">
        <v>119040</v>
      </c>
      <c r="B158" s="428"/>
      <c r="C158" s="428" t="s">
        <v>683</v>
      </c>
      <c r="D158" s="429" t="s">
        <v>156</v>
      </c>
      <c r="E158" s="430" t="str">
        <f t="shared" si="8"/>
        <v>RELLENO GRUESO INTERIORKG</v>
      </c>
      <c r="F158" s="431">
        <v>1</v>
      </c>
      <c r="G158" s="428">
        <v>687.00705000000005</v>
      </c>
      <c r="H158" s="428">
        <v>1954.35</v>
      </c>
      <c r="I158" s="432">
        <v>1356</v>
      </c>
      <c r="J158" s="433">
        <f t="shared" si="9"/>
        <v>931581.55980000005</v>
      </c>
    </row>
    <row r="159" spans="1:10" x14ac:dyDescent="0.3">
      <c r="A159" s="427">
        <v>101572</v>
      </c>
      <c r="B159" s="428"/>
      <c r="C159" s="428" t="s">
        <v>571</v>
      </c>
      <c r="D159" s="429" t="s">
        <v>89</v>
      </c>
      <c r="E159" s="430" t="str">
        <f t="shared" si="8"/>
        <v>REMACHE POP 4-2 1/8"X1/8"UND</v>
      </c>
      <c r="F159" s="431">
        <v>1</v>
      </c>
      <c r="G159" s="428">
        <v>276.39999999999998</v>
      </c>
      <c r="H159" s="428">
        <v>248</v>
      </c>
      <c r="I159" s="432">
        <v>65</v>
      </c>
      <c r="J159" s="433">
        <f t="shared" si="9"/>
        <v>17966</v>
      </c>
    </row>
    <row r="160" spans="1:10" x14ac:dyDescent="0.3">
      <c r="A160" s="427">
        <v>119191</v>
      </c>
      <c r="B160" s="428"/>
      <c r="C160" s="428" t="s">
        <v>570</v>
      </c>
      <c r="D160" s="429" t="s">
        <v>89</v>
      </c>
      <c r="E160" s="430" t="str">
        <f t="shared" si="8"/>
        <v>RODAMIENTO NYLON PC-744UND</v>
      </c>
      <c r="F160" s="431">
        <v>1</v>
      </c>
      <c r="G160" s="428">
        <v>276.39999999999998</v>
      </c>
      <c r="H160" s="428">
        <v>20620</v>
      </c>
      <c r="I160" s="432">
        <v>5418</v>
      </c>
      <c r="J160" s="433">
        <f t="shared" si="9"/>
        <v>1497535.2</v>
      </c>
    </row>
    <row r="161" spans="1:10" x14ac:dyDescent="0.3">
      <c r="A161" s="427">
        <v>115013</v>
      </c>
      <c r="B161" s="428"/>
      <c r="C161" s="428" t="s">
        <v>535</v>
      </c>
      <c r="D161" s="429" t="s">
        <v>89</v>
      </c>
      <c r="E161" s="430" t="str">
        <f t="shared" si="8"/>
        <v>RODILLO FELPAUND</v>
      </c>
      <c r="F161" s="431">
        <v>1</v>
      </c>
      <c r="G161" s="428">
        <v>45.89609999999999</v>
      </c>
      <c r="H161" s="428">
        <v>380.1</v>
      </c>
      <c r="I161" s="432">
        <v>13316</v>
      </c>
      <c r="J161" s="433">
        <f t="shared" si="9"/>
        <v>611152.46759999986</v>
      </c>
    </row>
    <row r="162" spans="1:10" x14ac:dyDescent="0.3">
      <c r="A162" s="427">
        <v>101599</v>
      </c>
      <c r="B162" s="428" t="s">
        <v>251</v>
      </c>
      <c r="C162" s="428" t="s">
        <v>592</v>
      </c>
      <c r="D162" s="429" t="s">
        <v>89</v>
      </c>
      <c r="E162" s="430" t="str">
        <f t="shared" si="8"/>
        <v>SANITARIO LINEA MEDIAUND</v>
      </c>
      <c r="F162" s="431">
        <v>1</v>
      </c>
      <c r="G162" s="428">
        <v>7</v>
      </c>
      <c r="H162" s="428">
        <v>657099</v>
      </c>
      <c r="I162" s="432">
        <v>690611</v>
      </c>
      <c r="J162" s="433">
        <f t="shared" si="9"/>
        <v>4834277</v>
      </c>
    </row>
    <row r="163" spans="1:10" x14ac:dyDescent="0.3">
      <c r="A163" s="427">
        <v>101605</v>
      </c>
      <c r="B163" s="428" t="s">
        <v>490</v>
      </c>
      <c r="C163" s="428" t="s">
        <v>491</v>
      </c>
      <c r="D163" s="429" t="s">
        <v>89</v>
      </c>
      <c r="E163" s="430" t="str">
        <f t="shared" si="8"/>
        <v>SEGUETA SIN MARCO PARA METAL 12" X 24DDPUND</v>
      </c>
      <c r="F163" s="431">
        <v>1</v>
      </c>
      <c r="G163" s="428">
        <v>668.98521599999992</v>
      </c>
      <c r="H163" s="428">
        <v>295.36</v>
      </c>
      <c r="I163" s="432">
        <v>7684</v>
      </c>
      <c r="J163" s="433">
        <f t="shared" si="9"/>
        <v>5140482.3997439994</v>
      </c>
    </row>
    <row r="164" spans="1:10" x14ac:dyDescent="0.3">
      <c r="A164" s="427">
        <v>101197</v>
      </c>
      <c r="B164" s="428" t="s">
        <v>530</v>
      </c>
      <c r="C164" s="428" t="s">
        <v>681</v>
      </c>
      <c r="D164" s="429" t="s">
        <v>682</v>
      </c>
      <c r="E164" s="430" t="str">
        <f t="shared" si="8"/>
        <v>SELLAPANEL DRYWALL PREMEZCLADACUÑETE</v>
      </c>
      <c r="F164" s="431">
        <v>1</v>
      </c>
      <c r="G164" s="428">
        <v>0.36719999999999997</v>
      </c>
      <c r="H164" s="428">
        <v>4127.08</v>
      </c>
      <c r="I164" s="432">
        <v>70875</v>
      </c>
      <c r="J164" s="433">
        <f t="shared" si="9"/>
        <v>26025.3</v>
      </c>
    </row>
    <row r="165" spans="1:10" x14ac:dyDescent="0.3">
      <c r="A165" s="427">
        <v>103048</v>
      </c>
      <c r="B165" s="428" t="s">
        <v>439</v>
      </c>
      <c r="C165" s="428" t="s">
        <v>482</v>
      </c>
      <c r="D165" s="429" t="s">
        <v>156</v>
      </c>
      <c r="E165" s="430" t="str">
        <f t="shared" si="8"/>
        <v>SEPAROL DESFORMALETEANTEKG</v>
      </c>
      <c r="F165" s="431">
        <v>1</v>
      </c>
      <c r="G165" s="428">
        <v>39.1</v>
      </c>
      <c r="H165" s="428">
        <v>70916</v>
      </c>
      <c r="I165" s="432">
        <v>37266</v>
      </c>
      <c r="J165" s="433">
        <f t="shared" si="9"/>
        <v>1457100.6</v>
      </c>
    </row>
    <row r="166" spans="1:10" x14ac:dyDescent="0.3">
      <c r="A166" s="427">
        <v>130028</v>
      </c>
      <c r="B166" s="428"/>
      <c r="C166" s="428" t="s">
        <v>602</v>
      </c>
      <c r="D166" s="429" t="s">
        <v>89</v>
      </c>
      <c r="E166" s="430" t="str">
        <f t="shared" si="8"/>
        <v>SIFON LAVAM. ACOPLE BOTELLAUND</v>
      </c>
      <c r="F166" s="431">
        <v>1</v>
      </c>
      <c r="G166" s="428">
        <v>1</v>
      </c>
      <c r="H166" s="428">
        <v>29351</v>
      </c>
      <c r="I166" s="432">
        <v>30848</v>
      </c>
      <c r="J166" s="433">
        <f t="shared" si="9"/>
        <v>30848</v>
      </c>
    </row>
    <row r="167" spans="1:10" x14ac:dyDescent="0.3">
      <c r="A167" s="427">
        <v>101630</v>
      </c>
      <c r="B167" s="428" t="s">
        <v>490</v>
      </c>
      <c r="C167" s="428" t="s">
        <v>580</v>
      </c>
      <c r="D167" s="429" t="s">
        <v>89</v>
      </c>
      <c r="E167" s="430" t="str">
        <f t="shared" si="8"/>
        <v>SILICONA FRIA EN TUBO - 280 MLUND</v>
      </c>
      <c r="F167" s="431">
        <v>1</v>
      </c>
      <c r="G167" s="428">
        <v>34.549999999999997</v>
      </c>
      <c r="H167" s="428">
        <v>14149.5</v>
      </c>
      <c r="I167" s="432">
        <v>29742</v>
      </c>
      <c r="J167" s="433">
        <f t="shared" si="9"/>
        <v>1027586.0999999999</v>
      </c>
    </row>
    <row r="168" spans="1:10" x14ac:dyDescent="0.3">
      <c r="A168" s="427">
        <v>101632</v>
      </c>
      <c r="B168" s="428"/>
      <c r="C168" s="428" t="s">
        <v>603</v>
      </c>
      <c r="D168" s="429" t="s">
        <v>89</v>
      </c>
      <c r="E168" s="430" t="str">
        <f t="shared" si="8"/>
        <v>SILICONA TRANSPARENTE 781UND</v>
      </c>
      <c r="F168" s="431">
        <v>1</v>
      </c>
      <c r="G168" s="428">
        <v>5.0500000000000003E-2</v>
      </c>
      <c r="H168" s="428">
        <v>1588.47</v>
      </c>
      <c r="I168" s="432">
        <v>33059</v>
      </c>
      <c r="J168" s="433">
        <f t="shared" si="9"/>
        <v>1669.4795000000001</v>
      </c>
    </row>
    <row r="169" spans="1:10" x14ac:dyDescent="0.3">
      <c r="A169" s="427">
        <v>101651</v>
      </c>
      <c r="B169" s="428" t="s">
        <v>542</v>
      </c>
      <c r="C169" s="428" t="s">
        <v>679</v>
      </c>
      <c r="D169" s="429" t="s">
        <v>156</v>
      </c>
      <c r="E169" s="430" t="str">
        <f t="shared" si="8"/>
        <v>SOLDADURA 6011 X 1/8"KG</v>
      </c>
      <c r="F169" s="431">
        <v>1</v>
      </c>
      <c r="G169" s="428">
        <v>3.06</v>
      </c>
      <c r="H169" s="428">
        <v>12537.33</v>
      </c>
      <c r="I169" s="432">
        <v>25837</v>
      </c>
      <c r="J169" s="433">
        <f t="shared" si="9"/>
        <v>79061.22</v>
      </c>
    </row>
    <row r="170" spans="1:10" x14ac:dyDescent="0.3">
      <c r="A170" s="427">
        <v>101658</v>
      </c>
      <c r="B170" s="428"/>
      <c r="C170" s="428" t="s">
        <v>620</v>
      </c>
      <c r="D170" s="429" t="s">
        <v>89</v>
      </c>
      <c r="E170" s="430" t="str">
        <f t="shared" si="8"/>
        <v>SOLDADURA PVC 1/4 GLNUND</v>
      </c>
      <c r="F170" s="431">
        <v>1</v>
      </c>
      <c r="G170" s="428">
        <v>1.3940999999999999</v>
      </c>
      <c r="H170" s="428">
        <v>368.83</v>
      </c>
      <c r="I170" s="432">
        <v>123064</v>
      </c>
      <c r="J170" s="433">
        <f t="shared" si="9"/>
        <v>171563.52239999999</v>
      </c>
    </row>
    <row r="171" spans="1:10" x14ac:dyDescent="0.3">
      <c r="A171" s="427">
        <v>101692</v>
      </c>
      <c r="B171" s="428" t="s">
        <v>607</v>
      </c>
      <c r="C171" s="428" t="s">
        <v>659</v>
      </c>
      <c r="D171" s="429" t="s">
        <v>89</v>
      </c>
      <c r="E171" s="430" t="str">
        <f t="shared" si="8"/>
        <v>STRIP 40-80 PARESUND</v>
      </c>
      <c r="F171" s="431">
        <v>1</v>
      </c>
      <c r="G171" s="428">
        <v>2</v>
      </c>
      <c r="H171" s="428">
        <v>103094</v>
      </c>
      <c r="I171" s="432">
        <v>108352</v>
      </c>
      <c r="J171" s="433">
        <f t="shared" si="9"/>
        <v>216704</v>
      </c>
    </row>
    <row r="172" spans="1:10" x14ac:dyDescent="0.3">
      <c r="A172" s="427">
        <v>130161</v>
      </c>
      <c r="B172" s="428"/>
      <c r="C172" s="428" t="s">
        <v>651</v>
      </c>
      <c r="D172" s="429" t="s">
        <v>89</v>
      </c>
      <c r="E172" s="430" t="str">
        <f t="shared" si="8"/>
        <v>SWITCHE DOBLE AMBIAUND</v>
      </c>
      <c r="F172" s="431">
        <v>1</v>
      </c>
      <c r="G172" s="428">
        <v>5</v>
      </c>
      <c r="H172" s="428">
        <v>27025</v>
      </c>
      <c r="I172" s="432">
        <v>28403</v>
      </c>
      <c r="J172" s="433">
        <f t="shared" si="9"/>
        <v>142015</v>
      </c>
    </row>
    <row r="173" spans="1:10" x14ac:dyDescent="0.3">
      <c r="A173" s="427">
        <v>101697</v>
      </c>
      <c r="B173" s="428"/>
      <c r="C173" s="428" t="s">
        <v>650</v>
      </c>
      <c r="D173" s="429" t="s">
        <v>89</v>
      </c>
      <c r="E173" s="430" t="str">
        <f t="shared" si="8"/>
        <v>SWITCHE SENCILLO LUNAREUND</v>
      </c>
      <c r="F173" s="431">
        <v>1</v>
      </c>
      <c r="G173" s="428">
        <v>30</v>
      </c>
      <c r="H173" s="428">
        <v>13676</v>
      </c>
      <c r="I173" s="432">
        <v>14373</v>
      </c>
      <c r="J173" s="433">
        <f t="shared" si="9"/>
        <v>431190</v>
      </c>
    </row>
    <row r="174" spans="1:10" x14ac:dyDescent="0.3">
      <c r="A174" s="427">
        <v>130162</v>
      </c>
      <c r="B174" s="428"/>
      <c r="C174" s="428" t="s">
        <v>652</v>
      </c>
      <c r="D174" s="429" t="s">
        <v>89</v>
      </c>
      <c r="E174" s="430" t="str">
        <f t="shared" si="8"/>
        <v>SWITCHE TRIPLE AMBIAUND</v>
      </c>
      <c r="F174" s="431">
        <v>1</v>
      </c>
      <c r="G174" s="428">
        <v>4</v>
      </c>
      <c r="H174" s="428">
        <v>35184</v>
      </c>
      <c r="I174" s="432">
        <v>36978</v>
      </c>
      <c r="J174" s="433">
        <f t="shared" si="9"/>
        <v>147912</v>
      </c>
    </row>
    <row r="175" spans="1:10" x14ac:dyDescent="0.3">
      <c r="A175" s="427">
        <v>101718</v>
      </c>
      <c r="B175" s="428" t="s">
        <v>470</v>
      </c>
      <c r="C175" s="428" t="s">
        <v>477</v>
      </c>
      <c r="D175" s="429" t="s">
        <v>89</v>
      </c>
      <c r="E175" s="430" t="str">
        <f t="shared" si="8"/>
        <v>TABLA OTOBO [2C] 1X10X300 CMUND</v>
      </c>
      <c r="F175" s="431">
        <v>1</v>
      </c>
      <c r="G175" s="428">
        <v>140.19499999999999</v>
      </c>
      <c r="H175" s="428">
        <v>95584.5</v>
      </c>
      <c r="I175" s="432">
        <v>18265</v>
      </c>
      <c r="J175" s="433">
        <f t="shared" si="9"/>
        <v>2560661.6749999998</v>
      </c>
    </row>
    <row r="176" spans="1:10" x14ac:dyDescent="0.3">
      <c r="A176" s="427">
        <v>101717</v>
      </c>
      <c r="B176" s="428" t="s">
        <v>470</v>
      </c>
      <c r="C176" s="428" t="s">
        <v>475</v>
      </c>
      <c r="D176" s="429" t="s">
        <v>89</v>
      </c>
      <c r="E176" s="430" t="str">
        <f t="shared" ref="E176:E207" si="10">C176&amp;D176</f>
        <v>TABLA OTOBO 1X10X300 CMUND</v>
      </c>
      <c r="F176" s="431">
        <v>1</v>
      </c>
      <c r="G176" s="428">
        <v>255.863</v>
      </c>
      <c r="H176" s="428">
        <v>6062.7</v>
      </c>
      <c r="I176" s="432">
        <v>21240</v>
      </c>
      <c r="J176" s="433">
        <f t="shared" ref="J176:J207" si="11">G176*I176</f>
        <v>5434530.1200000001</v>
      </c>
    </row>
    <row r="177" spans="1:10" x14ac:dyDescent="0.3">
      <c r="A177" s="427">
        <v>101725</v>
      </c>
      <c r="B177" s="428" t="s">
        <v>607</v>
      </c>
      <c r="C177" s="428" t="s">
        <v>657</v>
      </c>
      <c r="D177" s="429" t="s">
        <v>89</v>
      </c>
      <c r="E177" s="430" t="str">
        <f t="shared" si="10"/>
        <v>TABLERO 2F- 6 CTOS TBCUND</v>
      </c>
      <c r="F177" s="431">
        <v>1</v>
      </c>
      <c r="G177" s="428">
        <v>1</v>
      </c>
      <c r="H177" s="428">
        <v>139782</v>
      </c>
      <c r="I177" s="432">
        <v>146911</v>
      </c>
      <c r="J177" s="433">
        <f t="shared" si="11"/>
        <v>146911</v>
      </c>
    </row>
    <row r="178" spans="1:10" x14ac:dyDescent="0.3">
      <c r="A178" s="427">
        <v>101726</v>
      </c>
      <c r="B178" s="428" t="s">
        <v>607</v>
      </c>
      <c r="C178" s="428" t="s">
        <v>658</v>
      </c>
      <c r="D178" s="429" t="s">
        <v>89</v>
      </c>
      <c r="E178" s="430" t="str">
        <f t="shared" si="10"/>
        <v>TABLERO 2F- 8 CTOS TBCUND</v>
      </c>
      <c r="F178" s="431">
        <v>1</v>
      </c>
      <c r="G178" s="428">
        <v>1</v>
      </c>
      <c r="H178" s="428">
        <v>213980</v>
      </c>
      <c r="I178" s="432">
        <v>224893</v>
      </c>
      <c r="J178" s="433">
        <f t="shared" si="11"/>
        <v>224893</v>
      </c>
    </row>
    <row r="179" spans="1:10" x14ac:dyDescent="0.3">
      <c r="A179" s="427">
        <v>101727</v>
      </c>
      <c r="B179" s="428" t="s">
        <v>607</v>
      </c>
      <c r="C179" s="428" t="s">
        <v>656</v>
      </c>
      <c r="D179" s="429" t="s">
        <v>89</v>
      </c>
      <c r="E179" s="430" t="str">
        <f t="shared" si="10"/>
        <v>TABLERO 2F-12 CTOS TBCUND</v>
      </c>
      <c r="F179" s="431">
        <v>1</v>
      </c>
      <c r="G179" s="428">
        <v>1</v>
      </c>
      <c r="H179" s="428">
        <v>237269</v>
      </c>
      <c r="I179" s="432">
        <v>249370</v>
      </c>
      <c r="J179" s="433">
        <f t="shared" si="11"/>
        <v>249370</v>
      </c>
    </row>
    <row r="180" spans="1:10" x14ac:dyDescent="0.3">
      <c r="A180" s="427">
        <v>101728</v>
      </c>
      <c r="B180" s="428" t="s">
        <v>607</v>
      </c>
      <c r="C180" s="428" t="s">
        <v>655</v>
      </c>
      <c r="D180" s="429" t="s">
        <v>89</v>
      </c>
      <c r="E180" s="430" t="str">
        <f t="shared" si="10"/>
        <v>TABLERO 2F-18 CTOS TBCUND</v>
      </c>
      <c r="F180" s="431">
        <v>1</v>
      </c>
      <c r="G180" s="428">
        <v>1</v>
      </c>
      <c r="H180" s="428">
        <v>295318</v>
      </c>
      <c r="I180" s="432">
        <v>310379</v>
      </c>
      <c r="J180" s="433">
        <f t="shared" si="11"/>
        <v>310379</v>
      </c>
    </row>
    <row r="181" spans="1:10" x14ac:dyDescent="0.3">
      <c r="A181" s="427">
        <v>101729</v>
      </c>
      <c r="B181" s="428" t="s">
        <v>607</v>
      </c>
      <c r="C181" s="428" t="s">
        <v>627</v>
      </c>
      <c r="D181" s="429" t="s">
        <v>89</v>
      </c>
      <c r="E181" s="430" t="str">
        <f t="shared" si="10"/>
        <v>TABLERO 2F-24 CTOS TBCUND</v>
      </c>
      <c r="F181" s="431">
        <v>1</v>
      </c>
      <c r="G181" s="428">
        <v>1</v>
      </c>
      <c r="H181" s="428">
        <v>345365</v>
      </c>
      <c r="I181" s="432">
        <v>362979</v>
      </c>
      <c r="J181" s="433">
        <f t="shared" si="11"/>
        <v>362979</v>
      </c>
    </row>
    <row r="182" spans="1:10" x14ac:dyDescent="0.3">
      <c r="A182" s="427">
        <v>101777</v>
      </c>
      <c r="B182" s="428" t="s">
        <v>470</v>
      </c>
      <c r="C182" s="428" t="s">
        <v>568</v>
      </c>
      <c r="D182" s="429" t="s">
        <v>89</v>
      </c>
      <c r="E182" s="430" t="str">
        <f t="shared" si="10"/>
        <v>TAPON MADERA CEDRO PARA TORNILLOUND</v>
      </c>
      <c r="F182" s="431">
        <v>1</v>
      </c>
      <c r="G182" s="428">
        <v>192</v>
      </c>
      <c r="H182" s="428">
        <v>2040</v>
      </c>
      <c r="I182" s="432">
        <v>268</v>
      </c>
      <c r="J182" s="433">
        <f t="shared" si="11"/>
        <v>51456</v>
      </c>
    </row>
    <row r="183" spans="1:10" x14ac:dyDescent="0.3">
      <c r="A183" s="427">
        <v>101786</v>
      </c>
      <c r="B183" s="428" t="s">
        <v>595</v>
      </c>
      <c r="C183" s="428" t="s">
        <v>597</v>
      </c>
      <c r="D183" s="429" t="s">
        <v>89</v>
      </c>
      <c r="E183" s="430" t="str">
        <f t="shared" si="10"/>
        <v>TEE GALV. 1/2"UND</v>
      </c>
      <c r="F183" s="431">
        <v>1</v>
      </c>
      <c r="G183" s="428">
        <v>7</v>
      </c>
      <c r="H183" s="428">
        <v>5136</v>
      </c>
      <c r="I183" s="432">
        <v>5398</v>
      </c>
      <c r="J183" s="433">
        <f t="shared" si="11"/>
        <v>37786</v>
      </c>
    </row>
    <row r="184" spans="1:10" x14ac:dyDescent="0.3">
      <c r="A184" s="427">
        <v>101894</v>
      </c>
      <c r="B184" s="428" t="s">
        <v>542</v>
      </c>
      <c r="C184" s="428" t="s">
        <v>549</v>
      </c>
      <c r="D184" s="429" t="s">
        <v>89</v>
      </c>
      <c r="E184" s="430" t="str">
        <f t="shared" si="10"/>
        <v>TENS/VAR 3/8" C.R TUERCAUND</v>
      </c>
      <c r="F184" s="431">
        <v>1</v>
      </c>
      <c r="G184" s="428">
        <v>3.42</v>
      </c>
      <c r="H184" s="428">
        <v>37578.800000000003</v>
      </c>
      <c r="I184" s="432">
        <v>112844</v>
      </c>
      <c r="J184" s="433">
        <f t="shared" si="11"/>
        <v>385926.48</v>
      </c>
    </row>
    <row r="185" spans="1:10" x14ac:dyDescent="0.3">
      <c r="A185" s="427">
        <v>109001</v>
      </c>
      <c r="B185" s="428"/>
      <c r="C185" s="428" t="s">
        <v>613</v>
      </c>
      <c r="D185" s="429" t="s">
        <v>89</v>
      </c>
      <c r="E185" s="430" t="str">
        <f t="shared" si="10"/>
        <v>TERMINAL EMT 3/4"UND</v>
      </c>
      <c r="F185" s="431">
        <v>1</v>
      </c>
      <c r="G185" s="428">
        <v>248</v>
      </c>
      <c r="H185" s="428">
        <v>4664</v>
      </c>
      <c r="I185" s="432">
        <v>2451</v>
      </c>
      <c r="J185" s="433">
        <f t="shared" si="11"/>
        <v>607848</v>
      </c>
    </row>
    <row r="186" spans="1:10" x14ac:dyDescent="0.3">
      <c r="A186" s="427">
        <v>130186</v>
      </c>
      <c r="B186" s="428"/>
      <c r="C186" s="428" t="s">
        <v>626</v>
      </c>
      <c r="D186" s="429" t="s">
        <v>89</v>
      </c>
      <c r="E186" s="430" t="str">
        <f t="shared" si="10"/>
        <v>TOMA DOBLE P-T AMBIAUND</v>
      </c>
      <c r="F186" s="431">
        <v>1</v>
      </c>
      <c r="G186" s="428">
        <v>55</v>
      </c>
      <c r="H186" s="428">
        <v>5891</v>
      </c>
      <c r="I186" s="432">
        <v>6191</v>
      </c>
      <c r="J186" s="433">
        <f t="shared" si="11"/>
        <v>340505</v>
      </c>
    </row>
    <row r="187" spans="1:10" x14ac:dyDescent="0.3">
      <c r="A187" s="427">
        <v>117191</v>
      </c>
      <c r="B187" s="428"/>
      <c r="C187" s="428" t="s">
        <v>648</v>
      </c>
      <c r="D187" s="429" t="s">
        <v>89</v>
      </c>
      <c r="E187" s="430" t="str">
        <f t="shared" si="10"/>
        <v>TOMA NARANJA TIERRA AISLADUND</v>
      </c>
      <c r="F187" s="431">
        <v>1</v>
      </c>
      <c r="G187" s="428">
        <v>60</v>
      </c>
      <c r="H187" s="428">
        <v>19068</v>
      </c>
      <c r="I187" s="432">
        <v>20040</v>
      </c>
      <c r="J187" s="433">
        <f t="shared" si="11"/>
        <v>1202400</v>
      </c>
    </row>
    <row r="188" spans="1:10" x14ac:dyDescent="0.3">
      <c r="A188" s="427">
        <v>107218</v>
      </c>
      <c r="B188" s="428"/>
      <c r="C188" s="428" t="s">
        <v>619</v>
      </c>
      <c r="D188" s="429" t="s">
        <v>89</v>
      </c>
      <c r="E188" s="430" t="str">
        <f t="shared" si="10"/>
        <v>TOMA ZONA HUMEDA GFCI-LEVIUND</v>
      </c>
      <c r="F188" s="431">
        <v>1</v>
      </c>
      <c r="G188" s="428">
        <v>4</v>
      </c>
      <c r="H188" s="428">
        <v>76373</v>
      </c>
      <c r="I188" s="432">
        <v>80268</v>
      </c>
      <c r="J188" s="433">
        <f t="shared" si="11"/>
        <v>321072</v>
      </c>
    </row>
    <row r="189" spans="1:10" x14ac:dyDescent="0.3">
      <c r="A189" s="427">
        <v>119076</v>
      </c>
      <c r="B189" s="428"/>
      <c r="C189" s="428" t="s">
        <v>654</v>
      </c>
      <c r="D189" s="429" t="s">
        <v>89</v>
      </c>
      <c r="E189" s="430" t="str">
        <f t="shared" si="10"/>
        <v>TORNILLO ANTIROBOUND</v>
      </c>
      <c r="F189" s="431">
        <v>1</v>
      </c>
      <c r="G189" s="428">
        <v>3</v>
      </c>
      <c r="H189" s="428">
        <v>108</v>
      </c>
      <c r="I189" s="432">
        <v>114</v>
      </c>
      <c r="J189" s="433">
        <f t="shared" si="11"/>
        <v>342</v>
      </c>
    </row>
    <row r="190" spans="1:10" x14ac:dyDescent="0.3">
      <c r="A190" s="427">
        <v>101943</v>
      </c>
      <c r="B190" s="428" t="s">
        <v>607</v>
      </c>
      <c r="C190" s="428" t="s">
        <v>642</v>
      </c>
      <c r="D190" s="429" t="s">
        <v>89</v>
      </c>
      <c r="E190" s="430" t="str">
        <f t="shared" si="10"/>
        <v>TORNILLO MAQUINA 5/8" X 2"UND</v>
      </c>
      <c r="F190" s="431">
        <v>1</v>
      </c>
      <c r="G190" s="428">
        <v>8</v>
      </c>
      <c r="H190" s="428">
        <v>24000</v>
      </c>
      <c r="I190" s="432">
        <v>3153</v>
      </c>
      <c r="J190" s="433">
        <f t="shared" si="11"/>
        <v>25224</v>
      </c>
    </row>
    <row r="191" spans="1:10" x14ac:dyDescent="0.3">
      <c r="A191" s="427">
        <v>101948</v>
      </c>
      <c r="B191" s="428" t="s">
        <v>542</v>
      </c>
      <c r="C191" s="428" t="s">
        <v>583</v>
      </c>
      <c r="D191" s="429" t="s">
        <v>89</v>
      </c>
      <c r="E191" s="430" t="str">
        <f t="shared" si="10"/>
        <v>TORNILLO PAMPH 8 X 1"UND</v>
      </c>
      <c r="F191" s="431">
        <v>1</v>
      </c>
      <c r="G191" s="428">
        <v>552.79999999999995</v>
      </c>
      <c r="H191" s="428">
        <v>328</v>
      </c>
      <c r="I191" s="432">
        <v>43</v>
      </c>
      <c r="J191" s="433">
        <f t="shared" si="11"/>
        <v>23770.399999999998</v>
      </c>
    </row>
    <row r="192" spans="1:10" x14ac:dyDescent="0.3">
      <c r="A192" s="427">
        <v>101947</v>
      </c>
      <c r="B192" s="428" t="s">
        <v>542</v>
      </c>
      <c r="C192" s="428" t="s">
        <v>543</v>
      </c>
      <c r="D192" s="429" t="s">
        <v>89</v>
      </c>
      <c r="E192" s="430" t="str">
        <f t="shared" si="10"/>
        <v>TORNILLO PAMPH 8 X 1/2"UND</v>
      </c>
      <c r="F192" s="431">
        <v>1</v>
      </c>
      <c r="G192" s="428">
        <v>1566.1599999999999</v>
      </c>
      <c r="H192" s="428">
        <v>2036.16</v>
      </c>
      <c r="I192" s="432">
        <v>29</v>
      </c>
      <c r="J192" s="433">
        <f t="shared" si="11"/>
        <v>45418.64</v>
      </c>
    </row>
    <row r="193" spans="1:10" x14ac:dyDescent="0.3">
      <c r="A193" s="427">
        <v>101950</v>
      </c>
      <c r="B193" s="428"/>
      <c r="C193" s="428" t="s">
        <v>556</v>
      </c>
      <c r="D193" s="429" t="s">
        <v>89</v>
      </c>
      <c r="E193" s="430" t="str">
        <f t="shared" si="10"/>
        <v>TORNILLO PAMPH 8 X 3"UND</v>
      </c>
      <c r="F193" s="431">
        <v>1</v>
      </c>
      <c r="G193" s="428">
        <v>8.08</v>
      </c>
      <c r="H193" s="428">
        <v>872.64</v>
      </c>
      <c r="I193" s="432">
        <v>114</v>
      </c>
      <c r="J193" s="433">
        <f t="shared" si="11"/>
        <v>921.12</v>
      </c>
    </row>
    <row r="194" spans="1:10" x14ac:dyDescent="0.3">
      <c r="A194" s="427">
        <v>101951</v>
      </c>
      <c r="B194" s="428" t="s">
        <v>607</v>
      </c>
      <c r="C194" s="428" t="s">
        <v>637</v>
      </c>
      <c r="D194" s="429" t="s">
        <v>89</v>
      </c>
      <c r="E194" s="430" t="str">
        <f t="shared" si="10"/>
        <v>TORNILLO PASANTE 5/8" X 12"UND</v>
      </c>
      <c r="F194" s="431">
        <v>1</v>
      </c>
      <c r="G194" s="428">
        <v>8</v>
      </c>
      <c r="H194" s="428">
        <v>56856</v>
      </c>
      <c r="I194" s="432">
        <v>7469</v>
      </c>
      <c r="J194" s="433">
        <f t="shared" si="11"/>
        <v>59752</v>
      </c>
    </row>
    <row r="195" spans="1:10" x14ac:dyDescent="0.3">
      <c r="A195" s="427">
        <v>102117</v>
      </c>
      <c r="B195" s="428"/>
      <c r="C195" s="428" t="s">
        <v>671</v>
      </c>
      <c r="D195" s="429" t="s">
        <v>89</v>
      </c>
      <c r="E195" s="430" t="str">
        <f t="shared" si="10"/>
        <v>TUBO CERR. GALV. 2.5MM - 2" X 3MUND</v>
      </c>
      <c r="F195" s="431">
        <v>1</v>
      </c>
      <c r="G195" s="428">
        <v>99</v>
      </c>
      <c r="H195" s="428">
        <v>103569</v>
      </c>
      <c r="I195" s="432">
        <v>108851</v>
      </c>
      <c r="J195" s="433">
        <f t="shared" si="11"/>
        <v>10776249</v>
      </c>
    </row>
    <row r="196" spans="1:10" x14ac:dyDescent="0.3">
      <c r="A196" s="427">
        <v>102102</v>
      </c>
      <c r="B196" s="428" t="s">
        <v>595</v>
      </c>
      <c r="C196" s="428" t="s">
        <v>696</v>
      </c>
      <c r="D196" s="429" t="s">
        <v>33</v>
      </c>
      <c r="E196" s="430" t="str">
        <f t="shared" si="10"/>
        <v>TUBO COBRE FLEXIBLE 3/8"M</v>
      </c>
      <c r="F196" s="431">
        <v>1</v>
      </c>
      <c r="G196" s="428">
        <v>10</v>
      </c>
      <c r="H196" s="428">
        <v>317500</v>
      </c>
      <c r="I196" s="432">
        <v>33369</v>
      </c>
      <c r="J196" s="433">
        <f t="shared" si="11"/>
        <v>333690</v>
      </c>
    </row>
    <row r="197" spans="1:10" x14ac:dyDescent="0.3">
      <c r="A197" s="427">
        <v>102101</v>
      </c>
      <c r="B197" s="428" t="s">
        <v>595</v>
      </c>
      <c r="C197" s="428" t="s">
        <v>695</v>
      </c>
      <c r="D197" s="429" t="s">
        <v>33</v>
      </c>
      <c r="E197" s="430" t="str">
        <f t="shared" si="10"/>
        <v>TUBO COBRE RIGIDA TIPO M 3/4"M</v>
      </c>
      <c r="F197" s="431">
        <v>1</v>
      </c>
      <c r="G197" s="428">
        <v>10</v>
      </c>
      <c r="H197" s="428">
        <v>342170</v>
      </c>
      <c r="I197" s="432">
        <v>35962</v>
      </c>
      <c r="J197" s="433">
        <f t="shared" si="11"/>
        <v>359620</v>
      </c>
    </row>
    <row r="198" spans="1:10" x14ac:dyDescent="0.3">
      <c r="A198" s="427">
        <v>109132</v>
      </c>
      <c r="B198" s="428"/>
      <c r="C198" s="428" t="s">
        <v>617</v>
      </c>
      <c r="D198" s="429" t="s">
        <v>89</v>
      </c>
      <c r="E198" s="430" t="str">
        <f t="shared" si="10"/>
        <v>TUBO EMT 3/4"X 3 MUND</v>
      </c>
      <c r="F198" s="431">
        <v>1</v>
      </c>
      <c r="G198" s="428">
        <v>124.08</v>
      </c>
      <c r="H198" s="428">
        <v>41436</v>
      </c>
      <c r="I198" s="432">
        <v>43549</v>
      </c>
      <c r="J198" s="433">
        <f t="shared" si="11"/>
        <v>5403559.9199999999</v>
      </c>
    </row>
    <row r="199" spans="1:10" x14ac:dyDescent="0.3">
      <c r="A199" s="427">
        <v>103065</v>
      </c>
      <c r="B199" s="428" t="s">
        <v>472</v>
      </c>
      <c r="C199" s="428" t="s">
        <v>677</v>
      </c>
      <c r="D199" s="429" t="s">
        <v>89</v>
      </c>
      <c r="E199" s="430" t="str">
        <f t="shared" si="10"/>
        <v>TUBO LAM CR CUAD CAL 20 - 1-1/2" X 6MUND</v>
      </c>
      <c r="F199" s="431">
        <v>1</v>
      </c>
      <c r="G199" s="428">
        <v>10.404</v>
      </c>
      <c r="H199" s="428">
        <v>77717.88</v>
      </c>
      <c r="I199" s="432">
        <v>47106</v>
      </c>
      <c r="J199" s="433">
        <f t="shared" si="11"/>
        <v>490090.82400000002</v>
      </c>
    </row>
    <row r="200" spans="1:10" x14ac:dyDescent="0.3">
      <c r="A200" s="427">
        <v>102146</v>
      </c>
      <c r="B200" s="428" t="s">
        <v>607</v>
      </c>
      <c r="C200" s="428" t="s">
        <v>631</v>
      </c>
      <c r="D200" s="429" t="s">
        <v>89</v>
      </c>
      <c r="E200" s="430" t="str">
        <f t="shared" si="10"/>
        <v>TUBO PVC 1" X 3 MUND</v>
      </c>
      <c r="F200" s="431">
        <v>1</v>
      </c>
      <c r="G200" s="428">
        <v>41.957999999999998</v>
      </c>
      <c r="H200" s="428">
        <v>3280.41</v>
      </c>
      <c r="I200" s="432">
        <v>9860</v>
      </c>
      <c r="J200" s="433">
        <f t="shared" si="11"/>
        <v>413705.88</v>
      </c>
    </row>
    <row r="201" spans="1:10" x14ac:dyDescent="0.3">
      <c r="A201" s="427">
        <v>102144</v>
      </c>
      <c r="B201" s="428"/>
      <c r="C201" s="428" t="s">
        <v>624</v>
      </c>
      <c r="D201" s="429" t="s">
        <v>89</v>
      </c>
      <c r="E201" s="430" t="str">
        <f t="shared" si="10"/>
        <v>TUBO PVC 1/2" X 3 MUND</v>
      </c>
      <c r="F201" s="431">
        <v>1</v>
      </c>
      <c r="G201" s="428">
        <v>202.73999999999998</v>
      </c>
      <c r="H201" s="428">
        <v>6647.34</v>
      </c>
      <c r="I201" s="432">
        <v>6849</v>
      </c>
      <c r="J201" s="433">
        <f t="shared" si="11"/>
        <v>1388566.2599999998</v>
      </c>
    </row>
    <row r="202" spans="1:10" x14ac:dyDescent="0.3">
      <c r="A202" s="427">
        <v>102150</v>
      </c>
      <c r="B202" s="428" t="s">
        <v>607</v>
      </c>
      <c r="C202" s="428" t="s">
        <v>633</v>
      </c>
      <c r="D202" s="429" t="s">
        <v>89</v>
      </c>
      <c r="E202" s="430" t="str">
        <f t="shared" si="10"/>
        <v>TUBO PVC 3" X 6 MUND</v>
      </c>
      <c r="F202" s="431">
        <v>1</v>
      </c>
      <c r="G202" s="428">
        <v>20.978999999999999</v>
      </c>
      <c r="H202" s="428">
        <v>28218.5</v>
      </c>
      <c r="I202" s="432">
        <v>84821</v>
      </c>
      <c r="J202" s="433">
        <f t="shared" si="11"/>
        <v>1779459.7589999998</v>
      </c>
    </row>
    <row r="203" spans="1:10" x14ac:dyDescent="0.3">
      <c r="A203" s="427">
        <v>102145</v>
      </c>
      <c r="B203" s="428" t="s">
        <v>607</v>
      </c>
      <c r="C203" s="428" t="s">
        <v>692</v>
      </c>
      <c r="D203" s="429" t="s">
        <v>89</v>
      </c>
      <c r="E203" s="430" t="str">
        <f t="shared" si="10"/>
        <v>TUBO PVC 3/4" X 3 MUND</v>
      </c>
      <c r="F203" s="431">
        <v>1</v>
      </c>
      <c r="G203" s="428">
        <v>10</v>
      </c>
      <c r="H203" s="428">
        <v>84020</v>
      </c>
      <c r="I203" s="432">
        <v>8831</v>
      </c>
      <c r="J203" s="433">
        <f t="shared" si="11"/>
        <v>88310</v>
      </c>
    </row>
    <row r="204" spans="1:10" x14ac:dyDescent="0.3">
      <c r="A204" s="427">
        <v>102188</v>
      </c>
      <c r="B204" s="428" t="s">
        <v>544</v>
      </c>
      <c r="C204" s="428" t="s">
        <v>545</v>
      </c>
      <c r="D204" s="429" t="s">
        <v>89</v>
      </c>
      <c r="E204" s="430" t="str">
        <f t="shared" si="10"/>
        <v>TUBULAR ALUM. 1-1/2" X 1-1/2"UND</v>
      </c>
      <c r="F204" s="431">
        <v>1</v>
      </c>
      <c r="G204" s="428">
        <v>4.08</v>
      </c>
      <c r="H204" s="428">
        <v>95786.16</v>
      </c>
      <c r="I204" s="432">
        <v>98697</v>
      </c>
      <c r="J204" s="433">
        <f t="shared" si="11"/>
        <v>402683.76</v>
      </c>
    </row>
    <row r="205" spans="1:10" x14ac:dyDescent="0.3">
      <c r="A205" s="427">
        <v>102190</v>
      </c>
      <c r="B205" s="428" t="s">
        <v>607</v>
      </c>
      <c r="C205" s="428" t="s">
        <v>641</v>
      </c>
      <c r="D205" s="429" t="s">
        <v>89</v>
      </c>
      <c r="E205" s="430" t="str">
        <f t="shared" si="10"/>
        <v>TUERCA HEXAGONAL GALV. 5/8"UND</v>
      </c>
      <c r="F205" s="431">
        <v>1</v>
      </c>
      <c r="G205" s="428">
        <v>10</v>
      </c>
      <c r="H205" s="428">
        <v>7320</v>
      </c>
      <c r="I205" s="432">
        <v>769</v>
      </c>
      <c r="J205" s="433">
        <f t="shared" si="11"/>
        <v>7690</v>
      </c>
    </row>
    <row r="206" spans="1:10" x14ac:dyDescent="0.3">
      <c r="A206" s="427">
        <v>102194</v>
      </c>
      <c r="B206" s="428" t="s">
        <v>542</v>
      </c>
      <c r="C206" s="428" t="s">
        <v>547</v>
      </c>
      <c r="D206" s="429" t="s">
        <v>89</v>
      </c>
      <c r="E206" s="430" t="str">
        <f t="shared" si="10"/>
        <v>UNION ALUM. 1/8" 4X4CMUND</v>
      </c>
      <c r="F206" s="431">
        <v>1</v>
      </c>
      <c r="G206" s="428">
        <v>48</v>
      </c>
      <c r="H206" s="428">
        <v>37800</v>
      </c>
      <c r="I206" s="432">
        <v>3311</v>
      </c>
      <c r="J206" s="433">
        <f t="shared" si="11"/>
        <v>158928</v>
      </c>
    </row>
    <row r="207" spans="1:10" x14ac:dyDescent="0.3">
      <c r="A207" s="427">
        <v>102195</v>
      </c>
      <c r="B207" s="428" t="s">
        <v>542</v>
      </c>
      <c r="C207" s="428" t="s">
        <v>546</v>
      </c>
      <c r="D207" s="429" t="s">
        <v>89</v>
      </c>
      <c r="E207" s="430" t="str">
        <f t="shared" si="10"/>
        <v>UNION ALUM. 1/8" 8X8CMUND</v>
      </c>
      <c r="F207" s="431">
        <v>1</v>
      </c>
      <c r="G207" s="428">
        <v>62</v>
      </c>
      <c r="H207" s="428">
        <v>32136</v>
      </c>
      <c r="I207" s="432">
        <v>5629</v>
      </c>
      <c r="J207" s="433">
        <f t="shared" si="11"/>
        <v>348998</v>
      </c>
    </row>
    <row r="208" spans="1:10" x14ac:dyDescent="0.3">
      <c r="A208" s="427">
        <v>109136</v>
      </c>
      <c r="B208" s="428"/>
      <c r="C208" s="428" t="s">
        <v>614</v>
      </c>
      <c r="D208" s="429" t="s">
        <v>89</v>
      </c>
      <c r="E208" s="430" t="str">
        <f t="shared" ref="E208:E212" si="12">C208&amp;D208</f>
        <v>UNION EMT 3/4"UND</v>
      </c>
      <c r="F208" s="431">
        <v>1</v>
      </c>
      <c r="G208" s="428">
        <v>248</v>
      </c>
      <c r="H208" s="428">
        <v>2648</v>
      </c>
      <c r="I208" s="432">
        <v>1392</v>
      </c>
      <c r="J208" s="433">
        <f t="shared" ref="J208:J212" si="13">G208*I208</f>
        <v>345216</v>
      </c>
    </row>
    <row r="209" spans="1:10" x14ac:dyDescent="0.3">
      <c r="A209" s="427">
        <v>102204</v>
      </c>
      <c r="B209" s="428" t="s">
        <v>595</v>
      </c>
      <c r="C209" s="428" t="s">
        <v>605</v>
      </c>
      <c r="D209" s="429" t="s">
        <v>89</v>
      </c>
      <c r="E209" s="430" t="str">
        <f t="shared" si="12"/>
        <v>UNION GALV. 3/4"UND</v>
      </c>
      <c r="F209" s="431">
        <v>1</v>
      </c>
      <c r="G209" s="428">
        <v>1</v>
      </c>
      <c r="H209" s="428">
        <v>5166</v>
      </c>
      <c r="I209" s="432">
        <v>5429</v>
      </c>
      <c r="J209" s="433">
        <f t="shared" si="13"/>
        <v>5429</v>
      </c>
    </row>
    <row r="210" spans="1:10" x14ac:dyDescent="0.3">
      <c r="A210" s="427">
        <v>102387</v>
      </c>
      <c r="B210" s="428" t="s">
        <v>470</v>
      </c>
      <c r="C210" s="428" t="s">
        <v>478</v>
      </c>
      <c r="D210" s="429" t="s">
        <v>89</v>
      </c>
      <c r="E210" s="430" t="str">
        <f t="shared" si="12"/>
        <v>VARETA 2"X2"X3MUND</v>
      </c>
      <c r="F210" s="431">
        <v>1</v>
      </c>
      <c r="G210" s="428">
        <v>217.06699999999998</v>
      </c>
      <c r="H210" s="428">
        <v>24038.01</v>
      </c>
      <c r="I210" s="432">
        <v>9462</v>
      </c>
      <c r="J210" s="433">
        <f t="shared" si="13"/>
        <v>2053887.9539999999</v>
      </c>
    </row>
    <row r="211" spans="1:10" x14ac:dyDescent="0.3">
      <c r="A211" s="427">
        <v>102427</v>
      </c>
      <c r="B211" s="428" t="s">
        <v>577</v>
      </c>
      <c r="C211" s="428" t="s">
        <v>578</v>
      </c>
      <c r="D211" s="429" t="s">
        <v>112</v>
      </c>
      <c r="E211" s="430" t="str">
        <f t="shared" si="12"/>
        <v>VIDRIO TRANSP. 4 MMM2</v>
      </c>
      <c r="F211" s="431">
        <v>1</v>
      </c>
      <c r="G211" s="428">
        <v>58.769550000000002</v>
      </c>
      <c r="H211" s="428">
        <v>40262.67</v>
      </c>
      <c r="I211" s="432">
        <v>49754</v>
      </c>
      <c r="J211" s="433">
        <f t="shared" si="13"/>
        <v>2924020.1907000002</v>
      </c>
    </row>
    <row r="212" spans="1:10" x14ac:dyDescent="0.3">
      <c r="A212" s="427">
        <v>102436</v>
      </c>
      <c r="B212" s="428" t="s">
        <v>530</v>
      </c>
      <c r="C212" s="428" t="s">
        <v>538</v>
      </c>
      <c r="D212" s="429" t="s">
        <v>458</v>
      </c>
      <c r="E212" s="430" t="str">
        <f t="shared" si="12"/>
        <v>VINILO TIPO 1GLN</v>
      </c>
      <c r="F212" s="431">
        <v>1</v>
      </c>
      <c r="G212" s="428">
        <v>115.8876525</v>
      </c>
      <c r="H212" s="428">
        <v>5857.97</v>
      </c>
      <c r="I212" s="432">
        <v>81277</v>
      </c>
      <c r="J212" s="433">
        <f t="shared" si="13"/>
        <v>9419000.7322425004</v>
      </c>
    </row>
    <row r="215" spans="1:10" ht="16.8" x14ac:dyDescent="0.3">
      <c r="A215" s="417" t="s">
        <v>446</v>
      </c>
      <c r="C215" s="418" t="s">
        <v>447</v>
      </c>
      <c r="J215" s="420">
        <f>SUM(J216:J236)</f>
        <v>396128816.00276041</v>
      </c>
    </row>
    <row r="216" spans="1:10" x14ac:dyDescent="0.3">
      <c r="A216" s="421" t="s">
        <v>704</v>
      </c>
      <c r="B216" s="421" t="s">
        <v>705</v>
      </c>
      <c r="C216" s="422" t="s">
        <v>88</v>
      </c>
      <c r="D216" s="423" t="s">
        <v>89</v>
      </c>
      <c r="E216" s="424"/>
      <c r="F216" s="425"/>
      <c r="G216" s="422" t="str">
        <f>IF($B$3&gt;1,"CANT.  / " &amp;$B$1,"CANT.")</f>
        <v>CANT.</v>
      </c>
      <c r="H216" s="425"/>
      <c r="I216" s="422" t="s">
        <v>663</v>
      </c>
      <c r="J216" s="426" t="str">
        <f>IF($B$3&gt;1,"VR.  / " &amp;$B$1,"VR.TOTAL")</f>
        <v>VR.TOTAL</v>
      </c>
    </row>
    <row r="217" spans="1:10" x14ac:dyDescent="0.3">
      <c r="A217" s="427">
        <v>200006</v>
      </c>
      <c r="B217" s="428" t="s">
        <v>447</v>
      </c>
      <c r="C217" s="428" t="s">
        <v>465</v>
      </c>
      <c r="D217" s="429" t="s">
        <v>706</v>
      </c>
      <c r="E217" s="430" t="str">
        <f t="shared" ref="E217:E236" si="14">C217&amp;D217</f>
        <v>M.O. 1 AYUDANTEJornal+PS</v>
      </c>
      <c r="F217" s="431">
        <v>2</v>
      </c>
      <c r="G217" s="428">
        <v>237.89522854896535</v>
      </c>
      <c r="H217" s="428">
        <v>3557.51</v>
      </c>
      <c r="I217" s="432">
        <v>120581</v>
      </c>
      <c r="J217" s="433">
        <f t="shared" ref="J217:J236" si="15">G217*I217</f>
        <v>28685644.553662792</v>
      </c>
    </row>
    <row r="218" spans="1:10" x14ac:dyDescent="0.3">
      <c r="A218" s="427">
        <v>200007</v>
      </c>
      <c r="B218" s="428"/>
      <c r="C218" s="428" t="s">
        <v>466</v>
      </c>
      <c r="D218" s="429" t="s">
        <v>706</v>
      </c>
      <c r="E218" s="430" t="str">
        <f t="shared" si="14"/>
        <v>M.O. 1 AYUDANTE + 1 OFICIALJornal+PS</v>
      </c>
      <c r="F218" s="431">
        <v>2</v>
      </c>
      <c r="G218" s="428">
        <v>301.34765255575655</v>
      </c>
      <c r="H218" s="428">
        <v>85336.36</v>
      </c>
      <c r="I218" s="432">
        <v>325569</v>
      </c>
      <c r="J218" s="433">
        <f t="shared" si="15"/>
        <v>98109453.894925103</v>
      </c>
    </row>
    <row r="219" spans="1:10" x14ac:dyDescent="0.3">
      <c r="A219" s="427">
        <v>200100</v>
      </c>
      <c r="B219" s="428" t="s">
        <v>447</v>
      </c>
      <c r="C219" s="428" t="s">
        <v>461</v>
      </c>
      <c r="D219" s="429" t="s">
        <v>706</v>
      </c>
      <c r="E219" s="430" t="str">
        <f t="shared" si="14"/>
        <v>M.O. 1 OFICIALJornal+PS</v>
      </c>
      <c r="F219" s="431">
        <v>2</v>
      </c>
      <c r="G219" s="428">
        <v>9.1045318750000011</v>
      </c>
      <c r="H219" s="428">
        <v>12190</v>
      </c>
      <c r="I219" s="432">
        <v>204987</v>
      </c>
      <c r="J219" s="433">
        <f t="shared" si="15"/>
        <v>1866310.6754606252</v>
      </c>
    </row>
    <row r="220" spans="1:10" x14ac:dyDescent="0.3">
      <c r="A220" s="427">
        <v>200008</v>
      </c>
      <c r="B220" s="428" t="s">
        <v>447</v>
      </c>
      <c r="C220" s="428" t="s">
        <v>448</v>
      </c>
      <c r="D220" s="429" t="s">
        <v>706</v>
      </c>
      <c r="E220" s="430" t="str">
        <f t="shared" si="14"/>
        <v>M.O. 2 AYUDANTESJornal+PS</v>
      </c>
      <c r="F220" s="431">
        <v>2</v>
      </c>
      <c r="G220" s="428">
        <v>18.604553281249999</v>
      </c>
      <c r="H220" s="428">
        <v>35853.120000000003</v>
      </c>
      <c r="I220" s="432">
        <v>241162</v>
      </c>
      <c r="J220" s="433">
        <f t="shared" si="15"/>
        <v>4486711.2784128124</v>
      </c>
    </row>
    <row r="221" spans="1:10" x14ac:dyDescent="0.3">
      <c r="A221" s="427">
        <v>200009</v>
      </c>
      <c r="B221" s="428" t="s">
        <v>447</v>
      </c>
      <c r="C221" s="428" t="s">
        <v>479</v>
      </c>
      <c r="D221" s="429" t="s">
        <v>706</v>
      </c>
      <c r="E221" s="430" t="str">
        <f t="shared" si="14"/>
        <v>M.O. 2 AYUDANTES + 1 OFICIALJornal+PS</v>
      </c>
      <c r="F221" s="431">
        <v>2</v>
      </c>
      <c r="G221" s="428">
        <v>106.93514001806685</v>
      </c>
      <c r="H221" s="428">
        <v>314445.18</v>
      </c>
      <c r="I221" s="432">
        <v>446151</v>
      </c>
      <c r="J221" s="433">
        <f t="shared" si="15"/>
        <v>47709219.654200539</v>
      </c>
    </row>
    <row r="222" spans="1:10" x14ac:dyDescent="0.3">
      <c r="A222" s="427">
        <v>200010</v>
      </c>
      <c r="B222" s="428" t="s">
        <v>447</v>
      </c>
      <c r="C222" s="428" t="s">
        <v>460</v>
      </c>
      <c r="D222" s="429" t="s">
        <v>706</v>
      </c>
      <c r="E222" s="430" t="str">
        <f t="shared" si="14"/>
        <v>M.O. 3 AYUDANTESJornal+PS</v>
      </c>
      <c r="F222" s="431">
        <v>2</v>
      </c>
      <c r="G222" s="428">
        <v>26.976390740740744</v>
      </c>
      <c r="H222" s="428">
        <v>63738.879999999997</v>
      </c>
      <c r="I222" s="432">
        <v>361744</v>
      </c>
      <c r="J222" s="433">
        <f t="shared" si="15"/>
        <v>9758547.4921185188</v>
      </c>
    </row>
    <row r="223" spans="1:10" x14ac:dyDescent="0.3">
      <c r="A223" s="427">
        <v>200011</v>
      </c>
      <c r="B223" s="428" t="s">
        <v>447</v>
      </c>
      <c r="C223" s="428" t="s">
        <v>484</v>
      </c>
      <c r="D223" s="429" t="s">
        <v>706</v>
      </c>
      <c r="E223" s="430" t="str">
        <f t="shared" si="14"/>
        <v>M.O. 3 AYUDANTES + 1 OFICIALJornal+PS</v>
      </c>
      <c r="F223" s="431">
        <v>2</v>
      </c>
      <c r="G223" s="428">
        <v>20.469047619047622</v>
      </c>
      <c r="H223" s="428">
        <v>513553.33</v>
      </c>
      <c r="I223" s="432">
        <v>566732</v>
      </c>
      <c r="J223" s="433">
        <f t="shared" si="15"/>
        <v>11600464.295238096</v>
      </c>
    </row>
    <row r="224" spans="1:10" x14ac:dyDescent="0.3">
      <c r="A224" s="427">
        <v>200004</v>
      </c>
      <c r="B224" s="428" t="s">
        <v>447</v>
      </c>
      <c r="C224" s="428" t="s">
        <v>522</v>
      </c>
      <c r="D224" s="429" t="s">
        <v>706</v>
      </c>
      <c r="E224" s="430" t="str">
        <f t="shared" si="14"/>
        <v>M.O. ALB. ACABADOS 1 AYUDANTE + 1 OFICIALJornal+PS</v>
      </c>
      <c r="F224" s="431">
        <v>2</v>
      </c>
      <c r="G224" s="428">
        <v>105.41279142915262</v>
      </c>
      <c r="H224" s="428">
        <v>38372.629999999997</v>
      </c>
      <c r="I224" s="432">
        <v>358127</v>
      </c>
      <c r="J224" s="433">
        <f t="shared" si="15"/>
        <v>37751166.756148137</v>
      </c>
    </row>
    <row r="225" spans="1:10" x14ac:dyDescent="0.3">
      <c r="A225" s="427">
        <v>200005</v>
      </c>
      <c r="B225" s="428"/>
      <c r="C225" s="428" t="s">
        <v>685</v>
      </c>
      <c r="D225" s="429" t="s">
        <v>706</v>
      </c>
      <c r="E225" s="430" t="str">
        <f t="shared" si="14"/>
        <v>M.O. ALB. ACABADOS 2 AYUDANTES +1 OFICIALJornal+PS</v>
      </c>
      <c r="F225" s="431">
        <v>2</v>
      </c>
      <c r="G225" s="428">
        <v>3.174448722436122</v>
      </c>
      <c r="H225" s="428">
        <v>3268.81</v>
      </c>
      <c r="I225" s="432">
        <v>490764</v>
      </c>
      <c r="J225" s="433">
        <f t="shared" si="15"/>
        <v>1557905.1528176409</v>
      </c>
    </row>
    <row r="226" spans="1:10" x14ac:dyDescent="0.3">
      <c r="A226" s="427">
        <v>200029</v>
      </c>
      <c r="B226" s="428" t="s">
        <v>447</v>
      </c>
      <c r="C226" s="428" t="s">
        <v>550</v>
      </c>
      <c r="D226" s="429" t="s">
        <v>706</v>
      </c>
      <c r="E226" s="430" t="str">
        <f t="shared" si="14"/>
        <v>M.O. CARP.ALUMINIO 1 AYUDANTE + 1 OFICIALJornal+PS</v>
      </c>
      <c r="F226" s="431">
        <v>2</v>
      </c>
      <c r="G226" s="428">
        <v>49.503198760758977</v>
      </c>
      <c r="H226" s="428">
        <v>135864.47</v>
      </c>
      <c r="I226" s="432">
        <v>325569</v>
      </c>
      <c r="J226" s="433">
        <f t="shared" si="15"/>
        <v>16116706.91734154</v>
      </c>
    </row>
    <row r="227" spans="1:10" x14ac:dyDescent="0.3">
      <c r="A227" s="427">
        <v>200015</v>
      </c>
      <c r="B227" s="428" t="s">
        <v>447</v>
      </c>
      <c r="C227" s="428" t="s">
        <v>566</v>
      </c>
      <c r="D227" s="429" t="s">
        <v>706</v>
      </c>
      <c r="E227" s="430" t="str">
        <f t="shared" si="14"/>
        <v>M.O. CARP.MADERA 1 AYUDANTE + 1 OFICIALJornal+PS</v>
      </c>
      <c r="F227" s="431">
        <v>2</v>
      </c>
      <c r="G227" s="428">
        <v>18</v>
      </c>
      <c r="H227" s="428">
        <v>131566.5</v>
      </c>
      <c r="I227" s="432">
        <v>276553</v>
      </c>
      <c r="J227" s="433">
        <f t="shared" si="15"/>
        <v>4977954</v>
      </c>
    </row>
    <row r="228" spans="1:10" x14ac:dyDescent="0.3">
      <c r="A228" s="427">
        <v>200017</v>
      </c>
      <c r="B228" s="428" t="s">
        <v>447</v>
      </c>
      <c r="C228" s="428" t="s">
        <v>496</v>
      </c>
      <c r="D228" s="429" t="s">
        <v>706</v>
      </c>
      <c r="E228" s="430" t="str">
        <f t="shared" si="14"/>
        <v>M.O. CARP.TALLER 1 AYUDANTE + 1 OFICIALJornal+PS</v>
      </c>
      <c r="F228" s="431">
        <v>2</v>
      </c>
      <c r="G228" s="428">
        <v>102.20369636963696</v>
      </c>
      <c r="H228" s="428">
        <v>4685.76</v>
      </c>
      <c r="I228" s="432">
        <v>358127</v>
      </c>
      <c r="J228" s="433">
        <f t="shared" si="15"/>
        <v>36601903.169768974</v>
      </c>
    </row>
    <row r="229" spans="1:10" x14ac:dyDescent="0.3">
      <c r="A229" s="427">
        <v>200018</v>
      </c>
      <c r="B229" s="428" t="s">
        <v>447</v>
      </c>
      <c r="C229" s="428" t="s">
        <v>618</v>
      </c>
      <c r="D229" s="429" t="s">
        <v>706</v>
      </c>
      <c r="E229" s="430" t="str">
        <f t="shared" si="14"/>
        <v>M.O. ELECTRICA 1 AYUDANTE + 1 OFICIALJornal+PS</v>
      </c>
      <c r="F229" s="431">
        <v>2</v>
      </c>
      <c r="G229" s="428">
        <v>113.5150295017327</v>
      </c>
      <c r="H229" s="428">
        <v>108419.75</v>
      </c>
      <c r="I229" s="432">
        <v>455797</v>
      </c>
      <c r="J229" s="433">
        <f t="shared" si="15"/>
        <v>51739809.901801258</v>
      </c>
    </row>
    <row r="230" spans="1:10" x14ac:dyDescent="0.3">
      <c r="A230" s="427">
        <v>200022</v>
      </c>
      <c r="B230" s="428" t="s">
        <v>447</v>
      </c>
      <c r="C230" s="428" t="s">
        <v>644</v>
      </c>
      <c r="D230" s="429" t="s">
        <v>706</v>
      </c>
      <c r="E230" s="430" t="str">
        <f t="shared" si="14"/>
        <v>M.O. ELECTRICA 3 AYUD. + 1 OFIC. + 1 PROF.Jornal+PS</v>
      </c>
      <c r="F230" s="431">
        <v>2</v>
      </c>
      <c r="G230" s="428">
        <v>1.158373786407767</v>
      </c>
      <c r="H230" s="428">
        <v>996087.37</v>
      </c>
      <c r="I230" s="432">
        <v>1078294</v>
      </c>
      <c r="J230" s="433">
        <f t="shared" si="15"/>
        <v>1249067.5036407767</v>
      </c>
    </row>
    <row r="231" spans="1:10" x14ac:dyDescent="0.3">
      <c r="A231" s="427">
        <v>200021</v>
      </c>
      <c r="B231" s="428"/>
      <c r="C231" s="428" t="s">
        <v>593</v>
      </c>
      <c r="D231" s="429" t="s">
        <v>706</v>
      </c>
      <c r="E231" s="430" t="str">
        <f t="shared" si="14"/>
        <v>M.O. HIDROSANIT. 1 AYUDANTE + 1 OFICIALJornal+PS</v>
      </c>
      <c r="F231" s="431">
        <v>2</v>
      </c>
      <c r="G231" s="428">
        <v>2.0753985811180753</v>
      </c>
      <c r="H231" s="428">
        <v>25562.560000000001</v>
      </c>
      <c r="I231" s="432">
        <v>358127</v>
      </c>
      <c r="J231" s="433">
        <f t="shared" si="15"/>
        <v>743256.267660073</v>
      </c>
    </row>
    <row r="232" spans="1:10" x14ac:dyDescent="0.3">
      <c r="A232" s="427">
        <v>200023</v>
      </c>
      <c r="B232" s="428" t="s">
        <v>447</v>
      </c>
      <c r="C232" s="428" t="s">
        <v>590</v>
      </c>
      <c r="D232" s="429" t="s">
        <v>706</v>
      </c>
      <c r="E232" s="430" t="str">
        <f t="shared" si="14"/>
        <v>M.O. METALISTERIA 1 AYUDANTE + 1 OFICIALJornal+PS</v>
      </c>
      <c r="F232" s="431">
        <v>2</v>
      </c>
      <c r="G232" s="428">
        <v>3.255639097744361</v>
      </c>
      <c r="H232" s="428">
        <v>92931.25</v>
      </c>
      <c r="I232" s="432">
        <v>390683</v>
      </c>
      <c r="J232" s="433">
        <f t="shared" si="15"/>
        <v>1271922.8496240601</v>
      </c>
    </row>
    <row r="233" spans="1:10" x14ac:dyDescent="0.3">
      <c r="A233" s="427">
        <v>200026</v>
      </c>
      <c r="B233" s="428" t="s">
        <v>447</v>
      </c>
      <c r="C233" s="428" t="s">
        <v>533</v>
      </c>
      <c r="D233" s="429" t="s">
        <v>706</v>
      </c>
      <c r="E233" s="430" t="str">
        <f t="shared" si="14"/>
        <v>M.O. PINTURA 1 AYUDANTE + 1 OFICIALJornal+PS</v>
      </c>
      <c r="F233" s="431">
        <v>2</v>
      </c>
      <c r="G233" s="428">
        <v>110.45775572060808</v>
      </c>
      <c r="H233" s="428">
        <v>7942.84</v>
      </c>
      <c r="I233" s="432">
        <v>325569</v>
      </c>
      <c r="J233" s="433">
        <f t="shared" si="15"/>
        <v>35961621.072202653</v>
      </c>
    </row>
    <row r="234" spans="1:10" x14ac:dyDescent="0.3">
      <c r="A234" s="427">
        <v>217001</v>
      </c>
      <c r="B234" s="428" t="s">
        <v>447</v>
      </c>
      <c r="C234" s="428" t="s">
        <v>702</v>
      </c>
      <c r="D234" s="429" t="s">
        <v>706</v>
      </c>
      <c r="E234" s="430" t="str">
        <f t="shared" si="14"/>
        <v>MANO OBRA REFRIGERACION 1 AYUD. + 1 TECNICOJornal+PS</v>
      </c>
      <c r="F234" s="431">
        <v>2</v>
      </c>
      <c r="G234" s="428">
        <v>5.2631578947368425</v>
      </c>
      <c r="H234" s="428">
        <v>1793415.78</v>
      </c>
      <c r="I234" s="432">
        <v>358127</v>
      </c>
      <c r="J234" s="433">
        <f t="shared" si="15"/>
        <v>1884878.9473684211</v>
      </c>
    </row>
    <row r="235" spans="1:10" x14ac:dyDescent="0.3">
      <c r="A235" s="427">
        <v>217002</v>
      </c>
      <c r="B235" s="428"/>
      <c r="C235" s="428" t="s">
        <v>662</v>
      </c>
      <c r="D235" s="429" t="s">
        <v>706</v>
      </c>
      <c r="E235" s="430" t="str">
        <f t="shared" si="14"/>
        <v>MANO OBRA TELECOMUNIC. 1 AYUD. + 1 TECNICOJornal+PS</v>
      </c>
      <c r="F235" s="431">
        <v>2</v>
      </c>
      <c r="G235" s="428">
        <v>3.263157894736842</v>
      </c>
      <c r="H235" s="428">
        <v>1793.41</v>
      </c>
      <c r="I235" s="432">
        <v>358127</v>
      </c>
      <c r="J235" s="433">
        <f t="shared" si="15"/>
        <v>1168624.9473684211</v>
      </c>
    </row>
    <row r="236" spans="1:10" x14ac:dyDescent="0.3">
      <c r="A236" s="427">
        <v>207104</v>
      </c>
      <c r="B236" s="428"/>
      <c r="C236" s="428" t="s">
        <v>551</v>
      </c>
      <c r="D236" s="429" t="s">
        <v>552</v>
      </c>
      <c r="E236" s="430" t="str">
        <f t="shared" si="14"/>
        <v>SUBCONTRATO CARPINTERIA ALUMINIOGLB</v>
      </c>
      <c r="F236" s="431">
        <v>2</v>
      </c>
      <c r="G236" s="428">
        <v>274.75229999999999</v>
      </c>
      <c r="H236" s="428">
        <v>33206</v>
      </c>
      <c r="I236" s="432">
        <v>10510</v>
      </c>
      <c r="J236" s="433">
        <f t="shared" si="15"/>
        <v>2887646.673</v>
      </c>
    </row>
    <row r="239" spans="1:10" ht="16.8" x14ac:dyDescent="0.3">
      <c r="A239" s="417" t="s">
        <v>449</v>
      </c>
      <c r="C239" s="418" t="s">
        <v>450</v>
      </c>
      <c r="J239" s="420">
        <f>SUM(J240:J253)</f>
        <v>97678225.038333192</v>
      </c>
    </row>
    <row r="240" spans="1:10" x14ac:dyDescent="0.3">
      <c r="A240" s="421" t="s">
        <v>704</v>
      </c>
      <c r="B240" s="421" t="s">
        <v>705</v>
      </c>
      <c r="C240" s="422" t="s">
        <v>88</v>
      </c>
      <c r="D240" s="423" t="s">
        <v>89</v>
      </c>
      <c r="E240" s="424"/>
      <c r="F240" s="425"/>
      <c r="G240" s="422" t="str">
        <f>IF($B$3&gt;1,"CANT.  / " &amp;$B$1,"CANT.")</f>
        <v>CANT.</v>
      </c>
      <c r="H240" s="425"/>
      <c r="I240" s="422" t="s">
        <v>663</v>
      </c>
      <c r="J240" s="426" t="str">
        <f>IF($B$3&gt;1,"VR.  / " &amp;$B$1,"VR.TOTAL")</f>
        <v>VR.TOTAL</v>
      </c>
    </row>
    <row r="241" spans="1:10" x14ac:dyDescent="0.3">
      <c r="A241" s="427">
        <v>300002</v>
      </c>
      <c r="B241" s="428" t="s">
        <v>450</v>
      </c>
      <c r="C241" s="428" t="s">
        <v>486</v>
      </c>
      <c r="D241" s="429" t="s">
        <v>487</v>
      </c>
      <c r="E241" s="430" t="str">
        <f t="shared" ref="E241:E253" si="16">C241&amp;D241</f>
        <v>ANDAMIO METALICO CERTIFICADO ALTURASU/D</v>
      </c>
      <c r="F241" s="431">
        <v>3</v>
      </c>
      <c r="G241" s="428">
        <v>1564.3149999999998</v>
      </c>
      <c r="H241" s="428">
        <v>66380</v>
      </c>
      <c r="I241" s="432">
        <v>17441</v>
      </c>
      <c r="J241" s="433">
        <v>27283217.920000002</v>
      </c>
    </row>
    <row r="242" spans="1:10" x14ac:dyDescent="0.3">
      <c r="A242" s="427">
        <v>300010</v>
      </c>
      <c r="B242" s="428" t="s">
        <v>450</v>
      </c>
      <c r="C242" s="428" t="s">
        <v>670</v>
      </c>
      <c r="D242" s="429" t="s">
        <v>464</v>
      </c>
      <c r="E242" s="430" t="str">
        <f t="shared" si="16"/>
        <v>CERCHA METALICA DE 3MTSDIA</v>
      </c>
      <c r="F242" s="431">
        <v>3</v>
      </c>
      <c r="G242" s="428">
        <v>4.4399999999999995</v>
      </c>
      <c r="H242" s="428">
        <v>3471</v>
      </c>
      <c r="I242" s="432">
        <v>2432</v>
      </c>
      <c r="J242" s="433">
        <v>10798.08</v>
      </c>
    </row>
    <row r="243" spans="1:10" x14ac:dyDescent="0.3">
      <c r="A243" s="427">
        <v>300016</v>
      </c>
      <c r="B243" s="428" t="s">
        <v>450</v>
      </c>
      <c r="C243" s="428" t="s">
        <v>463</v>
      </c>
      <c r="D243" s="429" t="s">
        <v>464</v>
      </c>
      <c r="E243" s="430" t="str">
        <f t="shared" si="16"/>
        <v>CORTADORA DE LADRILLO CON DISCODIA</v>
      </c>
      <c r="F243" s="431">
        <v>3</v>
      </c>
      <c r="G243" s="428">
        <v>488.8</v>
      </c>
      <c r="H243" s="428">
        <v>66810</v>
      </c>
      <c r="I243" s="432">
        <v>70217</v>
      </c>
      <c r="J243" s="433">
        <v>34322069.600000001</v>
      </c>
    </row>
    <row r="244" spans="1:10" x14ac:dyDescent="0.3">
      <c r="A244" s="427">
        <v>300026</v>
      </c>
      <c r="B244" s="428" t="s">
        <v>450</v>
      </c>
      <c r="C244" s="428" t="s">
        <v>451</v>
      </c>
      <c r="D244" s="429" t="s">
        <v>452</v>
      </c>
      <c r="E244" s="430" t="str">
        <f t="shared" si="16"/>
        <v>HERRAMIENTA MENOR% de MO</v>
      </c>
      <c r="F244" s="431">
        <v>3</v>
      </c>
      <c r="G244" s="428"/>
      <c r="H244" s="428">
        <v>2509.71</v>
      </c>
      <c r="I244" s="432"/>
      <c r="J244" s="433">
        <v>12873812.598333204</v>
      </c>
    </row>
    <row r="245" spans="1:10" x14ac:dyDescent="0.3">
      <c r="A245" s="427">
        <v>308003</v>
      </c>
      <c r="B245" s="428" t="s">
        <v>450</v>
      </c>
      <c r="C245" s="428" t="s">
        <v>462</v>
      </c>
      <c r="D245" s="429" t="s">
        <v>28</v>
      </c>
      <c r="E245" s="430" t="str">
        <f t="shared" si="16"/>
        <v>MEZCLADORA DE 9 PIES CUBICOSH</v>
      </c>
      <c r="F245" s="431">
        <v>3</v>
      </c>
      <c r="G245" s="428">
        <v>69.922804800000009</v>
      </c>
      <c r="H245" s="428">
        <v>2472.48</v>
      </c>
      <c r="I245" s="432">
        <v>5414</v>
      </c>
      <c r="J245" s="433">
        <v>378562.07</v>
      </c>
    </row>
    <row r="246" spans="1:10" x14ac:dyDescent="0.3">
      <c r="A246" s="427">
        <v>300042</v>
      </c>
      <c r="B246" s="428"/>
      <c r="C246" s="428" t="s">
        <v>688</v>
      </c>
      <c r="D246" s="429" t="s">
        <v>464</v>
      </c>
      <c r="E246" s="430" t="str">
        <f t="shared" si="16"/>
        <v>PULIDORA MANUAL ELECTRICADIA</v>
      </c>
      <c r="F246" s="431">
        <v>3</v>
      </c>
      <c r="G246" s="428">
        <v>55.347000000000008</v>
      </c>
      <c r="H246" s="428">
        <v>2409.1</v>
      </c>
      <c r="I246" s="432">
        <v>25320</v>
      </c>
      <c r="J246" s="433">
        <v>1401386.04</v>
      </c>
    </row>
    <row r="247" spans="1:10" x14ac:dyDescent="0.3">
      <c r="A247" s="427">
        <v>300062</v>
      </c>
      <c r="B247" s="428" t="s">
        <v>450</v>
      </c>
      <c r="C247" s="428" t="s">
        <v>529</v>
      </c>
      <c r="D247" s="429" t="s">
        <v>464</v>
      </c>
      <c r="E247" s="430" t="str">
        <f t="shared" si="16"/>
        <v>PULIDORA PISO 2 EJESDIA</v>
      </c>
      <c r="F247" s="431">
        <v>3</v>
      </c>
      <c r="G247" s="428">
        <v>18.41</v>
      </c>
      <c r="H247" s="428">
        <v>6181</v>
      </c>
      <c r="I247" s="432">
        <v>25985</v>
      </c>
      <c r="J247" s="433">
        <v>478383.85</v>
      </c>
    </row>
    <row r="248" spans="1:10" x14ac:dyDescent="0.3">
      <c r="A248" s="427">
        <v>319013</v>
      </c>
      <c r="B248" s="428"/>
      <c r="C248" s="428" t="s">
        <v>467</v>
      </c>
      <c r="D248" s="429" t="s">
        <v>464</v>
      </c>
      <c r="E248" s="430" t="str">
        <f t="shared" si="16"/>
        <v>ROTOMARTILLO 8-10 JLS    DIA</v>
      </c>
      <c r="F248" s="431">
        <v>3</v>
      </c>
      <c r="G248" s="428">
        <v>6.6471000000000009</v>
      </c>
      <c r="H248" s="428">
        <v>577.54999999999995</v>
      </c>
      <c r="I248" s="432">
        <v>60701</v>
      </c>
      <c r="J248" s="433">
        <v>403485.62</v>
      </c>
    </row>
    <row r="249" spans="1:10" x14ac:dyDescent="0.3">
      <c r="A249" s="427">
        <v>300049</v>
      </c>
      <c r="B249" s="428" t="s">
        <v>450</v>
      </c>
      <c r="C249" s="428" t="s">
        <v>669</v>
      </c>
      <c r="D249" s="429" t="s">
        <v>464</v>
      </c>
      <c r="E249" s="430" t="str">
        <f t="shared" si="16"/>
        <v>TABLERO O PLAQUETA DE 1.4MT X O.7MTDIA</v>
      </c>
      <c r="F249" s="431">
        <v>3</v>
      </c>
      <c r="G249" s="428">
        <v>21.6968</v>
      </c>
      <c r="H249" s="428">
        <v>2521.52</v>
      </c>
      <c r="I249" s="432">
        <v>362</v>
      </c>
      <c r="J249" s="433">
        <v>7854.24</v>
      </c>
    </row>
    <row r="250" spans="1:10" x14ac:dyDescent="0.3">
      <c r="A250" s="427">
        <v>300051</v>
      </c>
      <c r="B250" s="428" t="s">
        <v>450</v>
      </c>
      <c r="C250" s="428" t="s">
        <v>485</v>
      </c>
      <c r="D250" s="429" t="s">
        <v>464</v>
      </c>
      <c r="E250" s="430" t="str">
        <f t="shared" si="16"/>
        <v>TACO METALICO EXTENSION DE 2.OM A 3.30MTDIA</v>
      </c>
      <c r="F250" s="431">
        <v>3</v>
      </c>
      <c r="G250" s="428">
        <v>478.08000000000004</v>
      </c>
      <c r="H250" s="428">
        <v>138864</v>
      </c>
      <c r="I250" s="432">
        <v>6081</v>
      </c>
      <c r="J250" s="433">
        <v>2907204.48</v>
      </c>
    </row>
    <row r="251" spans="1:10" x14ac:dyDescent="0.3">
      <c r="A251" s="427">
        <v>301008</v>
      </c>
      <c r="B251" s="428" t="s">
        <v>450</v>
      </c>
      <c r="C251" s="428" t="s">
        <v>497</v>
      </c>
      <c r="D251" s="429" t="s">
        <v>464</v>
      </c>
      <c r="E251" s="430" t="str">
        <f t="shared" si="16"/>
        <v>TALADRO PERCUTOR TIPO HILTIDIA</v>
      </c>
      <c r="F251" s="431">
        <v>3</v>
      </c>
      <c r="G251" s="428">
        <v>231.23999999999998</v>
      </c>
      <c r="H251" s="428">
        <v>2310.1999999999998</v>
      </c>
      <c r="I251" s="432">
        <v>60701</v>
      </c>
      <c r="J251" s="433">
        <v>14036499.24</v>
      </c>
    </row>
    <row r="252" spans="1:10" x14ac:dyDescent="0.3">
      <c r="A252" s="427">
        <v>300055</v>
      </c>
      <c r="B252" s="428" t="s">
        <v>450</v>
      </c>
      <c r="C252" s="428" t="s">
        <v>480</v>
      </c>
      <c r="D252" s="429" t="s">
        <v>464</v>
      </c>
      <c r="E252" s="430" t="str">
        <f t="shared" si="16"/>
        <v>VIBRADORDIA</v>
      </c>
      <c r="F252" s="431">
        <v>3</v>
      </c>
      <c r="G252" s="428">
        <v>16.091899999999999</v>
      </c>
      <c r="H252" s="428">
        <v>2070.3000000000002</v>
      </c>
      <c r="I252" s="432">
        <v>43518</v>
      </c>
      <c r="J252" s="433">
        <v>700287.3</v>
      </c>
    </row>
    <row r="253" spans="1:10" x14ac:dyDescent="0.3">
      <c r="A253" s="427">
        <v>300065</v>
      </c>
      <c r="B253" s="428"/>
      <c r="C253" s="428" t="s">
        <v>468</v>
      </c>
      <c r="D253" s="429" t="s">
        <v>131</v>
      </c>
      <c r="E253" s="430" t="str">
        <f t="shared" si="16"/>
        <v>VOLQUETA O CAMION (ACARREO)M3</v>
      </c>
      <c r="F253" s="431">
        <v>3</v>
      </c>
      <c r="G253" s="428">
        <v>104</v>
      </c>
      <c r="H253" s="428">
        <v>26300</v>
      </c>
      <c r="I253" s="432">
        <v>27641</v>
      </c>
      <c r="J253" s="433">
        <v>2874664</v>
      </c>
    </row>
    <row r="257" spans="1:10" x14ac:dyDescent="0.3">
      <c r="A257" s="434"/>
      <c r="B257" s="435"/>
      <c r="C257" s="434"/>
      <c r="D257" s="436"/>
      <c r="E257" s="436"/>
      <c r="F257" s="436"/>
      <c r="G257" s="437"/>
      <c r="H257" s="438"/>
      <c r="I257" s="439" t="s">
        <v>707</v>
      </c>
      <c r="J257" s="440">
        <f>SUM(J10:J256)/2</f>
        <v>1287956395.6025889</v>
      </c>
    </row>
  </sheetData>
  <mergeCells count="3">
    <mergeCell ref="C5:J5"/>
    <mergeCell ref="C6:J6"/>
    <mergeCell ref="C7:G8"/>
  </mergeCells>
  <conditionalFormatting sqref="A16:A212">
    <cfRule type="duplicateValues" dxfId="8" priority="6"/>
  </conditionalFormatting>
  <conditionalFormatting sqref="A217:A236">
    <cfRule type="duplicateValues" dxfId="7" priority="4"/>
  </conditionalFormatting>
  <conditionalFormatting sqref="A241:A253">
    <cfRule type="duplicateValues" dxfId="6" priority="2"/>
  </conditionalFormatting>
  <conditionalFormatting sqref="C7">
    <cfRule type="cellIs" dxfId="5" priority="8" stopIfTrue="1" operator="equal">
      <formula>"ESCRIBA AQUÍ EL NOMBRE DE LA OBRA"</formula>
    </cfRule>
  </conditionalFormatting>
  <conditionalFormatting sqref="E9">
    <cfRule type="duplicateValues" dxfId="4" priority="9"/>
  </conditionalFormatting>
  <conditionalFormatting sqref="E10">
    <cfRule type="duplicateValues" dxfId="3" priority="7"/>
  </conditionalFormatting>
  <conditionalFormatting sqref="E16:E212">
    <cfRule type="duplicateValues" dxfId="2" priority="5"/>
  </conditionalFormatting>
  <conditionalFormatting sqref="E217:E236">
    <cfRule type="duplicateValues" dxfId="1" priority="3"/>
  </conditionalFormatting>
  <conditionalFormatting sqref="E241:E253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61625-EA31-4A2B-A5B7-4317588DC4E5}">
  <dimension ref="A1"/>
  <sheetViews>
    <sheetView workbookViewId="0"/>
  </sheetViews>
  <sheetFormatPr baseColWidth="10" defaultColWidth="10.77734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15-7</vt:lpstr>
      <vt:lpstr>INSUMOS</vt:lpstr>
      <vt:lpstr>Hoja1</vt:lpstr>
      <vt:lpstr>'PRESUPUESTO 15-7'!Área_de_impresión</vt:lpstr>
      <vt:lpstr>SbtPpto</vt:lpstr>
      <vt:lpstr>'PRESUPUESTO 15-7'!Títulos_a_imprimir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ROSSY ARROYO</dc:creator>
  <cp:lastModifiedBy>pAoLa AnDrEa vAReLa FaJaRdO</cp:lastModifiedBy>
  <dcterms:created xsi:type="dcterms:W3CDTF">2026-02-08T23:10:46Z</dcterms:created>
  <dcterms:modified xsi:type="dcterms:W3CDTF">2026-02-26T15:04:40Z</dcterms:modified>
</cp:coreProperties>
</file>